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rossi\OneDrive - Waste Management\Desktop\UTC\Tariff 18 - WM of Spokane and Valley Service Garbage Co\RSA Files\2022\"/>
    </mc:Choice>
  </mc:AlternateContent>
  <xr:revisionPtr revIDLastSave="0" documentId="8_{1D3BB9AB-9089-4FA4-9F65-088B9E741684}" xr6:coauthVersionLast="47" xr6:coauthVersionMax="47" xr10:uidLastSave="{00000000-0000-0000-0000-000000000000}"/>
  <bookViews>
    <workbookView xWindow="-29970" yWindow="7050" windowWidth="38700" windowHeight="15435" firstSheet="3" activeTab="9" xr2:uid="{00000000-000D-0000-FFFF-FFFF00000000}"/>
  </bookViews>
  <sheets>
    <sheet name="Rebate Calculation" sheetId="35" r:id="rId1"/>
    <sheet name="24 Month Rev &amp; Ton summary" sheetId="42" r:id="rId2"/>
    <sheet name="Tons &amp; Revenue" sheetId="33" r:id="rId3"/>
    <sheet name="Composition" sheetId="36" r:id="rId4"/>
    <sheet name="Prices" sheetId="37" r:id="rId5"/>
    <sheet name="Res'l &amp; MF Customers" sheetId="40" r:id="rId6"/>
    <sheet name="2020-2022 Budget" sheetId="45" r:id="rId7"/>
    <sheet name="Budget vs Actual" sheetId="48" r:id="rId8"/>
    <sheet name="Revised Budget" sheetId="46" r:id="rId9"/>
    <sheet name="Incentive Analysis" sheetId="47" r:id="rId10"/>
  </sheets>
  <definedNames>
    <definedName name="_xlnm.Print_Area" localSheetId="3">Composition!$A$1:$AA$20</definedName>
    <definedName name="_xlnm.Print_Area" localSheetId="4">Prices!#REF!</definedName>
    <definedName name="_xlnm.Print_Area" localSheetId="0">'Rebate Calculation'!$A$317:$G$377</definedName>
    <definedName name="_xlnm.Print_Area" localSheetId="5">'Res''l &amp; MF Customers'!$A$1:$P$26</definedName>
    <definedName name="_xlnm.Print_Area" localSheetId="2">'Tons &amp; Revenue'!$A$1:$M$264</definedName>
    <definedName name="_xlnm.Print_Titles" localSheetId="2">'Tons &amp; Revenue'!$1:$3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47" l="1"/>
  <c r="K14" i="47"/>
  <c r="K11" i="47"/>
  <c r="K9" i="47"/>
  <c r="N43" i="40"/>
  <c r="F22" i="48"/>
  <c r="F12" i="48" l="1"/>
  <c r="D23" i="48"/>
  <c r="H23" i="48" s="1"/>
  <c r="D24" i="48"/>
  <c r="D25" i="48"/>
  <c r="H25" i="48" s="1"/>
  <c r="D22" i="48"/>
  <c r="H22" i="48" s="1"/>
  <c r="D19" i="48"/>
  <c r="D12" i="48"/>
  <c r="D15" i="48" s="1"/>
  <c r="D9" i="48"/>
  <c r="D6" i="48"/>
  <c r="F26" i="48"/>
  <c r="F28" i="48" s="1"/>
  <c r="F16" i="48" s="1"/>
  <c r="H24" i="48"/>
  <c r="F15" i="48"/>
  <c r="J20" i="47"/>
  <c r="G20" i="47"/>
  <c r="F20" i="47"/>
  <c r="J17" i="47"/>
  <c r="G17" i="47"/>
  <c r="F17" i="47"/>
  <c r="H16" i="47"/>
  <c r="H15" i="47"/>
  <c r="K20" i="47"/>
  <c r="H14" i="47"/>
  <c r="J12" i="47"/>
  <c r="G12" i="47"/>
  <c r="F12" i="47"/>
  <c r="H11" i="47"/>
  <c r="H10" i="47"/>
  <c r="H9" i="47"/>
  <c r="X56" i="36"/>
  <c r="F30" i="48" l="1"/>
  <c r="F32" i="48" s="1"/>
  <c r="G18" i="47"/>
  <c r="G21" i="47" s="1"/>
  <c r="J18" i="47"/>
  <c r="J21" i="47" s="1"/>
  <c r="H20" i="47"/>
  <c r="K12" i="47"/>
  <c r="F18" i="47"/>
  <c r="F21" i="47" s="1"/>
  <c r="H17" i="47"/>
  <c r="D26" i="48"/>
  <c r="D38" i="48"/>
  <c r="H26" i="48"/>
  <c r="D36" i="48"/>
  <c r="F17" i="48"/>
  <c r="H15" i="48"/>
  <c r="D28" i="48"/>
  <c r="H19" i="48"/>
  <c r="H12" i="48"/>
  <c r="H12" i="47"/>
  <c r="K17" i="47"/>
  <c r="M60" i="40"/>
  <c r="N60" i="40"/>
  <c r="M61" i="40"/>
  <c r="N61" i="40"/>
  <c r="M62" i="40"/>
  <c r="N62" i="40"/>
  <c r="M63" i="40"/>
  <c r="N63" i="40"/>
  <c r="N59" i="40"/>
  <c r="M59" i="40"/>
  <c r="C42" i="35"/>
  <c r="C187" i="33"/>
  <c r="D187" i="33"/>
  <c r="E187" i="33"/>
  <c r="F187" i="33"/>
  <c r="G187" i="33"/>
  <c r="H187" i="33"/>
  <c r="I187" i="33"/>
  <c r="J187" i="33"/>
  <c r="K187" i="33"/>
  <c r="L187" i="33"/>
  <c r="C188" i="33"/>
  <c r="D188" i="33"/>
  <c r="E188" i="33"/>
  <c r="F188" i="33"/>
  <c r="G188" i="33"/>
  <c r="H188" i="33"/>
  <c r="I188" i="33"/>
  <c r="J188" i="33"/>
  <c r="K188" i="33"/>
  <c r="L188" i="33"/>
  <c r="C189" i="33"/>
  <c r="D189" i="33"/>
  <c r="E189" i="33"/>
  <c r="F189" i="33"/>
  <c r="G189" i="33"/>
  <c r="H189" i="33"/>
  <c r="I189" i="33"/>
  <c r="J189" i="33"/>
  <c r="K189" i="33"/>
  <c r="L189" i="33"/>
  <c r="C190" i="33"/>
  <c r="D190" i="33"/>
  <c r="E190" i="33"/>
  <c r="F190" i="33"/>
  <c r="G190" i="33"/>
  <c r="H190" i="33"/>
  <c r="I190" i="33"/>
  <c r="J190" i="33"/>
  <c r="K190" i="33"/>
  <c r="L190" i="33"/>
  <c r="C191" i="33"/>
  <c r="D191" i="33"/>
  <c r="E191" i="33"/>
  <c r="F191" i="33"/>
  <c r="G191" i="33"/>
  <c r="H191" i="33"/>
  <c r="I191" i="33"/>
  <c r="J191" i="33"/>
  <c r="K191" i="33"/>
  <c r="L191" i="33"/>
  <c r="C192" i="33"/>
  <c r="D192" i="33"/>
  <c r="E192" i="33"/>
  <c r="F192" i="33"/>
  <c r="G192" i="33"/>
  <c r="H192" i="33"/>
  <c r="I192" i="33"/>
  <c r="J192" i="33"/>
  <c r="K192" i="33"/>
  <c r="L192" i="33"/>
  <c r="C193" i="33"/>
  <c r="D193" i="33"/>
  <c r="E193" i="33"/>
  <c r="F193" i="33"/>
  <c r="G193" i="33"/>
  <c r="H193" i="33"/>
  <c r="I193" i="33"/>
  <c r="J193" i="33"/>
  <c r="K193" i="33"/>
  <c r="L193" i="33"/>
  <c r="C194" i="33"/>
  <c r="D194" i="33"/>
  <c r="E194" i="33"/>
  <c r="F194" i="33"/>
  <c r="G194" i="33"/>
  <c r="H194" i="33"/>
  <c r="I194" i="33"/>
  <c r="J194" i="33"/>
  <c r="K194" i="33"/>
  <c r="L194" i="33"/>
  <c r="C96" i="33"/>
  <c r="D96" i="33"/>
  <c r="E96" i="33"/>
  <c r="F96" i="33"/>
  <c r="G96" i="33"/>
  <c r="H96" i="33"/>
  <c r="I96" i="33"/>
  <c r="J96" i="33"/>
  <c r="K96" i="33"/>
  <c r="L96" i="33"/>
  <c r="D34" i="33"/>
  <c r="I34" i="33"/>
  <c r="I33" i="33"/>
  <c r="F33" i="33"/>
  <c r="D33" i="33"/>
  <c r="E33" i="33" s="1"/>
  <c r="C33" i="33"/>
  <c r="C10" i="35"/>
  <c r="C9" i="35"/>
  <c r="H18" i="47" l="1"/>
  <c r="F34" i="48"/>
  <c r="F17" i="35" s="1"/>
  <c r="H21" i="47"/>
  <c r="K18" i="47"/>
  <c r="K21" i="47" s="1"/>
  <c r="H28" i="48"/>
  <c r="H30" i="48" s="1"/>
  <c r="H32" i="48" s="1"/>
  <c r="D30" i="48"/>
  <c r="D32" i="48" s="1"/>
  <c r="D16" i="48"/>
  <c r="G33" i="33"/>
  <c r="H33" i="33" s="1"/>
  <c r="J33" i="33" s="1"/>
  <c r="D17" i="48" l="1"/>
  <c r="D34" i="48" s="1"/>
  <c r="H16" i="48"/>
  <c r="H17" i="48" s="1"/>
  <c r="H34" i="48" s="1"/>
  <c r="X45" i="36"/>
  <c r="X53" i="36"/>
  <c r="C31" i="37"/>
  <c r="D31" i="37"/>
  <c r="G31" i="37"/>
  <c r="K31" i="37"/>
  <c r="M43" i="40"/>
  <c r="C154" i="33"/>
  <c r="D154" i="33"/>
  <c r="E154" i="33"/>
  <c r="F154" i="33"/>
  <c r="G154" i="33"/>
  <c r="H154" i="33"/>
  <c r="I154" i="33"/>
  <c r="J154" i="33"/>
  <c r="K154" i="33"/>
  <c r="L154" i="33"/>
  <c r="C155" i="33"/>
  <c r="D155" i="33"/>
  <c r="E155" i="33"/>
  <c r="F155" i="33"/>
  <c r="G155" i="33"/>
  <c r="H155" i="33"/>
  <c r="I155" i="33"/>
  <c r="J155" i="33"/>
  <c r="K155" i="33"/>
  <c r="L155" i="33"/>
  <c r="C156" i="33"/>
  <c r="D156" i="33"/>
  <c r="E156" i="33"/>
  <c r="F156" i="33"/>
  <c r="G156" i="33"/>
  <c r="H156" i="33"/>
  <c r="I156" i="33"/>
  <c r="J156" i="33"/>
  <c r="K156" i="33"/>
  <c r="L156" i="33"/>
  <c r="C157" i="33"/>
  <c r="D157" i="33"/>
  <c r="E157" i="33"/>
  <c r="F157" i="33"/>
  <c r="G157" i="33"/>
  <c r="H157" i="33"/>
  <c r="I157" i="33"/>
  <c r="J157" i="33"/>
  <c r="K157" i="33"/>
  <c r="L157" i="33"/>
  <c r="C158" i="33"/>
  <c r="D158" i="33"/>
  <c r="E158" i="33"/>
  <c r="F158" i="33"/>
  <c r="G158" i="33"/>
  <c r="H158" i="33"/>
  <c r="I158" i="33"/>
  <c r="J158" i="33"/>
  <c r="K158" i="33"/>
  <c r="L158" i="33"/>
  <c r="C159" i="33"/>
  <c r="D159" i="33"/>
  <c r="E159" i="33"/>
  <c r="F159" i="33"/>
  <c r="G159" i="33"/>
  <c r="H159" i="33"/>
  <c r="I159" i="33"/>
  <c r="J159" i="33"/>
  <c r="K159" i="33"/>
  <c r="L159" i="33"/>
  <c r="C160" i="33"/>
  <c r="D160" i="33"/>
  <c r="E160" i="33"/>
  <c r="F160" i="33"/>
  <c r="G160" i="33"/>
  <c r="H160" i="33"/>
  <c r="I160" i="33"/>
  <c r="J160" i="33"/>
  <c r="K160" i="33"/>
  <c r="L160" i="33"/>
  <c r="C161" i="33"/>
  <c r="D161" i="33"/>
  <c r="E161" i="33"/>
  <c r="F161" i="33"/>
  <c r="G161" i="33"/>
  <c r="H161" i="33"/>
  <c r="I161" i="33"/>
  <c r="J161" i="33"/>
  <c r="K161" i="33"/>
  <c r="L161" i="33"/>
  <c r="C123" i="33"/>
  <c r="D123" i="33"/>
  <c r="E123" i="33"/>
  <c r="F123" i="33"/>
  <c r="M123" i="33" s="1"/>
  <c r="G123" i="33"/>
  <c r="H123" i="33"/>
  <c r="I123" i="33"/>
  <c r="J123" i="33"/>
  <c r="K123" i="33"/>
  <c r="L123" i="33"/>
  <c r="C124" i="33"/>
  <c r="M124" i="33" s="1"/>
  <c r="D124" i="33"/>
  <c r="E124" i="33"/>
  <c r="F124" i="33"/>
  <c r="G124" i="33"/>
  <c r="H124" i="33"/>
  <c r="I124" i="33"/>
  <c r="J124" i="33"/>
  <c r="K124" i="33"/>
  <c r="L124" i="33"/>
  <c r="C125" i="33"/>
  <c r="M125" i="33" s="1"/>
  <c r="D125" i="33"/>
  <c r="E125" i="33"/>
  <c r="F125" i="33"/>
  <c r="G125" i="33"/>
  <c r="H125" i="33"/>
  <c r="I125" i="33"/>
  <c r="J125" i="33"/>
  <c r="K125" i="33"/>
  <c r="L125" i="33"/>
  <c r="C126" i="33"/>
  <c r="D126" i="33"/>
  <c r="E126" i="33"/>
  <c r="F126" i="33"/>
  <c r="G126" i="33"/>
  <c r="H126" i="33"/>
  <c r="I126" i="33"/>
  <c r="J126" i="33"/>
  <c r="K126" i="33"/>
  <c r="L126" i="33"/>
  <c r="M126" i="33"/>
  <c r="C127" i="33"/>
  <c r="D127" i="33"/>
  <c r="E127" i="33"/>
  <c r="F127" i="33"/>
  <c r="M127" i="33" s="1"/>
  <c r="G127" i="33"/>
  <c r="H127" i="33"/>
  <c r="I127" i="33"/>
  <c r="J127" i="33"/>
  <c r="K127" i="33"/>
  <c r="L127" i="33"/>
  <c r="C128" i="33"/>
  <c r="M128" i="33" s="1"/>
  <c r="D128" i="33"/>
  <c r="E128" i="33"/>
  <c r="F128" i="33"/>
  <c r="G128" i="33"/>
  <c r="H128" i="33"/>
  <c r="I128" i="33"/>
  <c r="J128" i="33"/>
  <c r="K128" i="33"/>
  <c r="L128" i="33"/>
  <c r="C129" i="33"/>
  <c r="M129" i="33" s="1"/>
  <c r="D129" i="33"/>
  <c r="E129" i="33"/>
  <c r="F129" i="33"/>
  <c r="G129" i="33"/>
  <c r="H129" i="33"/>
  <c r="I129" i="33"/>
  <c r="J129" i="33"/>
  <c r="K129" i="33"/>
  <c r="L129" i="33"/>
  <c r="C130" i="33"/>
  <c r="D130" i="33"/>
  <c r="E130" i="33"/>
  <c r="F130" i="33"/>
  <c r="G130" i="33"/>
  <c r="H130" i="33"/>
  <c r="I130" i="33"/>
  <c r="J130" i="33"/>
  <c r="K130" i="33"/>
  <c r="L130" i="33"/>
  <c r="M130" i="33"/>
  <c r="C89" i="33"/>
  <c r="D89" i="33"/>
  <c r="E89" i="33"/>
  <c r="F89" i="33"/>
  <c r="G89" i="33"/>
  <c r="H89" i="33"/>
  <c r="I89" i="33"/>
  <c r="J89" i="33"/>
  <c r="K89" i="33"/>
  <c r="L89" i="33"/>
  <c r="C90" i="33"/>
  <c r="D90" i="33"/>
  <c r="E90" i="33"/>
  <c r="F90" i="33"/>
  <c r="G90" i="33"/>
  <c r="H90" i="33"/>
  <c r="I90" i="33"/>
  <c r="J90" i="33"/>
  <c r="K90" i="33"/>
  <c r="L90" i="33"/>
  <c r="C91" i="33"/>
  <c r="D91" i="33"/>
  <c r="E91" i="33"/>
  <c r="F91" i="33"/>
  <c r="G91" i="33"/>
  <c r="H91" i="33"/>
  <c r="I91" i="33"/>
  <c r="J91" i="33"/>
  <c r="K91" i="33"/>
  <c r="L91" i="33"/>
  <c r="C92" i="33"/>
  <c r="D92" i="33"/>
  <c r="E92" i="33"/>
  <c r="F92" i="33"/>
  <c r="G92" i="33"/>
  <c r="H92" i="33"/>
  <c r="I92" i="33"/>
  <c r="J92" i="33"/>
  <c r="K92" i="33"/>
  <c r="L92" i="33"/>
  <c r="C93" i="33"/>
  <c r="D93" i="33"/>
  <c r="E93" i="33"/>
  <c r="F93" i="33"/>
  <c r="G93" i="33"/>
  <c r="H93" i="33"/>
  <c r="I93" i="33"/>
  <c r="J93" i="33"/>
  <c r="K93" i="33"/>
  <c r="L93" i="33"/>
  <c r="C94" i="33"/>
  <c r="D94" i="33"/>
  <c r="E94" i="33"/>
  <c r="F94" i="33"/>
  <c r="G94" i="33"/>
  <c r="H94" i="33"/>
  <c r="I94" i="33"/>
  <c r="J94" i="33"/>
  <c r="K94" i="33"/>
  <c r="L94" i="33"/>
  <c r="C95" i="33"/>
  <c r="D95" i="33"/>
  <c r="E95" i="33"/>
  <c r="F95" i="33"/>
  <c r="G95" i="33"/>
  <c r="H95" i="33"/>
  <c r="I95" i="33"/>
  <c r="J95" i="33"/>
  <c r="K95" i="33"/>
  <c r="L95" i="33"/>
  <c r="C88" i="33"/>
  <c r="D88" i="33"/>
  <c r="E88" i="33"/>
  <c r="F88" i="33"/>
  <c r="G88" i="33"/>
  <c r="H88" i="33"/>
  <c r="I88" i="33"/>
  <c r="J88" i="33"/>
  <c r="K88" i="33"/>
  <c r="L88" i="33"/>
  <c r="L68" i="33"/>
  <c r="K68" i="33"/>
  <c r="J68" i="33"/>
  <c r="I68" i="33"/>
  <c r="H68" i="33"/>
  <c r="G68" i="33"/>
  <c r="F68" i="33"/>
  <c r="E68" i="33"/>
  <c r="D68" i="33"/>
  <c r="C68" i="33"/>
  <c r="M68" i="33"/>
  <c r="L67" i="33"/>
  <c r="K67" i="33"/>
  <c r="J67" i="33"/>
  <c r="I67" i="33"/>
  <c r="H67" i="33"/>
  <c r="G67" i="33"/>
  <c r="F67" i="33"/>
  <c r="E67" i="33"/>
  <c r="M67" i="33" s="1"/>
  <c r="D67" i="33"/>
  <c r="C67" i="33"/>
  <c r="L66" i="33"/>
  <c r="K66" i="33"/>
  <c r="J66" i="33"/>
  <c r="I66" i="33"/>
  <c r="H66" i="33"/>
  <c r="G66" i="33"/>
  <c r="F66" i="33"/>
  <c r="E66" i="33"/>
  <c r="M66" i="33" s="1"/>
  <c r="D66" i="33"/>
  <c r="C66" i="33"/>
  <c r="L65" i="33"/>
  <c r="K65" i="33"/>
  <c r="J65" i="33"/>
  <c r="I65" i="33"/>
  <c r="M65" i="33" s="1"/>
  <c r="H65" i="33"/>
  <c r="G65" i="33"/>
  <c r="F65" i="33"/>
  <c r="E65" i="33"/>
  <c r="D65" i="33"/>
  <c r="C65" i="33"/>
  <c r="L64" i="33"/>
  <c r="K64" i="33"/>
  <c r="J64" i="33"/>
  <c r="I64" i="33"/>
  <c r="H64" i="33"/>
  <c r="G64" i="33"/>
  <c r="F64" i="33"/>
  <c r="E64" i="33"/>
  <c r="D64" i="33"/>
  <c r="C64" i="33"/>
  <c r="L63" i="33"/>
  <c r="K63" i="33"/>
  <c r="J63" i="33"/>
  <c r="I63" i="33"/>
  <c r="H63" i="33"/>
  <c r="G63" i="33"/>
  <c r="F63" i="33"/>
  <c r="E63" i="33"/>
  <c r="M63" i="33" s="1"/>
  <c r="D63" i="33"/>
  <c r="C63" i="33"/>
  <c r="L62" i="33"/>
  <c r="K62" i="33"/>
  <c r="J62" i="33"/>
  <c r="I62" i="33"/>
  <c r="M62" i="33" s="1"/>
  <c r="H62" i="33"/>
  <c r="G62" i="33"/>
  <c r="F62" i="33"/>
  <c r="E62" i="33"/>
  <c r="D62" i="33"/>
  <c r="C62" i="33"/>
  <c r="L61" i="33"/>
  <c r="K61" i="33"/>
  <c r="J61" i="33"/>
  <c r="I61" i="33"/>
  <c r="H61" i="33"/>
  <c r="G61" i="33"/>
  <c r="F61" i="33"/>
  <c r="E61" i="33"/>
  <c r="D61" i="33"/>
  <c r="C61" i="33"/>
  <c r="V56" i="36"/>
  <c r="M64" i="33" l="1"/>
  <c r="M61" i="33"/>
  <c r="T56" i="36"/>
  <c r="R56" i="36" l="1"/>
  <c r="P56" i="36" l="1"/>
  <c r="N56" i="36" l="1"/>
  <c r="L56" i="36" l="1"/>
  <c r="J56" i="36" l="1"/>
  <c r="H56" i="36" l="1"/>
  <c r="I32" i="33" l="1"/>
  <c r="I31" i="33"/>
  <c r="I30" i="33"/>
  <c r="I29" i="33"/>
  <c r="I28" i="33"/>
  <c r="I27" i="33"/>
  <c r="I26" i="33"/>
  <c r="I25" i="33"/>
  <c r="F32" i="33"/>
  <c r="F31" i="33"/>
  <c r="F30" i="33"/>
  <c r="D32" i="33"/>
  <c r="D31" i="33"/>
  <c r="D30" i="33"/>
  <c r="F29" i="33"/>
  <c r="F28" i="33"/>
  <c r="F27" i="33"/>
  <c r="F26" i="33"/>
  <c r="L43" i="40" l="1"/>
  <c r="K43" i="40"/>
  <c r="J43" i="40"/>
  <c r="I43" i="40"/>
  <c r="H43" i="40"/>
  <c r="G43" i="40"/>
  <c r="F43" i="40"/>
  <c r="D29" i="33"/>
  <c r="D28" i="33"/>
  <c r="D27" i="33"/>
  <c r="D26" i="33"/>
  <c r="N221" i="33" l="1"/>
  <c r="N220" i="33"/>
  <c r="N219" i="33"/>
  <c r="N251" i="33"/>
  <c r="N250" i="33"/>
  <c r="N249" i="33"/>
  <c r="C250" i="33"/>
  <c r="D250" i="33"/>
  <c r="E250" i="33"/>
  <c r="F250" i="33"/>
  <c r="G250" i="33"/>
  <c r="H250" i="33"/>
  <c r="I250" i="33"/>
  <c r="J250" i="33"/>
  <c r="K250" i="33"/>
  <c r="L250" i="33"/>
  <c r="C251" i="33"/>
  <c r="D251" i="33"/>
  <c r="E251" i="33"/>
  <c r="F251" i="33"/>
  <c r="G251" i="33"/>
  <c r="H251" i="33"/>
  <c r="I251" i="33"/>
  <c r="J251" i="33"/>
  <c r="K251" i="33"/>
  <c r="L251" i="33"/>
  <c r="C252" i="33"/>
  <c r="D252" i="33"/>
  <c r="E252" i="33"/>
  <c r="F252" i="33"/>
  <c r="G252" i="33"/>
  <c r="H252" i="33"/>
  <c r="I252" i="33"/>
  <c r="J252" i="33"/>
  <c r="K252" i="33"/>
  <c r="L252" i="33"/>
  <c r="C253" i="33"/>
  <c r="D253" i="33"/>
  <c r="E253" i="33"/>
  <c r="F253" i="33"/>
  <c r="G253" i="33"/>
  <c r="H253" i="33"/>
  <c r="I253" i="33"/>
  <c r="J253" i="33"/>
  <c r="K253" i="33"/>
  <c r="L253" i="33"/>
  <c r="C254" i="33"/>
  <c r="D254" i="33"/>
  <c r="E254" i="33"/>
  <c r="F254" i="33"/>
  <c r="G254" i="33"/>
  <c r="H254" i="33"/>
  <c r="I254" i="33"/>
  <c r="J254" i="33"/>
  <c r="K254" i="33"/>
  <c r="L254" i="33"/>
  <c r="C255" i="33"/>
  <c r="D255" i="33"/>
  <c r="E255" i="33"/>
  <c r="F255" i="33"/>
  <c r="G255" i="33"/>
  <c r="H255" i="33"/>
  <c r="I255" i="33"/>
  <c r="J255" i="33"/>
  <c r="K255" i="33"/>
  <c r="L255" i="33"/>
  <c r="C256" i="33"/>
  <c r="D256" i="33"/>
  <c r="E256" i="33"/>
  <c r="F256" i="33"/>
  <c r="G256" i="33"/>
  <c r="H256" i="33"/>
  <c r="I256" i="33"/>
  <c r="J256" i="33"/>
  <c r="K256" i="33"/>
  <c r="L256" i="33"/>
  <c r="C257" i="33"/>
  <c r="D257" i="33"/>
  <c r="E257" i="33"/>
  <c r="F257" i="33"/>
  <c r="G257" i="33"/>
  <c r="H257" i="33"/>
  <c r="I257" i="33"/>
  <c r="J257" i="33"/>
  <c r="K257" i="33"/>
  <c r="L257" i="33"/>
  <c r="C258" i="33"/>
  <c r="D258" i="33"/>
  <c r="E258" i="33"/>
  <c r="F258" i="33"/>
  <c r="G258" i="33"/>
  <c r="H258" i="33"/>
  <c r="I258" i="33"/>
  <c r="J258" i="33"/>
  <c r="K258" i="33"/>
  <c r="L258" i="33"/>
  <c r="C259" i="33"/>
  <c r="D259" i="33"/>
  <c r="E259" i="33"/>
  <c r="F259" i="33"/>
  <c r="G259" i="33"/>
  <c r="H259" i="33"/>
  <c r="I259" i="33"/>
  <c r="J259" i="33"/>
  <c r="K259" i="33"/>
  <c r="L259" i="33"/>
  <c r="D249" i="33"/>
  <c r="E249" i="33"/>
  <c r="F249" i="33"/>
  <c r="G249" i="33"/>
  <c r="H249" i="33"/>
  <c r="I249" i="33"/>
  <c r="J249" i="33"/>
  <c r="K249" i="33"/>
  <c r="L249" i="33"/>
  <c r="C249" i="33"/>
  <c r="C220" i="33"/>
  <c r="D220" i="33"/>
  <c r="E220" i="33"/>
  <c r="F220" i="33"/>
  <c r="G220" i="33"/>
  <c r="H220" i="33"/>
  <c r="I220" i="33"/>
  <c r="J220" i="33"/>
  <c r="K220" i="33"/>
  <c r="L220" i="33"/>
  <c r="C221" i="33"/>
  <c r="D221" i="33"/>
  <c r="E221" i="33"/>
  <c r="F221" i="33"/>
  <c r="G221" i="33"/>
  <c r="H221" i="33"/>
  <c r="I221" i="33"/>
  <c r="J221" i="33"/>
  <c r="K221" i="33"/>
  <c r="L221" i="33"/>
  <c r="C222" i="33"/>
  <c r="D222" i="33"/>
  <c r="E222" i="33"/>
  <c r="F222" i="33"/>
  <c r="G222" i="33"/>
  <c r="H222" i="33"/>
  <c r="I222" i="33"/>
  <c r="J222" i="33"/>
  <c r="K222" i="33"/>
  <c r="L222" i="33"/>
  <c r="C223" i="33"/>
  <c r="D223" i="33"/>
  <c r="E223" i="33"/>
  <c r="F223" i="33"/>
  <c r="G223" i="33"/>
  <c r="H223" i="33"/>
  <c r="I223" i="33"/>
  <c r="J223" i="33"/>
  <c r="K223" i="33"/>
  <c r="L223" i="33"/>
  <c r="C224" i="33"/>
  <c r="D224" i="33"/>
  <c r="E224" i="33"/>
  <c r="F224" i="33"/>
  <c r="G224" i="33"/>
  <c r="H224" i="33"/>
  <c r="I224" i="33"/>
  <c r="J224" i="33"/>
  <c r="K224" i="33"/>
  <c r="L224" i="33"/>
  <c r="C225" i="33"/>
  <c r="D225" i="33"/>
  <c r="E225" i="33"/>
  <c r="F225" i="33"/>
  <c r="G225" i="33"/>
  <c r="H225" i="33"/>
  <c r="I225" i="33"/>
  <c r="J225" i="33"/>
  <c r="K225" i="33"/>
  <c r="L225" i="33"/>
  <c r="C226" i="33"/>
  <c r="D226" i="33"/>
  <c r="E226" i="33"/>
  <c r="F226" i="33"/>
  <c r="G226" i="33"/>
  <c r="H226" i="33"/>
  <c r="I226" i="33"/>
  <c r="J226" i="33"/>
  <c r="K226" i="33"/>
  <c r="L226" i="33"/>
  <c r="C227" i="33"/>
  <c r="D227" i="33"/>
  <c r="E227" i="33"/>
  <c r="F227" i="33"/>
  <c r="G227" i="33"/>
  <c r="H227" i="33"/>
  <c r="I227" i="33"/>
  <c r="J227" i="33"/>
  <c r="K227" i="33"/>
  <c r="L227" i="33"/>
  <c r="C228" i="33"/>
  <c r="D228" i="33"/>
  <c r="E228" i="33"/>
  <c r="F228" i="33"/>
  <c r="G228" i="33"/>
  <c r="H228" i="33"/>
  <c r="I228" i="33"/>
  <c r="J228" i="33"/>
  <c r="K228" i="33"/>
  <c r="L228" i="33"/>
  <c r="C229" i="33"/>
  <c r="D229" i="33"/>
  <c r="E229" i="33"/>
  <c r="F229" i="33"/>
  <c r="G229" i="33"/>
  <c r="H229" i="33"/>
  <c r="I229" i="33"/>
  <c r="J229" i="33"/>
  <c r="K229" i="33"/>
  <c r="L229" i="33"/>
  <c r="D219" i="33"/>
  <c r="E219" i="33"/>
  <c r="F219" i="33"/>
  <c r="G219" i="33"/>
  <c r="H219" i="33"/>
  <c r="I219" i="33"/>
  <c r="J219" i="33"/>
  <c r="K219" i="33"/>
  <c r="L219" i="33"/>
  <c r="C219" i="33"/>
  <c r="D184" i="33" l="1"/>
  <c r="E184" i="33"/>
  <c r="F184" i="33"/>
  <c r="G184" i="33"/>
  <c r="H184" i="33"/>
  <c r="I184" i="33"/>
  <c r="J184" i="33"/>
  <c r="K184" i="33"/>
  <c r="L184" i="33"/>
  <c r="D185" i="33"/>
  <c r="E185" i="33"/>
  <c r="F185" i="33"/>
  <c r="G185" i="33"/>
  <c r="H185" i="33"/>
  <c r="I185" i="33"/>
  <c r="J185" i="33"/>
  <c r="K185" i="33"/>
  <c r="L185" i="33"/>
  <c r="D186" i="33"/>
  <c r="E186" i="33"/>
  <c r="F186" i="33"/>
  <c r="G186" i="33"/>
  <c r="H186" i="33"/>
  <c r="I186" i="33"/>
  <c r="J186" i="33"/>
  <c r="K186" i="33"/>
  <c r="L186" i="33"/>
  <c r="C185" i="33"/>
  <c r="C186" i="33"/>
  <c r="C184" i="33"/>
  <c r="C152" i="33"/>
  <c r="D152" i="33"/>
  <c r="E152" i="33"/>
  <c r="F152" i="33"/>
  <c r="G152" i="33"/>
  <c r="H152" i="33"/>
  <c r="I152" i="33"/>
  <c r="J152" i="33"/>
  <c r="K152" i="33"/>
  <c r="L152" i="33"/>
  <c r="C153" i="33"/>
  <c r="D153" i="33"/>
  <c r="E153" i="33"/>
  <c r="F153" i="33"/>
  <c r="G153" i="33"/>
  <c r="H153" i="33"/>
  <c r="I153" i="33"/>
  <c r="J153" i="33"/>
  <c r="K153" i="33"/>
  <c r="L153" i="33"/>
  <c r="D151" i="33"/>
  <c r="E151" i="33"/>
  <c r="F151" i="33"/>
  <c r="G151" i="33"/>
  <c r="H151" i="33"/>
  <c r="I151" i="33"/>
  <c r="J151" i="33"/>
  <c r="K151" i="33"/>
  <c r="L151" i="33"/>
  <c r="C151" i="33"/>
  <c r="E120" i="33"/>
  <c r="F120" i="33"/>
  <c r="G120" i="33"/>
  <c r="H120" i="33"/>
  <c r="I120" i="33"/>
  <c r="J120" i="33"/>
  <c r="K120" i="33"/>
  <c r="L120" i="33"/>
  <c r="E121" i="33"/>
  <c r="F121" i="33"/>
  <c r="G121" i="33"/>
  <c r="H121" i="33"/>
  <c r="I121" i="33"/>
  <c r="J121" i="33"/>
  <c r="K121" i="33"/>
  <c r="L121" i="33"/>
  <c r="E122" i="33"/>
  <c r="F122" i="33"/>
  <c r="G122" i="33"/>
  <c r="H122" i="33"/>
  <c r="I122" i="33"/>
  <c r="J122" i="33"/>
  <c r="K122" i="33"/>
  <c r="L122" i="33"/>
  <c r="D120" i="33"/>
  <c r="D121" i="33"/>
  <c r="D122" i="33"/>
  <c r="C122" i="33"/>
  <c r="C121" i="33"/>
  <c r="C120" i="33"/>
  <c r="D85" i="33"/>
  <c r="E85" i="33"/>
  <c r="F85" i="33"/>
  <c r="G85" i="33"/>
  <c r="H85" i="33"/>
  <c r="I85" i="33"/>
  <c r="J85" i="33"/>
  <c r="K85" i="33"/>
  <c r="L85" i="33"/>
  <c r="D86" i="33"/>
  <c r="E86" i="33"/>
  <c r="F86" i="33"/>
  <c r="G86" i="33"/>
  <c r="H86" i="33"/>
  <c r="I86" i="33"/>
  <c r="J86" i="33"/>
  <c r="K86" i="33"/>
  <c r="L86" i="33"/>
  <c r="D87" i="33"/>
  <c r="E87" i="33"/>
  <c r="F87" i="33"/>
  <c r="G87" i="33"/>
  <c r="H87" i="33"/>
  <c r="I87" i="33"/>
  <c r="J87" i="33"/>
  <c r="K87" i="33"/>
  <c r="L87" i="33"/>
  <c r="C86" i="33"/>
  <c r="C87" i="33"/>
  <c r="C85" i="33"/>
  <c r="G53" i="36"/>
  <c r="G52" i="36"/>
  <c r="G51" i="36"/>
  <c r="G50" i="36"/>
  <c r="I60" i="33" s="1"/>
  <c r="G49" i="36"/>
  <c r="G48" i="36"/>
  <c r="G47" i="36"/>
  <c r="G46" i="36"/>
  <c r="E60" i="33" s="1"/>
  <c r="G45" i="36"/>
  <c r="G44" i="36"/>
  <c r="E53" i="36"/>
  <c r="E52" i="36"/>
  <c r="E51" i="36"/>
  <c r="E50" i="36"/>
  <c r="I59" i="33" s="1"/>
  <c r="E49" i="36"/>
  <c r="E48" i="36"/>
  <c r="E47" i="36"/>
  <c r="E46" i="36"/>
  <c r="E59" i="33" s="1"/>
  <c r="E45" i="36"/>
  <c r="E44" i="36"/>
  <c r="C45" i="36"/>
  <c r="C46" i="36"/>
  <c r="C47" i="36"/>
  <c r="C48" i="36"/>
  <c r="H58" i="33" s="1"/>
  <c r="C49" i="36"/>
  <c r="C50" i="36"/>
  <c r="C51" i="36"/>
  <c r="J58" i="33" s="1"/>
  <c r="C52" i="36"/>
  <c r="C53" i="36"/>
  <c r="C44" i="36"/>
  <c r="C58" i="33" s="1"/>
  <c r="L60" i="33"/>
  <c r="L59" i="33"/>
  <c r="L58" i="33"/>
  <c r="K60" i="33"/>
  <c r="K59" i="33"/>
  <c r="K58" i="33"/>
  <c r="J60" i="33"/>
  <c r="J59" i="33"/>
  <c r="I58" i="33"/>
  <c r="H60" i="33"/>
  <c r="H59" i="33"/>
  <c r="G60" i="33"/>
  <c r="G59" i="33"/>
  <c r="G58" i="33"/>
  <c r="F60" i="33"/>
  <c r="F59" i="33"/>
  <c r="F58" i="33"/>
  <c r="E58" i="33"/>
  <c r="D60" i="33"/>
  <c r="D59" i="33"/>
  <c r="D58" i="33"/>
  <c r="C60" i="33"/>
  <c r="C59" i="33"/>
  <c r="I24" i="33"/>
  <c r="I23" i="33"/>
  <c r="F25" i="33"/>
  <c r="F24" i="33"/>
  <c r="F23" i="33"/>
  <c r="E43" i="40"/>
  <c r="D43" i="40"/>
  <c r="C43" i="40"/>
  <c r="D25" i="33"/>
  <c r="D24" i="33"/>
  <c r="D23" i="33"/>
  <c r="C25" i="33"/>
  <c r="C24" i="33"/>
  <c r="C23" i="33"/>
  <c r="F56" i="36"/>
  <c r="M60" i="33" l="1"/>
  <c r="M59" i="33"/>
  <c r="M58" i="33"/>
  <c r="D56" i="36"/>
  <c r="B56" i="36" l="1"/>
  <c r="A58" i="35" l="1"/>
  <c r="A41" i="35"/>
  <c r="E43" i="35"/>
  <c r="E42" i="35"/>
  <c r="E9" i="35"/>
  <c r="N52" i="40"/>
  <c r="N56" i="40" s="1"/>
  <c r="C43" i="35" s="1"/>
  <c r="C44" i="35" s="1"/>
  <c r="F62" i="35" s="1"/>
  <c r="F52" i="35" s="1"/>
  <c r="M52" i="40"/>
  <c r="M56" i="40" s="1"/>
  <c r="L52" i="40"/>
  <c r="L56" i="40" s="1"/>
  <c r="K52" i="40"/>
  <c r="K56" i="40" s="1"/>
  <c r="J52" i="40"/>
  <c r="J56" i="40" s="1"/>
  <c r="I52" i="40"/>
  <c r="I56" i="40" s="1"/>
  <c r="H52" i="40"/>
  <c r="H56" i="40" s="1"/>
  <c r="G52" i="40"/>
  <c r="G56" i="40" s="1"/>
  <c r="F52" i="40"/>
  <c r="F56" i="40" s="1"/>
  <c r="E52" i="40"/>
  <c r="E56" i="40" s="1"/>
  <c r="D52" i="40"/>
  <c r="D56" i="40" s="1"/>
  <c r="C52" i="40"/>
  <c r="C56" i="40" s="1"/>
  <c r="N41" i="40"/>
  <c r="M41" i="40"/>
  <c r="L41" i="40"/>
  <c r="L45" i="40" s="1"/>
  <c r="L47" i="40" s="1"/>
  <c r="L49" i="40" s="1"/>
  <c r="K41" i="40"/>
  <c r="J41" i="40"/>
  <c r="I41" i="40"/>
  <c r="H41" i="40"/>
  <c r="H45" i="40" s="1"/>
  <c r="H47" i="40" s="1"/>
  <c r="H49" i="40" s="1"/>
  <c r="G41" i="40"/>
  <c r="F41" i="40"/>
  <c r="E41" i="40"/>
  <c r="D41" i="40"/>
  <c r="D45" i="40" s="1"/>
  <c r="D47" i="40" s="1"/>
  <c r="D49" i="40" s="1"/>
  <c r="C41" i="40"/>
  <c r="K32" i="37"/>
  <c r="J32" i="37"/>
  <c r="I32" i="37"/>
  <c r="H32" i="37"/>
  <c r="G32" i="37"/>
  <c r="F32" i="37"/>
  <c r="E32" i="37"/>
  <c r="D32" i="37"/>
  <c r="C32" i="37"/>
  <c r="B32" i="37"/>
  <c r="D58" i="36"/>
  <c r="V54" i="36"/>
  <c r="T54" i="36"/>
  <c r="R54" i="36"/>
  <c r="P54" i="36"/>
  <c r="N54" i="36"/>
  <c r="L54" i="36"/>
  <c r="J54" i="36"/>
  <c r="J58" i="36" s="1"/>
  <c r="C27" i="33" s="1"/>
  <c r="E27" i="33" s="1"/>
  <c r="G27" i="33" s="1"/>
  <c r="H27" i="33" s="1"/>
  <c r="J27" i="33" s="1"/>
  <c r="H54" i="36"/>
  <c r="F54" i="36"/>
  <c r="D54" i="36"/>
  <c r="B54" i="36"/>
  <c r="B58" i="36" s="1"/>
  <c r="Z53" i="36"/>
  <c r="Z52" i="36"/>
  <c r="AA52" i="36" s="1"/>
  <c r="Z51" i="36"/>
  <c r="AA51" i="36" s="1"/>
  <c r="Z50" i="36"/>
  <c r="AA50" i="36" s="1"/>
  <c r="Z49" i="36"/>
  <c r="AA49" i="36" s="1"/>
  <c r="Z48" i="36"/>
  <c r="AA48" i="36" s="1"/>
  <c r="Z47" i="36"/>
  <c r="AA47" i="36" s="1"/>
  <c r="Z46" i="36"/>
  <c r="AA46" i="36" s="1"/>
  <c r="X54" i="36"/>
  <c r="Z44" i="36"/>
  <c r="AA44" i="36" s="1"/>
  <c r="M219" i="33"/>
  <c r="E25" i="33"/>
  <c r="G25" i="33" s="1"/>
  <c r="H25" i="33" s="1"/>
  <c r="J25" i="33" s="1"/>
  <c r="E24" i="33"/>
  <c r="G24" i="33" s="1"/>
  <c r="H24" i="33" s="1"/>
  <c r="J24" i="33" s="1"/>
  <c r="I35" i="33"/>
  <c r="D35" i="33"/>
  <c r="E23" i="33"/>
  <c r="D48" i="46"/>
  <c r="D29" i="46"/>
  <c r="D42" i="46"/>
  <c r="D40" i="46"/>
  <c r="D44" i="46" s="1"/>
  <c r="D33" i="46"/>
  <c r="D25" i="46"/>
  <c r="D27" i="46" s="1"/>
  <c r="D12" i="46"/>
  <c r="D15" i="46" s="1"/>
  <c r="Y53" i="36" l="1"/>
  <c r="L69" i="33" s="1"/>
  <c r="L131" i="33" s="1"/>
  <c r="Y49" i="36"/>
  <c r="G69" i="33" s="1"/>
  <c r="G131" i="33" s="1"/>
  <c r="Y45" i="36"/>
  <c r="D69" i="33" s="1"/>
  <c r="D131" i="33" s="1"/>
  <c r="Y47" i="36"/>
  <c r="F69" i="33" s="1"/>
  <c r="F131" i="33" s="1"/>
  <c r="Y50" i="36"/>
  <c r="I69" i="33" s="1"/>
  <c r="I131" i="33" s="1"/>
  <c r="Y52" i="36"/>
  <c r="K69" i="33" s="1"/>
  <c r="K131" i="33" s="1"/>
  <c r="Y48" i="36"/>
  <c r="H69" i="33" s="1"/>
  <c r="H131" i="33" s="1"/>
  <c r="Y44" i="36"/>
  <c r="Y51" i="36"/>
  <c r="J69" i="33" s="1"/>
  <c r="J131" i="33" s="1"/>
  <c r="Y46" i="36"/>
  <c r="E69" i="33" s="1"/>
  <c r="E131" i="33" s="1"/>
  <c r="V58" i="36"/>
  <c r="W51" i="36"/>
  <c r="W47" i="36"/>
  <c r="W46" i="36"/>
  <c r="W49" i="36"/>
  <c r="W45" i="36"/>
  <c r="W48" i="36"/>
  <c r="W44" i="36"/>
  <c r="W50" i="36"/>
  <c r="W53" i="36"/>
  <c r="W52" i="36"/>
  <c r="T58" i="36"/>
  <c r="C32" i="33" s="1"/>
  <c r="E32" i="33" s="1"/>
  <c r="G32" i="33" s="1"/>
  <c r="H32" i="33" s="1"/>
  <c r="J32" i="33" s="1"/>
  <c r="U53" i="36"/>
  <c r="U49" i="36"/>
  <c r="U45" i="36"/>
  <c r="U52" i="36"/>
  <c r="U48" i="36"/>
  <c r="U44" i="36"/>
  <c r="U51" i="36"/>
  <c r="U47" i="36"/>
  <c r="U50" i="36"/>
  <c r="U46" i="36"/>
  <c r="S51" i="36"/>
  <c r="S47" i="36"/>
  <c r="S53" i="36"/>
  <c r="S52" i="36"/>
  <c r="S50" i="36"/>
  <c r="S46" i="36"/>
  <c r="S49" i="36"/>
  <c r="S45" i="36"/>
  <c r="S48" i="36"/>
  <c r="S54" i="36" s="1"/>
  <c r="S44" i="36"/>
  <c r="R58" i="36"/>
  <c r="C31" i="33" s="1"/>
  <c r="E31" i="33" s="1"/>
  <c r="G31" i="33" s="1"/>
  <c r="H31" i="33" s="1"/>
  <c r="J31" i="33" s="1"/>
  <c r="P58" i="36"/>
  <c r="C30" i="33" s="1"/>
  <c r="E30" i="33" s="1"/>
  <c r="G30" i="33" s="1"/>
  <c r="H30" i="33" s="1"/>
  <c r="J30" i="33" s="1"/>
  <c r="Q53" i="36"/>
  <c r="Q49" i="36"/>
  <c r="Q45" i="36"/>
  <c r="Q50" i="36"/>
  <c r="Q52" i="36"/>
  <c r="Q48" i="36"/>
  <c r="Q44" i="36"/>
  <c r="Q51" i="36"/>
  <c r="Q47" i="36"/>
  <c r="Q46" i="36"/>
  <c r="N58" i="36"/>
  <c r="C29" i="33" s="1"/>
  <c r="E29" i="33" s="1"/>
  <c r="G29" i="33" s="1"/>
  <c r="H29" i="33" s="1"/>
  <c r="J29" i="33" s="1"/>
  <c r="O52" i="36"/>
  <c r="O48" i="36"/>
  <c r="O44" i="36"/>
  <c r="O49" i="36"/>
  <c r="O51" i="36"/>
  <c r="O47" i="36"/>
  <c r="O53" i="36"/>
  <c r="O50" i="36"/>
  <c r="O46" i="36"/>
  <c r="O45" i="36"/>
  <c r="M50" i="36"/>
  <c r="M46" i="36"/>
  <c r="M48" i="36"/>
  <c r="M44" i="36"/>
  <c r="M51" i="36"/>
  <c r="M53" i="36"/>
  <c r="M49" i="36"/>
  <c r="M45" i="36"/>
  <c r="M52" i="36"/>
  <c r="M47" i="36"/>
  <c r="L58" i="36"/>
  <c r="C28" i="33" s="1"/>
  <c r="E28" i="33" s="1"/>
  <c r="G28" i="33" s="1"/>
  <c r="H28" i="33" s="1"/>
  <c r="J28" i="33" s="1"/>
  <c r="K52" i="36"/>
  <c r="K48" i="36"/>
  <c r="K44" i="36"/>
  <c r="K49" i="36"/>
  <c r="K51" i="36"/>
  <c r="K47" i="36"/>
  <c r="K45" i="36"/>
  <c r="K50" i="36"/>
  <c r="K46" i="36"/>
  <c r="K53" i="36"/>
  <c r="I50" i="36"/>
  <c r="I46" i="36"/>
  <c r="I52" i="36"/>
  <c r="I44" i="36"/>
  <c r="I51" i="36"/>
  <c r="I53" i="36"/>
  <c r="I49" i="36"/>
  <c r="I45" i="36"/>
  <c r="I48" i="36"/>
  <c r="I47" i="36"/>
  <c r="H58" i="36"/>
  <c r="C26" i="33" s="1"/>
  <c r="E26" i="33" s="1"/>
  <c r="G26" i="33" s="1"/>
  <c r="H26" i="33" s="1"/>
  <c r="J26" i="33" s="1"/>
  <c r="F9" i="35"/>
  <c r="C11" i="35"/>
  <c r="F31" i="35" s="1"/>
  <c r="F21" i="35" s="1"/>
  <c r="F43" i="35"/>
  <c r="F42" i="35"/>
  <c r="P52" i="40"/>
  <c r="P56" i="40"/>
  <c r="E45" i="40"/>
  <c r="E47" i="40" s="1"/>
  <c r="E49" i="40" s="1"/>
  <c r="I45" i="40"/>
  <c r="I47" i="40" s="1"/>
  <c r="I49" i="40" s="1"/>
  <c r="M45" i="40"/>
  <c r="M47" i="40" s="1"/>
  <c r="M49" i="40" s="1"/>
  <c r="P43" i="40"/>
  <c r="F45" i="40"/>
  <c r="F47" i="40" s="1"/>
  <c r="F49" i="40" s="1"/>
  <c r="J45" i="40"/>
  <c r="J47" i="40" s="1"/>
  <c r="J49" i="40" s="1"/>
  <c r="N45" i="40"/>
  <c r="N47" i="40" s="1"/>
  <c r="N49" i="40" s="1"/>
  <c r="F34" i="33" s="1"/>
  <c r="C45" i="40"/>
  <c r="C47" i="40" s="1"/>
  <c r="C49" i="40" s="1"/>
  <c r="G45" i="40"/>
  <c r="G47" i="40" s="1"/>
  <c r="G49" i="40" s="1"/>
  <c r="K45" i="40"/>
  <c r="K47" i="40" s="1"/>
  <c r="K49" i="40" s="1"/>
  <c r="W54" i="36"/>
  <c r="Z45" i="36"/>
  <c r="AA45" i="36" s="1"/>
  <c r="K54" i="36"/>
  <c r="G54" i="36"/>
  <c r="F58" i="36"/>
  <c r="E54" i="36"/>
  <c r="C54" i="36"/>
  <c r="X58" i="36"/>
  <c r="C34" i="33" s="1"/>
  <c r="E34" i="33" s="1"/>
  <c r="AA53" i="36"/>
  <c r="Z56" i="36"/>
  <c r="M250" i="33"/>
  <c r="M249" i="33"/>
  <c r="M220" i="33"/>
  <c r="M151" i="33"/>
  <c r="G23" i="33"/>
  <c r="D16" i="46"/>
  <c r="D35" i="46"/>
  <c r="N12" i="40"/>
  <c r="F8" i="42" l="1"/>
  <c r="F6" i="48"/>
  <c r="H6" i="48" s="1"/>
  <c r="G34" i="33"/>
  <c r="H34" i="33" s="1"/>
  <c r="J34" i="33" s="1"/>
  <c r="Y54" i="36"/>
  <c r="C69" i="33"/>
  <c r="F162" i="33"/>
  <c r="F230" i="33" s="1"/>
  <c r="H162" i="33"/>
  <c r="H230" i="33" s="1"/>
  <c r="D162" i="33"/>
  <c r="D230" i="33" s="1"/>
  <c r="E162" i="33"/>
  <c r="E230" i="33" s="1"/>
  <c r="K162" i="33"/>
  <c r="K230" i="33" s="1"/>
  <c r="G162" i="33"/>
  <c r="G230" i="33" s="1"/>
  <c r="J162" i="33"/>
  <c r="J230" i="33" s="1"/>
  <c r="I162" i="33"/>
  <c r="I230" i="33" s="1"/>
  <c r="L162" i="33"/>
  <c r="L230" i="33" s="1"/>
  <c r="U54" i="36"/>
  <c r="Q54" i="36"/>
  <c r="O54" i="36"/>
  <c r="M54" i="36"/>
  <c r="C35" i="33"/>
  <c r="E35" i="33"/>
  <c r="I54" i="36"/>
  <c r="F44" i="35"/>
  <c r="Z54" i="36"/>
  <c r="Z58" i="36" s="1"/>
  <c r="AA54" i="36"/>
  <c r="M120" i="33"/>
  <c r="M121" i="33"/>
  <c r="M122" i="33"/>
  <c r="H23" i="33"/>
  <c r="D17" i="46"/>
  <c r="X37" i="36"/>
  <c r="G35" i="33" l="1"/>
  <c r="F35" i="33" s="1"/>
  <c r="D195" i="33"/>
  <c r="D260" i="33" s="1"/>
  <c r="L195" i="33"/>
  <c r="L260" i="33" s="1"/>
  <c r="I195" i="33"/>
  <c r="I260" i="33" s="1"/>
  <c r="E195" i="33"/>
  <c r="E260" i="33" s="1"/>
  <c r="H195" i="33"/>
  <c r="H260" i="33" s="1"/>
  <c r="J195" i="33"/>
  <c r="J260" i="33" s="1"/>
  <c r="K195" i="33"/>
  <c r="K260" i="33" s="1"/>
  <c r="F195" i="33"/>
  <c r="F260" i="33" s="1"/>
  <c r="M69" i="33"/>
  <c r="C131" i="33"/>
  <c r="G195" i="33"/>
  <c r="G260" i="33" s="1"/>
  <c r="M152" i="33"/>
  <c r="N152" i="33" s="1"/>
  <c r="M153" i="33"/>
  <c r="H231" i="33"/>
  <c r="M161" i="33"/>
  <c r="M155" i="33"/>
  <c r="M224" i="33"/>
  <c r="M157" i="33"/>
  <c r="G231" i="33"/>
  <c r="M222" i="33"/>
  <c r="N222" i="33" s="1"/>
  <c r="L231" i="33"/>
  <c r="E231" i="33"/>
  <c r="M229" i="33"/>
  <c r="M225" i="33"/>
  <c r="M158" i="33"/>
  <c r="M160" i="33"/>
  <c r="D231" i="33"/>
  <c r="M154" i="33"/>
  <c r="M159" i="33"/>
  <c r="F231" i="33"/>
  <c r="M227" i="33"/>
  <c r="I231" i="33"/>
  <c r="M228" i="33"/>
  <c r="K231" i="33"/>
  <c r="M226" i="33"/>
  <c r="J231" i="33"/>
  <c r="M221" i="33"/>
  <c r="M223" i="33"/>
  <c r="M156" i="33"/>
  <c r="J23" i="33"/>
  <c r="H35" i="33"/>
  <c r="F10" i="42" s="1"/>
  <c r="F9" i="48" s="1"/>
  <c r="D31" i="46"/>
  <c r="C109" i="35"/>
  <c r="C108" i="35"/>
  <c r="N29" i="40"/>
  <c r="N30" i="40"/>
  <c r="N31" i="40"/>
  <c r="N32" i="40"/>
  <c r="N28" i="40"/>
  <c r="C16" i="37"/>
  <c r="G16" i="37"/>
  <c r="K16" i="37"/>
  <c r="X26" i="36"/>
  <c r="X34" i="36"/>
  <c r="F36" i="48" l="1"/>
  <c r="H36" i="48" s="1"/>
  <c r="F38" i="48"/>
  <c r="H38" i="48" s="1"/>
  <c r="H9" i="48"/>
  <c r="C162" i="33"/>
  <c r="C230" i="33" s="1"/>
  <c r="M131" i="33"/>
  <c r="N223" i="33"/>
  <c r="N224" i="33" s="1"/>
  <c r="N225" i="33" s="1"/>
  <c r="N226" i="33" s="1"/>
  <c r="N227" i="33" s="1"/>
  <c r="N228" i="33" s="1"/>
  <c r="N229" i="33" s="1"/>
  <c r="N153" i="33"/>
  <c r="N154" i="33" s="1"/>
  <c r="N155" i="33" s="1"/>
  <c r="N156" i="33" s="1"/>
  <c r="N157" i="33" s="1"/>
  <c r="N158" i="33" s="1"/>
  <c r="N159" i="33" s="1"/>
  <c r="N160" i="33" s="1"/>
  <c r="N161" i="33" s="1"/>
  <c r="H261" i="33"/>
  <c r="M253" i="33"/>
  <c r="M186" i="33"/>
  <c r="E261" i="33"/>
  <c r="M190" i="33"/>
  <c r="M257" i="33"/>
  <c r="M252" i="33"/>
  <c r="N252" i="33" s="1"/>
  <c r="G261" i="33"/>
  <c r="M188" i="33"/>
  <c r="M255" i="33"/>
  <c r="L261" i="33"/>
  <c r="M185" i="33"/>
  <c r="M193" i="33"/>
  <c r="M184" i="33"/>
  <c r="J261" i="33"/>
  <c r="M192" i="33"/>
  <c r="M259" i="33"/>
  <c r="M187" i="33"/>
  <c r="M254" i="33"/>
  <c r="M191" i="33"/>
  <c r="M258" i="33"/>
  <c r="M189" i="33"/>
  <c r="F261" i="33"/>
  <c r="J35" i="33"/>
  <c r="L56" i="33"/>
  <c r="K56" i="33"/>
  <c r="J56" i="33"/>
  <c r="I56" i="33"/>
  <c r="H56" i="33"/>
  <c r="G56" i="33"/>
  <c r="F56" i="33"/>
  <c r="E56" i="33"/>
  <c r="D56" i="33"/>
  <c r="C56" i="33"/>
  <c r="F19" i="33"/>
  <c r="V37" i="36"/>
  <c r="C231" i="33" l="1"/>
  <c r="M230" i="33"/>
  <c r="M231" i="33" s="1"/>
  <c r="F46" i="35" s="1"/>
  <c r="F58" i="35" s="1"/>
  <c r="C195" i="33"/>
  <c r="C260" i="33" s="1"/>
  <c r="N253" i="33"/>
  <c r="N254" i="33" s="1"/>
  <c r="N255" i="33" s="1"/>
  <c r="M256" i="33"/>
  <c r="N185" i="33"/>
  <c r="N186" i="33" s="1"/>
  <c r="N187" i="33" s="1"/>
  <c r="N188" i="33" s="1"/>
  <c r="N189" i="33" s="1"/>
  <c r="N190" i="33" s="1"/>
  <c r="N191" i="33" s="1"/>
  <c r="N192" i="33" s="1"/>
  <c r="N193" i="33" s="1"/>
  <c r="I261" i="33"/>
  <c r="K261" i="33"/>
  <c r="D261" i="33"/>
  <c r="M251" i="33"/>
  <c r="J163" i="33"/>
  <c r="I163" i="33"/>
  <c r="D163" i="33"/>
  <c r="K163" i="33"/>
  <c r="L163" i="33"/>
  <c r="C163" i="33"/>
  <c r="E163" i="33"/>
  <c r="H163" i="33"/>
  <c r="F163" i="33"/>
  <c r="G163" i="33"/>
  <c r="M56" i="33"/>
  <c r="M12" i="40"/>
  <c r="F48" i="35" l="1"/>
  <c r="F50" i="35" s="1"/>
  <c r="G54" i="35" s="1"/>
  <c r="M260" i="33"/>
  <c r="M261" i="33" s="1"/>
  <c r="C261" i="33"/>
  <c r="N230" i="33"/>
  <c r="F59" i="35"/>
  <c r="F60" i="35" s="1"/>
  <c r="G63" i="35"/>
  <c r="G65" i="35" s="1"/>
  <c r="N256" i="33"/>
  <c r="N257" i="33" s="1"/>
  <c r="N258" i="33" s="1"/>
  <c r="N259" i="33" s="1"/>
  <c r="M162" i="33"/>
  <c r="N162" i="33" s="1"/>
  <c r="L55" i="33"/>
  <c r="K55" i="33"/>
  <c r="J55" i="33"/>
  <c r="I55" i="33"/>
  <c r="H55" i="33"/>
  <c r="G55" i="33"/>
  <c r="F55" i="33"/>
  <c r="E55" i="33"/>
  <c r="D55" i="33"/>
  <c r="C55" i="33"/>
  <c r="F18" i="33"/>
  <c r="L12" i="40"/>
  <c r="T37" i="36"/>
  <c r="N260" i="33" l="1"/>
  <c r="F12" i="42"/>
  <c r="F13" i="35"/>
  <c r="M163" i="33"/>
  <c r="M194" i="33"/>
  <c r="M55" i="33"/>
  <c r="L54" i="33"/>
  <c r="K54" i="33"/>
  <c r="J54" i="33"/>
  <c r="I54" i="33"/>
  <c r="H54" i="33"/>
  <c r="G54" i="33"/>
  <c r="F54" i="33"/>
  <c r="E54" i="33"/>
  <c r="D54" i="33"/>
  <c r="C54" i="33"/>
  <c r="F17" i="33"/>
  <c r="F16" i="33"/>
  <c r="K12" i="40"/>
  <c r="C110" i="35"/>
  <c r="F128" i="35" s="1"/>
  <c r="C77" i="35"/>
  <c r="F97" i="35" s="1"/>
  <c r="N194" i="33" l="1"/>
  <c r="M54" i="33"/>
  <c r="F118" i="35"/>
  <c r="F87" i="35"/>
  <c r="R37" i="36"/>
  <c r="L53" i="33" l="1"/>
  <c r="K53" i="33"/>
  <c r="J53" i="33"/>
  <c r="I53" i="33"/>
  <c r="H53" i="33"/>
  <c r="G53" i="33"/>
  <c r="F53" i="33"/>
  <c r="E53" i="33"/>
  <c r="D53" i="33"/>
  <c r="C53" i="33"/>
  <c r="M53" i="33" l="1"/>
  <c r="J12" i="40"/>
  <c r="P37" i="36"/>
  <c r="D10" i="42" l="1"/>
  <c r="C10" i="42"/>
  <c r="C8" i="42"/>
  <c r="D8" i="42" s="1"/>
  <c r="G8" i="42" l="1"/>
  <c r="C21" i="40" l="1"/>
  <c r="D21" i="40"/>
  <c r="E21" i="40"/>
  <c r="F21" i="40"/>
  <c r="G21" i="40"/>
  <c r="H21" i="40"/>
  <c r="I21" i="40"/>
  <c r="J21" i="40"/>
  <c r="K21" i="40"/>
  <c r="L21" i="40"/>
  <c r="M21" i="40"/>
  <c r="N21" i="40"/>
  <c r="I12" i="40" l="1"/>
  <c r="H12" i="40"/>
  <c r="G12" i="40"/>
  <c r="F12" i="40"/>
  <c r="E12" i="40"/>
  <c r="D12" i="40"/>
  <c r="C12" i="40"/>
  <c r="N37" i="36"/>
  <c r="L37" i="36" l="1"/>
  <c r="J37" i="36" l="1"/>
  <c r="H37" i="36" l="1"/>
  <c r="F37" i="36" l="1"/>
  <c r="D37" i="36" l="1"/>
  <c r="B37" i="36" l="1"/>
  <c r="B46" i="45" l="1"/>
  <c r="D45" i="45"/>
  <c r="D44" i="45"/>
  <c r="D43" i="45"/>
  <c r="D42" i="45"/>
  <c r="D26" i="45"/>
  <c r="D46" i="45" l="1"/>
  <c r="D19" i="45" s="1"/>
  <c r="D28" i="45" s="1"/>
  <c r="D30" i="45" s="1"/>
  <c r="D32" i="45" s="1"/>
  <c r="D16" i="45" l="1"/>
  <c r="F243" i="35" l="1"/>
  <c r="F214" i="35"/>
  <c r="E175" i="35" l="1"/>
  <c r="E142" i="35" l="1"/>
  <c r="D17" i="33" l="1"/>
  <c r="D16" i="33"/>
  <c r="D15" i="33" l="1"/>
  <c r="D14" i="33" l="1"/>
  <c r="H25" i="40" l="1"/>
  <c r="I25" i="40"/>
  <c r="J25" i="40"/>
  <c r="K25" i="40"/>
  <c r="L25" i="40"/>
  <c r="M25" i="40"/>
  <c r="N25" i="40"/>
  <c r="D25" i="40"/>
  <c r="E25" i="40"/>
  <c r="F25" i="40"/>
  <c r="G25" i="40"/>
  <c r="D13" i="33" l="1"/>
  <c r="D12" i="33" l="1"/>
  <c r="C74" i="33" l="1"/>
  <c r="D74" i="33"/>
  <c r="E74" i="33"/>
  <c r="F74" i="33"/>
  <c r="G74" i="33"/>
  <c r="H74" i="33"/>
  <c r="I74" i="33"/>
  <c r="J74" i="33"/>
  <c r="K74" i="33"/>
  <c r="L74" i="33"/>
  <c r="C75" i="33"/>
  <c r="D75" i="33"/>
  <c r="E75" i="33"/>
  <c r="F75" i="33"/>
  <c r="G75" i="33"/>
  <c r="H75" i="33"/>
  <c r="I75" i="33"/>
  <c r="J75" i="33"/>
  <c r="K75" i="33"/>
  <c r="L75" i="33"/>
  <c r="C76" i="33"/>
  <c r="D76" i="33"/>
  <c r="E76" i="33"/>
  <c r="F76" i="33"/>
  <c r="G76" i="33"/>
  <c r="H76" i="33"/>
  <c r="I76" i="33"/>
  <c r="J76" i="33"/>
  <c r="K76" i="33"/>
  <c r="L76" i="33"/>
  <c r="C77" i="33"/>
  <c r="D77" i="33"/>
  <c r="E77" i="33"/>
  <c r="F77" i="33"/>
  <c r="G77" i="33"/>
  <c r="H77" i="33"/>
  <c r="I77" i="33"/>
  <c r="J77" i="33"/>
  <c r="K77" i="33"/>
  <c r="L77" i="33"/>
  <c r="C78" i="33"/>
  <c r="D78" i="33"/>
  <c r="E78" i="33"/>
  <c r="F78" i="33"/>
  <c r="G78" i="33"/>
  <c r="H78" i="33"/>
  <c r="I78" i="33"/>
  <c r="J78" i="33"/>
  <c r="K78" i="33"/>
  <c r="L78" i="33"/>
  <c r="C79" i="33"/>
  <c r="D79" i="33"/>
  <c r="E79" i="33"/>
  <c r="F79" i="33"/>
  <c r="G79" i="33"/>
  <c r="H79" i="33"/>
  <c r="I79" i="33"/>
  <c r="J79" i="33"/>
  <c r="K79" i="33"/>
  <c r="L79" i="33"/>
  <c r="C80" i="33"/>
  <c r="D80" i="33"/>
  <c r="E80" i="33"/>
  <c r="F80" i="33"/>
  <c r="G80" i="33"/>
  <c r="H80" i="33"/>
  <c r="I80" i="33"/>
  <c r="J80" i="33"/>
  <c r="K80" i="33"/>
  <c r="L80" i="33"/>
  <c r="C81" i="33"/>
  <c r="D81" i="33"/>
  <c r="E81" i="33"/>
  <c r="F81" i="33"/>
  <c r="G81" i="33"/>
  <c r="H81" i="33"/>
  <c r="I81" i="33"/>
  <c r="J81" i="33"/>
  <c r="K81" i="33"/>
  <c r="L81" i="33"/>
  <c r="C82" i="33"/>
  <c r="D82" i="33"/>
  <c r="E82" i="33"/>
  <c r="F82" i="33"/>
  <c r="G82" i="33"/>
  <c r="H82" i="33"/>
  <c r="I82" i="33"/>
  <c r="J82" i="33"/>
  <c r="K82" i="33"/>
  <c r="L82" i="33"/>
  <c r="C83" i="33"/>
  <c r="D83" i="33"/>
  <c r="E83" i="33"/>
  <c r="F83" i="33"/>
  <c r="G83" i="33"/>
  <c r="H83" i="33"/>
  <c r="I83" i="33"/>
  <c r="J83" i="33"/>
  <c r="K83" i="33"/>
  <c r="L83" i="33"/>
  <c r="C84" i="33"/>
  <c r="D84" i="33"/>
  <c r="E84" i="33"/>
  <c r="F84" i="33"/>
  <c r="G84" i="33"/>
  <c r="H84" i="33"/>
  <c r="I84" i="33"/>
  <c r="J84" i="33"/>
  <c r="K84" i="33"/>
  <c r="L84" i="33"/>
  <c r="I20" i="33"/>
  <c r="I19" i="33"/>
  <c r="I18" i="33"/>
  <c r="I17" i="33"/>
  <c r="I16" i="33"/>
  <c r="I15" i="33"/>
  <c r="I14" i="33"/>
  <c r="I13" i="33"/>
  <c r="I12" i="33"/>
  <c r="D20" i="33"/>
  <c r="D19" i="33"/>
  <c r="D18" i="33"/>
  <c r="P12" i="40" l="1"/>
  <c r="G10" i="40" l="1"/>
  <c r="G14" i="40" s="1"/>
  <c r="G16" i="40" s="1"/>
  <c r="G18" i="40" s="1"/>
  <c r="F13" i="33" s="1"/>
  <c r="H10" i="40"/>
  <c r="H14" i="40" s="1"/>
  <c r="H16" i="40" s="1"/>
  <c r="H18" i="40" s="1"/>
  <c r="F14" i="33" s="1"/>
  <c r="I10" i="40"/>
  <c r="I14" i="40" s="1"/>
  <c r="I16" i="40" s="1"/>
  <c r="I18" i="40" s="1"/>
  <c r="F15" i="33" s="1"/>
  <c r="J10" i="40"/>
  <c r="J14" i="40" s="1"/>
  <c r="J16" i="40" s="1"/>
  <c r="J18" i="40" s="1"/>
  <c r="K10" i="40"/>
  <c r="K14" i="40" s="1"/>
  <c r="K16" i="40" s="1"/>
  <c r="K18" i="40" s="1"/>
  <c r="L10" i="40"/>
  <c r="L14" i="40" s="1"/>
  <c r="L16" i="40" s="1"/>
  <c r="L18" i="40" s="1"/>
  <c r="M10" i="40"/>
  <c r="M14" i="40" s="1"/>
  <c r="M16" i="40" s="1"/>
  <c r="M18" i="40" s="1"/>
  <c r="N10" i="40"/>
  <c r="N14" i="40" s="1"/>
  <c r="N16" i="40" s="1"/>
  <c r="N18" i="40" s="1"/>
  <c r="F20" i="33" s="1"/>
  <c r="Z37" i="36"/>
  <c r="X35" i="36"/>
  <c r="Y33" i="36" s="1"/>
  <c r="K57" i="33" s="1"/>
  <c r="V35" i="36"/>
  <c r="W34" i="36" s="1"/>
  <c r="T35" i="36"/>
  <c r="U33" i="36" s="1"/>
  <c r="R35" i="36"/>
  <c r="S34" i="36" s="1"/>
  <c r="P35" i="36"/>
  <c r="P39" i="36" s="1"/>
  <c r="C16" i="33" s="1"/>
  <c r="E16" i="33" s="1"/>
  <c r="N35" i="36"/>
  <c r="O34" i="36" s="1"/>
  <c r="L52" i="33" s="1"/>
  <c r="Z26" i="36"/>
  <c r="Z27" i="36"/>
  <c r="Z28" i="36"/>
  <c r="Z29" i="36"/>
  <c r="Z30" i="36"/>
  <c r="Z31" i="36"/>
  <c r="Z32" i="36"/>
  <c r="Z33" i="36"/>
  <c r="Z34" i="36"/>
  <c r="Z25" i="36"/>
  <c r="F142" i="35"/>
  <c r="Y34" i="36" l="1"/>
  <c r="L57" i="33" s="1"/>
  <c r="X39" i="36"/>
  <c r="C20" i="33" s="1"/>
  <c r="E20" i="33" s="1"/>
  <c r="G20" i="33" s="1"/>
  <c r="H20" i="33" s="1"/>
  <c r="J20" i="33" s="1"/>
  <c r="Y26" i="36"/>
  <c r="D57" i="33" s="1"/>
  <c r="Y27" i="36"/>
  <c r="E57" i="33" s="1"/>
  <c r="Y30" i="36"/>
  <c r="G57" i="33" s="1"/>
  <c r="Y31" i="36"/>
  <c r="I57" i="33" s="1"/>
  <c r="Y28" i="36"/>
  <c r="F57" i="33" s="1"/>
  <c r="Y32" i="36"/>
  <c r="J57" i="33" s="1"/>
  <c r="Y25" i="36"/>
  <c r="C57" i="33" s="1"/>
  <c r="Y29" i="36"/>
  <c r="H57" i="33" s="1"/>
  <c r="V39" i="36"/>
  <c r="C19" i="33" s="1"/>
  <c r="E19" i="33" s="1"/>
  <c r="G19" i="33" s="1"/>
  <c r="H19" i="33" s="1"/>
  <c r="W27" i="36"/>
  <c r="W31" i="36"/>
  <c r="U27" i="36"/>
  <c r="U30" i="36"/>
  <c r="U31" i="36"/>
  <c r="U26" i="36"/>
  <c r="U34" i="36"/>
  <c r="T39" i="36"/>
  <c r="C18" i="33" s="1"/>
  <c r="E18" i="33" s="1"/>
  <c r="G18" i="33" s="1"/>
  <c r="H18" i="33" s="1"/>
  <c r="U28" i="36"/>
  <c r="U32" i="36"/>
  <c r="U25" i="36"/>
  <c r="U29" i="36"/>
  <c r="S27" i="36"/>
  <c r="R39" i="36"/>
  <c r="C17" i="33" s="1"/>
  <c r="E17" i="33" s="1"/>
  <c r="G17" i="33" s="1"/>
  <c r="H17" i="33" s="1"/>
  <c r="S31" i="36"/>
  <c r="G16" i="33"/>
  <c r="H16" i="33" s="1"/>
  <c r="J16" i="33" s="1"/>
  <c r="Q34" i="36"/>
  <c r="Q25" i="36"/>
  <c r="Q26" i="36"/>
  <c r="Q28" i="36"/>
  <c r="Q27" i="36"/>
  <c r="Q29" i="36"/>
  <c r="Q30" i="36"/>
  <c r="Q31" i="36"/>
  <c r="Q32" i="36"/>
  <c r="Q33" i="36"/>
  <c r="O27" i="36"/>
  <c r="E52" i="33" s="1"/>
  <c r="O31" i="36"/>
  <c r="I52" i="33" s="1"/>
  <c r="N39" i="36"/>
  <c r="C15" i="33" s="1"/>
  <c r="E15" i="33" s="1"/>
  <c r="G15" i="33" s="1"/>
  <c r="H15" i="33" s="1"/>
  <c r="J15" i="33" s="1"/>
  <c r="O28" i="36"/>
  <c r="F52" i="33" s="1"/>
  <c r="O32" i="36"/>
  <c r="J52" i="33" s="1"/>
  <c r="S28" i="36"/>
  <c r="S32" i="36"/>
  <c r="W28" i="36"/>
  <c r="W32" i="36"/>
  <c r="O25" i="36"/>
  <c r="O29" i="36"/>
  <c r="H52" i="33" s="1"/>
  <c r="O33" i="36"/>
  <c r="K52" i="33" s="1"/>
  <c r="S25" i="36"/>
  <c r="S29" i="36"/>
  <c r="S33" i="36"/>
  <c r="W25" i="36"/>
  <c r="W29" i="36"/>
  <c r="W33" i="36"/>
  <c r="O26" i="36"/>
  <c r="D52" i="33" s="1"/>
  <c r="O30" i="36"/>
  <c r="G52" i="33" s="1"/>
  <c r="S26" i="36"/>
  <c r="S30" i="36"/>
  <c r="W26" i="36"/>
  <c r="W30" i="36"/>
  <c r="C144" i="35"/>
  <c r="F164" i="35" s="1"/>
  <c r="F154" i="35" s="1"/>
  <c r="J18" i="33" l="1"/>
  <c r="C113" i="33"/>
  <c r="G113" i="33"/>
  <c r="K113" i="33"/>
  <c r="D113" i="33"/>
  <c r="D145" i="33" s="1"/>
  <c r="H113" i="33"/>
  <c r="H145" i="33" s="1"/>
  <c r="L113" i="33"/>
  <c r="L145" i="33" s="1"/>
  <c r="E113" i="33"/>
  <c r="I113" i="33"/>
  <c r="F113" i="33"/>
  <c r="J113" i="33"/>
  <c r="J145" i="33" s="1"/>
  <c r="J19" i="33"/>
  <c r="C114" i="33"/>
  <c r="G114" i="33"/>
  <c r="K114" i="33"/>
  <c r="K146" i="33" s="1"/>
  <c r="E114" i="33"/>
  <c r="E146" i="33" s="1"/>
  <c r="I114" i="33"/>
  <c r="I146" i="33" s="1"/>
  <c r="F114" i="33"/>
  <c r="F146" i="33" s="1"/>
  <c r="J114" i="33"/>
  <c r="D114" i="33"/>
  <c r="H114" i="33"/>
  <c r="L114" i="33"/>
  <c r="J17" i="33"/>
  <c r="C112" i="33"/>
  <c r="G112" i="33"/>
  <c r="K112" i="33"/>
  <c r="D112" i="33"/>
  <c r="H112" i="33"/>
  <c r="L112" i="33"/>
  <c r="I112" i="33"/>
  <c r="F112" i="33"/>
  <c r="E112" i="33"/>
  <c r="J112" i="33"/>
  <c r="M57" i="33"/>
  <c r="J115" i="33"/>
  <c r="G115" i="33"/>
  <c r="G147" i="33" s="1"/>
  <c r="I115" i="33"/>
  <c r="I147" i="33" s="1"/>
  <c r="F115" i="33"/>
  <c r="E115" i="33"/>
  <c r="E147" i="33" s="1"/>
  <c r="C115" i="33"/>
  <c r="L115" i="33"/>
  <c r="L147" i="33" s="1"/>
  <c r="D115" i="33"/>
  <c r="D147" i="33" s="1"/>
  <c r="H115" i="33"/>
  <c r="H147" i="33" s="1"/>
  <c r="K115" i="33"/>
  <c r="K147" i="33" s="1"/>
  <c r="E111" i="33"/>
  <c r="E143" i="33" s="1"/>
  <c r="E212" i="33" s="1"/>
  <c r="I111" i="33"/>
  <c r="I143" i="33" s="1"/>
  <c r="I212" i="33" s="1"/>
  <c r="F111" i="33"/>
  <c r="J111" i="33"/>
  <c r="J143" i="33" s="1"/>
  <c r="J212" i="33" s="1"/>
  <c r="K111" i="33"/>
  <c r="H111" i="33"/>
  <c r="H143" i="33" s="1"/>
  <c r="H212" i="33" s="1"/>
  <c r="C111" i="33"/>
  <c r="G111" i="33"/>
  <c r="G143" i="33" s="1"/>
  <c r="G212" i="33" s="1"/>
  <c r="D111" i="33"/>
  <c r="D143" i="33" s="1"/>
  <c r="D212" i="33" s="1"/>
  <c r="L111" i="33"/>
  <c r="L143" i="33" s="1"/>
  <c r="L212" i="33" s="1"/>
  <c r="F143" i="33"/>
  <c r="F212" i="33" s="1"/>
  <c r="E145" i="33"/>
  <c r="I145" i="33"/>
  <c r="F145" i="33"/>
  <c r="K143" i="33"/>
  <c r="K212" i="33" s="1"/>
  <c r="G146" i="33"/>
  <c r="Y35" i="36"/>
  <c r="W35" i="36"/>
  <c r="U35" i="36"/>
  <c r="S35" i="36"/>
  <c r="Q35" i="36"/>
  <c r="O35" i="36"/>
  <c r="C52" i="33"/>
  <c r="M52" i="33" s="1"/>
  <c r="F110" i="33"/>
  <c r="J110" i="33"/>
  <c r="E110" i="33"/>
  <c r="G110" i="33"/>
  <c r="K110" i="33"/>
  <c r="I110" i="33"/>
  <c r="D110" i="33"/>
  <c r="H110" i="33"/>
  <c r="L110" i="33"/>
  <c r="M112" i="33" l="1"/>
  <c r="M111" i="33"/>
  <c r="I178" i="33"/>
  <c r="I245" i="33" s="1"/>
  <c r="I215" i="33"/>
  <c r="L146" i="33"/>
  <c r="L215" i="33" s="1"/>
  <c r="K178" i="33"/>
  <c r="K245" i="33" s="1"/>
  <c r="K215" i="33"/>
  <c r="J144" i="33"/>
  <c r="J213" i="33" s="1"/>
  <c r="E144" i="33"/>
  <c r="E213" i="33" s="1"/>
  <c r="G144" i="33"/>
  <c r="G213" i="33" s="1"/>
  <c r="H177" i="33"/>
  <c r="H244" i="33" s="1"/>
  <c r="H214" i="33"/>
  <c r="I177" i="33"/>
  <c r="I244" i="33" s="1"/>
  <c r="I214" i="33"/>
  <c r="E178" i="33"/>
  <c r="E245" i="33" s="1"/>
  <c r="E215" i="33"/>
  <c r="D144" i="33"/>
  <c r="D213" i="33" s="1"/>
  <c r="K144" i="33"/>
  <c r="K213" i="33" s="1"/>
  <c r="L177" i="33"/>
  <c r="L244" i="33" s="1"/>
  <c r="L214" i="33"/>
  <c r="J146" i="33"/>
  <c r="H146" i="33"/>
  <c r="H215" i="33" s="1"/>
  <c r="G178" i="33"/>
  <c r="G245" i="33" s="1"/>
  <c r="G215" i="33"/>
  <c r="F144" i="33"/>
  <c r="F213" i="33" s="1"/>
  <c r="L144" i="33"/>
  <c r="L213" i="33" s="1"/>
  <c r="K145" i="33"/>
  <c r="K214" i="33" s="1"/>
  <c r="D177" i="33"/>
  <c r="D244" i="33" s="1"/>
  <c r="D214" i="33"/>
  <c r="E177" i="33"/>
  <c r="E244" i="33" s="1"/>
  <c r="E214" i="33"/>
  <c r="F177" i="33"/>
  <c r="F244" i="33" s="1"/>
  <c r="F214" i="33"/>
  <c r="C110" i="33"/>
  <c r="C142" i="33" s="1"/>
  <c r="C174" i="33" s="1"/>
  <c r="F178" i="33"/>
  <c r="F245" i="33" s="1"/>
  <c r="F215" i="33"/>
  <c r="D146" i="33"/>
  <c r="D215" i="33" s="1"/>
  <c r="C146" i="33"/>
  <c r="I144" i="33"/>
  <c r="I213" i="33" s="1"/>
  <c r="H144" i="33"/>
  <c r="H213" i="33" s="1"/>
  <c r="G145" i="33"/>
  <c r="G214" i="33" s="1"/>
  <c r="J177" i="33"/>
  <c r="J244" i="33" s="1"/>
  <c r="J214" i="33"/>
  <c r="L179" i="33"/>
  <c r="L246" i="33" s="1"/>
  <c r="L216" i="33"/>
  <c r="G179" i="33"/>
  <c r="G246" i="33" s="1"/>
  <c r="G216" i="33"/>
  <c r="K179" i="33"/>
  <c r="K246" i="33" s="1"/>
  <c r="K216" i="33"/>
  <c r="H179" i="33"/>
  <c r="H246" i="33" s="1"/>
  <c r="H216" i="33"/>
  <c r="E179" i="33"/>
  <c r="E246" i="33" s="1"/>
  <c r="E216" i="33"/>
  <c r="F147" i="33"/>
  <c r="F216" i="33" s="1"/>
  <c r="D179" i="33"/>
  <c r="D246" i="33" s="1"/>
  <c r="D216" i="33"/>
  <c r="I179" i="33"/>
  <c r="I246" i="33" s="1"/>
  <c r="I216" i="33"/>
  <c r="J147" i="33"/>
  <c r="J216" i="33" s="1"/>
  <c r="I175" i="33"/>
  <c r="I242" i="33" s="1"/>
  <c r="H175" i="33"/>
  <c r="H242" i="33" s="1"/>
  <c r="J175" i="33"/>
  <c r="J242" i="33" s="1"/>
  <c r="F175" i="33"/>
  <c r="F242" i="33" s="1"/>
  <c r="K175" i="33"/>
  <c r="K242" i="33" s="1"/>
  <c r="L175" i="33"/>
  <c r="L242" i="33" s="1"/>
  <c r="D175" i="33"/>
  <c r="D242" i="33" s="1"/>
  <c r="E175" i="33"/>
  <c r="E242" i="33" s="1"/>
  <c r="G175" i="33"/>
  <c r="G242" i="33" s="1"/>
  <c r="C143" i="33"/>
  <c r="H142" i="33"/>
  <c r="H211" i="33" s="1"/>
  <c r="K142" i="33"/>
  <c r="K211" i="33" s="1"/>
  <c r="J142" i="33"/>
  <c r="J211" i="33" s="1"/>
  <c r="D142" i="33"/>
  <c r="D211" i="33" s="1"/>
  <c r="G142" i="33"/>
  <c r="G211" i="33" s="1"/>
  <c r="F142" i="33"/>
  <c r="F211" i="33" s="1"/>
  <c r="I142" i="33"/>
  <c r="I211" i="33" s="1"/>
  <c r="L142" i="33"/>
  <c r="L211" i="33" s="1"/>
  <c r="E142" i="33"/>
  <c r="E211" i="33" s="1"/>
  <c r="M110" i="33" l="1"/>
  <c r="H176" i="33"/>
  <c r="H243" i="33" s="1"/>
  <c r="K177" i="33"/>
  <c r="K244" i="33" s="1"/>
  <c r="G177" i="33"/>
  <c r="G244" i="33" s="1"/>
  <c r="I176" i="33"/>
  <c r="I243" i="33" s="1"/>
  <c r="L176" i="33"/>
  <c r="L243" i="33" s="1"/>
  <c r="J176" i="33"/>
  <c r="J243" i="33" s="1"/>
  <c r="F179" i="33"/>
  <c r="F246" i="33" s="1"/>
  <c r="L178" i="33"/>
  <c r="L245" i="33" s="1"/>
  <c r="G176" i="33"/>
  <c r="G243" i="33" s="1"/>
  <c r="K176" i="33"/>
  <c r="K243" i="33" s="1"/>
  <c r="J178" i="33"/>
  <c r="J245" i="33" s="1"/>
  <c r="J215" i="33"/>
  <c r="M113" i="33"/>
  <c r="C145" i="33"/>
  <c r="C177" i="33" s="1"/>
  <c r="C178" i="33"/>
  <c r="C215" i="33"/>
  <c r="M215" i="33" s="1"/>
  <c r="M146" i="33"/>
  <c r="M114" i="33"/>
  <c r="E176" i="33"/>
  <c r="E243" i="33" s="1"/>
  <c r="C144" i="33"/>
  <c r="D178" i="33"/>
  <c r="D245" i="33" s="1"/>
  <c r="F176" i="33"/>
  <c r="F243" i="33" s="1"/>
  <c r="H178" i="33"/>
  <c r="H245" i="33" s="1"/>
  <c r="D176" i="33"/>
  <c r="D243" i="33" s="1"/>
  <c r="J179" i="33"/>
  <c r="J246" i="33" s="1"/>
  <c r="M115" i="33"/>
  <c r="C147" i="33"/>
  <c r="C212" i="33"/>
  <c r="M212" i="33" s="1"/>
  <c r="M143" i="33"/>
  <c r="C175" i="33"/>
  <c r="K174" i="33"/>
  <c r="K241" i="33" s="1"/>
  <c r="H174" i="33"/>
  <c r="H241" i="33" s="1"/>
  <c r="F174" i="33"/>
  <c r="F241" i="33" s="1"/>
  <c r="L174" i="33"/>
  <c r="L241" i="33" s="1"/>
  <c r="D174" i="33"/>
  <c r="D241" i="33" s="1"/>
  <c r="G174" i="33"/>
  <c r="G241" i="33" s="1"/>
  <c r="E174" i="33"/>
  <c r="E241" i="33" s="1"/>
  <c r="M142" i="33"/>
  <c r="C211" i="33"/>
  <c r="M211" i="33" s="1"/>
  <c r="C241" i="33"/>
  <c r="I174" i="33"/>
  <c r="I241" i="33" s="1"/>
  <c r="J174" i="33"/>
  <c r="J241" i="33" s="1"/>
  <c r="F217" i="35"/>
  <c r="C245" i="33" l="1"/>
  <c r="M245" i="33" s="1"/>
  <c r="M178" i="33"/>
  <c r="M177" i="33"/>
  <c r="C244" i="33"/>
  <c r="M244" i="33" s="1"/>
  <c r="C176" i="33"/>
  <c r="M144" i="33"/>
  <c r="C213" i="33"/>
  <c r="M213" i="33" s="1"/>
  <c r="M145" i="33"/>
  <c r="C214" i="33"/>
  <c r="M214" i="33" s="1"/>
  <c r="C179" i="33"/>
  <c r="C216" i="33"/>
  <c r="M216" i="33" s="1"/>
  <c r="M147" i="33"/>
  <c r="M175" i="33"/>
  <c r="C242" i="33"/>
  <c r="M242" i="33" s="1"/>
  <c r="M241" i="33"/>
  <c r="M174" i="33"/>
  <c r="F297" i="35"/>
  <c r="F296" i="35"/>
  <c r="C298" i="35"/>
  <c r="C272" i="35"/>
  <c r="F285" i="35" s="1"/>
  <c r="G286" i="35" s="1"/>
  <c r="F271" i="35"/>
  <c r="F270" i="35"/>
  <c r="C243" i="33" l="1"/>
  <c r="M243" i="33" s="1"/>
  <c r="M176" i="33"/>
  <c r="F192" i="35"/>
  <c r="F193" i="35" s="1"/>
  <c r="C246" i="33"/>
  <c r="M246" i="33" s="1"/>
  <c r="D12" i="45" s="1"/>
  <c r="C12" i="42" s="1"/>
  <c r="M179" i="33"/>
  <c r="F298" i="35"/>
  <c r="F302" i="35" s="1"/>
  <c r="F272" i="35"/>
  <c r="F276" i="35" s="1"/>
  <c r="F304" i="35"/>
  <c r="F311" i="35"/>
  <c r="G312" i="35" s="1"/>
  <c r="F278" i="35"/>
  <c r="D12" i="42" l="1"/>
  <c r="D14" i="42" s="1"/>
  <c r="C14" i="42"/>
  <c r="D15" i="45"/>
  <c r="D17" i="45" s="1"/>
  <c r="D34" i="45" s="1"/>
  <c r="G306" i="35"/>
  <c r="F161" i="35"/>
  <c r="F162" i="35" s="1"/>
  <c r="G165" i="35"/>
  <c r="E76" i="35" s="1"/>
  <c r="F76" i="35" s="1"/>
  <c r="G280" i="35"/>
  <c r="G288" i="35" s="1"/>
  <c r="G314" i="35"/>
  <c r="J35" i="36" l="1"/>
  <c r="K31" i="36" l="1"/>
  <c r="I50" i="33" s="1"/>
  <c r="K27" i="36"/>
  <c r="E50" i="33" s="1"/>
  <c r="K28" i="36"/>
  <c r="F50" i="33" s="1"/>
  <c r="K34" i="36"/>
  <c r="L50" i="33" s="1"/>
  <c r="K30" i="36"/>
  <c r="G50" i="33" s="1"/>
  <c r="K26" i="36"/>
  <c r="D50" i="33" s="1"/>
  <c r="K32" i="36"/>
  <c r="J50" i="33" s="1"/>
  <c r="K33" i="36"/>
  <c r="K50" i="33" s="1"/>
  <c r="K29" i="36"/>
  <c r="H50" i="33" s="1"/>
  <c r="K25" i="36"/>
  <c r="C50" i="33" s="1"/>
  <c r="H8" i="42" l="1"/>
  <c r="M50" i="33"/>
  <c r="G73" i="33"/>
  <c r="H73" i="33"/>
  <c r="I73" i="33"/>
  <c r="J73" i="33"/>
  <c r="K73" i="33"/>
  <c r="L73" i="33"/>
  <c r="D73" i="33"/>
  <c r="E73" i="33"/>
  <c r="F73" i="33"/>
  <c r="C73" i="33"/>
  <c r="I11" i="33"/>
  <c r="I10" i="33"/>
  <c r="I9" i="33"/>
  <c r="D11" i="33"/>
  <c r="D10" i="33"/>
  <c r="D9" i="33"/>
  <c r="F132" i="33" l="1"/>
  <c r="F196" i="33"/>
  <c r="G132" i="33"/>
  <c r="G196" i="33"/>
  <c r="H132" i="33"/>
  <c r="H196" i="33"/>
  <c r="E132" i="33"/>
  <c r="E196" i="33"/>
  <c r="J132" i="33"/>
  <c r="J196" i="33"/>
  <c r="C196" i="33"/>
  <c r="L132" i="33"/>
  <c r="L196" i="33"/>
  <c r="K132" i="33"/>
  <c r="K196" i="33"/>
  <c r="D132" i="33"/>
  <c r="D196" i="33"/>
  <c r="I132" i="33"/>
  <c r="I196" i="33"/>
  <c r="C132" i="33"/>
  <c r="F340" i="35"/>
  <c r="Z6" i="36"/>
  <c r="Z7" i="36"/>
  <c r="AC7" i="36" s="1"/>
  <c r="Z8" i="36"/>
  <c r="AC8" i="36" s="1"/>
  <c r="Z9" i="36"/>
  <c r="AC9" i="36" s="1"/>
  <c r="Z10" i="36"/>
  <c r="Z11" i="36"/>
  <c r="AC11" i="36" s="1"/>
  <c r="Z12" i="36"/>
  <c r="AC12" i="36" s="1"/>
  <c r="Z13" i="36"/>
  <c r="AC13" i="36" s="1"/>
  <c r="Z14" i="36"/>
  <c r="Z15" i="36"/>
  <c r="AC15" i="36" s="1"/>
  <c r="B16" i="36"/>
  <c r="C7" i="36" s="1"/>
  <c r="D16" i="36"/>
  <c r="E13" i="36" s="1"/>
  <c r="F16" i="36"/>
  <c r="G9" i="36" s="1"/>
  <c r="H16" i="36"/>
  <c r="I11" i="36" s="1"/>
  <c r="J16" i="36"/>
  <c r="K7" i="36" s="1"/>
  <c r="L16" i="36"/>
  <c r="M8" i="36" s="1"/>
  <c r="L18" i="36"/>
  <c r="F20" i="36"/>
  <c r="G18" i="36" s="1"/>
  <c r="M195" i="33" l="1"/>
  <c r="M132" i="33"/>
  <c r="B20" i="36"/>
  <c r="C18" i="36" s="1"/>
  <c r="C12" i="36"/>
  <c r="J20" i="36"/>
  <c r="K18" i="36" s="1"/>
  <c r="K9" i="36"/>
  <c r="D20" i="36"/>
  <c r="E18" i="36" s="1"/>
  <c r="G15" i="36"/>
  <c r="G14" i="36"/>
  <c r="C9" i="36"/>
  <c r="K8" i="36"/>
  <c r="G7" i="36"/>
  <c r="G6" i="36"/>
  <c r="L20" i="36"/>
  <c r="M18" i="36" s="1"/>
  <c r="K13" i="36"/>
  <c r="C8" i="36"/>
  <c r="C13" i="36"/>
  <c r="K12" i="36"/>
  <c r="G11" i="36"/>
  <c r="G10" i="36"/>
  <c r="M13" i="36"/>
  <c r="M9" i="36"/>
  <c r="I7" i="36"/>
  <c r="E14" i="36"/>
  <c r="I12" i="36"/>
  <c r="E10" i="36"/>
  <c r="H20" i="36"/>
  <c r="I18" i="36" s="1"/>
  <c r="Z18" i="36"/>
  <c r="Z16" i="36"/>
  <c r="AA14" i="36" s="1"/>
  <c r="M15" i="36"/>
  <c r="E15" i="36"/>
  <c r="AC14" i="36"/>
  <c r="K14" i="36"/>
  <c r="C14" i="36"/>
  <c r="I13" i="36"/>
  <c r="G12" i="36"/>
  <c r="M11" i="36"/>
  <c r="E11" i="36"/>
  <c r="AC10" i="36"/>
  <c r="K10" i="36"/>
  <c r="C10" i="36"/>
  <c r="I9" i="36"/>
  <c r="G8" i="36"/>
  <c r="M7" i="36"/>
  <c r="E7" i="36"/>
  <c r="AC6" i="36"/>
  <c r="K6" i="36"/>
  <c r="C6" i="36"/>
  <c r="E9" i="36"/>
  <c r="M14" i="36"/>
  <c r="M10" i="36"/>
  <c r="I8" i="36"/>
  <c r="M6" i="36"/>
  <c r="E6" i="36"/>
  <c r="K15" i="36"/>
  <c r="C15" i="36"/>
  <c r="I14" i="36"/>
  <c r="G13" i="36"/>
  <c r="M12" i="36"/>
  <c r="E12" i="36"/>
  <c r="K11" i="36"/>
  <c r="C11" i="36"/>
  <c r="I10" i="36"/>
  <c r="E8" i="36"/>
  <c r="I6" i="36"/>
  <c r="I15" i="36"/>
  <c r="M196" i="33" l="1"/>
  <c r="N195" i="33"/>
  <c r="M133" i="33"/>
  <c r="L133" i="33"/>
  <c r="E133" i="33"/>
  <c r="D133" i="33"/>
  <c r="G133" i="33"/>
  <c r="H133" i="33"/>
  <c r="K133" i="33"/>
  <c r="F133" i="33"/>
  <c r="I133" i="33"/>
  <c r="J133" i="33"/>
  <c r="C133" i="33"/>
  <c r="AC16" i="36"/>
  <c r="K16" i="36"/>
  <c r="AA10" i="36"/>
  <c r="AA6" i="36"/>
  <c r="Z20" i="36"/>
  <c r="AA18" i="36" s="1"/>
  <c r="AC18" i="36"/>
  <c r="I16" i="36"/>
  <c r="E16" i="36"/>
  <c r="M16" i="36"/>
  <c r="C16" i="36"/>
  <c r="G16" i="36"/>
  <c r="AA8" i="36"/>
  <c r="AA7" i="36"/>
  <c r="AA9" i="36"/>
  <c r="AA12" i="36"/>
  <c r="AA11" i="36"/>
  <c r="AA15" i="36"/>
  <c r="AA13" i="36"/>
  <c r="AA16" i="36" l="1"/>
  <c r="C211" i="35"/>
  <c r="F209" i="35"/>
  <c r="K17" i="37" l="1"/>
  <c r="J17" i="37"/>
  <c r="I17" i="37"/>
  <c r="H17" i="37"/>
  <c r="G17" i="37"/>
  <c r="F17" i="37"/>
  <c r="E17" i="37"/>
  <c r="D17" i="37"/>
  <c r="C17" i="37"/>
  <c r="B17" i="37"/>
  <c r="L35" i="36"/>
  <c r="J39" i="36"/>
  <c r="C13" i="33" s="1"/>
  <c r="E13" i="33" s="1"/>
  <c r="G13" i="33" s="1"/>
  <c r="H13" i="33" s="1"/>
  <c r="J13" i="33" s="1"/>
  <c r="H35" i="36"/>
  <c r="F35" i="36"/>
  <c r="D35" i="36"/>
  <c r="B35" i="36"/>
  <c r="C108" i="33" l="1"/>
  <c r="G108" i="33"/>
  <c r="K108" i="33"/>
  <c r="J108" i="33"/>
  <c r="D108" i="33"/>
  <c r="H108" i="33"/>
  <c r="L108" i="33"/>
  <c r="E108" i="33"/>
  <c r="I108" i="33"/>
  <c r="F108" i="33"/>
  <c r="M33" i="36"/>
  <c r="K51" i="33" s="1"/>
  <c r="M29" i="36"/>
  <c r="H51" i="33" s="1"/>
  <c r="M25" i="36"/>
  <c r="C51" i="33" s="1"/>
  <c r="M32" i="36"/>
  <c r="J51" i="33" s="1"/>
  <c r="M28" i="36"/>
  <c r="F51" i="33" s="1"/>
  <c r="M30" i="36"/>
  <c r="G51" i="33" s="1"/>
  <c r="M31" i="36"/>
  <c r="I51" i="33" s="1"/>
  <c r="M27" i="36"/>
  <c r="E51" i="33" s="1"/>
  <c r="M26" i="36"/>
  <c r="D51" i="33" s="1"/>
  <c r="M34" i="36"/>
  <c r="L51" i="33" s="1"/>
  <c r="F39" i="36"/>
  <c r="C11" i="33" s="1"/>
  <c r="E11" i="33" s="1"/>
  <c r="G31" i="36"/>
  <c r="I48" i="33" s="1"/>
  <c r="G27" i="36"/>
  <c r="E48" i="33" s="1"/>
  <c r="G32" i="36"/>
  <c r="J48" i="33" s="1"/>
  <c r="G34" i="36"/>
  <c r="L48" i="33" s="1"/>
  <c r="G30" i="36"/>
  <c r="G48" i="33" s="1"/>
  <c r="G26" i="36"/>
  <c r="D48" i="33" s="1"/>
  <c r="G28" i="36"/>
  <c r="F48" i="33" s="1"/>
  <c r="G33" i="36"/>
  <c r="K48" i="33" s="1"/>
  <c r="G29" i="36"/>
  <c r="H48" i="33" s="1"/>
  <c r="G25" i="36"/>
  <c r="C48" i="33" s="1"/>
  <c r="H39" i="36"/>
  <c r="C12" i="33" s="1"/>
  <c r="E12" i="33" s="1"/>
  <c r="I33" i="36"/>
  <c r="K49" i="33" s="1"/>
  <c r="I29" i="36"/>
  <c r="H49" i="33" s="1"/>
  <c r="I25" i="36"/>
  <c r="C49" i="33" s="1"/>
  <c r="I32" i="36"/>
  <c r="J49" i="33" s="1"/>
  <c r="I28" i="36"/>
  <c r="F49" i="33" s="1"/>
  <c r="I30" i="36"/>
  <c r="G49" i="33" s="1"/>
  <c r="I31" i="36"/>
  <c r="I49" i="33" s="1"/>
  <c r="I27" i="36"/>
  <c r="E49" i="33" s="1"/>
  <c r="I34" i="36"/>
  <c r="L49" i="33" s="1"/>
  <c r="I26" i="36"/>
  <c r="D49" i="33" s="1"/>
  <c r="D39" i="36"/>
  <c r="C10" i="33" s="1"/>
  <c r="E10" i="33" s="1"/>
  <c r="E33" i="36"/>
  <c r="K47" i="33" s="1"/>
  <c r="E29" i="36"/>
  <c r="H47" i="33" s="1"/>
  <c r="E25" i="36"/>
  <c r="C47" i="33" s="1"/>
  <c r="E32" i="36"/>
  <c r="J47" i="33" s="1"/>
  <c r="E28" i="36"/>
  <c r="F47" i="33" s="1"/>
  <c r="E30" i="36"/>
  <c r="G47" i="33" s="1"/>
  <c r="E31" i="36"/>
  <c r="I47" i="33" s="1"/>
  <c r="E27" i="36"/>
  <c r="E47" i="33" s="1"/>
  <c r="E34" i="36"/>
  <c r="L47" i="33" s="1"/>
  <c r="E26" i="36"/>
  <c r="D47" i="33" s="1"/>
  <c r="B39" i="36"/>
  <c r="C9" i="33" s="1"/>
  <c r="E9" i="33" s="1"/>
  <c r="C31" i="36"/>
  <c r="I46" i="33" s="1"/>
  <c r="C27" i="36"/>
  <c r="E46" i="33" s="1"/>
  <c r="C32" i="36"/>
  <c r="J46" i="33" s="1"/>
  <c r="C34" i="36"/>
  <c r="L46" i="33" s="1"/>
  <c r="C30" i="36"/>
  <c r="G46" i="33" s="1"/>
  <c r="C26" i="36"/>
  <c r="D46" i="33" s="1"/>
  <c r="C33" i="36"/>
  <c r="K46" i="33" s="1"/>
  <c r="C29" i="36"/>
  <c r="H46" i="33" s="1"/>
  <c r="C25" i="36"/>
  <c r="C46" i="33" s="1"/>
  <c r="C28" i="36"/>
  <c r="F46" i="33" s="1"/>
  <c r="Z35" i="36"/>
  <c r="AA29" i="36" s="1"/>
  <c r="L39" i="36"/>
  <c r="C14" i="33" s="1"/>
  <c r="E14" i="33" s="1"/>
  <c r="G14" i="33" s="1"/>
  <c r="H14" i="33" s="1"/>
  <c r="J14" i="33" s="1"/>
  <c r="M47" i="33" l="1"/>
  <c r="M48" i="33"/>
  <c r="M51" i="33"/>
  <c r="C109" i="33"/>
  <c r="G109" i="33"/>
  <c r="K109" i="33"/>
  <c r="D109" i="33"/>
  <c r="H109" i="33"/>
  <c r="L109" i="33"/>
  <c r="J109" i="33"/>
  <c r="E109" i="33"/>
  <c r="I109" i="33"/>
  <c r="F109" i="33"/>
  <c r="F140" i="33"/>
  <c r="F209" i="33" s="1"/>
  <c r="H140" i="33"/>
  <c r="H209" i="33" s="1"/>
  <c r="K140" i="33"/>
  <c r="K209" i="33" s="1"/>
  <c r="L140" i="33"/>
  <c r="L209" i="33" s="1"/>
  <c r="I140" i="33"/>
  <c r="I209" i="33" s="1"/>
  <c r="D140" i="33"/>
  <c r="D209" i="33" s="1"/>
  <c r="G140" i="33"/>
  <c r="G209" i="33" s="1"/>
  <c r="E140" i="33"/>
  <c r="E209" i="33" s="1"/>
  <c r="J140" i="33"/>
  <c r="J209" i="33" s="1"/>
  <c r="M108" i="33"/>
  <c r="C140" i="33"/>
  <c r="C172" i="33" s="1"/>
  <c r="M49" i="33"/>
  <c r="AA31" i="36"/>
  <c r="AA30" i="36"/>
  <c r="AA25" i="36"/>
  <c r="M46" i="33"/>
  <c r="AA28" i="36"/>
  <c r="AA33" i="36"/>
  <c r="AA32" i="36"/>
  <c r="AA27" i="36"/>
  <c r="AA34" i="36"/>
  <c r="AA26" i="36"/>
  <c r="Z39" i="36"/>
  <c r="L141" i="33" l="1"/>
  <c r="L210" i="33" s="1"/>
  <c r="K141" i="33"/>
  <c r="K210" i="33" s="1"/>
  <c r="F141" i="33"/>
  <c r="F210" i="33" s="1"/>
  <c r="H141" i="33"/>
  <c r="H210" i="33" s="1"/>
  <c r="G141" i="33"/>
  <c r="G210" i="33" s="1"/>
  <c r="J141" i="33"/>
  <c r="J210" i="33" s="1"/>
  <c r="I141" i="33"/>
  <c r="I210" i="33" s="1"/>
  <c r="E141" i="33"/>
  <c r="E210" i="33" s="1"/>
  <c r="D141" i="33"/>
  <c r="D210" i="33" s="1"/>
  <c r="M109" i="33"/>
  <c r="C141" i="33"/>
  <c r="E172" i="33"/>
  <c r="E239" i="33" s="1"/>
  <c r="D172" i="33"/>
  <c r="D239" i="33" s="1"/>
  <c r="L172" i="33"/>
  <c r="L239" i="33" s="1"/>
  <c r="H172" i="33"/>
  <c r="H239" i="33" s="1"/>
  <c r="C239" i="33"/>
  <c r="C209" i="33"/>
  <c r="M209" i="33" s="1"/>
  <c r="M140" i="33"/>
  <c r="J172" i="33"/>
  <c r="J239" i="33" s="1"/>
  <c r="G172" i="33"/>
  <c r="G239" i="33" s="1"/>
  <c r="I172" i="33"/>
  <c r="I239" i="33" s="1"/>
  <c r="K172" i="33"/>
  <c r="K239" i="33" s="1"/>
  <c r="F172" i="33"/>
  <c r="F239" i="33" s="1"/>
  <c r="F10" i="40"/>
  <c r="E10" i="40"/>
  <c r="D10" i="40"/>
  <c r="C10" i="40"/>
  <c r="G173" i="33" l="1"/>
  <c r="G240" i="33" s="1"/>
  <c r="K173" i="33"/>
  <c r="K240" i="33" s="1"/>
  <c r="J173" i="33"/>
  <c r="J240" i="33" s="1"/>
  <c r="C210" i="33"/>
  <c r="M210" i="33" s="1"/>
  <c r="M141" i="33"/>
  <c r="E173" i="33"/>
  <c r="E240" i="33" s="1"/>
  <c r="H173" i="33"/>
  <c r="H240" i="33" s="1"/>
  <c r="C173" i="33"/>
  <c r="D173" i="33"/>
  <c r="D240" i="33" s="1"/>
  <c r="I173" i="33"/>
  <c r="I240" i="33" s="1"/>
  <c r="F173" i="33"/>
  <c r="F240" i="33" s="1"/>
  <c r="L173" i="33"/>
  <c r="L240" i="33" s="1"/>
  <c r="M172" i="33"/>
  <c r="M239" i="33"/>
  <c r="I21" i="33"/>
  <c r="C240" i="33" l="1"/>
  <c r="M240" i="33" s="1"/>
  <c r="M173" i="33"/>
  <c r="C327" i="35" l="1"/>
  <c r="F333" i="35" s="1"/>
  <c r="E35" i="36" l="1"/>
  <c r="K35" i="36"/>
  <c r="C35" i="36"/>
  <c r="M35" i="36"/>
  <c r="I35" i="36"/>
  <c r="G35" i="36"/>
  <c r="AA35" i="36" l="1"/>
  <c r="C421" i="35" l="1"/>
  <c r="C393" i="35"/>
  <c r="F393" i="35" l="1"/>
  <c r="F246" i="35"/>
  <c r="C25" i="40"/>
  <c r="P21" i="40"/>
  <c r="F14" i="40"/>
  <c r="F16" i="40" s="1"/>
  <c r="F18" i="40" s="1"/>
  <c r="F12" i="33" s="1"/>
  <c r="G12" i="33" s="1"/>
  <c r="H12" i="33" s="1"/>
  <c r="J12" i="33" s="1"/>
  <c r="E14" i="40"/>
  <c r="E16" i="40" s="1"/>
  <c r="E18" i="40" s="1"/>
  <c r="D14" i="40"/>
  <c r="D16" i="40" s="1"/>
  <c r="D18" i="40" s="1"/>
  <c r="F10" i="33" s="1"/>
  <c r="G10" i="33" s="1"/>
  <c r="H10" i="33" s="1"/>
  <c r="J10" i="33" s="1"/>
  <c r="C14" i="40"/>
  <c r="C16" i="40" s="1"/>
  <c r="C18" i="40" s="1"/>
  <c r="F9" i="33" s="1"/>
  <c r="G9" i="33" s="1"/>
  <c r="H9" i="33" s="1"/>
  <c r="J9" i="33" s="1"/>
  <c r="C177" i="35" l="1"/>
  <c r="F195" i="35" s="1"/>
  <c r="F175" i="35"/>
  <c r="C105" i="33"/>
  <c r="G105" i="33"/>
  <c r="K105" i="33"/>
  <c r="J105" i="33"/>
  <c r="D105" i="33"/>
  <c r="H105" i="33"/>
  <c r="L105" i="33"/>
  <c r="E105" i="33"/>
  <c r="I105" i="33"/>
  <c r="F105" i="33"/>
  <c r="F11" i="33"/>
  <c r="G11" i="33" s="1"/>
  <c r="H11" i="33" s="1"/>
  <c r="J11" i="33" s="1"/>
  <c r="G107" i="33"/>
  <c r="C107" i="33"/>
  <c r="H107" i="33"/>
  <c r="K107" i="33"/>
  <c r="D107" i="33"/>
  <c r="E107" i="33"/>
  <c r="F107" i="33"/>
  <c r="I107" i="33"/>
  <c r="J107" i="33"/>
  <c r="L107" i="33"/>
  <c r="C356" i="35"/>
  <c r="F421" i="35"/>
  <c r="E106" i="33" l="1"/>
  <c r="I106" i="33"/>
  <c r="F106" i="33"/>
  <c r="J106" i="33"/>
  <c r="D106" i="33"/>
  <c r="L106" i="33"/>
  <c r="C106" i="33"/>
  <c r="G106" i="33"/>
  <c r="K106" i="33"/>
  <c r="H106" i="33"/>
  <c r="D137" i="33"/>
  <c r="D206" i="33" s="1"/>
  <c r="J137" i="33"/>
  <c r="J206" i="33" s="1"/>
  <c r="L137" i="33"/>
  <c r="L206" i="33" s="1"/>
  <c r="K137" i="33"/>
  <c r="K206" i="33" s="1"/>
  <c r="I137" i="33"/>
  <c r="I206" i="33" s="1"/>
  <c r="M105" i="33"/>
  <c r="C137" i="33"/>
  <c r="C206" i="33" s="1"/>
  <c r="E137" i="33"/>
  <c r="E206" i="33" s="1"/>
  <c r="F137" i="33"/>
  <c r="F169" i="33" s="1"/>
  <c r="H137" i="33"/>
  <c r="H206" i="33" s="1"/>
  <c r="G137" i="33"/>
  <c r="G206" i="33" s="1"/>
  <c r="F185" i="35"/>
  <c r="G196" i="35"/>
  <c r="E109" i="35" s="1"/>
  <c r="F109" i="35" s="1"/>
  <c r="P25" i="40"/>
  <c r="I139" i="33"/>
  <c r="I208" i="33" s="1"/>
  <c r="K139" i="33"/>
  <c r="K208" i="33" s="1"/>
  <c r="H139" i="33"/>
  <c r="H208" i="33" s="1"/>
  <c r="C139" i="33"/>
  <c r="M107" i="33"/>
  <c r="F139" i="33"/>
  <c r="F208" i="33" s="1"/>
  <c r="L139" i="33"/>
  <c r="L208" i="33" s="1"/>
  <c r="E139" i="33"/>
  <c r="E208" i="33" s="1"/>
  <c r="J139" i="33"/>
  <c r="J208" i="33" s="1"/>
  <c r="D139" i="33"/>
  <c r="D208" i="33" s="1"/>
  <c r="G139" i="33"/>
  <c r="G208" i="33" s="1"/>
  <c r="C240" i="35"/>
  <c r="F238" i="35"/>
  <c r="F362" i="35"/>
  <c r="D169" i="33" l="1"/>
  <c r="D236" i="33" s="1"/>
  <c r="L169" i="33"/>
  <c r="L236" i="33" s="1"/>
  <c r="I169" i="33"/>
  <c r="I236" i="33" s="1"/>
  <c r="J169" i="33"/>
  <c r="J236" i="33" s="1"/>
  <c r="F138" i="33"/>
  <c r="F207" i="33" s="1"/>
  <c r="M137" i="33"/>
  <c r="F206" i="33"/>
  <c r="M206" i="33" s="1"/>
  <c r="H138" i="33"/>
  <c r="H207" i="33" s="1"/>
  <c r="K169" i="33"/>
  <c r="K236" i="33" s="1"/>
  <c r="K138" i="33"/>
  <c r="K207" i="33" s="1"/>
  <c r="D138" i="33"/>
  <c r="D207" i="33" s="1"/>
  <c r="E138" i="33"/>
  <c r="E207" i="33" s="1"/>
  <c r="F236" i="33"/>
  <c r="M106" i="33"/>
  <c r="C138" i="33"/>
  <c r="G169" i="33"/>
  <c r="G236" i="33" s="1"/>
  <c r="C169" i="33"/>
  <c r="C236" i="33" s="1"/>
  <c r="L138" i="33"/>
  <c r="L207" i="33" s="1"/>
  <c r="I138" i="33"/>
  <c r="I207" i="33" s="1"/>
  <c r="H169" i="33"/>
  <c r="H236" i="33" s="1"/>
  <c r="E169" i="33"/>
  <c r="E236" i="33" s="1"/>
  <c r="G138" i="33"/>
  <c r="G207" i="33" s="1"/>
  <c r="J138" i="33"/>
  <c r="J207" i="33" s="1"/>
  <c r="D171" i="33"/>
  <c r="D238" i="33" s="1"/>
  <c r="K171" i="33"/>
  <c r="K238" i="33" s="1"/>
  <c r="F171" i="33"/>
  <c r="F238" i="33" s="1"/>
  <c r="H171" i="33"/>
  <c r="H238" i="33" s="1"/>
  <c r="I171" i="33"/>
  <c r="I238" i="33" s="1"/>
  <c r="E171" i="33"/>
  <c r="E238" i="33" s="1"/>
  <c r="C208" i="33"/>
  <c r="M208" i="33" s="1"/>
  <c r="M139" i="33"/>
  <c r="G171" i="33"/>
  <c r="G238" i="33" s="1"/>
  <c r="J171" i="33"/>
  <c r="J238" i="33" s="1"/>
  <c r="L171" i="33"/>
  <c r="L238" i="33" s="1"/>
  <c r="C171" i="33"/>
  <c r="C416" i="35"/>
  <c r="C388" i="35"/>
  <c r="G170" i="33" l="1"/>
  <c r="G237" i="33" s="1"/>
  <c r="I170" i="33"/>
  <c r="I237" i="33" s="1"/>
  <c r="L170" i="33"/>
  <c r="L237" i="33" s="1"/>
  <c r="D170" i="33"/>
  <c r="D237" i="33" s="1"/>
  <c r="J170" i="33"/>
  <c r="J237" i="33" s="1"/>
  <c r="E170" i="33"/>
  <c r="E237" i="33" s="1"/>
  <c r="K170" i="33"/>
  <c r="K237" i="33" s="1"/>
  <c r="H170" i="33"/>
  <c r="H237" i="33" s="1"/>
  <c r="F170" i="33"/>
  <c r="F237" i="33" s="1"/>
  <c r="M138" i="33"/>
  <c r="C207" i="33"/>
  <c r="M207" i="33" s="1"/>
  <c r="M169" i="33"/>
  <c r="C170" i="33"/>
  <c r="M236" i="33"/>
  <c r="M171" i="33"/>
  <c r="C238" i="33"/>
  <c r="M238" i="33" s="1"/>
  <c r="F396" i="35"/>
  <c r="F403" i="35"/>
  <c r="F424" i="35"/>
  <c r="F431" i="35"/>
  <c r="M170" i="33" l="1"/>
  <c r="C237" i="33"/>
  <c r="M237" i="33" s="1"/>
  <c r="C472" i="35"/>
  <c r="F478" i="35" s="1"/>
  <c r="C446" i="35"/>
  <c r="F452" i="35" l="1"/>
  <c r="F459" i="35"/>
  <c r="F485" i="35"/>
  <c r="C526" i="35" l="1"/>
  <c r="F532" i="35" l="1"/>
  <c r="F539" i="35"/>
  <c r="C500" i="35"/>
  <c r="F513" i="35" s="1"/>
  <c r="F506" i="35" l="1"/>
  <c r="F646" i="35" l="1"/>
  <c r="G648" i="35" s="1"/>
  <c r="C634" i="35"/>
  <c r="F640" i="35" s="1"/>
  <c r="G642" i="35" s="1"/>
  <c r="F633" i="35"/>
  <c r="F632" i="35"/>
  <c r="E578" i="35"/>
  <c r="F620" i="35"/>
  <c r="G622" i="35" s="1"/>
  <c r="E553" i="35" s="1"/>
  <c r="E498" i="35" s="1"/>
  <c r="F498" i="35" s="1"/>
  <c r="C608" i="35"/>
  <c r="F607" i="35"/>
  <c r="F606" i="35"/>
  <c r="E552" i="35"/>
  <c r="F634" i="35" l="1"/>
  <c r="F608" i="35"/>
  <c r="F612" i="35" s="1"/>
  <c r="G650" i="35"/>
  <c r="E579" i="35"/>
  <c r="E524" i="35" s="1"/>
  <c r="F524" i="35" s="1"/>
  <c r="F614" i="35"/>
  <c r="G616" i="35" l="1"/>
  <c r="G625" i="35" s="1"/>
  <c r="D21" i="33"/>
  <c r="F579" i="35" l="1"/>
  <c r="F552" i="35"/>
  <c r="C554" i="35"/>
  <c r="F567" i="35" s="1"/>
  <c r="F553" i="35"/>
  <c r="F554" i="35" l="1"/>
  <c r="C580" i="35"/>
  <c r="F578" i="35"/>
  <c r="F580" i="35" s="1"/>
  <c r="F560" i="35"/>
  <c r="F586" i="35" l="1"/>
  <c r="F593" i="35"/>
  <c r="G104" i="33" l="1"/>
  <c r="G136" i="33" s="1"/>
  <c r="G205" i="33" s="1"/>
  <c r="H104" i="33"/>
  <c r="H136" i="33" s="1"/>
  <c r="H205" i="33" s="1"/>
  <c r="L104" i="33"/>
  <c r="L136" i="33" s="1"/>
  <c r="L205" i="33" s="1"/>
  <c r="J104" i="33"/>
  <c r="J136" i="33" s="1"/>
  <c r="J205" i="33" s="1"/>
  <c r="D104" i="33"/>
  <c r="D136" i="33" s="1"/>
  <c r="D205" i="33" s="1"/>
  <c r="K104" i="33"/>
  <c r="K136" i="33" s="1"/>
  <c r="K205" i="33" s="1"/>
  <c r="C104" i="33"/>
  <c r="C136" i="33" s="1"/>
  <c r="I104" i="33"/>
  <c r="I136" i="33" s="1"/>
  <c r="I205" i="33" s="1"/>
  <c r="F104" i="33"/>
  <c r="F136" i="33" s="1"/>
  <c r="F205" i="33" s="1"/>
  <c r="E104" i="33"/>
  <c r="E136" i="33" s="1"/>
  <c r="E205" i="33" s="1"/>
  <c r="M104" i="33" l="1"/>
  <c r="N105" i="33" s="1"/>
  <c r="N106" i="33" s="1"/>
  <c r="N107" i="33" s="1"/>
  <c r="N108" i="33" s="1"/>
  <c r="N109" i="33" s="1"/>
  <c r="N110" i="33" s="1"/>
  <c r="N111" i="33" s="1"/>
  <c r="N112" i="33" s="1"/>
  <c r="N113" i="33" s="1"/>
  <c r="N114" i="33" s="1"/>
  <c r="N115" i="33" s="1"/>
  <c r="H168" i="33"/>
  <c r="H235" i="33" s="1"/>
  <c r="L168" i="33"/>
  <c r="L235" i="33" s="1"/>
  <c r="I168" i="33"/>
  <c r="I235" i="33" s="1"/>
  <c r="G168" i="33"/>
  <c r="G235" i="33" s="1"/>
  <c r="K168" i="33"/>
  <c r="K235" i="33" s="1"/>
  <c r="J168" i="33"/>
  <c r="J235" i="33" s="1"/>
  <c r="D168" i="33"/>
  <c r="D235" i="33" s="1"/>
  <c r="M136" i="33"/>
  <c r="N137" i="33" s="1"/>
  <c r="N138" i="33" s="1"/>
  <c r="N139" i="33" s="1"/>
  <c r="N140" i="33" s="1"/>
  <c r="N141" i="33" s="1"/>
  <c r="N142" i="33" s="1"/>
  <c r="N143" i="33" s="1"/>
  <c r="N144" i="33" s="1"/>
  <c r="N145" i="33" s="1"/>
  <c r="N146" i="33" s="1"/>
  <c r="N147" i="33" s="1"/>
  <c r="C205" i="33"/>
  <c r="M205" i="33" s="1"/>
  <c r="N206" i="33" s="1"/>
  <c r="N207" i="33" s="1"/>
  <c r="N208" i="33" s="1"/>
  <c r="N209" i="33" s="1"/>
  <c r="N210" i="33" s="1"/>
  <c r="N211" i="33" s="1"/>
  <c r="N212" i="33" s="1"/>
  <c r="N213" i="33" s="1"/>
  <c r="N214" i="33" s="1"/>
  <c r="N215" i="33" s="1"/>
  <c r="N216" i="33" s="1"/>
  <c r="F168" i="33"/>
  <c r="F235" i="33" s="1"/>
  <c r="E168" i="33"/>
  <c r="E235" i="33" s="1"/>
  <c r="C168" i="33"/>
  <c r="C235" i="33" l="1"/>
  <c r="M235" i="33" s="1"/>
  <c r="N236" i="33" s="1"/>
  <c r="N237" i="33" s="1"/>
  <c r="N238" i="33" s="1"/>
  <c r="N239" i="33" s="1"/>
  <c r="N240" i="33" s="1"/>
  <c r="N241" i="33" s="1"/>
  <c r="N242" i="33" s="1"/>
  <c r="N243" i="33" s="1"/>
  <c r="N244" i="33" s="1"/>
  <c r="N245" i="33" s="1"/>
  <c r="N246" i="33" s="1"/>
  <c r="M168" i="33"/>
  <c r="N169" i="33" s="1"/>
  <c r="N170" i="33" s="1"/>
  <c r="N171" i="33" s="1"/>
  <c r="N172" i="33" s="1"/>
  <c r="N173" i="33" s="1"/>
  <c r="N174" i="33" s="1"/>
  <c r="N175" i="33" s="1"/>
  <c r="N176" i="33" s="1"/>
  <c r="N177" i="33" s="1"/>
  <c r="N178" i="33" s="1"/>
  <c r="N179" i="33" s="1"/>
  <c r="F253" i="35" l="1"/>
  <c r="F254" i="35" s="1"/>
  <c r="G257" i="35"/>
  <c r="E176" i="35" s="1"/>
  <c r="G370" i="35"/>
  <c r="G534" i="35"/>
  <c r="F538" i="35"/>
  <c r="G540" i="35" s="1"/>
  <c r="E471" i="35" s="1"/>
  <c r="F176" i="35" l="1"/>
  <c r="F177" i="35" s="1"/>
  <c r="E108" i="35"/>
  <c r="F108" i="35" s="1"/>
  <c r="F110" i="35" s="1"/>
  <c r="D36" i="45"/>
  <c r="D38" i="45"/>
  <c r="F224" i="35"/>
  <c r="F225" i="35" s="1"/>
  <c r="F239" i="35"/>
  <c r="F240" i="35" s="1"/>
  <c r="F244" i="35" s="1"/>
  <c r="F471" i="35"/>
  <c r="E414" i="35"/>
  <c r="F414" i="35" s="1"/>
  <c r="G542" i="35"/>
  <c r="F512" i="35"/>
  <c r="G514" i="35" s="1"/>
  <c r="E445" i="35" s="1"/>
  <c r="G508" i="35"/>
  <c r="F592" i="35"/>
  <c r="G594" i="35" s="1"/>
  <c r="E525" i="35" s="1"/>
  <c r="F584" i="35"/>
  <c r="G588" i="35" s="1"/>
  <c r="F445" i="35" l="1"/>
  <c r="E386" i="35"/>
  <c r="F386" i="35" s="1"/>
  <c r="F525" i="35"/>
  <c r="F526" i="35" s="1"/>
  <c r="E470" i="35"/>
  <c r="F470" i="35" s="1"/>
  <c r="F472" i="35" s="1"/>
  <c r="G517" i="35"/>
  <c r="F558" i="35"/>
  <c r="G562" i="35" s="1"/>
  <c r="F566" i="35"/>
  <c r="G568" i="35" s="1"/>
  <c r="E499" i="35" s="1"/>
  <c r="G596" i="35"/>
  <c r="F499" i="35" l="1"/>
  <c r="F500" i="35" s="1"/>
  <c r="E444" i="35"/>
  <c r="F444" i="35" s="1"/>
  <c r="F446" i="35" s="1"/>
  <c r="G571" i="35"/>
  <c r="C21" i="33" l="1"/>
  <c r="E21" i="33" l="1"/>
  <c r="G21" i="33" l="1"/>
  <c r="F21" i="33" s="1"/>
  <c r="G116" i="33" l="1"/>
  <c r="H116" i="33"/>
  <c r="L116" i="33"/>
  <c r="H21" i="33"/>
  <c r="J21" i="33" s="1"/>
  <c r="E116" i="33"/>
  <c r="C116" i="33"/>
  <c r="G10" i="42" l="1"/>
  <c r="H10" i="42" s="1"/>
  <c r="F116" i="33"/>
  <c r="L247" i="33"/>
  <c r="G217" i="33"/>
  <c r="K116" i="33"/>
  <c r="D116" i="33"/>
  <c r="H247" i="33"/>
  <c r="I116" i="33"/>
  <c r="J116" i="33"/>
  <c r="M116" i="33"/>
  <c r="E247" i="33"/>
  <c r="J247" i="33"/>
  <c r="J180" i="33"/>
  <c r="C148" i="33"/>
  <c r="I180" i="33"/>
  <c r="I247" i="33"/>
  <c r="F148" i="33"/>
  <c r="F217" i="33"/>
  <c r="G148" i="33"/>
  <c r="K148" i="33"/>
  <c r="K217" i="33"/>
  <c r="J217" i="33"/>
  <c r="J148" i="33"/>
  <c r="F180" i="33"/>
  <c r="F247" i="33"/>
  <c r="D247" i="33"/>
  <c r="D180" i="33"/>
  <c r="I148" i="33"/>
  <c r="I217" i="33"/>
  <c r="D148" i="33"/>
  <c r="D217" i="33"/>
  <c r="M117" i="33" l="1"/>
  <c r="L217" i="33"/>
  <c r="L180" i="33"/>
  <c r="L264" i="33" s="1"/>
  <c r="G247" i="33"/>
  <c r="H217" i="33"/>
  <c r="H148" i="33"/>
  <c r="H180" i="33"/>
  <c r="H264" i="33" s="1"/>
  <c r="L148" i="33"/>
  <c r="J117" i="33"/>
  <c r="K117" i="33"/>
  <c r="L117" i="33"/>
  <c r="I117" i="33"/>
  <c r="E148" i="33"/>
  <c r="D117" i="33"/>
  <c r="G117" i="33"/>
  <c r="F117" i="33"/>
  <c r="C117" i="33"/>
  <c r="H117" i="33"/>
  <c r="E117" i="33"/>
  <c r="M148" i="33"/>
  <c r="E180" i="33"/>
  <c r="E264" i="33" s="1"/>
  <c r="E217" i="33"/>
  <c r="F264" i="33"/>
  <c r="I264" i="33"/>
  <c r="J264" i="33"/>
  <c r="K180" i="33"/>
  <c r="K247" i="33"/>
  <c r="C180" i="33"/>
  <c r="C217" i="33"/>
  <c r="D264" i="33"/>
  <c r="F27" i="35" l="1"/>
  <c r="F15" i="35"/>
  <c r="M180" i="33"/>
  <c r="G180" i="33"/>
  <c r="G264" i="33" s="1"/>
  <c r="M217" i="33"/>
  <c r="F112" i="35" s="1"/>
  <c r="K264" i="33"/>
  <c r="C247" i="33"/>
  <c r="C264" i="33" s="1"/>
  <c r="G32" i="35" l="1"/>
  <c r="F28" i="35"/>
  <c r="F29" i="35" s="1"/>
  <c r="F124" i="35"/>
  <c r="F114" i="35"/>
  <c r="F116" i="35" s="1"/>
  <c r="G120" i="35" s="1"/>
  <c r="F181" i="35"/>
  <c r="F183" i="35" s="1"/>
  <c r="G187" i="35" s="1"/>
  <c r="G198" i="35" s="1"/>
  <c r="G248" i="35"/>
  <c r="G259" i="35" s="1"/>
  <c r="M247" i="33"/>
  <c r="F402" i="35"/>
  <c r="G404" i="35" s="1"/>
  <c r="F476" i="35"/>
  <c r="G480" i="35" s="1"/>
  <c r="F430" i="35"/>
  <c r="G432" i="35" s="1"/>
  <c r="F355" i="35" s="1"/>
  <c r="F484" i="35"/>
  <c r="G486" i="35" s="1"/>
  <c r="F125" i="35" l="1"/>
  <c r="F126" i="35" s="1"/>
  <c r="G129" i="35"/>
  <c r="G131" i="35" s="1"/>
  <c r="G12" i="42"/>
  <c r="F79" i="35"/>
  <c r="F148" i="35"/>
  <c r="M264" i="33"/>
  <c r="F326" i="35"/>
  <c r="G488" i="35"/>
  <c r="E415" i="35"/>
  <c r="F450" i="35"/>
  <c r="G454" i="35" s="1"/>
  <c r="F458" i="35"/>
  <c r="G460" i="35" s="1"/>
  <c r="E387" i="35" s="1"/>
  <c r="F81" i="35" l="1"/>
  <c r="F93" i="35"/>
  <c r="H12" i="42"/>
  <c r="F14" i="42"/>
  <c r="F415" i="35"/>
  <c r="F416" i="35" s="1"/>
  <c r="F420" i="35" s="1"/>
  <c r="F422" i="35" s="1"/>
  <c r="G426" i="35" s="1"/>
  <c r="G434" i="35" s="1"/>
  <c r="F354" i="35"/>
  <c r="F356" i="35" s="1"/>
  <c r="F360" i="35" s="1"/>
  <c r="F387" i="35"/>
  <c r="F388" i="35" s="1"/>
  <c r="F392" i="35" s="1"/>
  <c r="F394" i="35" s="1"/>
  <c r="G398" i="35" s="1"/>
  <c r="G407" i="35" s="1"/>
  <c r="F325" i="35"/>
  <c r="F327" i="35" s="1"/>
  <c r="F331" i="35" s="1"/>
  <c r="G335" i="35" s="1"/>
  <c r="G463" i="35"/>
  <c r="F94" i="35" l="1"/>
  <c r="F95" i="35" s="1"/>
  <c r="G98" i="35"/>
  <c r="E10" i="35" s="1"/>
  <c r="F10" i="35" s="1"/>
  <c r="F11" i="35" s="1"/>
  <c r="G14" i="42"/>
  <c r="H14" i="42" s="1"/>
  <c r="G228" i="35"/>
  <c r="G341" i="35"/>
  <c r="G364" i="35"/>
  <c r="G372" i="35" s="1"/>
  <c r="F19" i="35" l="1"/>
  <c r="G23" i="35" s="1"/>
  <c r="G34" i="35" s="1"/>
  <c r="F210" i="35"/>
  <c r="E143" i="35"/>
  <c r="G343" i="35"/>
  <c r="G376" i="35"/>
  <c r="F143" i="35" l="1"/>
  <c r="F144" i="35" s="1"/>
  <c r="E148" i="35" s="1"/>
  <c r="G148" i="35" s="1"/>
  <c r="E75" i="35"/>
  <c r="F75" i="35" s="1"/>
  <c r="F77" i="35" s="1"/>
  <c r="F85" i="35" s="1"/>
  <c r="G89" i="35" s="1"/>
  <c r="G100" i="35" s="1"/>
  <c r="F152" i="35"/>
  <c r="G156" i="35" s="1"/>
  <c r="G167" i="35" s="1"/>
  <c r="F211" i="35"/>
  <c r="F215" i="35" s="1"/>
  <c r="G347" i="35"/>
  <c r="G219" i="35" l="1"/>
  <c r="G230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1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  <comment ref="B150" authorId="0" shapeId="0" xr:uid="{7AAB619D-748D-44C1-B030-AA9AD4994065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<sst xmlns="http://schemas.openxmlformats.org/spreadsheetml/2006/main" count="1002" uniqueCount="235">
  <si>
    <t>HDPE</t>
  </si>
  <si>
    <t>PET</t>
  </si>
  <si>
    <t>May</t>
  </si>
  <si>
    <t>Total</t>
  </si>
  <si>
    <t>%</t>
  </si>
  <si>
    <t>Customers</t>
  </si>
  <si>
    <t>Credits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</si>
  <si>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</si>
  <si>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</si>
  <si>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</si>
  <si>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</si>
  <si>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</si>
  <si>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</si>
  <si>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</si>
  <si>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</si>
  <si>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</si>
  <si>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</si>
  <si>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</si>
  <si>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</si>
  <si>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</si>
  <si>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</si>
  <si>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</si>
  <si>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</si>
  <si>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</si>
  <si>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</si>
  <si>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</si>
  <si>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</si>
  <si>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</si>
  <si>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</si>
  <si>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</si>
  <si>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</si>
  <si>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</si>
  <si>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</si>
  <si>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</si>
  <si>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</si>
  <si>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</si>
  <si>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</si>
  <si>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</si>
  <si>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</si>
  <si>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</si>
  <si>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</si>
  <si>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</si>
  <si>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</si>
  <si>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</si>
  <si>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</si>
  <si>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</si>
  <si>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</si>
  <si>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</si>
  <si>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</si>
  <si>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</si>
  <si>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</si>
  <si>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</si>
  <si>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</si>
  <si>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</si>
  <si>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</si>
  <si>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</si>
  <si>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</si>
  <si>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</si>
  <si>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</si>
  <si>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</si>
  <si>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</si>
  <si>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</si>
  <si>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</si>
  <si>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</si>
  <si>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</si>
  <si>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</si>
  <si>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</si>
  <si>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</si>
  <si>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</si>
  <si>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</si>
  <si>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</si>
  <si>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</si>
  <si>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</si>
  <si>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</si>
  <si>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</si>
  <si>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</si>
  <si>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</si>
  <si>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</si>
  <si>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</si>
  <si>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</si>
  <si>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</si>
  <si>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</si>
  <si>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</si>
  <si>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</si>
  <si>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</si>
  <si>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</si>
  <si>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</si>
  <si>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</si>
  <si>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</si>
  <si>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</si>
  <si>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</si>
  <si>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</si>
  <si>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</si>
  <si>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</si>
  <si>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</si>
  <si>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</si>
  <si>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</si>
  <si>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</si>
  <si>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</si>
  <si>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</si>
  <si>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</si>
  <si>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</si>
  <si>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</si>
  <si>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</si>
  <si>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</si>
  <si>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</si>
  <si>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</si>
  <si>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</si>
  <si>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</si>
  <si>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</si>
  <si>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</si>
  <si>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</si>
  <si>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Labor Cost Total (see detail below)</t>
  </si>
  <si>
    <t>Tasks As Outlined In RSA</t>
  </si>
  <si>
    <t>Total RSA Task Fees (excluding capital)</t>
  </si>
  <si>
    <t>Total Budgeted Expenses</t>
  </si>
  <si>
    <t>Performance Incentive (5% of expenditures)</t>
  </si>
  <si>
    <t>Total Expenditures plus incentive</t>
  </si>
  <si>
    <t>Avg. lbs./customer/mo.</t>
  </si>
  <si>
    <t>Avg. revenue/ton</t>
  </si>
  <si>
    <t>Labor Cost Allocation</t>
  </si>
  <si>
    <t>Total Hours</t>
  </si>
  <si>
    <t>Hourly Rate</t>
  </si>
  <si>
    <t>Total 2 yrs</t>
  </si>
  <si>
    <t>Monthly Reporting (CC Team )</t>
  </si>
  <si>
    <t>Executive Management/Oversight (Mindy &amp; Mary)</t>
  </si>
  <si>
    <t>Public Education Team &amp; Website Updates</t>
  </si>
  <si>
    <t xml:space="preserve">Labor Cost Totals </t>
  </si>
  <si>
    <t>Net Residential Commodity Adjustment</t>
  </si>
  <si>
    <t>Average</t>
  </si>
  <si>
    <t>lbs./</t>
  </si>
  <si>
    <t>Customer/</t>
  </si>
  <si>
    <t>Multi-Family Commodity Adjustment</t>
  </si>
  <si>
    <t>Residential and Multi-Family WUTC tonnage (2 years)</t>
  </si>
  <si>
    <t>Less: Recycling Incentive</t>
  </si>
  <si>
    <t>RSA Project Manager (includes travel expenses)</t>
  </si>
  <si>
    <t>Spokane County Revenue Sharing Budget</t>
  </si>
  <si>
    <r>
      <t xml:space="preserve">Projected Revenue June 2018 - </t>
    </r>
    <r>
      <rPr>
        <b/>
        <u/>
        <sz val="12"/>
        <color rgb="FF0070C0"/>
        <rFont val="Arial"/>
        <family val="2"/>
      </rPr>
      <t>November 2018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</si>
  <si>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June - July. projected value without adjustment factor</t>
  </si>
  <si>
    <t>Tonnage</t>
  </si>
  <si>
    <t>Actual</t>
  </si>
  <si>
    <t>Inc.</t>
  </si>
  <si>
    <t>(Dec.)</t>
  </si>
  <si>
    <t>Diff.</t>
  </si>
  <si>
    <t>Revenue per ton</t>
  </si>
  <si>
    <t>Budget vs. Actual Comparison</t>
  </si>
  <si>
    <t>Commodity Revenue</t>
  </si>
  <si>
    <t xml:space="preserve">Actual Commodity Revenue </t>
  </si>
  <si>
    <t>Projected Revenue July 2018 - November 2018</t>
  </si>
  <si>
    <t>Aug. - Nov. projected value without adjustment factor</t>
  </si>
  <si>
    <r>
      <t>Projected Revenue December 2018 - May</t>
    </r>
    <r>
      <rPr>
        <b/>
        <u/>
        <sz val="12"/>
        <color rgb="FF0070C0"/>
        <rFont val="Arial"/>
        <family val="2"/>
      </rPr>
      <t xml:space="preserve"> 2019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</si>
  <si>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Projected Revenue December 2018 - June 2019</t>
  </si>
  <si>
    <t>Less: % Retained per RSA</t>
  </si>
  <si>
    <t>Total Credits</t>
  </si>
  <si>
    <t>Total Projected Customers</t>
  </si>
  <si>
    <t xml:space="preserve">Dec. - Jan. projected value </t>
  </si>
  <si>
    <t xml:space="preserve">Feb. - May projected value </t>
  </si>
  <si>
    <r>
      <t>Projected Revenue June 2019 - May</t>
    </r>
    <r>
      <rPr>
        <b/>
        <u/>
        <sz val="12"/>
        <color rgb="FF0070C0"/>
        <rFont val="Arial"/>
        <family val="2"/>
      </rPr>
      <t xml:space="preserve"> 2020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</si>
  <si>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2019 - 2020 Rebate Calculation</t>
  </si>
  <si>
    <t>Projected Revenue June 2019 - May 2020</t>
  </si>
  <si>
    <t xml:space="preserve">Jun. - Jul. projected value </t>
  </si>
  <si>
    <t xml:space="preserve">Aug. - May projected value </t>
  </si>
  <si>
    <r>
      <t>Projected Revenue June 2020 - May</t>
    </r>
    <r>
      <rPr>
        <b/>
        <u/>
        <sz val="12"/>
        <color rgb="FF0070C0"/>
        <rFont val="Arial"/>
        <family val="2"/>
      </rPr>
      <t xml:space="preserve"> 2021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</si>
  <si>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Jun</t>
  </si>
  <si>
    <t>Jul</t>
  </si>
  <si>
    <t>Aug</t>
  </si>
  <si>
    <t>Sep</t>
  </si>
  <si>
    <t>Oct</t>
  </si>
  <si>
    <t>Nov</t>
  </si>
  <si>
    <t>MRB</t>
  </si>
  <si>
    <t>VW2</t>
  </si>
  <si>
    <t>VWS</t>
  </si>
  <si>
    <t>VWT</t>
  </si>
  <si>
    <t>VWU</t>
  </si>
  <si>
    <t>Amount Over (under) spent</t>
  </si>
  <si>
    <t>Revenue less 50% retention</t>
  </si>
  <si>
    <t>Add: Amount underspent (net of incentive)</t>
  </si>
  <si>
    <t>Total Two Year Projected Commodity Revenue (based on most recent 6 months average commodity values )</t>
  </si>
  <si>
    <t>August 1 2020 - July 31, 2022</t>
  </si>
  <si>
    <t>Task 1 - Knowledge Sharing</t>
  </si>
  <si>
    <t>Task 2 - Community Events - Reducing Contamination and Waste</t>
  </si>
  <si>
    <t>Task 3 - Focused Education for Younger Minds</t>
  </si>
  <si>
    <t>Task 4 - Multifamily recycling and Reduction of Contamination</t>
  </si>
  <si>
    <t>VWM</t>
  </si>
  <si>
    <t>Pro-Rata</t>
  </si>
  <si>
    <t>mos.</t>
  </si>
  <si>
    <t>2021 - 2022 Rebate Calculation</t>
  </si>
  <si>
    <t>Projected Revenue June 2020 - May 2020</t>
  </si>
  <si>
    <r>
      <t>Projected Revenue June 2021 - May</t>
    </r>
    <r>
      <rPr>
        <b/>
        <u/>
        <sz val="12"/>
        <color rgb="FF0070C0"/>
        <rFont val="Arial"/>
        <family val="2"/>
      </rPr>
      <t xml:space="preserve"> 2022</t>
    </r>
    <r>
      <rPr>
        <b/>
        <u/>
        <sz val="12"/>
        <rFont val="Arial"/>
        <family val="2"/>
      </rPr>
      <t xml:space="preserve"> (based on most recent 12 months average)</t>
    </r>
  </si>
  <si>
    <t>Revised</t>
  </si>
  <si>
    <t>Note:</t>
  </si>
  <si>
    <t>Total Customers (24 months)</t>
  </si>
  <si>
    <t>Additional monthly cost</t>
  </si>
  <si>
    <t>The revised budget removes reoccurring internal Labor Costs which will be added to the monthly collection fee (pursuant to Staff instructions) and redistributes this amount to the various tasks</t>
  </si>
  <si>
    <t xml:space="preserve">Total Labor Cost Allocation </t>
  </si>
  <si>
    <t>Current Collection Rate in tariff</t>
  </si>
  <si>
    <t>Proposed New Collection Rate</t>
  </si>
  <si>
    <t>2022 - 2023 Rebate Calculation</t>
  </si>
  <si>
    <t>Jun. 2020</t>
  </si>
  <si>
    <t>Jan. 2021</t>
  </si>
  <si>
    <t>Jun. 2021</t>
  </si>
  <si>
    <t>Jan. 2022</t>
  </si>
  <si>
    <r>
      <t>Projected Revenue June 2022 - May</t>
    </r>
    <r>
      <rPr>
        <b/>
        <u/>
        <sz val="12"/>
        <color rgb="FF0070C0"/>
        <rFont val="Arial"/>
        <family val="2"/>
      </rPr>
      <t xml:space="preserve"> 2023</t>
    </r>
    <r>
      <rPr>
        <b/>
        <u/>
        <sz val="12"/>
        <rFont val="Arial"/>
        <family val="2"/>
      </rPr>
      <t xml:space="preserve"> (based on most recent 12 months average)</t>
    </r>
  </si>
  <si>
    <t>Projected Revenue June 2022 - May 2022</t>
  </si>
  <si>
    <t>Spokane County Financial Incentive Analysis</t>
  </si>
  <si>
    <t>2-Year</t>
  </si>
  <si>
    <t>YTD</t>
  </si>
  <si>
    <t>Annualized</t>
  </si>
  <si>
    <t>Rolling Avg.</t>
  </si>
  <si>
    <t xml:space="preserve"> RESIDENTIAL WASTE STREAM</t>
  </si>
  <si>
    <t xml:space="preserve">Residential Recycling </t>
  </si>
  <si>
    <t xml:space="preserve">Residential Yard Waste </t>
  </si>
  <si>
    <t xml:space="preserve">Residential Solid Waste </t>
  </si>
  <si>
    <t>TOTAL RESIDENTIAL</t>
  </si>
  <si>
    <t xml:space="preserve"> MULTIFAMILY WASTE STREAM</t>
  </si>
  <si>
    <t xml:space="preserve">Multifamily Recycling </t>
  </si>
  <si>
    <t xml:space="preserve">Multifamily Yard Waste </t>
  </si>
  <si>
    <t xml:space="preserve">Multifamily Solid Waste </t>
  </si>
  <si>
    <t>TOTAL MULTIFAMILY</t>
  </si>
  <si>
    <t xml:space="preserve"> TOTAL WASTE STREAM</t>
  </si>
  <si>
    <t>Total Diversion</t>
  </si>
  <si>
    <t>Diversion Rate</t>
  </si>
  <si>
    <t>Met incentive</t>
  </si>
  <si>
    <t>Actual/projected</t>
  </si>
  <si>
    <t>Diff</t>
  </si>
  <si>
    <t>Task 1 - Recycling and Organics Rules Advertising</t>
  </si>
  <si>
    <t>Task 2 - Recycling and Organics Promotion at Events</t>
  </si>
  <si>
    <t>Task 3 - Elementary School Recycling Education</t>
  </si>
  <si>
    <t>Task 4 - Multifamily Recycling Education Programs</t>
  </si>
  <si>
    <t xml:space="preserve">Total Two Year Projected Commodity Revenue </t>
  </si>
  <si>
    <t>(8/20-7/22)</t>
  </si>
  <si>
    <t>2020 - 2022 RSA</t>
  </si>
  <si>
    <t>a.) Diversion (per Enspire):</t>
  </si>
  <si>
    <t>May, 2022</t>
  </si>
  <si>
    <t>Yard Waste annualized total reflects the most recent 12 months (June, 2021 - May, 2022 to account for the seasonality of yard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</si>
</sst>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 val="singleAccounting"/>
      <sz val="12"/>
      <name val="Arial"/>
      <family val="2"/>
    </font>
    <font>
      <b/>
      <u val="doubleAccounting"/>
      <sz val="12"/>
      <name val="Arial"/>
      <family val="2"/>
    </font>
    <font>
      <sz val="10"/>
      <color theme="3" tint="0.39997558519241921"/>
      <name val="Arial"/>
      <family val="2"/>
    </font>
    <font>
      <sz val="12"/>
      <color rgb="FF0070C0"/>
      <name val="Arial"/>
      <family val="2"/>
    </font>
    <font>
      <u val="singleAccounting"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 val="singleAccounting"/>
      <sz val="12"/>
      <color rgb="FF0070C0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rgb="FF00B050"/>
      <name val="Arial"/>
      <family val="2"/>
    </font>
    <font>
      <u val="singleAccounting"/>
      <sz val="10"/>
      <color theme="1"/>
      <name val="Arial"/>
      <family val="2"/>
    </font>
    <font>
      <b/>
      <sz val="11"/>
      <name val="Calibri"/>
      <family val="2"/>
    </font>
    <font>
      <u val="doubleAccounting"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doubleAccounting"/>
      <sz val="12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i/>
      <sz val="10"/>
      <color indexed="10"/>
      <name val="Arial"/>
      <family val="2"/>
    </font>
    <font>
      <b/>
      <u val="double"/>
      <sz val="10"/>
      <color theme="1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8">
      <alignment horizontal="center"/>
    </xf>
    <xf numFmtId="3" fontId="23" fillId="0" borderId="0" applyFont="0" applyFill="0" applyBorder="0" applyAlignment="0" applyProtection="0"/>
    <xf numFmtId="0" fontId="23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7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7" fillId="2" borderId="3" xfId="0" applyFont="1" applyFill="1" applyBorder="1"/>
    <xf numFmtId="0" fontId="17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17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7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7" fillId="2" borderId="0" xfId="0" applyFont="1" applyFill="1" applyBorder="1" applyAlignment="1">
      <alignment horizontal="center"/>
    </xf>
    <xf numFmtId="41" fontId="17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5" fillId="0" borderId="0" xfId="4" applyNumberFormat="1" applyFont="1"/>
    <xf numFmtId="44" fontId="26" fillId="0" borderId="0" xfId="3" applyFont="1"/>
    <xf numFmtId="10" fontId="25" fillId="0" borderId="0" xfId="1" applyNumberFormat="1" applyFont="1"/>
    <xf numFmtId="0" fontId="27" fillId="0" borderId="0" xfId="0" applyFont="1" applyFill="1"/>
    <xf numFmtId="0" fontId="28" fillId="0" borderId="0" xfId="0" applyFont="1"/>
    <xf numFmtId="0" fontId="28" fillId="0" borderId="0" xfId="0" applyFont="1" applyBorder="1"/>
    <xf numFmtId="0" fontId="29" fillId="0" borderId="0" xfId="0" applyFont="1" applyBorder="1"/>
    <xf numFmtId="0" fontId="29" fillId="0" borderId="1" xfId="0" applyFont="1" applyBorder="1" applyAlignment="1">
      <alignment horizontal="center"/>
    </xf>
    <xf numFmtId="43" fontId="30" fillId="0" borderId="0" xfId="1" applyFont="1" applyBorder="1" applyAlignment="1" applyProtection="1">
      <alignment horizontal="right"/>
      <protection locked="0"/>
    </xf>
    <xf numFmtId="166" fontId="28" fillId="0" borderId="0" xfId="4" applyNumberFormat="1" applyFont="1" applyBorder="1"/>
    <xf numFmtId="0" fontId="27" fillId="0" borderId="0" xfId="0" applyFont="1" applyBorder="1"/>
    <xf numFmtId="43" fontId="27" fillId="0" borderId="12" xfId="1" applyFont="1" applyBorder="1"/>
    <xf numFmtId="0" fontId="29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2" borderId="1" xfId="0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/>
    </xf>
    <xf numFmtId="17" fontId="29" fillId="0" borderId="0" xfId="0" applyNumberFormat="1" applyFont="1" applyFill="1" applyBorder="1" applyAlignment="1">
      <alignment horizontal="right"/>
    </xf>
    <xf numFmtId="44" fontId="30" fillId="0" borderId="0" xfId="3" applyFont="1" applyFill="1" applyBorder="1" applyProtection="1">
      <protection locked="0"/>
    </xf>
    <xf numFmtId="0" fontId="3" fillId="0" borderId="0" xfId="5" applyFont="1" applyFill="1" applyAlignment="1">
      <alignment horizontal="center"/>
    </xf>
    <xf numFmtId="166" fontId="31" fillId="0" borderId="0" xfId="4" applyNumberFormat="1" applyFont="1"/>
    <xf numFmtId="0" fontId="4" fillId="0" borderId="0" xfId="0" applyFont="1" applyAlignment="1">
      <alignment horizontal="center"/>
    </xf>
    <xf numFmtId="166" fontId="27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0" fillId="0" borderId="0" xfId="0" applyNumberFormat="1" applyFont="1" applyFill="1"/>
    <xf numFmtId="166" fontId="0" fillId="0" borderId="0" xfId="4" applyNumberFormat="1" applyFont="1"/>
    <xf numFmtId="166" fontId="31" fillId="0" borderId="0" xfId="0" applyNumberFormat="1" applyFont="1"/>
    <xf numFmtId="44" fontId="20" fillId="0" borderId="0" xfId="0" applyNumberFormat="1" applyFont="1"/>
    <xf numFmtId="0" fontId="31" fillId="0" borderId="0" xfId="0" applyFont="1"/>
    <xf numFmtId="164" fontId="31" fillId="0" borderId="0" xfId="1" applyNumberFormat="1" applyFont="1"/>
    <xf numFmtId="164" fontId="31" fillId="0" borderId="0" xfId="0" applyNumberFormat="1" applyFont="1"/>
    <xf numFmtId="41" fontId="0" fillId="0" borderId="0" xfId="0" applyNumberFormat="1"/>
    <xf numFmtId="44" fontId="3" fillId="0" borderId="0" xfId="3" applyFont="1"/>
    <xf numFmtId="10" fontId="30" fillId="0" borderId="0" xfId="4" applyNumberFormat="1" applyFont="1" applyBorder="1" applyAlignment="1">
      <alignment horizontal="right"/>
    </xf>
    <xf numFmtId="43" fontId="30" fillId="0" borderId="0" xfId="1" applyFont="1" applyBorder="1" applyProtection="1">
      <protection locked="0"/>
    </xf>
    <xf numFmtId="0" fontId="27" fillId="0" borderId="0" xfId="0" applyFont="1"/>
    <xf numFmtId="0" fontId="0" fillId="0" borderId="0" xfId="0" applyNumberFormat="1"/>
    <xf numFmtId="43" fontId="33" fillId="0" borderId="0" xfId="0" applyNumberFormat="1" applyFont="1" applyBorder="1"/>
    <xf numFmtId="43" fontId="34" fillId="0" borderId="0" xfId="1" applyFont="1" applyBorder="1" applyAlignment="1" applyProtection="1">
      <alignment horizontal="right"/>
      <protection locked="0"/>
    </xf>
    <xf numFmtId="166" fontId="32" fillId="0" borderId="0" xfId="4" applyNumberFormat="1" applyFont="1" applyBorder="1"/>
    <xf numFmtId="0" fontId="35" fillId="0" borderId="0" xfId="0" applyFont="1"/>
    <xf numFmtId="0" fontId="36" fillId="0" borderId="0" xfId="0" applyFont="1"/>
    <xf numFmtId="44" fontId="17" fillId="2" borderId="0" xfId="3" applyFont="1" applyFill="1" applyBorder="1"/>
    <xf numFmtId="165" fontId="17" fillId="2" borderId="0" xfId="3" applyNumberFormat="1" applyFont="1" applyFill="1" applyBorder="1"/>
    <xf numFmtId="165" fontId="12" fillId="2" borderId="0" xfId="3" applyNumberFormat="1" applyFont="1" applyFill="1" applyBorder="1"/>
    <xf numFmtId="165" fontId="37" fillId="2" borderId="0" xfId="3" applyNumberFormat="1" applyFont="1" applyFill="1" applyBorder="1"/>
    <xf numFmtId="0" fontId="17" fillId="2" borderId="5" xfId="0" applyFont="1" applyFill="1" applyBorder="1" applyAlignment="1">
      <alignment horizontal="center"/>
    </xf>
    <xf numFmtId="44" fontId="9" fillId="2" borderId="0" xfId="3" applyFont="1" applyFill="1" applyBorder="1"/>
    <xf numFmtId="0" fontId="32" fillId="0" borderId="0" xfId="0" applyFont="1"/>
    <xf numFmtId="43" fontId="28" fillId="0" borderId="0" xfId="1" applyFont="1"/>
    <xf numFmtId="43" fontId="27" fillId="0" borderId="0" xfId="0" applyNumberFormat="1" applyFont="1"/>
    <xf numFmtId="9" fontId="15" fillId="2" borderId="0" xfId="4" applyFont="1" applyFill="1" applyBorder="1"/>
    <xf numFmtId="0" fontId="38" fillId="0" borderId="0" xfId="0" applyFont="1" applyBorder="1"/>
    <xf numFmtId="0" fontId="0" fillId="0" borderId="0" xfId="0" applyBorder="1"/>
    <xf numFmtId="0" fontId="39" fillId="0" borderId="0" xfId="0" quotePrefix="1" applyFont="1" applyAlignment="1">
      <alignment wrapText="1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center" wrapText="1"/>
    </xf>
    <xf numFmtId="0" fontId="2" fillId="4" borderId="5" xfId="0" applyFont="1" applyFill="1" applyBorder="1" applyAlignment="1">
      <alignment wrapText="1"/>
    </xf>
    <xf numFmtId="166" fontId="2" fillId="0" borderId="0" xfId="4" applyNumberFormat="1" applyFont="1"/>
    <xf numFmtId="164" fontId="2" fillId="0" borderId="0" xfId="1" applyNumberFormat="1" applyFont="1" applyFill="1"/>
    <xf numFmtId="43" fontId="32" fillId="0" borderId="0" xfId="1" applyFont="1"/>
    <xf numFmtId="166" fontId="5" fillId="0" borderId="0" xfId="4" applyNumberFormat="1" applyFont="1"/>
    <xf numFmtId="44" fontId="8" fillId="2" borderId="6" xfId="7" applyNumberFormat="1" applyFont="1" applyFill="1" applyBorder="1"/>
    <xf numFmtId="0" fontId="10" fillId="2" borderId="5" xfId="0" applyFont="1" applyFill="1" applyBorder="1"/>
    <xf numFmtId="44" fontId="42" fillId="2" borderId="6" xfId="7" applyNumberFormat="1" applyFont="1" applyFill="1" applyBorder="1"/>
    <xf numFmtId="44" fontId="43" fillId="2" borderId="6" xfId="7" applyNumberFormat="1" applyFont="1" applyFill="1" applyBorder="1"/>
    <xf numFmtId="44" fontId="27" fillId="0" borderId="0" xfId="0" applyNumberFormat="1" applyFont="1" applyBorder="1"/>
    <xf numFmtId="164" fontId="0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0" fillId="0" borderId="0" xfId="0" applyNumberFormat="1"/>
    <xf numFmtId="9" fontId="0" fillId="0" borderId="0" xfId="4" applyFont="1"/>
    <xf numFmtId="165" fontId="44" fillId="0" borderId="0" xfId="0" applyNumberFormat="1" applyFont="1"/>
    <xf numFmtId="41" fontId="44" fillId="0" borderId="0" xfId="0" applyNumberFormat="1" applyFont="1"/>
    <xf numFmtId="44" fontId="44" fillId="0" borderId="0" xfId="3" applyFont="1"/>
    <xf numFmtId="165" fontId="45" fillId="2" borderId="0" xfId="7" applyNumberFormat="1" applyFont="1" applyFill="1" applyBorder="1"/>
    <xf numFmtId="41" fontId="46" fillId="2" borderId="0" xfId="0" applyNumberFormat="1" applyFont="1" applyFill="1" applyBorder="1"/>
    <xf numFmtId="165" fontId="45" fillId="2" borderId="0" xfId="3" applyNumberFormat="1" applyFont="1" applyFill="1" applyBorder="1"/>
    <xf numFmtId="164" fontId="46" fillId="2" borderId="0" xfId="1" applyNumberFormat="1" applyFont="1" applyFill="1" applyBorder="1"/>
    <xf numFmtId="44" fontId="8" fillId="5" borderId="6" xfId="7" applyNumberFormat="1" applyFont="1" applyFill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3" fontId="30" fillId="0" borderId="0" xfId="1" applyFont="1"/>
    <xf numFmtId="9" fontId="15" fillId="2" borderId="0" xfId="4" applyFont="1" applyFill="1" applyBorder="1" applyAlignment="1">
      <alignment horizontal="center"/>
    </xf>
    <xf numFmtId="165" fontId="46" fillId="2" borderId="0" xfId="7" applyNumberFormat="1" applyFont="1" applyFill="1" applyBorder="1"/>
    <xf numFmtId="165" fontId="50" fillId="2" borderId="0" xfId="7" applyNumberFormat="1" applyFont="1" applyFill="1" applyBorder="1"/>
    <xf numFmtId="0" fontId="51" fillId="2" borderId="5" xfId="0" applyFont="1" applyFill="1" applyBorder="1"/>
    <xf numFmtId="41" fontId="51" fillId="2" borderId="0" xfId="0" applyNumberFormat="1" applyFont="1" applyFill="1" applyBorder="1"/>
    <xf numFmtId="165" fontId="51" fillId="2" borderId="0" xfId="3" applyNumberFormat="1" applyFont="1" applyFill="1" applyBorder="1"/>
    <xf numFmtId="43" fontId="34" fillId="0" borderId="0" xfId="1" applyFont="1"/>
    <xf numFmtId="44" fontId="43" fillId="5" borderId="6" xfId="7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right"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44" fontId="3" fillId="0" borderId="0" xfId="3" applyFont="1" applyAlignment="1">
      <alignment horizontal="center"/>
    </xf>
    <xf numFmtId="44" fontId="20" fillId="0" borderId="0" xfId="3" applyFont="1" applyAlignment="1">
      <alignment horizontal="center"/>
    </xf>
    <xf numFmtId="0" fontId="52" fillId="0" borderId="0" xfId="0" applyFont="1" applyBorder="1"/>
    <xf numFmtId="0" fontId="52" fillId="0" borderId="0" xfId="0" applyFont="1" applyBorder="1" applyAlignment="1">
      <alignment horizontal="center"/>
    </xf>
    <xf numFmtId="164" fontId="53" fillId="0" borderId="0" xfId="0" applyNumberFormat="1" applyFont="1" applyBorder="1" applyAlignment="1">
      <alignment horizontal="center"/>
    </xf>
    <xf numFmtId="166" fontId="54" fillId="0" borderId="0" xfId="4" applyNumberFormat="1" applyFont="1" applyAlignment="1"/>
    <xf numFmtId="0" fontId="55" fillId="0" borderId="0" xfId="0" applyFont="1" applyFill="1" applyBorder="1"/>
    <xf numFmtId="164" fontId="53" fillId="0" borderId="0" xfId="0" applyNumberFormat="1" applyFont="1" applyBorder="1" applyAlignment="1"/>
    <xf numFmtId="0" fontId="55" fillId="0" borderId="0" xfId="0" applyFont="1" applyAlignment="1">
      <alignment wrapText="1"/>
    </xf>
    <xf numFmtId="165" fontId="5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49" fillId="0" borderId="0" xfId="4" applyNumberFormat="1" applyFont="1" applyAlignment="1">
      <alignment horizontal="center" wrapText="1"/>
    </xf>
    <xf numFmtId="165" fontId="55" fillId="0" borderId="0" xfId="3" applyNumberFormat="1" applyFont="1" applyAlignment="1">
      <alignment horizontal="right"/>
    </xf>
    <xf numFmtId="0" fontId="55" fillId="0" borderId="0" xfId="0" applyFont="1" applyBorder="1" applyAlignment="1">
      <alignment wrapText="1"/>
    </xf>
    <xf numFmtId="9" fontId="49" fillId="0" borderId="0" xfId="4" applyFont="1" applyAlignment="1">
      <alignment horizontal="center" wrapText="1"/>
    </xf>
    <xf numFmtId="165" fontId="52" fillId="0" borderId="0" xfId="3" applyNumberFormat="1" applyFont="1" applyBorder="1" applyAlignment="1">
      <alignment horizontal="center"/>
    </xf>
    <xf numFmtId="165" fontId="53" fillId="0" borderId="0" xfId="4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5" fontId="20" fillId="0" borderId="0" xfId="3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5" fontId="56" fillId="0" borderId="0" xfId="3" applyNumberFormat="1" applyFont="1" applyAlignment="1">
      <alignment horizontal="right"/>
    </xf>
    <xf numFmtId="0" fontId="52" fillId="0" borderId="0" xfId="0" applyFont="1" applyBorder="1" applyAlignment="1"/>
    <xf numFmtId="0" fontId="16" fillId="0" borderId="0" xfId="0" applyFont="1" applyAlignment="1">
      <alignment horizontal="right" wrapText="1"/>
    </xf>
    <xf numFmtId="165" fontId="2" fillId="0" borderId="0" xfId="3" applyNumberFormat="1" applyFont="1" applyAlignment="1">
      <alignment horizontal="right"/>
    </xf>
    <xf numFmtId="0" fontId="49" fillId="0" borderId="0" xfId="0" applyFont="1" applyBorder="1" applyAlignment="1">
      <alignment horizontal="right" wrapText="1"/>
    </xf>
    <xf numFmtId="165" fontId="6" fillId="0" borderId="0" xfId="3" applyNumberFormat="1" applyFont="1" applyAlignment="1">
      <alignment horizontal="right"/>
    </xf>
    <xf numFmtId="6" fontId="3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165" fontId="31" fillId="0" borderId="0" xfId="3" applyNumberFormat="1" applyFont="1" applyAlignment="1">
      <alignment horizontal="right"/>
    </xf>
    <xf numFmtId="6" fontId="49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center" wrapText="1"/>
    </xf>
    <xf numFmtId="166" fontId="31" fillId="0" borderId="0" xfId="4" applyNumberFormat="1" applyFont="1" applyAlignment="1">
      <alignment horizontal="center"/>
    </xf>
    <xf numFmtId="43" fontId="31" fillId="0" borderId="0" xfId="1" applyFont="1" applyAlignment="1">
      <alignment horizontal="center"/>
    </xf>
    <xf numFmtId="44" fontId="31" fillId="0" borderId="0" xfId="3" applyFont="1" applyAlignment="1">
      <alignment horizontal="center"/>
    </xf>
    <xf numFmtId="0" fontId="52" fillId="4" borderId="5" xfId="0" applyFont="1" applyFill="1" applyBorder="1" applyAlignment="1">
      <alignment wrapText="1"/>
    </xf>
    <xf numFmtId="0" fontId="52" fillId="4" borderId="0" xfId="0" applyFont="1" applyFill="1" applyBorder="1" applyAlignment="1">
      <alignment horizontal="center" wrapText="1"/>
    </xf>
    <xf numFmtId="0" fontId="52" fillId="4" borderId="0" xfId="0" applyFont="1" applyFill="1" applyBorder="1"/>
    <xf numFmtId="0" fontId="52" fillId="4" borderId="6" xfId="0" applyFont="1" applyFill="1" applyBorder="1" applyAlignment="1">
      <alignment horizontal="center"/>
    </xf>
    <xf numFmtId="164" fontId="48" fillId="4" borderId="0" xfId="1" applyNumberFormat="1" applyFont="1" applyFill="1" applyBorder="1" applyAlignment="1">
      <alignment horizontal="center" wrapText="1"/>
    </xf>
    <xf numFmtId="165" fontId="48" fillId="4" borderId="0" xfId="3" applyNumberFormat="1" applyFont="1" applyFill="1" applyBorder="1"/>
    <xf numFmtId="165" fontId="48" fillId="4" borderId="6" xfId="3" applyNumberFormat="1" applyFont="1" applyFill="1" applyBorder="1"/>
    <xf numFmtId="164" fontId="57" fillId="4" borderId="0" xfId="1" applyNumberFormat="1" applyFont="1" applyFill="1" applyBorder="1" applyAlignment="1">
      <alignment horizontal="center" wrapText="1"/>
    </xf>
    <xf numFmtId="165" fontId="57" fillId="4" borderId="6" xfId="3" applyNumberFormat="1" applyFont="1" applyFill="1" applyBorder="1"/>
    <xf numFmtId="0" fontId="3" fillId="4" borderId="5" xfId="0" applyFont="1" applyFill="1" applyBorder="1" applyAlignment="1">
      <alignment wrapText="1"/>
    </xf>
    <xf numFmtId="164" fontId="7" fillId="4" borderId="0" xfId="1" applyNumberFormat="1" applyFont="1" applyFill="1" applyBorder="1" applyAlignment="1">
      <alignment horizontal="center" wrapText="1"/>
    </xf>
    <xf numFmtId="165" fontId="53" fillId="4" borderId="6" xfId="3" applyNumberFormat="1" applyFont="1" applyFill="1" applyBorder="1"/>
    <xf numFmtId="44" fontId="28" fillId="0" borderId="0" xfId="3" applyFont="1" applyBorder="1"/>
    <xf numFmtId="17" fontId="29" fillId="2" borderId="0" xfId="0" applyNumberFormat="1" applyFont="1" applyFill="1" applyBorder="1" applyAlignment="1">
      <alignment horizontal="center"/>
    </xf>
    <xf numFmtId="43" fontId="32" fillId="0" borderId="0" xfId="1" applyFont="1" applyBorder="1"/>
    <xf numFmtId="0" fontId="41" fillId="0" borderId="0" xfId="0" applyFont="1" applyAlignment="1">
      <alignment wrapText="1"/>
    </xf>
    <xf numFmtId="165" fontId="31" fillId="0" borderId="0" xfId="3" applyNumberFormat="1" applyFont="1" applyAlignment="1">
      <alignment horizontal="center"/>
    </xf>
    <xf numFmtId="0" fontId="58" fillId="0" borderId="0" xfId="0" applyFont="1" applyAlignment="1">
      <alignment wrapText="1"/>
    </xf>
    <xf numFmtId="0" fontId="30" fillId="0" borderId="0" xfId="0" applyFont="1"/>
    <xf numFmtId="0" fontId="17" fillId="2" borderId="0" xfId="0" applyFont="1" applyFill="1"/>
    <xf numFmtId="165" fontId="17" fillId="2" borderId="0" xfId="3" applyNumberFormat="1" applyFont="1" applyFill="1"/>
    <xf numFmtId="0" fontId="9" fillId="2" borderId="0" xfId="0" applyFont="1" applyFill="1"/>
    <xf numFmtId="41" fontId="17" fillId="2" borderId="0" xfId="0" applyNumberFormat="1" applyFont="1" applyFill="1"/>
    <xf numFmtId="165" fontId="37" fillId="2" borderId="0" xfId="3" applyNumberFormat="1" applyFont="1" applyFill="1"/>
    <xf numFmtId="165" fontId="61" fillId="2" borderId="0" xfId="3" applyNumberFormat="1" applyFont="1" applyFill="1" applyBorder="1"/>
    <xf numFmtId="41" fontId="61" fillId="2" borderId="0" xfId="0" applyNumberFormat="1" applyFont="1" applyFill="1" applyBorder="1"/>
    <xf numFmtId="41" fontId="62" fillId="2" borderId="0" xfId="0" applyNumberFormat="1" applyFont="1" applyFill="1" applyBorder="1"/>
    <xf numFmtId="0" fontId="59" fillId="2" borderId="0" xfId="0" applyFont="1" applyFill="1" applyBorder="1"/>
    <xf numFmtId="41" fontId="43" fillId="2" borderId="0" xfId="0" applyNumberFormat="1" applyFont="1" applyFill="1" applyBorder="1"/>
    <xf numFmtId="0" fontId="43" fillId="2" borderId="0" xfId="0" applyFont="1" applyFill="1" applyBorder="1"/>
    <xf numFmtId="165" fontId="43" fillId="2" borderId="0" xfId="3" applyNumberFormat="1" applyFont="1" applyFill="1" applyBorder="1"/>
    <xf numFmtId="165" fontId="60" fillId="2" borderId="0" xfId="3" applyNumberFormat="1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17" fillId="2" borderId="8" xfId="0" applyFont="1" applyFill="1" applyBorder="1"/>
    <xf numFmtId="44" fontId="8" fillId="2" borderId="9" xfId="7" applyNumberFormat="1" applyFont="1" applyFill="1" applyBorder="1"/>
    <xf numFmtId="165" fontId="59" fillId="2" borderId="0" xfId="3" applyNumberFormat="1" applyFont="1" applyFill="1"/>
    <xf numFmtId="0" fontId="51" fillId="2" borderId="0" xfId="0" applyFont="1" applyFill="1" applyBorder="1"/>
    <xf numFmtId="0" fontId="51" fillId="2" borderId="6" xfId="0" applyFont="1" applyFill="1" applyBorder="1"/>
    <xf numFmtId="0" fontId="63" fillId="0" borderId="0" xfId="0" applyFont="1" applyAlignment="1">
      <alignment wrapText="1"/>
    </xf>
    <xf numFmtId="165" fontId="3" fillId="0" borderId="0" xfId="0" applyNumberFormat="1" applyFont="1"/>
    <xf numFmtId="165" fontId="17" fillId="2" borderId="0" xfId="0" applyNumberFormat="1" applyFont="1" applyFill="1"/>
    <xf numFmtId="165" fontId="17" fillId="2" borderId="6" xfId="0" applyNumberFormat="1" applyFont="1" applyFill="1" applyBorder="1"/>
    <xf numFmtId="165" fontId="37" fillId="5" borderId="0" xfId="3" applyNumberFormat="1" applyFont="1" applyFill="1"/>
    <xf numFmtId="164" fontId="4" fillId="0" borderId="0" xfId="1" applyNumberFormat="1" applyFont="1" applyAlignment="1">
      <alignment horizontal="left"/>
    </xf>
    <xf numFmtId="164" fontId="64" fillId="0" borderId="0" xfId="1" applyNumberFormat="1" applyFont="1" applyAlignment="1">
      <alignment horizontal="left"/>
    </xf>
    <xf numFmtId="44" fontId="34" fillId="0" borderId="0" xfId="0" applyNumberFormat="1" applyFont="1" applyBorder="1"/>
    <xf numFmtId="43" fontId="34" fillId="0" borderId="0" xfId="1" applyFont="1" applyBorder="1"/>
    <xf numFmtId="43" fontId="29" fillId="0" borderId="12" xfId="1" applyFont="1" applyBorder="1"/>
    <xf numFmtId="165" fontId="3" fillId="0" borderId="0" xfId="3" applyNumberFormat="1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44" fontId="5" fillId="0" borderId="0" xfId="3" applyFont="1"/>
    <xf numFmtId="44" fontId="7" fillId="0" borderId="0" xfId="0" applyNumberFormat="1" applyFont="1"/>
    <xf numFmtId="167" fontId="0" fillId="0" borderId="0" xfId="1" applyNumberFormat="1" applyFont="1"/>
    <xf numFmtId="0" fontId="16" fillId="0" borderId="0" xfId="0" applyFont="1"/>
    <xf numFmtId="0" fontId="38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55" fillId="0" borderId="0" xfId="0" applyFont="1" applyAlignment="1">
      <alignment horizontal="center"/>
    </xf>
    <xf numFmtId="0" fontId="66" fillId="0" borderId="0" xfId="0" applyFont="1"/>
    <xf numFmtId="164" fontId="48" fillId="0" borderId="0" xfId="18" applyNumberFormat="1" applyFont="1"/>
    <xf numFmtId="0" fontId="67" fillId="0" borderId="0" xfId="0" applyFont="1"/>
    <xf numFmtId="0" fontId="63" fillId="0" borderId="0" xfId="0" applyFont="1"/>
    <xf numFmtId="3" fontId="2" fillId="0" borderId="0" xfId="0" applyNumberFormat="1" applyFont="1"/>
    <xf numFmtId="3" fontId="68" fillId="0" borderId="0" xfId="0" applyNumberFormat="1" applyFont="1"/>
    <xf numFmtId="164" fontId="57" fillId="0" borderId="0" xfId="18" applyNumberFormat="1" applyFont="1"/>
    <xf numFmtId="0" fontId="69" fillId="0" borderId="0" xfId="0" applyFont="1"/>
    <xf numFmtId="0" fontId="35" fillId="0" borderId="0" xfId="0" applyFont="1" applyAlignment="1">
      <alignment horizontal="left"/>
    </xf>
    <xf numFmtId="0" fontId="55" fillId="0" borderId="0" xfId="0" applyFont="1"/>
    <xf numFmtId="3" fontId="52" fillId="0" borderId="0" xfId="0" applyNumberFormat="1" applyFont="1"/>
    <xf numFmtId="0" fontId="0" fillId="0" borderId="0" xfId="0" applyAlignment="1">
      <alignment vertical="top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3" fontId="72" fillId="0" borderId="0" xfId="0" applyNumberFormat="1" applyFont="1"/>
    <xf numFmtId="3" fontId="55" fillId="0" borderId="0" xfId="0" applyNumberFormat="1" applyFont="1"/>
    <xf numFmtId="0" fontId="65" fillId="0" borderId="0" xfId="0" applyFont="1"/>
    <xf numFmtId="166" fontId="72" fillId="0" borderId="0" xfId="19" applyNumberFormat="1" applyFont="1"/>
    <xf numFmtId="166" fontId="72" fillId="5" borderId="0" xfId="19" applyNumberFormat="1" applyFont="1" applyFill="1"/>
    <xf numFmtId="164" fontId="53" fillId="0" borderId="0" xfId="0" applyNumberFormat="1" applyFont="1" applyAlignment="1">
      <alignment horizontal="center"/>
    </xf>
    <xf numFmtId="164" fontId="53" fillId="0" borderId="0" xfId="0" applyNumberFormat="1" applyFont="1"/>
    <xf numFmtId="165" fontId="3" fillId="0" borderId="0" xfId="3" applyNumberFormat="1" applyFont="1"/>
    <xf numFmtId="165" fontId="2" fillId="0" borderId="0" xfId="3" applyNumberFormat="1" applyFont="1"/>
    <xf numFmtId="166" fontId="73" fillId="0" borderId="0" xfId="4" applyNumberFormat="1" applyFont="1"/>
    <xf numFmtId="165" fontId="20" fillId="0" borderId="0" xfId="0" applyNumberFormat="1" applyFont="1"/>
    <xf numFmtId="0" fontId="19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29" fillId="2" borderId="0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52" fillId="0" borderId="0" xfId="0" applyFont="1" applyAlignment="1">
      <alignment horizontal="center"/>
    </xf>
  </cellXfs>
  <cellStyles count="20">
    <cellStyle name="Comma" xfId="1" builtinId="3"/>
    <cellStyle name="Comma 10" xfId="15" xr:uid="{00000000-0005-0000-0000-000001000000}"/>
    <cellStyle name="Comma 2" xfId="18" xr:uid="{47FD33DA-9B16-45C6-9651-DE83A2574855}"/>
    <cellStyle name="Comma 3" xfId="2" xr:uid="{00000000-0005-0000-0000-000002000000}"/>
    <cellStyle name="Currency" xfId="3" builtinId="4"/>
    <cellStyle name="Currency 2" xfId="7" xr:uid="{00000000-0005-0000-0000-000004000000}"/>
    <cellStyle name="Currency 2 6 2 2" xfId="17" xr:uid="{4569FD3E-A105-4853-B874-8A1AA2DF8635}"/>
    <cellStyle name="Normal" xfId="0" builtinId="0"/>
    <cellStyle name="Normal 21" xfId="14" xr:uid="{00000000-0005-0000-0000-000006000000}"/>
    <cellStyle name="Normal 3" xfId="5" xr:uid="{00000000-0005-0000-0000-000007000000}"/>
    <cellStyle name="Percent" xfId="4" builtinId="5"/>
    <cellStyle name="Percent 13" xfId="16" xr:uid="{00000000-0005-0000-0000-000009000000}"/>
    <cellStyle name="Percent 2" xfId="19" xr:uid="{B4109315-16C4-409F-8E91-6C317839CD3B}"/>
    <cellStyle name="Percent 4" xfId="6" xr:uid="{00000000-0005-0000-0000-00000A000000}"/>
    <cellStyle name="PSChar" xfId="8" xr:uid="{00000000-0005-0000-0000-00000B000000}"/>
    <cellStyle name="PSDate" xfId="9" xr:uid="{00000000-0005-0000-0000-00000C000000}"/>
    <cellStyle name="PSDec" xfId="10" xr:uid="{00000000-0005-0000-0000-00000D000000}"/>
    <cellStyle name="PSHeading" xfId="11" xr:uid="{00000000-0005-0000-0000-00000E000000}"/>
    <cellStyle name="PSInt" xfId="12" xr:uid="{00000000-0005-0000-0000-00000F000000}"/>
    <cellStyle name="PSSpacer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409575</xdr:colOff>
      <xdr:row>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2</xdr:col>
      <xdr:colOff>409575</xdr:colOff>
      <xdr:row>18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44CD38-EDD0-4A93-875A-A2107CC0B0EA}"/>
            </a:ext>
          </a:extLst>
        </xdr:cNvPr>
        <xdr:cNvSpPr>
          <a:spLocks noChangeShapeType="1"/>
        </xdr:cNvSpPr>
      </xdr:nvSpPr>
      <xdr:spPr bwMode="auto">
        <a:xfrm>
          <a:off x="1181100" y="1809750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40B0E61-95BF-4667-A83E-7A170F410638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6BCEA4A-4E19-4CD7-B202-ADCA3964338F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4</xdr:row>
      <xdr:rowOff>0</xdr:rowOff>
    </xdr:from>
    <xdr:to>
      <xdr:col>9</xdr:col>
      <xdr:colOff>457200</xdr:colOff>
      <xdr:row>17</xdr:row>
      <xdr:rowOff>76200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836954D-B1FE-4ACC-98C4-2BFAD304054A}"/>
            </a:ext>
          </a:extLst>
        </xdr:cNvPr>
        <xdr:cNvSpPr>
          <a:spLocks noChangeShapeType="1"/>
        </xdr:cNvSpPr>
      </xdr:nvSpPr>
      <xdr:spPr bwMode="auto">
        <a:xfrm>
          <a:off x="5495925" y="1495425"/>
          <a:ext cx="590550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19</xdr:row>
      <xdr:rowOff>0</xdr:rowOff>
    </xdr:from>
    <xdr:to>
      <xdr:col>2</xdr:col>
      <xdr:colOff>409575</xdr:colOff>
      <xdr:row>33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7F1ADE75-E796-4044-8C63-B186C67AE951}"/>
            </a:ext>
          </a:extLst>
        </xdr:cNvPr>
        <xdr:cNvSpPr>
          <a:spLocks noChangeShapeType="1"/>
        </xdr:cNvSpPr>
      </xdr:nvSpPr>
      <xdr:spPr bwMode="auto">
        <a:xfrm>
          <a:off x="1181100" y="609600"/>
          <a:ext cx="409575" cy="2114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19</xdr:row>
      <xdr:rowOff>0</xdr:rowOff>
    </xdr:from>
    <xdr:to>
      <xdr:col>9</xdr:col>
      <xdr:colOff>457200</xdr:colOff>
      <xdr:row>32</xdr:row>
      <xdr:rowOff>76200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8743E2E0-B509-436F-8CC8-97C68EFAB38A}"/>
            </a:ext>
          </a:extLst>
        </xdr:cNvPr>
        <xdr:cNvSpPr>
          <a:spLocks noChangeShapeType="1"/>
        </xdr:cNvSpPr>
      </xdr:nvSpPr>
      <xdr:spPr bwMode="auto">
        <a:xfrm>
          <a:off x="5819775" y="609600"/>
          <a:ext cx="590550" cy="20383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1"/>
  <sheetViews>
    <sheetView zoomScale="115" zoomScaleNormal="115" workbookViewId="0">
      <selection activeCell="J74" sqref="J74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5.5703125" bestFit="1" customWidth="1"/>
    <col min="6" max="6" width="14.28515625" bestFit="1" customWidth="1"/>
    <col min="7" max="7" width="12.425781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7" ht="23.25" x14ac:dyDescent="0.35">
      <c r="A1" s="31" t="s">
        <v>56</v>
      </c>
      <c r="B1" s="32"/>
      <c r="C1" s="33"/>
      <c r="D1" s="33"/>
      <c r="E1" s="33"/>
      <c r="F1" s="33"/>
      <c r="G1" s="34"/>
    </row>
    <row r="2" spans="1:7" ht="15.75" x14ac:dyDescent="0.25">
      <c r="A2" s="35" t="s">
        <v>197</v>
      </c>
      <c r="B2" s="36"/>
      <c r="C2" s="37"/>
      <c r="D2" s="37"/>
      <c r="E2" s="38"/>
      <c r="F2" s="38"/>
      <c r="G2" s="39"/>
    </row>
    <row r="3" spans="1:7" ht="15.75" x14ac:dyDescent="0.25">
      <c r="A3" s="40"/>
      <c r="B3" s="41"/>
      <c r="C3" s="38"/>
      <c r="D3" s="38"/>
      <c r="E3" s="38"/>
      <c r="F3" s="38"/>
      <c r="G3" s="39"/>
    </row>
    <row r="4" spans="1:7" ht="15" x14ac:dyDescent="0.2">
      <c r="A4" s="316" t="s">
        <v>21</v>
      </c>
      <c r="B4" s="317"/>
      <c r="C4" s="317"/>
      <c r="D4" s="317"/>
      <c r="E4" s="317"/>
      <c r="F4" s="317"/>
      <c r="G4" s="318"/>
    </row>
    <row r="5" spans="1:7" ht="15" x14ac:dyDescent="0.2">
      <c r="A5" s="42"/>
      <c r="B5" s="38"/>
      <c r="C5" s="38"/>
      <c r="D5" s="38"/>
      <c r="E5" s="38"/>
      <c r="F5" s="38"/>
      <c r="G5" s="39"/>
    </row>
    <row r="6" spans="1:7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7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7" ht="15.75" x14ac:dyDescent="0.25">
      <c r="A8" s="45" t="s">
        <v>203</v>
      </c>
      <c r="B8" s="36"/>
      <c r="C8" s="46"/>
      <c r="D8" s="46"/>
      <c r="E8" s="46"/>
      <c r="F8" s="46"/>
      <c r="G8" s="39"/>
    </row>
    <row r="9" spans="1:7" ht="15.75" x14ac:dyDescent="0.25">
      <c r="A9" s="42" t="s">
        <v>160</v>
      </c>
      <c r="B9" s="38"/>
      <c r="C9" s="47">
        <f>+'Res''l &amp; MF Customers'!C43+'Res''l &amp; MF Customers'!D43</f>
        <v>53091</v>
      </c>
      <c r="D9" s="47"/>
      <c r="E9" s="48">
        <f>+E76</f>
        <v>1.06</v>
      </c>
      <c r="F9" s="131">
        <f>C9*E9</f>
        <v>56276.460000000006</v>
      </c>
      <c r="G9" s="39"/>
    </row>
    <row r="10" spans="1:7" ht="17.25" x14ac:dyDescent="0.35">
      <c r="A10" s="49" t="s">
        <v>161</v>
      </c>
      <c r="B10" s="50"/>
      <c r="C10" s="51">
        <f>SUM('Res''l &amp; MF Customers'!E43:N43)</f>
        <v>266532</v>
      </c>
      <c r="D10" s="51"/>
      <c r="E10" s="48">
        <f>+G98</f>
        <v>1.45</v>
      </c>
      <c r="F10" s="132">
        <f>C10*E10</f>
        <v>386471.39999999997</v>
      </c>
      <c r="G10" s="39"/>
    </row>
    <row r="11" spans="1:7" ht="18" x14ac:dyDescent="0.4">
      <c r="A11" s="176" t="s">
        <v>153</v>
      </c>
      <c r="B11" s="38"/>
      <c r="C11" s="256">
        <f>SUM(C9:C10)</f>
        <v>319623</v>
      </c>
      <c r="D11" s="257"/>
      <c r="E11" s="258"/>
      <c r="F11" s="255">
        <f>SUM(F9:F10)</f>
        <v>442747.86</v>
      </c>
      <c r="G11" s="39"/>
    </row>
    <row r="12" spans="1:7" ht="15" x14ac:dyDescent="0.2">
      <c r="A12" s="42"/>
      <c r="B12" s="38"/>
      <c r="C12" s="38"/>
      <c r="D12" s="38"/>
      <c r="E12" s="38"/>
      <c r="F12" s="38"/>
      <c r="G12" s="39"/>
    </row>
    <row r="13" spans="1:7" ht="18" x14ac:dyDescent="0.4">
      <c r="A13" s="35" t="s">
        <v>147</v>
      </c>
      <c r="B13" s="38"/>
      <c r="C13" s="38"/>
      <c r="D13" s="38"/>
      <c r="E13" s="38"/>
      <c r="F13" s="255">
        <f>+'Tons &amp; Revenue'!M261</f>
        <v>868264.96773212659</v>
      </c>
      <c r="G13" s="39"/>
    </row>
    <row r="14" spans="1:7" ht="18" x14ac:dyDescent="0.4">
      <c r="A14" s="35"/>
      <c r="B14" s="38"/>
      <c r="C14" s="38"/>
      <c r="D14" s="38"/>
      <c r="E14" s="38"/>
      <c r="F14" s="255"/>
      <c r="G14" s="39"/>
    </row>
    <row r="15" spans="1:7" ht="17.25" x14ac:dyDescent="0.35">
      <c r="A15" s="49" t="s">
        <v>175</v>
      </c>
      <c r="B15" s="250"/>
      <c r="C15" s="250"/>
      <c r="D15" s="250"/>
      <c r="E15" s="272"/>
      <c r="F15" s="267">
        <f>+F13*50%</f>
        <v>434132.4838660633</v>
      </c>
      <c r="G15" s="273"/>
    </row>
    <row r="16" spans="1:7" ht="17.25" x14ac:dyDescent="0.35">
      <c r="A16" s="49"/>
      <c r="B16" s="250"/>
      <c r="C16" s="250"/>
      <c r="D16" s="250"/>
      <c r="E16" s="250"/>
      <c r="F16" s="267"/>
      <c r="G16" s="39"/>
    </row>
    <row r="17" spans="1:7" ht="15" x14ac:dyDescent="0.2">
      <c r="A17" s="49" t="s">
        <v>176</v>
      </c>
      <c r="B17" s="250"/>
      <c r="C17" s="250"/>
      <c r="D17" s="250"/>
      <c r="E17" s="250"/>
      <c r="F17" s="251">
        <f>-'Budget vs Actual'!F34</f>
        <v>91.886706545716152</v>
      </c>
      <c r="G17" s="39"/>
    </row>
    <row r="18" spans="1:7" ht="17.25" x14ac:dyDescent="0.35">
      <c r="A18" s="49"/>
      <c r="B18" s="250"/>
      <c r="C18" s="250"/>
      <c r="D18" s="250"/>
      <c r="E18" s="250"/>
      <c r="F18" s="254"/>
      <c r="G18" s="39"/>
    </row>
    <row r="19" spans="1:7" ht="15.75" x14ac:dyDescent="0.25">
      <c r="A19" s="176" t="s">
        <v>24</v>
      </c>
      <c r="B19" s="268"/>
      <c r="C19" s="268"/>
      <c r="D19" s="268"/>
      <c r="E19" s="268"/>
      <c r="F19" s="178">
        <f>F13-F11-F15+F17</f>
        <v>-8523.489427390974</v>
      </c>
      <c r="G19" s="269"/>
    </row>
    <row r="20" spans="1:7" ht="15" x14ac:dyDescent="0.2">
      <c r="A20" s="42"/>
      <c r="B20" s="38"/>
      <c r="C20" s="38"/>
      <c r="D20" s="38"/>
      <c r="E20" s="38"/>
      <c r="F20" s="253"/>
      <c r="G20" s="39"/>
    </row>
    <row r="21" spans="1:7" ht="15" x14ac:dyDescent="0.2">
      <c r="A21" s="42" t="s">
        <v>25</v>
      </c>
      <c r="B21" s="38"/>
      <c r="C21" s="38"/>
      <c r="D21" s="38"/>
      <c r="E21" s="38"/>
      <c r="F21" s="47">
        <f>+F31</f>
        <v>319623</v>
      </c>
      <c r="G21" s="39"/>
    </row>
    <row r="22" spans="1:7" ht="15" x14ac:dyDescent="0.2">
      <c r="A22" s="42"/>
      <c r="B22" s="38"/>
      <c r="C22" s="38"/>
      <c r="D22" s="38"/>
      <c r="E22" s="38"/>
      <c r="F22" s="38"/>
      <c r="G22" s="39"/>
    </row>
    <row r="23" spans="1:7" ht="15" x14ac:dyDescent="0.2">
      <c r="A23" s="42" t="s">
        <v>26</v>
      </c>
      <c r="B23" s="38"/>
      <c r="C23" s="38"/>
      <c r="D23" s="38"/>
      <c r="E23" s="38"/>
      <c r="F23" s="61"/>
      <c r="G23" s="52">
        <f>ROUND(F19/F21,2)</f>
        <v>-0.03</v>
      </c>
    </row>
    <row r="24" spans="1:7" ht="15" x14ac:dyDescent="0.2">
      <c r="A24" s="42"/>
      <c r="B24" s="38"/>
      <c r="C24" s="38"/>
      <c r="D24" s="38"/>
      <c r="E24" s="38"/>
      <c r="F24" s="38"/>
      <c r="G24" s="52"/>
    </row>
    <row r="25" spans="1:7" ht="15" x14ac:dyDescent="0.2">
      <c r="A25" s="42"/>
      <c r="B25" s="38"/>
      <c r="C25" s="38"/>
      <c r="D25" s="38"/>
      <c r="E25" s="38"/>
      <c r="F25" s="38"/>
      <c r="G25" s="52"/>
    </row>
    <row r="26" spans="1:7" ht="15" x14ac:dyDescent="0.2">
      <c r="A26" s="42"/>
      <c r="B26" s="38"/>
      <c r="C26" s="38"/>
      <c r="D26" s="38"/>
      <c r="E26" s="38"/>
      <c r="F26" s="38"/>
      <c r="G26" s="52"/>
    </row>
    <row r="27" spans="1:7" ht="15.75" x14ac:dyDescent="0.25">
      <c r="A27" s="151" t="s">
        <v>202</v>
      </c>
      <c r="B27" s="36"/>
      <c r="C27" s="38"/>
      <c r="D27" s="38"/>
      <c r="E27" s="38"/>
      <c r="F27" s="163">
        <f>+F13</f>
        <v>868264.96773212659</v>
      </c>
      <c r="G27" s="52"/>
    </row>
    <row r="28" spans="1:7" ht="17.25" x14ac:dyDescent="0.35">
      <c r="A28" s="49" t="s">
        <v>152</v>
      </c>
      <c r="B28" s="36"/>
      <c r="C28" s="38"/>
      <c r="D28" s="38"/>
      <c r="E28" s="173">
        <v>0.5</v>
      </c>
      <c r="F28" s="174">
        <f>-F27*E28</f>
        <v>-434132.4838660633</v>
      </c>
      <c r="G28" s="52"/>
    </row>
    <row r="29" spans="1:7" ht="20.25" x14ac:dyDescent="0.55000000000000004">
      <c r="A29" s="49"/>
      <c r="B29" s="36"/>
      <c r="C29" s="38"/>
      <c r="D29" s="38"/>
      <c r="E29" s="173"/>
      <c r="F29" s="175">
        <f>+F28+F27</f>
        <v>434132.4838660633</v>
      </c>
      <c r="G29" s="52"/>
    </row>
    <row r="30" spans="1:7" ht="17.25" x14ac:dyDescent="0.35">
      <c r="A30" s="49"/>
      <c r="B30" s="36"/>
      <c r="C30" s="38"/>
      <c r="D30" s="38"/>
      <c r="E30" s="173"/>
      <c r="F30" s="174"/>
      <c r="G30" s="52"/>
    </row>
    <row r="31" spans="1:7" ht="17.25" x14ac:dyDescent="0.35">
      <c r="A31" s="42" t="s">
        <v>154</v>
      </c>
      <c r="B31" s="38"/>
      <c r="C31" s="38"/>
      <c r="D31" s="38"/>
      <c r="E31" s="38"/>
      <c r="F31" s="164">
        <f>+C11</f>
        <v>319623</v>
      </c>
      <c r="G31" s="52"/>
    </row>
    <row r="32" spans="1:7" ht="17.25" x14ac:dyDescent="0.35">
      <c r="A32" s="42" t="s">
        <v>104</v>
      </c>
      <c r="B32" s="38"/>
      <c r="C32" s="38"/>
      <c r="D32" s="38"/>
      <c r="E32" s="38"/>
      <c r="F32" s="38"/>
      <c r="G32" s="55">
        <f>ROUND(+F27/F31,2)</f>
        <v>2.72</v>
      </c>
    </row>
    <row r="33" spans="1:7" ht="15" x14ac:dyDescent="0.2">
      <c r="A33" s="42"/>
      <c r="B33" s="38"/>
      <c r="C33" s="38"/>
      <c r="D33" s="38"/>
      <c r="E33" s="38"/>
      <c r="F33" s="38"/>
      <c r="G33" s="52"/>
    </row>
    <row r="34" spans="1:7" ht="18" x14ac:dyDescent="0.4">
      <c r="A34" s="35" t="s">
        <v>28</v>
      </c>
      <c r="B34" s="36"/>
      <c r="C34" s="38"/>
      <c r="D34" s="38"/>
      <c r="E34" s="38"/>
      <c r="F34" s="38"/>
      <c r="G34" s="180">
        <f>SUM(G23:G32)</f>
        <v>2.6900000000000004</v>
      </c>
    </row>
    <row r="35" spans="1:7" ht="15.75" x14ac:dyDescent="0.25">
      <c r="A35" s="35"/>
      <c r="B35" s="36"/>
      <c r="C35" s="38"/>
      <c r="D35" s="38"/>
      <c r="E35" s="38"/>
      <c r="F35" s="38"/>
      <c r="G35" s="150"/>
    </row>
    <row r="36" spans="1:7" ht="13.5" thickBot="1" x14ac:dyDescent="0.25">
      <c r="A36" s="19"/>
      <c r="B36" s="20"/>
      <c r="C36" s="20"/>
      <c r="D36" s="20"/>
      <c r="E36" s="20"/>
      <c r="F36" s="20"/>
      <c r="G36" s="21"/>
    </row>
    <row r="37" spans="1:7" ht="15" x14ac:dyDescent="0.2">
      <c r="A37" s="319" t="s">
        <v>29</v>
      </c>
      <c r="B37" s="320"/>
      <c r="C37" s="320"/>
      <c r="D37" s="320"/>
      <c r="E37" s="320"/>
      <c r="F37" s="320"/>
      <c r="G37" s="321"/>
    </row>
    <row r="38" spans="1:7" ht="15" x14ac:dyDescent="0.2">
      <c r="A38" s="49"/>
      <c r="B38" s="50"/>
      <c r="C38" s="50"/>
      <c r="D38" s="50"/>
      <c r="E38" s="50"/>
      <c r="F38" s="50"/>
      <c r="G38" s="64"/>
    </row>
    <row r="39" spans="1:7" ht="15.75" x14ac:dyDescent="0.25">
      <c r="A39" s="49"/>
      <c r="B39" s="50"/>
      <c r="C39" s="43"/>
      <c r="D39" s="43"/>
      <c r="E39" s="43" t="s">
        <v>13</v>
      </c>
      <c r="F39" s="43" t="s">
        <v>3</v>
      </c>
      <c r="G39" s="64"/>
    </row>
    <row r="40" spans="1:7" ht="15.75" x14ac:dyDescent="0.25">
      <c r="A40" s="49"/>
      <c r="B40" s="50"/>
      <c r="C40" s="65" t="s">
        <v>20</v>
      </c>
      <c r="D40" s="65"/>
      <c r="E40" s="65" t="s">
        <v>22</v>
      </c>
      <c r="F40" s="65" t="s">
        <v>6</v>
      </c>
      <c r="G40" s="64"/>
    </row>
    <row r="41" spans="1:7" ht="15.75" x14ac:dyDescent="0.25">
      <c r="A41" s="45" t="str">
        <f>+A8</f>
        <v>Projected Revenue June 2022 - May 2022</v>
      </c>
      <c r="B41" s="36"/>
      <c r="C41" s="66"/>
      <c r="D41" s="66"/>
      <c r="E41" s="66"/>
      <c r="F41" s="66"/>
      <c r="G41" s="64"/>
    </row>
    <row r="42" spans="1:7" ht="15.75" x14ac:dyDescent="0.25">
      <c r="A42" s="42" t="s">
        <v>160</v>
      </c>
      <c r="B42" s="50"/>
      <c r="C42" s="67">
        <f>+'Res''l &amp; MF Customers'!C56+'Res''l &amp; MF Customers'!D56</f>
        <v>4504.25</v>
      </c>
      <c r="D42" s="67"/>
      <c r="E42" s="68">
        <f>+E109</f>
        <v>0.17</v>
      </c>
      <c r="F42" s="54">
        <f>E42*C42</f>
        <v>765.72250000000008</v>
      </c>
      <c r="G42" s="64"/>
    </row>
    <row r="43" spans="1:7" ht="17.25" x14ac:dyDescent="0.35">
      <c r="A43" s="49" t="s">
        <v>161</v>
      </c>
      <c r="B43" s="50"/>
      <c r="C43" s="51">
        <f>SUM('Res''l &amp; MF Customers'!E56:N56)</f>
        <v>22395.066666666669</v>
      </c>
      <c r="D43" s="51"/>
      <c r="E43" s="68">
        <f>+G129</f>
        <v>0.22</v>
      </c>
      <c r="F43" s="132">
        <f>E43*C43</f>
        <v>4926.9146666666675</v>
      </c>
      <c r="G43" s="64"/>
    </row>
    <row r="44" spans="1:7" ht="18" x14ac:dyDescent="0.4">
      <c r="A44" s="42" t="s">
        <v>3</v>
      </c>
      <c r="B44" s="50"/>
      <c r="C44" s="259">
        <f>SUM(C42:C43)</f>
        <v>26899.316666666669</v>
      </c>
      <c r="D44" s="259"/>
      <c r="E44" s="260"/>
      <c r="F44" s="261">
        <f>SUM(F42:F43)</f>
        <v>5692.6371666666673</v>
      </c>
      <c r="G44" s="64"/>
    </row>
    <row r="45" spans="1:7" ht="15" x14ac:dyDescent="0.2">
      <c r="A45" s="42"/>
      <c r="B45" s="50"/>
      <c r="C45" s="50"/>
      <c r="D45" s="50"/>
      <c r="E45" s="50"/>
      <c r="F45" s="54"/>
      <c r="G45" s="64"/>
    </row>
    <row r="46" spans="1:7" ht="18" x14ac:dyDescent="0.4">
      <c r="A46" s="35" t="s">
        <v>147</v>
      </c>
      <c r="B46" s="38"/>
      <c r="C46" s="38"/>
      <c r="D46" s="38"/>
      <c r="E46" s="38"/>
      <c r="F46" s="255">
        <f>+'Tons &amp; Revenue'!M231</f>
        <v>11881.983846308876</v>
      </c>
      <c r="G46" s="64"/>
    </row>
    <row r="47" spans="1:7" ht="15.75" x14ac:dyDescent="0.25">
      <c r="A47" s="35"/>
      <c r="B47" s="38"/>
      <c r="C47" s="38"/>
      <c r="D47" s="38"/>
      <c r="E47" s="38"/>
      <c r="F47" s="131"/>
      <c r="G47" s="64"/>
    </row>
    <row r="48" spans="1:7" ht="20.25" x14ac:dyDescent="0.55000000000000004">
      <c r="A48" s="35" t="s">
        <v>175</v>
      </c>
      <c r="B48" s="38"/>
      <c r="C48" s="38"/>
      <c r="D48" s="38"/>
      <c r="E48" s="38"/>
      <c r="F48" s="262">
        <f>F46*50%</f>
        <v>5940.9919231544382</v>
      </c>
      <c r="G48" s="64"/>
    </row>
    <row r="49" spans="1:7" ht="17.25" x14ac:dyDescent="0.35">
      <c r="A49" s="35"/>
      <c r="B49" s="38"/>
      <c r="C49" s="38"/>
      <c r="D49" s="38"/>
      <c r="E49" s="38"/>
      <c r="F49" s="133"/>
      <c r="G49" s="64"/>
    </row>
    <row r="50" spans="1:7" ht="15" x14ac:dyDescent="0.2">
      <c r="A50" s="42" t="s">
        <v>24</v>
      </c>
      <c r="B50" s="38"/>
      <c r="C50" s="38"/>
      <c r="D50" s="38"/>
      <c r="E50" s="38"/>
      <c r="F50" s="47">
        <f>F48-F44</f>
        <v>248.35475648777083</v>
      </c>
      <c r="G50" s="64"/>
    </row>
    <row r="51" spans="1:7" ht="17.25" x14ac:dyDescent="0.35">
      <c r="A51" s="42"/>
      <c r="B51" s="38"/>
      <c r="C51" s="130"/>
      <c r="D51" s="38"/>
      <c r="E51" s="38"/>
      <c r="F51" s="133"/>
      <c r="G51" s="64"/>
    </row>
    <row r="52" spans="1:7" ht="15" x14ac:dyDescent="0.2">
      <c r="A52" s="42" t="s">
        <v>25</v>
      </c>
      <c r="B52" s="50"/>
      <c r="C52" s="50"/>
      <c r="D52" s="50"/>
      <c r="E52" s="50"/>
      <c r="F52" s="67">
        <f>+F62</f>
        <v>26899.316666666669</v>
      </c>
      <c r="G52" s="64"/>
    </row>
    <row r="53" spans="1:7" ht="15" x14ac:dyDescent="0.2">
      <c r="A53" s="42"/>
      <c r="B53" s="50"/>
      <c r="C53" s="50"/>
      <c r="D53" s="50"/>
      <c r="E53" s="50"/>
      <c r="F53" s="50"/>
      <c r="G53" s="64"/>
    </row>
    <row r="54" spans="1:7" ht="15" x14ac:dyDescent="0.2">
      <c r="A54" s="42" t="s">
        <v>26</v>
      </c>
      <c r="B54" s="50"/>
      <c r="C54" s="50"/>
      <c r="D54" s="50"/>
      <c r="E54" s="50"/>
      <c r="F54" s="50"/>
      <c r="G54" s="52">
        <f>ROUND(F50/F52,2)</f>
        <v>0.01</v>
      </c>
    </row>
    <row r="55" spans="1:7" ht="15" x14ac:dyDescent="0.2">
      <c r="A55" s="42"/>
      <c r="B55" s="50"/>
      <c r="C55" s="50"/>
      <c r="D55" s="50"/>
      <c r="E55" s="50"/>
      <c r="F55" s="50"/>
      <c r="G55" s="70"/>
    </row>
    <row r="56" spans="1:7" ht="15" x14ac:dyDescent="0.2">
      <c r="A56" s="42"/>
      <c r="B56" s="50"/>
      <c r="C56" s="50"/>
      <c r="D56" s="50"/>
      <c r="E56" s="50"/>
      <c r="F56" s="67"/>
      <c r="G56" s="64"/>
    </row>
    <row r="57" spans="1:7" ht="15.75" x14ac:dyDescent="0.25">
      <c r="A57" s="42"/>
      <c r="B57" s="36"/>
      <c r="C57" s="50"/>
      <c r="D57" s="50"/>
      <c r="E57" s="50"/>
      <c r="F57" s="67"/>
      <c r="G57" s="64"/>
    </row>
    <row r="58" spans="1:7" ht="15.75" x14ac:dyDescent="0.25">
      <c r="A58" s="151" t="str">
        <f>+A27</f>
        <v>Projected Revenue June 2022 - May 2023 (based on most recent 12 months average)</v>
      </c>
      <c r="B58" s="50"/>
      <c r="C58" s="50"/>
      <c r="D58" s="50"/>
      <c r="E58" s="50"/>
      <c r="F58" s="165">
        <f>+F46</f>
        <v>11881.983846308876</v>
      </c>
      <c r="G58" s="64"/>
    </row>
    <row r="59" spans="1:7" ht="17.25" x14ac:dyDescent="0.35">
      <c r="A59" s="49" t="s">
        <v>152</v>
      </c>
      <c r="B59" s="36"/>
      <c r="C59" s="38"/>
      <c r="D59" s="38"/>
      <c r="E59" s="173">
        <v>0.5</v>
      </c>
      <c r="F59" s="174">
        <f>-F58*E59</f>
        <v>-5940.9919231544382</v>
      </c>
      <c r="G59" s="52"/>
    </row>
    <row r="60" spans="1:7" ht="20.25" x14ac:dyDescent="0.55000000000000004">
      <c r="A60" s="49"/>
      <c r="B60" s="36"/>
      <c r="C60" s="38"/>
      <c r="D60" s="38"/>
      <c r="E60" s="173"/>
      <c r="F60" s="175">
        <f>+F59+F58</f>
        <v>5940.9919231544382</v>
      </c>
      <c r="G60" s="52"/>
    </row>
    <row r="61" spans="1:7" ht="17.25" x14ac:dyDescent="0.35">
      <c r="A61" s="49"/>
      <c r="B61" s="36"/>
      <c r="C61" s="38"/>
      <c r="D61" s="38"/>
      <c r="E61" s="173"/>
      <c r="F61" s="174"/>
      <c r="G61" s="52"/>
    </row>
    <row r="62" spans="1:7" ht="17.25" x14ac:dyDescent="0.35">
      <c r="A62" s="42" t="s">
        <v>154</v>
      </c>
      <c r="B62" s="38"/>
      <c r="C62" s="38"/>
      <c r="D62" s="38"/>
      <c r="E62" s="38"/>
      <c r="F62" s="164">
        <f>+C44</f>
        <v>26899.316666666669</v>
      </c>
      <c r="G62" s="52"/>
    </row>
    <row r="63" spans="1:7" ht="17.25" x14ac:dyDescent="0.35">
      <c r="A63" s="42" t="s">
        <v>104</v>
      </c>
      <c r="B63" s="38"/>
      <c r="C63" s="38"/>
      <c r="D63" s="38"/>
      <c r="E63" s="38"/>
      <c r="F63" s="38"/>
      <c r="G63" s="55">
        <f>ROUND(+F58/F62,2)</f>
        <v>0.44</v>
      </c>
    </row>
    <row r="64" spans="1:7" ht="15" x14ac:dyDescent="0.2">
      <c r="A64" s="42"/>
      <c r="B64" s="38"/>
      <c r="C64" s="38"/>
      <c r="D64" s="38"/>
      <c r="E64" s="38"/>
      <c r="F64" s="38"/>
      <c r="G64" s="52"/>
    </row>
    <row r="65" spans="1:7" ht="18" x14ac:dyDescent="0.4">
      <c r="A65" s="35" t="s">
        <v>132</v>
      </c>
      <c r="B65" s="36"/>
      <c r="C65" s="38"/>
      <c r="D65" s="38"/>
      <c r="E65" s="38"/>
      <c r="F65" s="38"/>
      <c r="G65" s="180">
        <f>SUM(G54:G63)</f>
        <v>0.45</v>
      </c>
    </row>
    <row r="66" spans="1:7" ht="16.5" thickBot="1" x14ac:dyDescent="0.3">
      <c r="A66" s="263"/>
      <c r="B66" s="264"/>
      <c r="C66" s="265"/>
      <c r="D66" s="265"/>
      <c r="E66" s="265"/>
      <c r="F66" s="265"/>
      <c r="G66" s="266"/>
    </row>
    <row r="67" spans="1:7" ht="23.25" x14ac:dyDescent="0.35">
      <c r="A67" s="31" t="s">
        <v>56</v>
      </c>
      <c r="B67" s="32"/>
      <c r="C67" s="33"/>
      <c r="D67" s="33"/>
      <c r="E67" s="33"/>
      <c r="F67" s="33"/>
      <c r="G67" s="34"/>
    </row>
    <row r="68" spans="1:7" ht="15.75" x14ac:dyDescent="0.25">
      <c r="A68" s="35" t="s">
        <v>186</v>
      </c>
      <c r="B68" s="36"/>
      <c r="C68" s="37"/>
      <c r="D68" s="37"/>
      <c r="E68" s="38"/>
      <c r="F68" s="38"/>
      <c r="G68" s="39"/>
    </row>
    <row r="69" spans="1:7" ht="15.75" x14ac:dyDescent="0.25">
      <c r="A69" s="40"/>
      <c r="B69" s="41"/>
      <c r="C69" s="38"/>
      <c r="D69" s="38"/>
      <c r="E69" s="38"/>
      <c r="F69" s="38"/>
      <c r="G69" s="39"/>
    </row>
    <row r="70" spans="1:7" ht="15" x14ac:dyDescent="0.2">
      <c r="A70" s="316" t="s">
        <v>21</v>
      </c>
      <c r="B70" s="317"/>
      <c r="C70" s="317"/>
      <c r="D70" s="317"/>
      <c r="E70" s="317"/>
      <c r="F70" s="317"/>
      <c r="G70" s="318"/>
    </row>
    <row r="71" spans="1:7" ht="15" x14ac:dyDescent="0.2">
      <c r="A71" s="42"/>
      <c r="B71" s="38"/>
      <c r="C71" s="38"/>
      <c r="D71" s="38"/>
      <c r="E71" s="38"/>
      <c r="F71" s="38"/>
      <c r="G71" s="39"/>
    </row>
    <row r="72" spans="1:7" ht="15.75" x14ac:dyDescent="0.25">
      <c r="A72" s="42"/>
      <c r="B72" s="38"/>
      <c r="C72" s="43"/>
      <c r="D72" s="43"/>
      <c r="E72" s="43" t="s">
        <v>13</v>
      </c>
      <c r="F72" s="43" t="s">
        <v>3</v>
      </c>
      <c r="G72" s="39"/>
    </row>
    <row r="73" spans="1:7" ht="15.75" x14ac:dyDescent="0.25">
      <c r="A73" s="42"/>
      <c r="B73" s="38"/>
      <c r="C73" s="44" t="s">
        <v>5</v>
      </c>
      <c r="D73" s="44"/>
      <c r="E73" s="44" t="s">
        <v>22</v>
      </c>
      <c r="F73" s="44" t="s">
        <v>6</v>
      </c>
      <c r="G73" s="39"/>
    </row>
    <row r="74" spans="1:7" ht="15.75" x14ac:dyDescent="0.25">
      <c r="A74" s="45" t="s">
        <v>187</v>
      </c>
      <c r="B74" s="36"/>
      <c r="C74" s="46"/>
      <c r="D74" s="46"/>
      <c r="E74" s="46"/>
      <c r="F74" s="46"/>
      <c r="G74" s="39"/>
    </row>
    <row r="75" spans="1:7" ht="15.75" x14ac:dyDescent="0.25">
      <c r="A75" s="42" t="s">
        <v>160</v>
      </c>
      <c r="B75" s="38"/>
      <c r="C75" s="47">
        <v>51552</v>
      </c>
      <c r="D75" s="47"/>
      <c r="E75" s="48">
        <f>+E143</f>
        <v>1.08</v>
      </c>
      <c r="F75" s="131">
        <f>C75*E75</f>
        <v>55676.160000000003</v>
      </c>
      <c r="G75" s="39"/>
    </row>
    <row r="76" spans="1:7" ht="17.25" x14ac:dyDescent="0.35">
      <c r="A76" s="49" t="s">
        <v>161</v>
      </c>
      <c r="B76" s="50"/>
      <c r="C76" s="51">
        <v>260572</v>
      </c>
      <c r="D76" s="51"/>
      <c r="E76" s="48">
        <f>+G165</f>
        <v>1.06</v>
      </c>
      <c r="F76" s="132">
        <f>C76*E76</f>
        <v>276206.32</v>
      </c>
      <c r="G76" s="39"/>
    </row>
    <row r="77" spans="1:7" ht="18" x14ac:dyDescent="0.4">
      <c r="A77" s="176" t="s">
        <v>153</v>
      </c>
      <c r="B77" s="38"/>
      <c r="C77" s="256">
        <f>SUM(C75:C76)</f>
        <v>312124</v>
      </c>
      <c r="D77" s="257"/>
      <c r="E77" s="258"/>
      <c r="F77" s="255">
        <f>SUM(F75:F76)</f>
        <v>331882.48</v>
      </c>
      <c r="G77" s="39"/>
    </row>
    <row r="78" spans="1:7" ht="15" x14ac:dyDescent="0.2">
      <c r="A78" s="42"/>
      <c r="B78" s="38"/>
      <c r="C78" s="38"/>
      <c r="D78" s="38"/>
      <c r="E78" s="38"/>
      <c r="F78" s="38"/>
      <c r="G78" s="39"/>
    </row>
    <row r="79" spans="1:7" ht="18" x14ac:dyDescent="0.4">
      <c r="A79" s="35" t="s">
        <v>147</v>
      </c>
      <c r="B79" s="38"/>
      <c r="C79" s="38"/>
      <c r="D79" s="38"/>
      <c r="E79" s="38"/>
      <c r="F79" s="255">
        <f>+'Tons &amp; Revenue'!M247</f>
        <v>454035.46273988811</v>
      </c>
      <c r="G79" s="39"/>
    </row>
    <row r="80" spans="1:7" ht="18" x14ac:dyDescent="0.4">
      <c r="A80" s="35"/>
      <c r="B80" s="38"/>
      <c r="C80" s="38"/>
      <c r="D80" s="38"/>
      <c r="E80" s="38"/>
      <c r="F80" s="255"/>
      <c r="G80" s="39"/>
    </row>
    <row r="81" spans="1:7" ht="17.25" x14ac:dyDescent="0.35">
      <c r="A81" s="49" t="s">
        <v>175</v>
      </c>
      <c r="B81" s="250"/>
      <c r="C81" s="250"/>
      <c r="D81" s="250"/>
      <c r="E81" s="272"/>
      <c r="F81" s="267">
        <f>+F79*50%</f>
        <v>227017.73136994406</v>
      </c>
      <c r="G81" s="273"/>
    </row>
    <row r="82" spans="1:7" ht="17.25" x14ac:dyDescent="0.35">
      <c r="A82" s="49"/>
      <c r="B82" s="250"/>
      <c r="C82" s="250"/>
      <c r="D82" s="250"/>
      <c r="E82" s="250"/>
      <c r="F82" s="267"/>
      <c r="G82" s="39"/>
    </row>
    <row r="83" spans="1:7" ht="15" x14ac:dyDescent="0.2">
      <c r="A83" s="49"/>
      <c r="B83" s="250"/>
      <c r="C83" s="250"/>
      <c r="D83" s="250"/>
      <c r="E83" s="250"/>
      <c r="F83" s="250"/>
      <c r="G83" s="39"/>
    </row>
    <row r="84" spans="1:7" ht="17.25" x14ac:dyDescent="0.35">
      <c r="A84" s="49"/>
      <c r="B84" s="250"/>
      <c r="C84" s="250"/>
      <c r="D84" s="250"/>
      <c r="E84" s="250"/>
      <c r="F84" s="254"/>
      <c r="G84" s="39"/>
    </row>
    <row r="85" spans="1:7" ht="15.75" x14ac:dyDescent="0.25">
      <c r="A85" s="176" t="s">
        <v>24</v>
      </c>
      <c r="B85" s="268"/>
      <c r="C85" s="268"/>
      <c r="D85" s="268"/>
      <c r="E85" s="268"/>
      <c r="F85" s="178">
        <f>F79-F77-F81</f>
        <v>-104864.74863005592</v>
      </c>
      <c r="G85" s="269"/>
    </row>
    <row r="86" spans="1:7" ht="15" x14ac:dyDescent="0.2">
      <c r="A86" s="42"/>
      <c r="B86" s="38"/>
      <c r="C86" s="38"/>
      <c r="D86" s="38"/>
      <c r="E86" s="38"/>
      <c r="F86" s="253"/>
      <c r="G86" s="39"/>
    </row>
    <row r="87" spans="1:7" ht="15" x14ac:dyDescent="0.2">
      <c r="A87" s="42" t="s">
        <v>25</v>
      </c>
      <c r="B87" s="38"/>
      <c r="C87" s="38"/>
      <c r="D87" s="38"/>
      <c r="E87" s="38"/>
      <c r="F87" s="47">
        <f>+F97</f>
        <v>312124</v>
      </c>
      <c r="G87" s="39"/>
    </row>
    <row r="88" spans="1:7" ht="15" x14ac:dyDescent="0.2">
      <c r="A88" s="42"/>
      <c r="B88" s="38"/>
      <c r="C88" s="38"/>
      <c r="D88" s="38"/>
      <c r="E88" s="38"/>
      <c r="F88" s="38"/>
      <c r="G88" s="39"/>
    </row>
    <row r="89" spans="1:7" ht="15" x14ac:dyDescent="0.2">
      <c r="A89" s="42" t="s">
        <v>26</v>
      </c>
      <c r="B89" s="38"/>
      <c r="C89" s="38"/>
      <c r="D89" s="38"/>
      <c r="E89" s="38"/>
      <c r="F89" s="61"/>
      <c r="G89" s="52">
        <f>ROUND(F85/F87,2)</f>
        <v>-0.34</v>
      </c>
    </row>
    <row r="90" spans="1:7" ht="15" x14ac:dyDescent="0.2">
      <c r="A90" s="42"/>
      <c r="B90" s="38"/>
      <c r="C90" s="38"/>
      <c r="D90" s="38"/>
      <c r="E90" s="38"/>
      <c r="F90" s="38"/>
      <c r="G90" s="52"/>
    </row>
    <row r="91" spans="1:7" ht="15" x14ac:dyDescent="0.2">
      <c r="A91" s="42"/>
      <c r="B91" s="38"/>
      <c r="C91" s="38"/>
      <c r="D91" s="38"/>
      <c r="E91" s="38"/>
      <c r="F91" s="38"/>
      <c r="G91" s="52"/>
    </row>
    <row r="92" spans="1:7" ht="15" x14ac:dyDescent="0.2">
      <c r="A92" s="42"/>
      <c r="B92" s="38"/>
      <c r="C92" s="38"/>
      <c r="D92" s="38"/>
      <c r="E92" s="38"/>
      <c r="F92" s="38"/>
      <c r="G92" s="52"/>
    </row>
    <row r="93" spans="1:7" ht="15.75" x14ac:dyDescent="0.25">
      <c r="A93" s="151" t="s">
        <v>188</v>
      </c>
      <c r="B93" s="36"/>
      <c r="C93" s="38"/>
      <c r="D93" s="38"/>
      <c r="E93" s="38"/>
      <c r="F93" s="163">
        <f>+F79</f>
        <v>454035.46273988811</v>
      </c>
      <c r="G93" s="52"/>
    </row>
    <row r="94" spans="1:7" ht="17.25" x14ac:dyDescent="0.35">
      <c r="A94" s="49" t="s">
        <v>152</v>
      </c>
      <c r="B94" s="36"/>
      <c r="C94" s="38"/>
      <c r="D94" s="38"/>
      <c r="E94" s="173">
        <v>0.5</v>
      </c>
      <c r="F94" s="174">
        <f>-F93*E94</f>
        <v>-227017.73136994406</v>
      </c>
      <c r="G94" s="52"/>
    </row>
    <row r="95" spans="1:7" ht="20.25" x14ac:dyDescent="0.55000000000000004">
      <c r="A95" s="49"/>
      <c r="B95" s="36"/>
      <c r="C95" s="38"/>
      <c r="D95" s="38"/>
      <c r="E95" s="173"/>
      <c r="F95" s="175">
        <f>+F94+F93</f>
        <v>227017.73136994406</v>
      </c>
      <c r="G95" s="52"/>
    </row>
    <row r="96" spans="1:7" ht="17.25" x14ac:dyDescent="0.35">
      <c r="A96" s="49"/>
      <c r="B96" s="36"/>
      <c r="C96" s="38"/>
      <c r="D96" s="38"/>
      <c r="E96" s="173"/>
      <c r="F96" s="174"/>
      <c r="G96" s="52"/>
    </row>
    <row r="97" spans="1:7" ht="17.25" x14ac:dyDescent="0.35">
      <c r="A97" s="42" t="s">
        <v>154</v>
      </c>
      <c r="B97" s="38"/>
      <c r="C97" s="38"/>
      <c r="D97" s="38"/>
      <c r="E97" s="38"/>
      <c r="F97" s="164">
        <f>+C77</f>
        <v>312124</v>
      </c>
      <c r="G97" s="52"/>
    </row>
    <row r="98" spans="1:7" ht="17.25" x14ac:dyDescent="0.35">
      <c r="A98" s="42" t="s">
        <v>104</v>
      </c>
      <c r="B98" s="38"/>
      <c r="C98" s="38"/>
      <c r="D98" s="38"/>
      <c r="E98" s="38"/>
      <c r="F98" s="38"/>
      <c r="G98" s="55">
        <f>ROUND(+F93/F97,2)</f>
        <v>1.45</v>
      </c>
    </row>
    <row r="99" spans="1:7" ht="15" x14ac:dyDescent="0.2">
      <c r="A99" s="42"/>
      <c r="B99" s="38"/>
      <c r="C99" s="38"/>
      <c r="D99" s="38"/>
      <c r="E99" s="38"/>
      <c r="F99" s="38"/>
      <c r="G99" s="52"/>
    </row>
    <row r="100" spans="1:7" ht="18" x14ac:dyDescent="0.4">
      <c r="A100" s="35" t="s">
        <v>28</v>
      </c>
      <c r="B100" s="36"/>
      <c r="C100" s="38"/>
      <c r="D100" s="38"/>
      <c r="E100" s="38"/>
      <c r="F100" s="38"/>
      <c r="G100" s="180">
        <f>SUM(G89:G98)</f>
        <v>1.1099999999999999</v>
      </c>
    </row>
    <row r="101" spans="1:7" ht="15.75" x14ac:dyDescent="0.25">
      <c r="A101" s="35"/>
      <c r="B101" s="36"/>
      <c r="C101" s="38"/>
      <c r="D101" s="38"/>
      <c r="E101" s="38"/>
      <c r="F101" s="38"/>
      <c r="G101" s="150"/>
    </row>
    <row r="102" spans="1:7" ht="13.5" thickBot="1" x14ac:dyDescent="0.25">
      <c r="A102" s="19"/>
      <c r="B102" s="20"/>
      <c r="C102" s="20"/>
      <c r="D102" s="20"/>
      <c r="E102" s="20"/>
      <c r="F102" s="20"/>
      <c r="G102" s="21"/>
    </row>
    <row r="103" spans="1:7" ht="15" x14ac:dyDescent="0.2">
      <c r="A103" s="319" t="s">
        <v>29</v>
      </c>
      <c r="B103" s="320"/>
      <c r="C103" s="320"/>
      <c r="D103" s="320"/>
      <c r="E103" s="320"/>
      <c r="F103" s="320"/>
      <c r="G103" s="321"/>
    </row>
    <row r="104" spans="1:7" ht="15" x14ac:dyDescent="0.2">
      <c r="A104" s="49"/>
      <c r="B104" s="50"/>
      <c r="C104" s="50"/>
      <c r="D104" s="50"/>
      <c r="E104" s="50"/>
      <c r="F104" s="50"/>
      <c r="G104" s="64"/>
    </row>
    <row r="105" spans="1:7" ht="15.75" x14ac:dyDescent="0.25">
      <c r="A105" s="49"/>
      <c r="B105" s="50"/>
      <c r="C105" s="43"/>
      <c r="D105" s="43"/>
      <c r="E105" s="43" t="s">
        <v>13</v>
      </c>
      <c r="F105" s="43" t="s">
        <v>3</v>
      </c>
      <c r="G105" s="64"/>
    </row>
    <row r="106" spans="1:7" ht="15.75" x14ac:dyDescent="0.25">
      <c r="A106" s="49"/>
      <c r="B106" s="50"/>
      <c r="C106" s="65" t="s">
        <v>20</v>
      </c>
      <c r="D106" s="65"/>
      <c r="E106" s="65" t="s">
        <v>22</v>
      </c>
      <c r="F106" s="65" t="s">
        <v>6</v>
      </c>
      <c r="G106" s="64"/>
    </row>
    <row r="107" spans="1:7" ht="15.75" x14ac:dyDescent="0.25">
      <c r="A107" s="45" t="s">
        <v>159</v>
      </c>
      <c r="B107" s="36"/>
      <c r="C107" s="66"/>
      <c r="D107" s="66"/>
      <c r="E107" s="66"/>
      <c r="F107" s="66"/>
      <c r="G107" s="64"/>
    </row>
    <row r="108" spans="1:7" ht="15.75" x14ac:dyDescent="0.25">
      <c r="A108" s="42" t="s">
        <v>160</v>
      </c>
      <c r="B108" s="50"/>
      <c r="C108" s="67">
        <f>+'Res''l &amp; MF Customers'!C25+'Res''l &amp; MF Customers'!D25</f>
        <v>4247.1428571428578</v>
      </c>
      <c r="D108" s="67"/>
      <c r="E108" s="68">
        <f>+E176</f>
        <v>0.21</v>
      </c>
      <c r="F108" s="54">
        <f>E108*C108</f>
        <v>891.90000000000009</v>
      </c>
      <c r="G108" s="64"/>
    </row>
    <row r="109" spans="1:7" ht="17.25" x14ac:dyDescent="0.35">
      <c r="A109" s="49" t="s">
        <v>161</v>
      </c>
      <c r="B109" s="50"/>
      <c r="C109" s="51">
        <f>SUM('Res''l &amp; MF Customers'!E25:N25)</f>
        <v>24495.75</v>
      </c>
      <c r="D109" s="51"/>
      <c r="E109" s="68">
        <f>+G196</f>
        <v>0.17</v>
      </c>
      <c r="F109" s="132">
        <f>E109*C109</f>
        <v>4164.2775000000001</v>
      </c>
      <c r="G109" s="64"/>
    </row>
    <row r="110" spans="1:7" ht="18" x14ac:dyDescent="0.4">
      <c r="A110" s="42" t="s">
        <v>3</v>
      </c>
      <c r="B110" s="50"/>
      <c r="C110" s="259">
        <f>SUM(C108:C109)</f>
        <v>28742.892857142859</v>
      </c>
      <c r="D110" s="259"/>
      <c r="E110" s="260"/>
      <c r="F110" s="261">
        <f>SUM(F108:F109)</f>
        <v>5056.1774999999998</v>
      </c>
      <c r="G110" s="64"/>
    </row>
    <row r="111" spans="1:7" ht="15" x14ac:dyDescent="0.2">
      <c r="A111" s="42"/>
      <c r="B111" s="50"/>
      <c r="C111" s="50"/>
      <c r="D111" s="50"/>
      <c r="E111" s="50"/>
      <c r="F111" s="54"/>
      <c r="G111" s="64"/>
    </row>
    <row r="112" spans="1:7" ht="18" x14ac:dyDescent="0.4">
      <c r="A112" s="35" t="s">
        <v>147</v>
      </c>
      <c r="B112" s="38"/>
      <c r="C112" s="38"/>
      <c r="D112" s="38"/>
      <c r="E112" s="38"/>
      <c r="F112" s="255">
        <f>+'Tons &amp; Revenue'!M217</f>
        <v>6213.3590947678549</v>
      </c>
      <c r="G112" s="64"/>
    </row>
    <row r="113" spans="1:7" ht="15.75" x14ac:dyDescent="0.25">
      <c r="A113" s="35"/>
      <c r="B113" s="38"/>
      <c r="C113" s="38"/>
      <c r="D113" s="38"/>
      <c r="E113" s="38"/>
      <c r="F113" s="131"/>
      <c r="G113" s="64"/>
    </row>
    <row r="114" spans="1:7" ht="20.25" x14ac:dyDescent="0.55000000000000004">
      <c r="A114" s="35" t="s">
        <v>175</v>
      </c>
      <c r="B114" s="38"/>
      <c r="C114" s="38"/>
      <c r="D114" s="38"/>
      <c r="E114" s="38"/>
      <c r="F114" s="262">
        <f>F112*50%</f>
        <v>3106.6795473839275</v>
      </c>
      <c r="G114" s="64"/>
    </row>
    <row r="115" spans="1:7" ht="17.25" x14ac:dyDescent="0.35">
      <c r="A115" s="35"/>
      <c r="B115" s="38"/>
      <c r="C115" s="38"/>
      <c r="D115" s="38"/>
      <c r="E115" s="38"/>
      <c r="F115" s="133"/>
      <c r="G115" s="64"/>
    </row>
    <row r="116" spans="1:7" ht="15" x14ac:dyDescent="0.2">
      <c r="A116" s="42" t="s">
        <v>24</v>
      </c>
      <c r="B116" s="38"/>
      <c r="C116" s="38"/>
      <c r="D116" s="38"/>
      <c r="E116" s="38"/>
      <c r="F116" s="47">
        <f>F114-F110</f>
        <v>-1949.4979526160723</v>
      </c>
      <c r="G116" s="64"/>
    </row>
    <row r="117" spans="1:7" ht="17.25" x14ac:dyDescent="0.35">
      <c r="A117" s="42"/>
      <c r="B117" s="38"/>
      <c r="C117" s="130"/>
      <c r="D117" s="38"/>
      <c r="E117" s="38"/>
      <c r="F117" s="133"/>
      <c r="G117" s="64"/>
    </row>
    <row r="118" spans="1:7" ht="15" x14ac:dyDescent="0.2">
      <c r="A118" s="42" t="s">
        <v>25</v>
      </c>
      <c r="B118" s="50"/>
      <c r="C118" s="50"/>
      <c r="D118" s="50"/>
      <c r="E118" s="50"/>
      <c r="F118" s="67">
        <f>+F128</f>
        <v>28742.892857142859</v>
      </c>
      <c r="G118" s="64"/>
    </row>
    <row r="119" spans="1:7" ht="15" x14ac:dyDescent="0.2">
      <c r="A119" s="42"/>
      <c r="B119" s="50"/>
      <c r="C119" s="50"/>
      <c r="D119" s="50"/>
      <c r="E119" s="50"/>
      <c r="F119" s="50"/>
      <c r="G119" s="64"/>
    </row>
    <row r="120" spans="1:7" ht="15" x14ac:dyDescent="0.2">
      <c r="A120" s="42" t="s">
        <v>26</v>
      </c>
      <c r="B120" s="50"/>
      <c r="C120" s="50"/>
      <c r="D120" s="50"/>
      <c r="E120" s="50"/>
      <c r="F120" s="50"/>
      <c r="G120" s="52">
        <f>ROUND(F116/F118,2)</f>
        <v>-7.0000000000000007E-2</v>
      </c>
    </row>
    <row r="121" spans="1:7" ht="15" x14ac:dyDescent="0.2">
      <c r="A121" s="42"/>
      <c r="B121" s="50"/>
      <c r="C121" s="50"/>
      <c r="D121" s="50"/>
      <c r="E121" s="50"/>
      <c r="F121" s="50"/>
      <c r="G121" s="70"/>
    </row>
    <row r="122" spans="1:7" ht="15" x14ac:dyDescent="0.2">
      <c r="A122" s="42"/>
      <c r="B122" s="50"/>
      <c r="C122" s="50"/>
      <c r="D122" s="50"/>
      <c r="E122" s="50"/>
      <c r="F122" s="67"/>
      <c r="G122" s="64"/>
    </row>
    <row r="123" spans="1:7" ht="15.75" x14ac:dyDescent="0.25">
      <c r="A123" s="42"/>
      <c r="B123" s="36"/>
      <c r="C123" s="50"/>
      <c r="D123" s="50"/>
      <c r="E123" s="50"/>
      <c r="F123" s="67"/>
      <c r="G123" s="64"/>
    </row>
    <row r="124" spans="1:7" ht="15.75" x14ac:dyDescent="0.25">
      <c r="A124" s="151" t="s">
        <v>188</v>
      </c>
      <c r="B124" s="50"/>
      <c r="C124" s="50"/>
      <c r="D124" s="50"/>
      <c r="E124" s="50"/>
      <c r="F124" s="165">
        <f>+F112</f>
        <v>6213.3590947678549</v>
      </c>
      <c r="G124" s="64"/>
    </row>
    <row r="125" spans="1:7" ht="17.25" x14ac:dyDescent="0.35">
      <c r="A125" s="49" t="s">
        <v>152</v>
      </c>
      <c r="B125" s="36"/>
      <c r="C125" s="38"/>
      <c r="D125" s="38"/>
      <c r="E125" s="173">
        <v>0.5</v>
      </c>
      <c r="F125" s="174">
        <f>-F124*E125</f>
        <v>-3106.6795473839275</v>
      </c>
      <c r="G125" s="52"/>
    </row>
    <row r="126" spans="1:7" ht="20.25" x14ac:dyDescent="0.55000000000000004">
      <c r="A126" s="49"/>
      <c r="B126" s="36"/>
      <c r="C126" s="38"/>
      <c r="D126" s="38"/>
      <c r="E126" s="173"/>
      <c r="F126" s="175">
        <f>+F125+F124</f>
        <v>3106.6795473839275</v>
      </c>
      <c r="G126" s="52"/>
    </row>
    <row r="127" spans="1:7" ht="17.25" x14ac:dyDescent="0.35">
      <c r="A127" s="49"/>
      <c r="B127" s="36"/>
      <c r="C127" s="38"/>
      <c r="D127" s="38"/>
      <c r="E127" s="173"/>
      <c r="F127" s="174"/>
      <c r="G127" s="52"/>
    </row>
    <row r="128" spans="1:7" ht="17.25" x14ac:dyDescent="0.35">
      <c r="A128" s="42" t="s">
        <v>154</v>
      </c>
      <c r="B128" s="38"/>
      <c r="C128" s="38"/>
      <c r="D128" s="38"/>
      <c r="E128" s="38"/>
      <c r="F128" s="164">
        <f>+C110</f>
        <v>28742.892857142859</v>
      </c>
      <c r="G128" s="52"/>
    </row>
    <row r="129" spans="1:7" ht="17.25" x14ac:dyDescent="0.35">
      <c r="A129" s="42" t="s">
        <v>104</v>
      </c>
      <c r="B129" s="38"/>
      <c r="C129" s="38"/>
      <c r="D129" s="38"/>
      <c r="E129" s="38"/>
      <c r="F129" s="38"/>
      <c r="G129" s="55">
        <f>ROUND(+F124/F128,2)</f>
        <v>0.22</v>
      </c>
    </row>
    <row r="130" spans="1:7" ht="15" x14ac:dyDescent="0.2">
      <c r="A130" s="42"/>
      <c r="B130" s="38"/>
      <c r="C130" s="38"/>
      <c r="D130" s="38"/>
      <c r="E130" s="38"/>
      <c r="F130" s="38"/>
      <c r="G130" s="52"/>
    </row>
    <row r="131" spans="1:7" ht="18" x14ac:dyDescent="0.4">
      <c r="A131" s="35" t="s">
        <v>132</v>
      </c>
      <c r="B131" s="36"/>
      <c r="C131" s="38"/>
      <c r="D131" s="38"/>
      <c r="E131" s="38"/>
      <c r="F131" s="38"/>
      <c r="G131" s="180">
        <f>SUM(G120:G129)</f>
        <v>0.15</v>
      </c>
    </row>
    <row r="132" spans="1:7" ht="16.5" thickBot="1" x14ac:dyDescent="0.3">
      <c r="A132" s="263"/>
      <c r="B132" s="264"/>
      <c r="C132" s="265"/>
      <c r="D132" s="265"/>
      <c r="E132" s="265"/>
      <c r="F132" s="265"/>
      <c r="G132" s="266"/>
    </row>
    <row r="133" spans="1:7" ht="13.5" thickBot="1" x14ac:dyDescent="0.25"/>
    <row r="134" spans="1:7" ht="23.25" x14ac:dyDescent="0.35">
      <c r="A134" s="31" t="s">
        <v>56</v>
      </c>
      <c r="B134" s="32"/>
      <c r="C134" s="33"/>
      <c r="D134" s="33"/>
      <c r="E134" s="33"/>
      <c r="F134" s="33"/>
      <c r="G134" s="34"/>
    </row>
    <row r="135" spans="1:7" ht="15.75" x14ac:dyDescent="0.25">
      <c r="A135" s="35" t="s">
        <v>158</v>
      </c>
      <c r="B135" s="36"/>
      <c r="C135" s="37"/>
      <c r="D135" s="37"/>
      <c r="E135" s="38"/>
      <c r="F135" s="38"/>
      <c r="G135" s="39"/>
    </row>
    <row r="136" spans="1:7" ht="15.75" x14ac:dyDescent="0.25">
      <c r="A136" s="40"/>
      <c r="B136" s="41"/>
      <c r="C136" s="38"/>
      <c r="D136" s="38"/>
      <c r="E136" s="38"/>
      <c r="F136" s="38"/>
      <c r="G136" s="39"/>
    </row>
    <row r="137" spans="1:7" ht="15" x14ac:dyDescent="0.2">
      <c r="A137" s="316" t="s">
        <v>21</v>
      </c>
      <c r="B137" s="317"/>
      <c r="C137" s="317"/>
      <c r="D137" s="317"/>
      <c r="E137" s="317"/>
      <c r="F137" s="317"/>
      <c r="G137" s="318"/>
    </row>
    <row r="138" spans="1:7" ht="15" x14ac:dyDescent="0.2">
      <c r="A138" s="42"/>
      <c r="B138" s="38"/>
      <c r="C138" s="38"/>
      <c r="D138" s="38"/>
      <c r="E138" s="38"/>
      <c r="F138" s="38"/>
      <c r="G138" s="39"/>
    </row>
    <row r="139" spans="1:7" ht="15.75" x14ac:dyDescent="0.25">
      <c r="A139" s="42"/>
      <c r="B139" s="38"/>
      <c r="C139" s="43"/>
      <c r="D139" s="43"/>
      <c r="E139" s="43" t="s">
        <v>13</v>
      </c>
      <c r="F139" s="43" t="s">
        <v>3</v>
      </c>
      <c r="G139" s="39"/>
    </row>
    <row r="140" spans="1:7" ht="15.75" x14ac:dyDescent="0.25">
      <c r="A140" s="42"/>
      <c r="B140" s="38"/>
      <c r="C140" s="44" t="s">
        <v>5</v>
      </c>
      <c r="D140" s="44"/>
      <c r="E140" s="44" t="s">
        <v>22</v>
      </c>
      <c r="F140" s="44" t="s">
        <v>6</v>
      </c>
      <c r="G140" s="39"/>
    </row>
    <row r="141" spans="1:7" ht="15.75" x14ac:dyDescent="0.25">
      <c r="A141" s="45" t="s">
        <v>159</v>
      </c>
      <c r="B141" s="36"/>
      <c r="C141" s="46"/>
      <c r="D141" s="46"/>
      <c r="E141" s="46"/>
      <c r="F141" s="46"/>
      <c r="G141" s="39"/>
    </row>
    <row r="142" spans="1:7" ht="15.75" x14ac:dyDescent="0.25">
      <c r="A142" s="42" t="s">
        <v>160</v>
      </c>
      <c r="B142" s="38"/>
      <c r="C142" s="47">
        <v>49322</v>
      </c>
      <c r="D142" s="47"/>
      <c r="E142" s="48">
        <f>+E210</f>
        <v>0.97</v>
      </c>
      <c r="F142" s="131">
        <f>C142*E142</f>
        <v>47842.34</v>
      </c>
      <c r="G142" s="39"/>
    </row>
    <row r="143" spans="1:7" ht="17.25" x14ac:dyDescent="0.35">
      <c r="A143" s="49" t="s">
        <v>161</v>
      </c>
      <c r="B143" s="50"/>
      <c r="C143" s="51">
        <v>250128</v>
      </c>
      <c r="D143" s="51"/>
      <c r="E143" s="48">
        <f>+G228</f>
        <v>1.08</v>
      </c>
      <c r="F143" s="132">
        <f>C143*E143</f>
        <v>270138.23999999999</v>
      </c>
      <c r="G143" s="39"/>
    </row>
    <row r="144" spans="1:7" ht="18" x14ac:dyDescent="0.4">
      <c r="A144" s="176" t="s">
        <v>153</v>
      </c>
      <c r="B144" s="38"/>
      <c r="C144" s="256">
        <f>SUM(C142:C143)</f>
        <v>299450</v>
      </c>
      <c r="D144" s="257"/>
      <c r="E144" s="258"/>
      <c r="F144" s="255">
        <f>SUM(F142:F143)</f>
        <v>317980.57999999996</v>
      </c>
      <c r="G144" s="39"/>
    </row>
    <row r="145" spans="1:8" ht="15" x14ac:dyDescent="0.2">
      <c r="A145" s="42"/>
      <c r="B145" s="38"/>
      <c r="C145" s="38"/>
      <c r="D145" s="38"/>
      <c r="E145" s="38"/>
      <c r="F145" s="38"/>
      <c r="G145" s="39"/>
    </row>
    <row r="146" spans="1:8" ht="18" x14ac:dyDescent="0.4">
      <c r="A146" s="35" t="s">
        <v>147</v>
      </c>
      <c r="B146" s="38"/>
      <c r="C146" s="38"/>
      <c r="D146" s="38"/>
      <c r="E146" s="38"/>
      <c r="F146" s="255">
        <v>283604</v>
      </c>
      <c r="G146" s="39"/>
    </row>
    <row r="147" spans="1:8" ht="18" x14ac:dyDescent="0.4">
      <c r="A147" s="35"/>
      <c r="B147" s="38"/>
      <c r="C147" s="38"/>
      <c r="D147" s="38"/>
      <c r="E147" s="38"/>
      <c r="F147" s="255"/>
      <c r="G147" s="39"/>
    </row>
    <row r="148" spans="1:8" ht="17.25" x14ac:dyDescent="0.35">
      <c r="A148" s="49" t="s">
        <v>175</v>
      </c>
      <c r="B148" s="250"/>
      <c r="C148" s="250"/>
      <c r="D148" s="250"/>
      <c r="E148" s="272">
        <f>F146-F144</f>
        <v>-34376.579999999958</v>
      </c>
      <c r="F148" s="267">
        <f>+F146*50%</f>
        <v>141802</v>
      </c>
      <c r="G148" s="273">
        <f>E148-F148</f>
        <v>-176178.57999999996</v>
      </c>
    </row>
    <row r="149" spans="1:8" ht="17.25" x14ac:dyDescent="0.35">
      <c r="A149" s="49"/>
      <c r="B149" s="250"/>
      <c r="C149" s="250"/>
      <c r="D149" s="250"/>
      <c r="E149" s="250"/>
      <c r="F149" s="267"/>
      <c r="G149" s="39"/>
    </row>
    <row r="150" spans="1:8" ht="17.25" x14ac:dyDescent="0.35">
      <c r="A150" s="49" t="s">
        <v>176</v>
      </c>
      <c r="B150" s="250"/>
      <c r="C150" s="250"/>
      <c r="D150" s="250"/>
      <c r="E150" s="250"/>
      <c r="F150" s="274">
        <v>16886</v>
      </c>
      <c r="G150" s="39"/>
    </row>
    <row r="151" spans="1:8" ht="17.25" x14ac:dyDescent="0.35">
      <c r="A151" s="49"/>
      <c r="B151" s="250"/>
      <c r="C151" s="250"/>
      <c r="D151" s="250"/>
      <c r="E151" s="250"/>
      <c r="F151" s="254"/>
      <c r="G151" s="39"/>
    </row>
    <row r="152" spans="1:8" s="1" customFormat="1" ht="15.75" x14ac:dyDescent="0.25">
      <c r="A152" s="176" t="s">
        <v>24</v>
      </c>
      <c r="B152" s="268"/>
      <c r="C152" s="268"/>
      <c r="D152" s="268"/>
      <c r="E152" s="268"/>
      <c r="F152" s="178">
        <f>F146-F144-F148+F150</f>
        <v>-159292.57999999996</v>
      </c>
      <c r="G152" s="269"/>
      <c r="H152" s="271"/>
    </row>
    <row r="153" spans="1:8" ht="15" x14ac:dyDescent="0.2">
      <c r="A153" s="42"/>
      <c r="B153" s="38"/>
      <c r="C153" s="38"/>
      <c r="D153" s="38"/>
      <c r="E153" s="38"/>
      <c r="F153" s="253"/>
      <c r="G153" s="39"/>
    </row>
    <row r="154" spans="1:8" ht="15" x14ac:dyDescent="0.2">
      <c r="A154" s="42" t="s">
        <v>25</v>
      </c>
      <c r="B154" s="38"/>
      <c r="C154" s="38"/>
      <c r="D154" s="38"/>
      <c r="E154" s="38"/>
      <c r="F154" s="47">
        <f>+F164</f>
        <v>299450</v>
      </c>
      <c r="G154" s="39"/>
    </row>
    <row r="155" spans="1:8" ht="15" x14ac:dyDescent="0.2">
      <c r="A155" s="42"/>
      <c r="B155" s="38"/>
      <c r="C155" s="38"/>
      <c r="D155" s="38"/>
      <c r="E155" s="38"/>
      <c r="F155" s="38"/>
      <c r="G155" s="39"/>
    </row>
    <row r="156" spans="1:8" ht="15" x14ac:dyDescent="0.2">
      <c r="A156" s="42" t="s">
        <v>26</v>
      </c>
      <c r="B156" s="38"/>
      <c r="C156" s="38"/>
      <c r="D156" s="38"/>
      <c r="E156" s="38"/>
      <c r="F156" s="61"/>
      <c r="G156" s="52">
        <f>ROUND(F152/F154,2)</f>
        <v>-0.53</v>
      </c>
    </row>
    <row r="157" spans="1:8" ht="15" x14ac:dyDescent="0.2">
      <c r="A157" s="42"/>
      <c r="B157" s="38"/>
      <c r="C157" s="38"/>
      <c r="D157" s="38"/>
      <c r="E157" s="38"/>
      <c r="F157" s="38"/>
      <c r="G157" s="52"/>
    </row>
    <row r="158" spans="1:8" ht="15" x14ac:dyDescent="0.2">
      <c r="A158" s="42"/>
      <c r="B158" s="38"/>
      <c r="C158" s="38"/>
      <c r="D158" s="38"/>
      <c r="E158" s="38"/>
      <c r="F158" s="38"/>
      <c r="G158" s="52"/>
    </row>
    <row r="159" spans="1:8" ht="15" x14ac:dyDescent="0.2">
      <c r="A159" s="42"/>
      <c r="B159" s="38"/>
      <c r="C159" s="38"/>
      <c r="D159" s="38"/>
      <c r="E159" s="38"/>
      <c r="F159" s="38"/>
      <c r="G159" s="52"/>
    </row>
    <row r="160" spans="1:8" ht="15.75" x14ac:dyDescent="0.25">
      <c r="A160" s="151" t="s">
        <v>162</v>
      </c>
      <c r="B160" s="36"/>
      <c r="C160" s="38"/>
      <c r="D160" s="38"/>
      <c r="E160" s="38"/>
      <c r="F160" s="163">
        <v>318359</v>
      </c>
      <c r="G160" s="52"/>
    </row>
    <row r="161" spans="1:7" ht="17.25" x14ac:dyDescent="0.35">
      <c r="A161" s="49" t="s">
        <v>152</v>
      </c>
      <c r="B161" s="36"/>
      <c r="C161" s="38"/>
      <c r="D161" s="38"/>
      <c r="E161" s="173">
        <v>0.5</v>
      </c>
      <c r="F161" s="174">
        <f>-F160*E161</f>
        <v>-159179.5</v>
      </c>
      <c r="G161" s="52"/>
    </row>
    <row r="162" spans="1:7" ht="20.25" x14ac:dyDescent="0.55000000000000004">
      <c r="A162" s="49"/>
      <c r="B162" s="36"/>
      <c r="C162" s="38"/>
      <c r="D162" s="38"/>
      <c r="E162" s="173"/>
      <c r="F162" s="175">
        <f>+F161+F160</f>
        <v>159179.5</v>
      </c>
      <c r="G162" s="52"/>
    </row>
    <row r="163" spans="1:7" ht="17.25" x14ac:dyDescent="0.35">
      <c r="A163" s="49"/>
      <c r="B163" s="36"/>
      <c r="C163" s="38"/>
      <c r="D163" s="38"/>
      <c r="E163" s="173"/>
      <c r="F163" s="174"/>
      <c r="G163" s="52"/>
    </row>
    <row r="164" spans="1:7" ht="17.25" x14ac:dyDescent="0.35">
      <c r="A164" s="42" t="s">
        <v>154</v>
      </c>
      <c r="B164" s="38"/>
      <c r="C164" s="38"/>
      <c r="D164" s="38"/>
      <c r="E164" s="38"/>
      <c r="F164" s="164">
        <f>+C144</f>
        <v>299450</v>
      </c>
      <c r="G164" s="52"/>
    </row>
    <row r="165" spans="1:7" ht="17.25" x14ac:dyDescent="0.35">
      <c r="A165" s="42" t="s">
        <v>104</v>
      </c>
      <c r="B165" s="38"/>
      <c r="C165" s="38"/>
      <c r="D165" s="38"/>
      <c r="E165" s="38"/>
      <c r="F165" s="38"/>
      <c r="G165" s="55">
        <f>ROUND(+F160/F164,2)</f>
        <v>1.06</v>
      </c>
    </row>
    <row r="166" spans="1:7" ht="15" x14ac:dyDescent="0.2">
      <c r="A166" s="42"/>
      <c r="B166" s="38"/>
      <c r="C166" s="38"/>
      <c r="D166" s="38"/>
      <c r="E166" s="38"/>
      <c r="F166" s="38"/>
      <c r="G166" s="52"/>
    </row>
    <row r="167" spans="1:7" ht="18" x14ac:dyDescent="0.4">
      <c r="A167" s="35" t="s">
        <v>28</v>
      </c>
      <c r="B167" s="36"/>
      <c r="C167" s="38"/>
      <c r="D167" s="38"/>
      <c r="E167" s="38"/>
      <c r="F167" s="38"/>
      <c r="G167" s="180">
        <f>SUM(G156:G165)</f>
        <v>0.53</v>
      </c>
    </row>
    <row r="168" spans="1:7" ht="15.75" x14ac:dyDescent="0.25">
      <c r="A168" s="35"/>
      <c r="B168" s="36"/>
      <c r="C168" s="38"/>
      <c r="D168" s="38"/>
      <c r="E168" s="38"/>
      <c r="F168" s="38"/>
      <c r="G168" s="150"/>
    </row>
    <row r="169" spans="1:7" ht="13.5" thickBot="1" x14ac:dyDescent="0.25">
      <c r="A169" s="19"/>
      <c r="B169" s="20"/>
      <c r="C169" s="20"/>
      <c r="D169" s="20"/>
      <c r="E169" s="20"/>
      <c r="F169" s="20"/>
      <c r="G169" s="21"/>
    </row>
    <row r="170" spans="1:7" ht="15" x14ac:dyDescent="0.2">
      <c r="A170" s="319" t="s">
        <v>29</v>
      </c>
      <c r="B170" s="320"/>
      <c r="C170" s="320"/>
      <c r="D170" s="320"/>
      <c r="E170" s="320"/>
      <c r="F170" s="320"/>
      <c r="G170" s="321"/>
    </row>
    <row r="171" spans="1:7" ht="15" x14ac:dyDescent="0.2">
      <c r="A171" s="49"/>
      <c r="B171" s="50"/>
      <c r="C171" s="50"/>
      <c r="D171" s="50"/>
      <c r="E171" s="50"/>
      <c r="F171" s="50"/>
      <c r="G171" s="64"/>
    </row>
    <row r="172" spans="1:7" ht="15.75" x14ac:dyDescent="0.25">
      <c r="A172" s="49"/>
      <c r="B172" s="50"/>
      <c r="C172" s="43"/>
      <c r="D172" s="43"/>
      <c r="E172" s="43" t="s">
        <v>13</v>
      </c>
      <c r="F172" s="43" t="s">
        <v>3</v>
      </c>
      <c r="G172" s="64"/>
    </row>
    <row r="173" spans="1:7" ht="15.75" x14ac:dyDescent="0.25">
      <c r="A173" s="49"/>
      <c r="B173" s="50"/>
      <c r="C173" s="65" t="s">
        <v>20</v>
      </c>
      <c r="D173" s="65"/>
      <c r="E173" s="65" t="s">
        <v>22</v>
      </c>
      <c r="F173" s="65" t="s">
        <v>6</v>
      </c>
      <c r="G173" s="64"/>
    </row>
    <row r="174" spans="1:7" ht="15.75" x14ac:dyDescent="0.25">
      <c r="A174" s="45" t="s">
        <v>159</v>
      </c>
      <c r="B174" s="36"/>
      <c r="C174" s="66"/>
      <c r="D174" s="66"/>
      <c r="E174" s="66"/>
      <c r="F174" s="66"/>
      <c r="G174" s="64"/>
    </row>
    <row r="175" spans="1:7" ht="15.75" x14ac:dyDescent="0.25">
      <c r="A175" s="42" t="s">
        <v>160</v>
      </c>
      <c r="B175" s="50"/>
      <c r="C175" s="67">
        <v>4161.9615384615381</v>
      </c>
      <c r="D175" s="67"/>
      <c r="E175" s="68">
        <f>+E239</f>
        <v>0.18</v>
      </c>
      <c r="F175" s="54">
        <f>E175*C175</f>
        <v>749.15307692307681</v>
      </c>
      <c r="G175" s="64"/>
    </row>
    <row r="176" spans="1:7" ht="17.25" x14ac:dyDescent="0.35">
      <c r="A176" s="49" t="s">
        <v>161</v>
      </c>
      <c r="B176" s="50"/>
      <c r="C176" s="51">
        <v>20883.428571428576</v>
      </c>
      <c r="D176" s="51"/>
      <c r="E176" s="68">
        <f>+G257</f>
        <v>0.21</v>
      </c>
      <c r="F176" s="132">
        <f>E176*C176</f>
        <v>4385.5200000000004</v>
      </c>
      <c r="G176" s="64"/>
    </row>
    <row r="177" spans="1:7" ht="18" x14ac:dyDescent="0.4">
      <c r="A177" s="42" t="s">
        <v>3</v>
      </c>
      <c r="B177" s="50"/>
      <c r="C177" s="259">
        <f>SUM(C175:C176)</f>
        <v>25045.390109890115</v>
      </c>
      <c r="D177" s="259"/>
      <c r="E177" s="260"/>
      <c r="F177" s="261">
        <f>SUM(F175:F176)</f>
        <v>5134.6730769230771</v>
      </c>
      <c r="G177" s="64"/>
    </row>
    <row r="178" spans="1:7" ht="15" x14ac:dyDescent="0.2">
      <c r="A178" s="42"/>
      <c r="B178" s="50"/>
      <c r="C178" s="50"/>
      <c r="D178" s="50"/>
      <c r="E178" s="50"/>
      <c r="F178" s="54"/>
      <c r="G178" s="64"/>
    </row>
    <row r="179" spans="1:7" ht="18" x14ac:dyDescent="0.4">
      <c r="A179" s="35" t="s">
        <v>147</v>
      </c>
      <c r="B179" s="38"/>
      <c r="C179" s="38"/>
      <c r="D179" s="38"/>
      <c r="E179" s="38"/>
      <c r="F179" s="255">
        <v>3881</v>
      </c>
      <c r="G179" s="64"/>
    </row>
    <row r="180" spans="1:7" ht="15.75" x14ac:dyDescent="0.25">
      <c r="A180" s="35"/>
      <c r="B180" s="38"/>
      <c r="C180" s="38"/>
      <c r="D180" s="38"/>
      <c r="E180" s="38"/>
      <c r="F180" s="131"/>
      <c r="G180" s="64"/>
    </row>
    <row r="181" spans="1:7" ht="20.25" x14ac:dyDescent="0.55000000000000004">
      <c r="A181" s="35" t="s">
        <v>175</v>
      </c>
      <c r="B181" s="38"/>
      <c r="C181" s="38"/>
      <c r="D181" s="38"/>
      <c r="E181" s="38"/>
      <c r="F181" s="262">
        <f>F179*50%</f>
        <v>1940.5</v>
      </c>
      <c r="G181" s="64"/>
    </row>
    <row r="182" spans="1:7" ht="17.25" x14ac:dyDescent="0.35">
      <c r="A182" s="35"/>
      <c r="B182" s="38"/>
      <c r="C182" s="38"/>
      <c r="D182" s="38"/>
      <c r="E182" s="38"/>
      <c r="F182" s="133"/>
      <c r="G182" s="64"/>
    </row>
    <row r="183" spans="1:7" ht="15" x14ac:dyDescent="0.2">
      <c r="A183" s="42" t="s">
        <v>24</v>
      </c>
      <c r="B183" s="38"/>
      <c r="C183" s="38"/>
      <c r="D183" s="38"/>
      <c r="E183" s="38"/>
      <c r="F183" s="47">
        <f>F181-F177</f>
        <v>-3194.1730769230771</v>
      </c>
      <c r="G183" s="64"/>
    </row>
    <row r="184" spans="1:7" ht="17.25" x14ac:dyDescent="0.35">
      <c r="A184" s="42"/>
      <c r="B184" s="38"/>
      <c r="C184" s="130"/>
      <c r="D184" s="38"/>
      <c r="E184" s="38"/>
      <c r="F184" s="133"/>
      <c r="G184" s="64"/>
    </row>
    <row r="185" spans="1:7" ht="15" x14ac:dyDescent="0.2">
      <c r="A185" s="42" t="s">
        <v>25</v>
      </c>
      <c r="B185" s="50"/>
      <c r="C185" s="50"/>
      <c r="D185" s="50"/>
      <c r="E185" s="50"/>
      <c r="F185" s="67">
        <f>+F195</f>
        <v>25045.390109890115</v>
      </c>
      <c r="G185" s="64"/>
    </row>
    <row r="186" spans="1:7" ht="15" x14ac:dyDescent="0.2">
      <c r="A186" s="42"/>
      <c r="B186" s="50"/>
      <c r="C186" s="50"/>
      <c r="D186" s="50"/>
      <c r="E186" s="50"/>
      <c r="F186" s="50"/>
      <c r="G186" s="64"/>
    </row>
    <row r="187" spans="1:7" ht="15" x14ac:dyDescent="0.2">
      <c r="A187" s="42" t="s">
        <v>26</v>
      </c>
      <c r="B187" s="50"/>
      <c r="C187" s="50"/>
      <c r="D187" s="50"/>
      <c r="E187" s="50"/>
      <c r="F187" s="50"/>
      <c r="G187" s="52">
        <f>ROUND(F183/F185,2)</f>
        <v>-0.13</v>
      </c>
    </row>
    <row r="188" spans="1:7" ht="15" x14ac:dyDescent="0.2">
      <c r="A188" s="42"/>
      <c r="B188" s="50"/>
      <c r="C188" s="50"/>
      <c r="D188" s="50"/>
      <c r="E188" s="50"/>
      <c r="F188" s="50"/>
      <c r="G188" s="70"/>
    </row>
    <row r="189" spans="1:7" ht="15" x14ac:dyDescent="0.2">
      <c r="A189" s="42"/>
      <c r="B189" s="50"/>
      <c r="C189" s="50"/>
      <c r="D189" s="50"/>
      <c r="E189" s="50"/>
      <c r="F189" s="67"/>
      <c r="G189" s="64"/>
    </row>
    <row r="190" spans="1:7" ht="15.75" x14ac:dyDescent="0.25">
      <c r="A190" s="42"/>
      <c r="B190" s="36"/>
      <c r="C190" s="50"/>
      <c r="D190" s="50"/>
      <c r="E190" s="50"/>
      <c r="F190" s="67"/>
      <c r="G190" s="64"/>
    </row>
    <row r="191" spans="1:7" ht="15.75" x14ac:dyDescent="0.25">
      <c r="A191" s="151" t="s">
        <v>162</v>
      </c>
      <c r="B191" s="50"/>
      <c r="C191" s="50"/>
      <c r="D191" s="50"/>
      <c r="E191" s="50"/>
      <c r="F191" s="165">
        <v>4357</v>
      </c>
      <c r="G191" s="64"/>
    </row>
    <row r="192" spans="1:7" ht="17.25" x14ac:dyDescent="0.35">
      <c r="A192" s="49" t="s">
        <v>152</v>
      </c>
      <c r="B192" s="36"/>
      <c r="C192" s="38"/>
      <c r="D192" s="38"/>
      <c r="E192" s="173">
        <v>0.5</v>
      </c>
      <c r="F192" s="174">
        <f>-F191*E192</f>
        <v>-2178.5</v>
      </c>
      <c r="G192" s="52"/>
    </row>
    <row r="193" spans="1:7" ht="20.25" x14ac:dyDescent="0.55000000000000004">
      <c r="A193" s="49"/>
      <c r="B193" s="36"/>
      <c r="C193" s="38"/>
      <c r="D193" s="38"/>
      <c r="E193" s="173"/>
      <c r="F193" s="175">
        <f>+F192+F191</f>
        <v>2178.5</v>
      </c>
      <c r="G193" s="52"/>
    </row>
    <row r="194" spans="1:7" ht="17.25" x14ac:dyDescent="0.35">
      <c r="A194" s="49"/>
      <c r="B194" s="36"/>
      <c r="C194" s="38"/>
      <c r="D194" s="38"/>
      <c r="E194" s="173"/>
      <c r="F194" s="174"/>
      <c r="G194" s="52"/>
    </row>
    <row r="195" spans="1:7" ht="17.25" x14ac:dyDescent="0.35">
      <c r="A195" s="42" t="s">
        <v>154</v>
      </c>
      <c r="B195" s="38"/>
      <c r="C195" s="38"/>
      <c r="D195" s="38"/>
      <c r="E195" s="38"/>
      <c r="F195" s="164">
        <f>+C177</f>
        <v>25045.390109890115</v>
      </c>
      <c r="G195" s="52"/>
    </row>
    <row r="196" spans="1:7" ht="17.25" x14ac:dyDescent="0.35">
      <c r="A196" s="42" t="s">
        <v>104</v>
      </c>
      <c r="B196" s="38"/>
      <c r="C196" s="38"/>
      <c r="D196" s="38"/>
      <c r="E196" s="38"/>
      <c r="F196" s="38"/>
      <c r="G196" s="55">
        <f>ROUND(+F191/F195,2)</f>
        <v>0.17</v>
      </c>
    </row>
    <row r="197" spans="1:7" ht="15" x14ac:dyDescent="0.2">
      <c r="A197" s="42"/>
      <c r="B197" s="38"/>
      <c r="C197" s="38"/>
      <c r="D197" s="38"/>
      <c r="E197" s="38"/>
      <c r="F197" s="38"/>
      <c r="G197" s="52"/>
    </row>
    <row r="198" spans="1:7" ht="18" x14ac:dyDescent="0.4">
      <c r="A198" s="35" t="s">
        <v>132</v>
      </c>
      <c r="B198" s="36"/>
      <c r="C198" s="38"/>
      <c r="D198" s="38"/>
      <c r="E198" s="38"/>
      <c r="F198" s="38"/>
      <c r="G198" s="180">
        <f>SUM(G187:G196)</f>
        <v>4.0000000000000008E-2</v>
      </c>
    </row>
    <row r="199" spans="1:7" ht="16.5" thickBot="1" x14ac:dyDescent="0.3">
      <c r="A199" s="263"/>
      <c r="B199" s="264"/>
      <c r="C199" s="265"/>
      <c r="D199" s="265"/>
      <c r="E199" s="265"/>
      <c r="F199" s="265"/>
      <c r="G199" s="266"/>
    </row>
    <row r="200" spans="1:7" ht="13.5" thickBot="1" x14ac:dyDescent="0.25"/>
    <row r="201" spans="1:7" ht="23.25" x14ac:dyDescent="0.35">
      <c r="A201" s="31" t="s">
        <v>56</v>
      </c>
      <c r="B201" s="32"/>
      <c r="C201" s="33"/>
      <c r="D201" s="33"/>
      <c r="E201" s="33"/>
      <c r="F201" s="33"/>
      <c r="G201" s="34"/>
    </row>
    <row r="202" spans="1:7" ht="15.75" x14ac:dyDescent="0.25">
      <c r="A202" s="35" t="s">
        <v>103</v>
      </c>
      <c r="B202" s="36"/>
      <c r="C202" s="37"/>
      <c r="D202" s="37"/>
      <c r="E202" s="38"/>
      <c r="F202" s="38"/>
      <c r="G202" s="39"/>
    </row>
    <row r="203" spans="1:7" ht="15.75" x14ac:dyDescent="0.25">
      <c r="A203" s="40"/>
      <c r="B203" s="41"/>
      <c r="C203" s="38"/>
      <c r="D203" s="38"/>
      <c r="E203" s="38"/>
      <c r="F203" s="38"/>
      <c r="G203" s="39"/>
    </row>
    <row r="204" spans="1:7" ht="15" x14ac:dyDescent="0.2">
      <c r="A204" s="316" t="s">
        <v>21</v>
      </c>
      <c r="B204" s="317"/>
      <c r="C204" s="317"/>
      <c r="D204" s="317"/>
      <c r="E204" s="317"/>
      <c r="F204" s="317"/>
      <c r="G204" s="318"/>
    </row>
    <row r="205" spans="1:7" ht="15" x14ac:dyDescent="0.2">
      <c r="A205" s="42"/>
      <c r="B205" s="38"/>
      <c r="C205" s="38"/>
      <c r="D205" s="38"/>
      <c r="E205" s="38"/>
      <c r="F205" s="38"/>
      <c r="G205" s="39"/>
    </row>
    <row r="206" spans="1:7" ht="15.75" x14ac:dyDescent="0.25">
      <c r="A206" s="42"/>
      <c r="B206" s="38"/>
      <c r="C206" s="43"/>
      <c r="D206" s="43"/>
      <c r="E206" s="43" t="s">
        <v>13</v>
      </c>
      <c r="F206" s="43" t="s">
        <v>3</v>
      </c>
      <c r="G206" s="39"/>
    </row>
    <row r="207" spans="1:7" ht="15.75" x14ac:dyDescent="0.25">
      <c r="A207" s="42"/>
      <c r="B207" s="38"/>
      <c r="C207" s="44" t="s">
        <v>5</v>
      </c>
      <c r="D207" s="44"/>
      <c r="E207" s="44" t="s">
        <v>22</v>
      </c>
      <c r="F207" s="44" t="s">
        <v>6</v>
      </c>
      <c r="G207" s="39"/>
    </row>
    <row r="208" spans="1:7" ht="15.75" x14ac:dyDescent="0.25">
      <c r="A208" s="45" t="s">
        <v>151</v>
      </c>
      <c r="B208" s="36"/>
      <c r="C208" s="46"/>
      <c r="D208" s="46"/>
      <c r="E208" s="46"/>
      <c r="F208" s="46"/>
      <c r="G208" s="39"/>
    </row>
    <row r="209" spans="1:8" ht="15.75" x14ac:dyDescent="0.25">
      <c r="A209" s="42" t="s">
        <v>155</v>
      </c>
      <c r="B209" s="38"/>
      <c r="C209" s="47">
        <v>46369</v>
      </c>
      <c r="D209" s="47"/>
      <c r="E209" s="48">
        <v>1.7</v>
      </c>
      <c r="F209" s="131">
        <f>C209*E209</f>
        <v>78827.3</v>
      </c>
      <c r="G209" s="39"/>
    </row>
    <row r="210" spans="1:8" ht="17.25" x14ac:dyDescent="0.35">
      <c r="A210" s="49" t="s">
        <v>156</v>
      </c>
      <c r="B210" s="50"/>
      <c r="C210" s="51">
        <v>94573</v>
      </c>
      <c r="D210" s="51"/>
      <c r="E210" s="48">
        <v>0.97</v>
      </c>
      <c r="F210" s="132">
        <f>C210*E210</f>
        <v>91735.81</v>
      </c>
      <c r="G210" s="39"/>
      <c r="H210" s="63"/>
    </row>
    <row r="211" spans="1:8" ht="17.25" x14ac:dyDescent="0.35">
      <c r="A211" s="176" t="s">
        <v>153</v>
      </c>
      <c r="B211" s="38"/>
      <c r="C211" s="177">
        <f>SUM(C209:C210)</f>
        <v>140942</v>
      </c>
      <c r="D211" s="51"/>
      <c r="E211" s="38"/>
      <c r="F211" s="178">
        <f>SUM(F209:F210)</f>
        <v>170563.11</v>
      </c>
      <c r="G211" s="39"/>
      <c r="H211" s="158"/>
    </row>
    <row r="212" spans="1:8" ht="15" x14ac:dyDescent="0.2">
      <c r="A212" s="42"/>
      <c r="B212" s="38"/>
      <c r="C212" s="38"/>
      <c r="D212" s="38"/>
      <c r="E212" s="38"/>
      <c r="F212" s="38"/>
      <c r="G212" s="39"/>
    </row>
    <row r="213" spans="1:8" ht="15.75" x14ac:dyDescent="0.25">
      <c r="A213" s="35" t="s">
        <v>147</v>
      </c>
      <c r="B213" s="38"/>
      <c r="C213" s="38"/>
      <c r="D213" s="38"/>
      <c r="E213" s="38"/>
      <c r="F213" s="131">
        <v>159522</v>
      </c>
      <c r="G213" s="39"/>
    </row>
    <row r="214" spans="1:8" ht="15.75" x14ac:dyDescent="0.25">
      <c r="A214" s="35" t="s">
        <v>175</v>
      </c>
      <c r="B214" s="250"/>
      <c r="C214" s="250"/>
      <c r="D214" s="250"/>
      <c r="E214" s="250"/>
      <c r="F214" s="251">
        <f>F213*50%</f>
        <v>79761</v>
      </c>
      <c r="G214" s="39"/>
    </row>
    <row r="215" spans="1:8" ht="15" x14ac:dyDescent="0.2">
      <c r="A215" s="42" t="s">
        <v>24</v>
      </c>
      <c r="B215" s="38"/>
      <c r="C215" s="38"/>
      <c r="D215" s="38"/>
      <c r="E215" s="38"/>
      <c r="F215" s="47">
        <f>F213-F211-F214</f>
        <v>-90802.109999999986</v>
      </c>
      <c r="G215" s="39"/>
    </row>
    <row r="216" spans="1:8" ht="17.25" x14ac:dyDescent="0.35">
      <c r="A216" s="42"/>
      <c r="B216" s="38"/>
      <c r="C216" s="130"/>
      <c r="D216" s="38"/>
      <c r="E216" s="38"/>
      <c r="F216" s="133"/>
      <c r="G216" s="39"/>
    </row>
    <row r="217" spans="1:8" ht="15" x14ac:dyDescent="0.2">
      <c r="A217" s="42" t="s">
        <v>25</v>
      </c>
      <c r="B217" s="38"/>
      <c r="C217" s="38"/>
      <c r="D217" s="38"/>
      <c r="E217" s="38"/>
      <c r="F217" s="47">
        <f>+F227</f>
        <v>294660</v>
      </c>
      <c r="G217" s="39"/>
    </row>
    <row r="218" spans="1:8" ht="15" x14ac:dyDescent="0.2">
      <c r="A218" s="42"/>
      <c r="B218" s="38"/>
      <c r="C218" s="38"/>
      <c r="D218" s="38"/>
      <c r="E218" s="38"/>
      <c r="F218" s="38"/>
      <c r="G218" s="39"/>
    </row>
    <row r="219" spans="1:8" ht="15" x14ac:dyDescent="0.2">
      <c r="A219" s="42" t="s">
        <v>26</v>
      </c>
      <c r="B219" s="38"/>
      <c r="C219" s="38"/>
      <c r="D219" s="38"/>
      <c r="E219" s="38"/>
      <c r="F219" s="61"/>
      <c r="G219" s="52">
        <f>ROUND(F215/F217,2)</f>
        <v>-0.31</v>
      </c>
    </row>
    <row r="220" spans="1:8" ht="15" x14ac:dyDescent="0.2">
      <c r="A220" s="42"/>
      <c r="B220" s="38"/>
      <c r="C220" s="38"/>
      <c r="D220" s="38"/>
      <c r="E220" s="38"/>
      <c r="F220" s="38"/>
      <c r="G220" s="52"/>
    </row>
    <row r="221" spans="1:8" ht="15" x14ac:dyDescent="0.2">
      <c r="A221" s="42"/>
      <c r="B221" s="38"/>
      <c r="C221" s="38"/>
      <c r="D221" s="38"/>
      <c r="E221" s="38"/>
      <c r="F221" s="38"/>
      <c r="G221" s="52"/>
    </row>
    <row r="222" spans="1:8" ht="15" x14ac:dyDescent="0.2">
      <c r="A222" s="42"/>
      <c r="B222" s="38"/>
      <c r="C222" s="38"/>
      <c r="D222" s="38"/>
      <c r="E222" s="38"/>
      <c r="F222" s="38"/>
      <c r="G222" s="52"/>
    </row>
    <row r="223" spans="1:8" ht="15.75" x14ac:dyDescent="0.25">
      <c r="A223" s="151" t="s">
        <v>157</v>
      </c>
      <c r="B223" s="36"/>
      <c r="C223" s="38"/>
      <c r="D223" s="38"/>
      <c r="E223" s="38"/>
      <c r="F223" s="163">
        <v>319043.89435762784</v>
      </c>
      <c r="G223" s="52"/>
    </row>
    <row r="224" spans="1:8" ht="17.25" x14ac:dyDescent="0.35">
      <c r="A224" s="49" t="s">
        <v>152</v>
      </c>
      <c r="B224" s="36"/>
      <c r="C224" s="38"/>
      <c r="D224" s="38"/>
      <c r="E224" s="173">
        <v>0.5</v>
      </c>
      <c r="F224" s="174">
        <f>-F223*E224</f>
        <v>-159521.94717881392</v>
      </c>
      <c r="G224" s="52"/>
    </row>
    <row r="225" spans="1:9" ht="20.25" x14ac:dyDescent="0.55000000000000004">
      <c r="A225" s="49"/>
      <c r="B225" s="36"/>
      <c r="C225" s="38"/>
      <c r="D225" s="38"/>
      <c r="E225" s="173"/>
      <c r="F225" s="175">
        <f>+F224+F223</f>
        <v>159521.94717881392</v>
      </c>
      <c r="G225" s="52"/>
    </row>
    <row r="226" spans="1:9" ht="17.25" x14ac:dyDescent="0.35">
      <c r="A226" s="49"/>
      <c r="B226" s="36"/>
      <c r="C226" s="38"/>
      <c r="D226" s="38"/>
      <c r="E226" s="173"/>
      <c r="F226" s="174"/>
      <c r="G226" s="52"/>
    </row>
    <row r="227" spans="1:9" ht="17.25" x14ac:dyDescent="0.35">
      <c r="A227" s="42" t="s">
        <v>154</v>
      </c>
      <c r="B227" s="38"/>
      <c r="C227" s="38"/>
      <c r="D227" s="38"/>
      <c r="E227" s="38"/>
      <c r="F227" s="164">
        <v>294660</v>
      </c>
      <c r="G227" s="52"/>
    </row>
    <row r="228" spans="1:9" ht="17.25" x14ac:dyDescent="0.35">
      <c r="A228" s="42" t="s">
        <v>104</v>
      </c>
      <c r="B228" s="38"/>
      <c r="C228" s="38"/>
      <c r="D228" s="38"/>
      <c r="E228" s="38"/>
      <c r="F228" s="38"/>
      <c r="G228" s="55">
        <f>ROUND(+F223/F227,2)</f>
        <v>1.08</v>
      </c>
    </row>
    <row r="229" spans="1:9" ht="15" x14ac:dyDescent="0.2">
      <c r="A229" s="42"/>
      <c r="B229" s="38"/>
      <c r="C229" s="38"/>
      <c r="D229" s="38"/>
      <c r="E229" s="38"/>
      <c r="F229" s="38"/>
      <c r="G229" s="52"/>
    </row>
    <row r="230" spans="1:9" ht="18" x14ac:dyDescent="0.4">
      <c r="A230" s="35" t="s">
        <v>28</v>
      </c>
      <c r="B230" s="36"/>
      <c r="C230" s="38"/>
      <c r="D230" s="38"/>
      <c r="E230" s="38"/>
      <c r="F230" s="38"/>
      <c r="G230" s="180">
        <f>SUM(G219:G228)</f>
        <v>0.77</v>
      </c>
      <c r="I230" s="159"/>
    </row>
    <row r="231" spans="1:9" ht="15.75" x14ac:dyDescent="0.25">
      <c r="A231" s="35"/>
      <c r="B231" s="36"/>
      <c r="C231" s="38"/>
      <c r="D231" s="38"/>
      <c r="E231" s="38"/>
      <c r="F231" s="38"/>
      <c r="G231" s="150"/>
    </row>
    <row r="232" spans="1:9" ht="13.5" thickBot="1" x14ac:dyDescent="0.25">
      <c r="A232" s="19"/>
      <c r="B232" s="20"/>
      <c r="C232" s="20"/>
      <c r="D232" s="20"/>
      <c r="E232" s="20"/>
      <c r="F232" s="20"/>
      <c r="G232" s="21"/>
    </row>
    <row r="233" spans="1:9" ht="15" x14ac:dyDescent="0.2">
      <c r="A233" s="316" t="s">
        <v>29</v>
      </c>
      <c r="B233" s="317"/>
      <c r="C233" s="317"/>
      <c r="D233" s="317"/>
      <c r="E233" s="317"/>
      <c r="F233" s="317"/>
      <c r="G233" s="318"/>
    </row>
    <row r="234" spans="1:9" ht="15" x14ac:dyDescent="0.2">
      <c r="A234" s="49"/>
      <c r="B234" s="50"/>
      <c r="C234" s="50"/>
      <c r="D234" s="50"/>
      <c r="E234" s="50"/>
      <c r="F234" s="50"/>
      <c r="G234" s="64"/>
    </row>
    <row r="235" spans="1:9" ht="15.75" x14ac:dyDescent="0.25">
      <c r="A235" s="49"/>
      <c r="B235" s="50"/>
      <c r="C235" s="43"/>
      <c r="D235" s="43"/>
      <c r="E235" s="43" t="s">
        <v>13</v>
      </c>
      <c r="F235" s="43" t="s">
        <v>3</v>
      </c>
      <c r="G235" s="64"/>
    </row>
    <row r="236" spans="1:9" ht="15.75" x14ac:dyDescent="0.25">
      <c r="A236" s="49"/>
      <c r="B236" s="50"/>
      <c r="C236" s="65" t="s">
        <v>20</v>
      </c>
      <c r="D236" s="65"/>
      <c r="E236" s="65" t="s">
        <v>22</v>
      </c>
      <c r="F236" s="65" t="s">
        <v>6</v>
      </c>
      <c r="G236" s="64"/>
    </row>
    <row r="237" spans="1:9" ht="15.75" x14ac:dyDescent="0.25">
      <c r="A237" s="45" t="s">
        <v>151</v>
      </c>
      <c r="B237" s="36"/>
      <c r="C237" s="66"/>
      <c r="D237" s="66"/>
      <c r="E237" s="66"/>
      <c r="F237" s="66"/>
      <c r="G237" s="64"/>
    </row>
    <row r="238" spans="1:9" ht="15.75" x14ac:dyDescent="0.25">
      <c r="A238" s="42" t="s">
        <v>155</v>
      </c>
      <c r="B238" s="50"/>
      <c r="C238" s="67">
        <v>3428.8235294117644</v>
      </c>
      <c r="D238" s="67"/>
      <c r="E238" s="68">
        <v>0.3</v>
      </c>
      <c r="F238" s="54">
        <f>E238*C238</f>
        <v>1028.6470588235293</v>
      </c>
      <c r="G238" s="64"/>
    </row>
    <row r="239" spans="1:9" ht="17.25" x14ac:dyDescent="0.35">
      <c r="A239" s="49" t="s">
        <v>156</v>
      </c>
      <c r="B239" s="50"/>
      <c r="C239" s="51">
        <v>6962.5271493212667</v>
      </c>
      <c r="D239" s="51"/>
      <c r="E239" s="68">
        <v>0.18</v>
      </c>
      <c r="F239" s="132">
        <f>E239*C239</f>
        <v>1253.2548868778279</v>
      </c>
      <c r="G239" s="64"/>
    </row>
    <row r="240" spans="1:9" ht="15" x14ac:dyDescent="0.2">
      <c r="A240" s="42" t="s">
        <v>3</v>
      </c>
      <c r="B240" s="50"/>
      <c r="C240" s="67">
        <f>SUM(C238:C239)</f>
        <v>10391.350678733032</v>
      </c>
      <c r="D240" s="67"/>
      <c r="E240" s="50"/>
      <c r="F240" s="54">
        <f>SUM(F238:F239)</f>
        <v>2281.9019457013574</v>
      </c>
      <c r="G240" s="64"/>
    </row>
    <row r="241" spans="1:7" ht="15" x14ac:dyDescent="0.2">
      <c r="A241" s="42"/>
      <c r="B241" s="50"/>
      <c r="C241" s="50"/>
      <c r="D241" s="50"/>
      <c r="E241" s="50"/>
      <c r="F241" s="54"/>
      <c r="G241" s="64"/>
    </row>
    <row r="242" spans="1:7" ht="15.75" x14ac:dyDescent="0.25">
      <c r="A242" s="35" t="s">
        <v>147</v>
      </c>
      <c r="B242" s="50"/>
      <c r="C242" s="50"/>
      <c r="D242" s="50"/>
      <c r="E242" s="50"/>
      <c r="F242" s="54">
        <v>2183.0170166386092</v>
      </c>
      <c r="G242" s="64"/>
    </row>
    <row r="243" spans="1:7" ht="15.75" x14ac:dyDescent="0.25">
      <c r="A243" s="35" t="s">
        <v>175</v>
      </c>
      <c r="B243" s="252"/>
      <c r="C243" s="252"/>
      <c r="D243" s="252"/>
      <c r="E243" s="252"/>
      <c r="F243" s="251">
        <f>F242*50%</f>
        <v>1091.5085083193046</v>
      </c>
      <c r="G243" s="64"/>
    </row>
    <row r="244" spans="1:7" ht="15" x14ac:dyDescent="0.2">
      <c r="A244" s="42" t="s">
        <v>100</v>
      </c>
      <c r="B244" s="50"/>
      <c r="C244" s="50"/>
      <c r="D244" s="50"/>
      <c r="E244" s="50"/>
      <c r="F244" s="47">
        <f>F242-F240-F243</f>
        <v>-1190.3934373820528</v>
      </c>
      <c r="G244" s="64"/>
    </row>
    <row r="245" spans="1:7" ht="17.25" x14ac:dyDescent="0.35">
      <c r="A245" s="42"/>
      <c r="B245" s="50"/>
      <c r="C245" s="135"/>
      <c r="D245" s="50"/>
      <c r="E245" s="50"/>
      <c r="F245" s="133"/>
      <c r="G245" s="64"/>
    </row>
    <row r="246" spans="1:7" ht="15" x14ac:dyDescent="0.2">
      <c r="A246" s="42" t="s">
        <v>25</v>
      </c>
      <c r="B246" s="50"/>
      <c r="C246" s="50"/>
      <c r="D246" s="50"/>
      <c r="E246" s="50"/>
      <c r="F246" s="67">
        <f>+F256</f>
        <v>21101.999999999996</v>
      </c>
      <c r="G246" s="64"/>
    </row>
    <row r="247" spans="1:7" ht="15" x14ac:dyDescent="0.2">
      <c r="A247" s="42"/>
      <c r="B247" s="50"/>
      <c r="C247" s="50"/>
      <c r="D247" s="50"/>
      <c r="E247" s="50"/>
      <c r="F247" s="50"/>
      <c r="G247" s="64"/>
    </row>
    <row r="248" spans="1:7" ht="15" x14ac:dyDescent="0.2">
      <c r="A248" s="42" t="s">
        <v>26</v>
      </c>
      <c r="B248" s="50"/>
      <c r="C248" s="50"/>
      <c r="D248" s="50"/>
      <c r="E248" s="50"/>
      <c r="F248" s="50"/>
      <c r="G248" s="70">
        <f>ROUND(F244/F246,2)</f>
        <v>-0.06</v>
      </c>
    </row>
    <row r="249" spans="1:7" ht="15" x14ac:dyDescent="0.2">
      <c r="A249" s="42"/>
      <c r="B249" s="50"/>
      <c r="C249" s="50"/>
      <c r="D249" s="50"/>
      <c r="E249" s="50"/>
      <c r="F249" s="50"/>
      <c r="G249" s="70"/>
    </row>
    <row r="250" spans="1:7" ht="15" x14ac:dyDescent="0.2">
      <c r="A250" s="42"/>
      <c r="B250" s="50"/>
      <c r="C250" s="50"/>
      <c r="D250" s="50"/>
      <c r="E250" s="50"/>
      <c r="F250" s="67"/>
      <c r="G250" s="64"/>
    </row>
    <row r="251" spans="1:7" ht="15.75" x14ac:dyDescent="0.25">
      <c r="A251" s="42"/>
      <c r="B251" s="36"/>
      <c r="C251" s="50"/>
      <c r="D251" s="50"/>
      <c r="E251" s="50"/>
      <c r="F251" s="67"/>
      <c r="G251" s="64"/>
    </row>
    <row r="252" spans="1:7" ht="15.75" x14ac:dyDescent="0.25">
      <c r="A252" s="151" t="s">
        <v>157</v>
      </c>
      <c r="B252" s="50"/>
      <c r="C252" s="50"/>
      <c r="D252" s="50"/>
      <c r="E252" s="50"/>
      <c r="F252" s="165">
        <v>4366.0340332772184</v>
      </c>
      <c r="G252" s="64"/>
    </row>
    <row r="253" spans="1:7" ht="17.25" x14ac:dyDescent="0.35">
      <c r="A253" s="49" t="s">
        <v>152</v>
      </c>
      <c r="B253" s="36"/>
      <c r="C253" s="38"/>
      <c r="D253" s="38"/>
      <c r="E253" s="173">
        <v>0.5</v>
      </c>
      <c r="F253" s="174">
        <f>-F252*E253</f>
        <v>-2183.0170166386092</v>
      </c>
      <c r="G253" s="52"/>
    </row>
    <row r="254" spans="1:7" ht="20.25" x14ac:dyDescent="0.55000000000000004">
      <c r="A254" s="49"/>
      <c r="B254" s="36"/>
      <c r="C254" s="38"/>
      <c r="D254" s="38"/>
      <c r="E254" s="173"/>
      <c r="F254" s="175">
        <f>+F253+F252</f>
        <v>2183.0170166386092</v>
      </c>
      <c r="G254" s="52"/>
    </row>
    <row r="255" spans="1:7" ht="17.25" x14ac:dyDescent="0.35">
      <c r="A255" s="49"/>
      <c r="B255" s="36"/>
      <c r="C255" s="38"/>
      <c r="D255" s="38"/>
      <c r="E255" s="173"/>
      <c r="F255" s="174"/>
      <c r="G255" s="52"/>
    </row>
    <row r="256" spans="1:7" ht="17.25" x14ac:dyDescent="0.35">
      <c r="A256" s="42" t="s">
        <v>154</v>
      </c>
      <c r="B256" s="38"/>
      <c r="C256" s="38"/>
      <c r="D256" s="38"/>
      <c r="E256" s="38"/>
      <c r="F256" s="164">
        <v>21101.999999999996</v>
      </c>
      <c r="G256" s="52"/>
    </row>
    <row r="257" spans="1:7" ht="17.25" x14ac:dyDescent="0.35">
      <c r="A257" s="42" t="s">
        <v>104</v>
      </c>
      <c r="B257" s="38"/>
      <c r="C257" s="38"/>
      <c r="D257" s="38"/>
      <c r="E257" s="38"/>
      <c r="F257" s="38"/>
      <c r="G257" s="55">
        <f>ROUND(+F252/F256,2)</f>
        <v>0.21</v>
      </c>
    </row>
    <row r="258" spans="1:7" ht="15" x14ac:dyDescent="0.2">
      <c r="A258" s="42"/>
      <c r="B258" s="38"/>
      <c r="C258" s="38"/>
      <c r="D258" s="38"/>
      <c r="E258" s="38"/>
      <c r="F258" s="38"/>
      <c r="G258" s="52"/>
    </row>
    <row r="259" spans="1:7" ht="18" x14ac:dyDescent="0.4">
      <c r="A259" s="35" t="s">
        <v>132</v>
      </c>
      <c r="B259" s="36"/>
      <c r="C259" s="38"/>
      <c r="D259" s="38"/>
      <c r="E259" s="38"/>
      <c r="F259" s="38"/>
      <c r="G259" s="180">
        <f>SUM(G248:G257)</f>
        <v>0.15</v>
      </c>
    </row>
    <row r="260" spans="1:7" ht="15.75" x14ac:dyDescent="0.25">
      <c r="A260" s="35"/>
      <c r="B260" s="36"/>
      <c r="C260" s="38"/>
      <c r="D260" s="38"/>
      <c r="E260" s="38"/>
      <c r="F260" s="38"/>
      <c r="G260" s="150"/>
    </row>
    <row r="261" spans="1:7" ht="15.75" thickBot="1" x14ac:dyDescent="0.25">
      <c r="A261" s="72"/>
      <c r="B261" s="73"/>
      <c r="C261" s="73"/>
      <c r="D261" s="73"/>
      <c r="E261" s="73"/>
      <c r="F261" s="73"/>
      <c r="G261" s="74"/>
    </row>
    <row r="262" spans="1:7" ht="23.25" x14ac:dyDescent="0.35">
      <c r="A262" s="31" t="s">
        <v>56</v>
      </c>
      <c r="B262" s="32"/>
      <c r="C262" s="33"/>
      <c r="D262" s="33"/>
      <c r="E262" s="33"/>
      <c r="F262" s="33"/>
      <c r="G262" s="34"/>
    </row>
    <row r="263" spans="1:7" ht="15.75" x14ac:dyDescent="0.25">
      <c r="A263" s="35" t="s">
        <v>103</v>
      </c>
      <c r="B263" s="36"/>
      <c r="C263" s="37"/>
      <c r="D263" s="37"/>
      <c r="E263" s="38"/>
      <c r="F263" s="38"/>
      <c r="G263" s="39"/>
    </row>
    <row r="264" spans="1:7" ht="15.75" x14ac:dyDescent="0.25">
      <c r="A264" s="40"/>
      <c r="B264" s="41"/>
      <c r="C264" s="38"/>
      <c r="D264" s="38"/>
      <c r="E264" s="38"/>
      <c r="F264" s="38"/>
      <c r="G264" s="39"/>
    </row>
    <row r="265" spans="1:7" ht="15" x14ac:dyDescent="0.2">
      <c r="A265" s="316" t="s">
        <v>21</v>
      </c>
      <c r="B265" s="317"/>
      <c r="C265" s="317"/>
      <c r="D265" s="317"/>
      <c r="E265" s="317"/>
      <c r="F265" s="317"/>
      <c r="G265" s="318"/>
    </row>
    <row r="266" spans="1:7" ht="15" x14ac:dyDescent="0.2">
      <c r="A266" s="42"/>
      <c r="B266" s="38"/>
      <c r="C266" s="38"/>
      <c r="D266" s="38"/>
      <c r="E266" s="38"/>
      <c r="F266" s="38"/>
      <c r="G266" s="39"/>
    </row>
    <row r="267" spans="1:7" ht="15.75" x14ac:dyDescent="0.25">
      <c r="A267" s="42"/>
      <c r="B267" s="38"/>
      <c r="C267" s="43"/>
      <c r="D267" s="43"/>
      <c r="E267" s="43" t="s">
        <v>13</v>
      </c>
      <c r="F267" s="43" t="s">
        <v>3</v>
      </c>
      <c r="G267" s="39"/>
    </row>
    <row r="268" spans="1:7" ht="15.75" x14ac:dyDescent="0.25">
      <c r="A268" s="42"/>
      <c r="B268" s="38"/>
      <c r="C268" s="44" t="s">
        <v>5</v>
      </c>
      <c r="D268" s="44"/>
      <c r="E268" s="44" t="s">
        <v>22</v>
      </c>
      <c r="F268" s="44" t="s">
        <v>6</v>
      </c>
      <c r="G268" s="39"/>
    </row>
    <row r="269" spans="1:7" ht="15.75" x14ac:dyDescent="0.25">
      <c r="A269" s="45" t="s">
        <v>148</v>
      </c>
      <c r="B269" s="36"/>
      <c r="C269" s="46"/>
      <c r="D269" s="46"/>
      <c r="E269" s="46"/>
      <c r="F269" s="46"/>
      <c r="G269" s="39"/>
    </row>
    <row r="270" spans="1:7" ht="15.75" x14ac:dyDescent="0.25">
      <c r="A270" s="42" t="s">
        <v>138</v>
      </c>
      <c r="B270" s="38"/>
      <c r="C270" s="47">
        <v>46369</v>
      </c>
      <c r="D270" s="47"/>
      <c r="E270" s="48">
        <v>2.23</v>
      </c>
      <c r="F270" s="131">
        <f>C270*E270</f>
        <v>103402.87</v>
      </c>
      <c r="G270" s="39"/>
    </row>
    <row r="271" spans="1:7" ht="17.25" x14ac:dyDescent="0.35">
      <c r="A271" s="49" t="s">
        <v>149</v>
      </c>
      <c r="B271" s="50"/>
      <c r="C271" s="51">
        <v>94573</v>
      </c>
      <c r="D271" s="51"/>
      <c r="E271" s="48">
        <v>1.7</v>
      </c>
      <c r="F271" s="132">
        <f>C271*E271</f>
        <v>160774.1</v>
      </c>
      <c r="G271" s="39"/>
    </row>
    <row r="272" spans="1:7" ht="17.25" x14ac:dyDescent="0.35">
      <c r="A272" s="42" t="s">
        <v>3</v>
      </c>
      <c r="B272" s="38"/>
      <c r="C272" s="47">
        <f>SUM(C270:C271)</f>
        <v>140942</v>
      </c>
      <c r="D272" s="51"/>
      <c r="E272" s="38"/>
      <c r="F272" s="131">
        <f>SUM(F270:F271)</f>
        <v>264176.96999999997</v>
      </c>
      <c r="G272" s="39"/>
    </row>
    <row r="273" spans="1:7" ht="15" x14ac:dyDescent="0.2">
      <c r="A273" s="42"/>
      <c r="B273" s="38"/>
      <c r="C273" s="38"/>
      <c r="D273" s="38"/>
      <c r="E273" s="38"/>
      <c r="F273" s="38"/>
      <c r="G273" s="39"/>
    </row>
    <row r="274" spans="1:7" ht="15.75" x14ac:dyDescent="0.25">
      <c r="A274" s="35" t="s">
        <v>23</v>
      </c>
      <c r="B274" s="38"/>
      <c r="C274" s="38"/>
      <c r="D274" s="38"/>
      <c r="E274" s="38"/>
      <c r="F274" s="131">
        <v>261404</v>
      </c>
      <c r="G274" s="39"/>
    </row>
    <row r="275" spans="1:7" ht="15" x14ac:dyDescent="0.2">
      <c r="A275" s="42"/>
      <c r="B275" s="38"/>
      <c r="C275" s="38"/>
      <c r="D275" s="38"/>
      <c r="E275" s="38"/>
      <c r="F275" s="131"/>
      <c r="G275" s="39"/>
    </row>
    <row r="276" spans="1:7" ht="15" x14ac:dyDescent="0.2">
      <c r="A276" s="42" t="s">
        <v>24</v>
      </c>
      <c r="B276" s="38"/>
      <c r="C276" s="38"/>
      <c r="D276" s="38"/>
      <c r="E276" s="38"/>
      <c r="F276" s="47">
        <f>F274-F272</f>
        <v>-2772.9699999999721</v>
      </c>
      <c r="G276" s="39"/>
    </row>
    <row r="277" spans="1:7" ht="17.25" x14ac:dyDescent="0.35">
      <c r="A277" s="42"/>
      <c r="B277" s="38"/>
      <c r="C277" s="130"/>
      <c r="D277" s="38"/>
      <c r="E277" s="38"/>
      <c r="F277" s="133"/>
      <c r="G277" s="39"/>
    </row>
    <row r="278" spans="1:7" ht="15" x14ac:dyDescent="0.2">
      <c r="A278" s="42" t="s">
        <v>25</v>
      </c>
      <c r="B278" s="38"/>
      <c r="C278" s="38"/>
      <c r="D278" s="38"/>
      <c r="E278" s="38"/>
      <c r="F278" s="47">
        <f>+C272</f>
        <v>140942</v>
      </c>
      <c r="G278" s="39"/>
    </row>
    <row r="279" spans="1:7" ht="15" x14ac:dyDescent="0.2">
      <c r="A279" s="42"/>
      <c r="B279" s="38"/>
      <c r="C279" s="38"/>
      <c r="D279" s="38"/>
      <c r="E279" s="38"/>
      <c r="F279" s="38"/>
      <c r="G279" s="39"/>
    </row>
    <row r="280" spans="1:7" ht="15" x14ac:dyDescent="0.2">
      <c r="A280" s="42" t="s">
        <v>26</v>
      </c>
      <c r="B280" s="38"/>
      <c r="C280" s="38"/>
      <c r="D280" s="38"/>
      <c r="E280" s="38"/>
      <c r="F280" s="61"/>
      <c r="G280" s="52">
        <f>ROUND(F276/F278,2)</f>
        <v>-0.02</v>
      </c>
    </row>
    <row r="281" spans="1:7" ht="15" x14ac:dyDescent="0.2">
      <c r="A281" s="42"/>
      <c r="B281" s="38"/>
      <c r="C281" s="38"/>
      <c r="D281" s="38"/>
      <c r="E281" s="38"/>
      <c r="F281" s="38"/>
      <c r="G281" s="52"/>
    </row>
    <row r="282" spans="1:7" ht="15" x14ac:dyDescent="0.2">
      <c r="A282" s="42"/>
      <c r="B282" s="38"/>
      <c r="C282" s="38"/>
      <c r="D282" s="38"/>
      <c r="E282" s="38"/>
      <c r="F282" s="38"/>
      <c r="G282" s="52"/>
    </row>
    <row r="283" spans="1:7" ht="15" x14ac:dyDescent="0.2">
      <c r="A283" s="42"/>
      <c r="B283" s="38"/>
      <c r="C283" s="38"/>
      <c r="D283" s="38"/>
      <c r="E283" s="38"/>
      <c r="F283" s="38"/>
      <c r="G283" s="52"/>
    </row>
    <row r="284" spans="1:7" ht="15.75" x14ac:dyDescent="0.25">
      <c r="A284" s="151" t="s">
        <v>150</v>
      </c>
      <c r="B284" s="36"/>
      <c r="C284" s="38"/>
      <c r="D284" s="38"/>
      <c r="E284" s="38"/>
      <c r="F284" s="163">
        <v>130702</v>
      </c>
      <c r="G284" s="52"/>
    </row>
    <row r="285" spans="1:7" ht="17.25" x14ac:dyDescent="0.35">
      <c r="A285" s="42" t="s">
        <v>25</v>
      </c>
      <c r="B285" s="38"/>
      <c r="C285" s="38"/>
      <c r="D285" s="38"/>
      <c r="E285" s="38"/>
      <c r="F285" s="164">
        <f>+C272</f>
        <v>140942</v>
      </c>
      <c r="G285" s="52"/>
    </row>
    <row r="286" spans="1:7" ht="17.25" x14ac:dyDescent="0.35">
      <c r="A286" s="42" t="s">
        <v>104</v>
      </c>
      <c r="B286" s="38"/>
      <c r="C286" s="38"/>
      <c r="D286" s="38"/>
      <c r="E286" s="38"/>
      <c r="F286" s="38"/>
      <c r="G286" s="55">
        <f>ROUND(+F284/F285,2)</f>
        <v>0.93</v>
      </c>
    </row>
    <row r="287" spans="1:7" ht="15" x14ac:dyDescent="0.2">
      <c r="A287" s="42"/>
      <c r="B287" s="38"/>
      <c r="C287" s="38"/>
      <c r="D287" s="38"/>
      <c r="E287" s="38"/>
      <c r="F287" s="38"/>
      <c r="G287" s="52"/>
    </row>
    <row r="288" spans="1:7" ht="18" x14ac:dyDescent="0.4">
      <c r="A288" s="35" t="s">
        <v>28</v>
      </c>
      <c r="B288" s="36"/>
      <c r="C288" s="38"/>
      <c r="D288" s="38"/>
      <c r="E288" s="38"/>
      <c r="F288" s="38"/>
      <c r="G288" s="180">
        <f>SUM(G280:G286)</f>
        <v>0.91</v>
      </c>
    </row>
    <row r="289" spans="1:7" ht="15.75" x14ac:dyDescent="0.25">
      <c r="A289" s="35"/>
      <c r="B289" s="36"/>
      <c r="C289" s="38"/>
      <c r="D289" s="38"/>
      <c r="E289" s="38"/>
      <c r="F289" s="38"/>
      <c r="G289" s="150"/>
    </row>
    <row r="290" spans="1:7" ht="13.5" thickBot="1" x14ac:dyDescent="0.25">
      <c r="A290" s="19"/>
      <c r="B290" s="20"/>
      <c r="C290" s="20"/>
      <c r="D290" s="20"/>
      <c r="E290" s="20"/>
      <c r="F290" s="20"/>
      <c r="G290" s="21"/>
    </row>
    <row r="291" spans="1:7" ht="15" x14ac:dyDescent="0.2">
      <c r="A291" s="316" t="s">
        <v>29</v>
      </c>
      <c r="B291" s="317"/>
      <c r="C291" s="317"/>
      <c r="D291" s="317"/>
      <c r="E291" s="317"/>
      <c r="F291" s="317"/>
      <c r="G291" s="318"/>
    </row>
    <row r="292" spans="1:7" ht="15" x14ac:dyDescent="0.2">
      <c r="A292" s="49"/>
      <c r="B292" s="50"/>
      <c r="C292" s="50"/>
      <c r="D292" s="50"/>
      <c r="E292" s="50"/>
      <c r="F292" s="50"/>
      <c r="G292" s="64"/>
    </row>
    <row r="293" spans="1:7" ht="15.75" x14ac:dyDescent="0.25">
      <c r="A293" s="49"/>
      <c r="B293" s="50"/>
      <c r="C293" s="43"/>
      <c r="D293" s="43"/>
      <c r="E293" s="43" t="s">
        <v>13</v>
      </c>
      <c r="F293" s="43" t="s">
        <v>3</v>
      </c>
      <c r="G293" s="64"/>
    </row>
    <row r="294" spans="1:7" ht="15.75" x14ac:dyDescent="0.25">
      <c r="A294" s="49"/>
      <c r="B294" s="50"/>
      <c r="C294" s="65" t="s">
        <v>20</v>
      </c>
      <c r="D294" s="65"/>
      <c r="E294" s="65" t="s">
        <v>22</v>
      </c>
      <c r="F294" s="65" t="s">
        <v>6</v>
      </c>
      <c r="G294" s="64"/>
    </row>
    <row r="295" spans="1:7" ht="15.75" x14ac:dyDescent="0.25">
      <c r="A295" s="45" t="s">
        <v>148</v>
      </c>
      <c r="B295" s="36"/>
      <c r="C295" s="66"/>
      <c r="D295" s="66"/>
      <c r="E295" s="66"/>
      <c r="F295" s="66"/>
      <c r="G295" s="64"/>
    </row>
    <row r="296" spans="1:7" ht="15.75" x14ac:dyDescent="0.25">
      <c r="A296" s="42" t="s">
        <v>57</v>
      </c>
      <c r="B296" s="50"/>
      <c r="C296" s="67">
        <v>3064</v>
      </c>
      <c r="D296" s="67"/>
      <c r="E296" s="68">
        <v>0.24</v>
      </c>
      <c r="F296" s="54">
        <f>E296*C296</f>
        <v>735.36</v>
      </c>
      <c r="G296" s="64"/>
    </row>
    <row r="297" spans="1:7" ht="17.25" x14ac:dyDescent="0.35">
      <c r="A297" s="49" t="s">
        <v>58</v>
      </c>
      <c r="B297" s="50"/>
      <c r="C297" s="51">
        <v>6764</v>
      </c>
      <c r="D297" s="51"/>
      <c r="E297" s="68">
        <v>0.3</v>
      </c>
      <c r="F297" s="132">
        <f>E297*C297</f>
        <v>2029.1999999999998</v>
      </c>
      <c r="G297" s="64"/>
    </row>
    <row r="298" spans="1:7" ht="15" x14ac:dyDescent="0.2">
      <c r="A298" s="42" t="s">
        <v>3</v>
      </c>
      <c r="B298" s="50"/>
      <c r="C298" s="67">
        <f>SUM(C296:C297)</f>
        <v>9828</v>
      </c>
      <c r="D298" s="67"/>
      <c r="E298" s="50"/>
      <c r="F298" s="54">
        <f>SUM(F296:F297)</f>
        <v>2764.56</v>
      </c>
      <c r="G298" s="64"/>
    </row>
    <row r="299" spans="1:7" ht="15" x14ac:dyDescent="0.2">
      <c r="A299" s="42"/>
      <c r="B299" s="50"/>
      <c r="C299" s="50"/>
      <c r="D299" s="50"/>
      <c r="E299" s="50"/>
      <c r="F299" s="54"/>
      <c r="G299" s="64"/>
    </row>
    <row r="300" spans="1:7" ht="15.75" x14ac:dyDescent="0.25">
      <c r="A300" s="35" t="s">
        <v>23</v>
      </c>
      <c r="B300" s="50"/>
      <c r="C300" s="50"/>
      <c r="D300" s="50"/>
      <c r="E300" s="50"/>
      <c r="F300" s="54">
        <v>3577</v>
      </c>
      <c r="G300" s="64"/>
    </row>
    <row r="301" spans="1:7" ht="15" x14ac:dyDescent="0.2">
      <c r="A301" s="42"/>
      <c r="B301" s="50"/>
      <c r="C301" s="50"/>
      <c r="D301" s="50"/>
      <c r="E301" s="50"/>
      <c r="F301" s="54"/>
      <c r="G301" s="64"/>
    </row>
    <row r="302" spans="1:7" ht="15" x14ac:dyDescent="0.2">
      <c r="A302" s="42" t="s">
        <v>100</v>
      </c>
      <c r="B302" s="50"/>
      <c r="C302" s="50"/>
      <c r="D302" s="50"/>
      <c r="E302" s="50"/>
      <c r="F302" s="131">
        <f>F300-F298</f>
        <v>812.44</v>
      </c>
      <c r="G302" s="64"/>
    </row>
    <row r="303" spans="1:7" ht="17.25" x14ac:dyDescent="0.35">
      <c r="A303" s="42"/>
      <c r="B303" s="50"/>
      <c r="C303" s="135"/>
      <c r="D303" s="50"/>
      <c r="E303" s="50"/>
      <c r="F303" s="133"/>
      <c r="G303" s="64"/>
    </row>
    <row r="304" spans="1:7" ht="15" x14ac:dyDescent="0.2">
      <c r="A304" s="42" t="s">
        <v>25</v>
      </c>
      <c r="B304" s="50"/>
      <c r="C304" s="50"/>
      <c r="D304" s="50"/>
      <c r="E304" s="50"/>
      <c r="F304" s="67">
        <f>+C298</f>
        <v>9828</v>
      </c>
      <c r="G304" s="64"/>
    </row>
    <row r="305" spans="1:7" ht="15" x14ac:dyDescent="0.2">
      <c r="A305" s="42"/>
      <c r="B305" s="50"/>
      <c r="C305" s="50"/>
      <c r="D305" s="50"/>
      <c r="E305" s="50"/>
      <c r="F305" s="50"/>
      <c r="G305" s="64"/>
    </row>
    <row r="306" spans="1:7" ht="15" x14ac:dyDescent="0.2">
      <c r="A306" s="42" t="s">
        <v>26</v>
      </c>
      <c r="B306" s="50"/>
      <c r="C306" s="50"/>
      <c r="D306" s="50"/>
      <c r="E306" s="50"/>
      <c r="F306" s="50"/>
      <c r="G306" s="70">
        <f>ROUND(F302/F304,2)</f>
        <v>0.08</v>
      </c>
    </row>
    <row r="307" spans="1:7" ht="15" x14ac:dyDescent="0.2">
      <c r="A307" s="42"/>
      <c r="B307" s="50"/>
      <c r="C307" s="50"/>
      <c r="D307" s="50"/>
      <c r="E307" s="50"/>
      <c r="F307" s="50"/>
      <c r="G307" s="70"/>
    </row>
    <row r="308" spans="1:7" ht="15" x14ac:dyDescent="0.2">
      <c r="A308" s="42"/>
      <c r="B308" s="50"/>
      <c r="C308" s="50"/>
      <c r="D308" s="50"/>
      <c r="E308" s="50"/>
      <c r="F308" s="67"/>
      <c r="G308" s="64"/>
    </row>
    <row r="309" spans="1:7" ht="15.75" x14ac:dyDescent="0.25">
      <c r="A309" s="42"/>
      <c r="B309" s="36"/>
      <c r="C309" s="50"/>
      <c r="D309" s="50"/>
      <c r="E309" s="50"/>
      <c r="F309" s="67"/>
      <c r="G309" s="64"/>
    </row>
    <row r="310" spans="1:7" ht="15.75" x14ac:dyDescent="0.25">
      <c r="A310" s="151" t="s">
        <v>150</v>
      </c>
      <c r="B310" s="50"/>
      <c r="C310" s="50"/>
      <c r="D310" s="50"/>
      <c r="E310" s="50"/>
      <c r="F310" s="165">
        <v>1789</v>
      </c>
      <c r="G310" s="64"/>
    </row>
    <row r="311" spans="1:7" ht="17.25" x14ac:dyDescent="0.35">
      <c r="A311" s="49" t="s">
        <v>25</v>
      </c>
      <c r="B311" s="36"/>
      <c r="C311" s="139"/>
      <c r="D311" s="38"/>
      <c r="E311" s="38"/>
      <c r="F311" s="166">
        <f>+C298</f>
        <v>9828</v>
      </c>
      <c r="G311" s="64"/>
    </row>
    <row r="312" spans="1:7" ht="17.25" x14ac:dyDescent="0.35">
      <c r="A312" s="42" t="s">
        <v>104</v>
      </c>
      <c r="B312" s="38"/>
      <c r="C312" s="38"/>
      <c r="D312" s="38"/>
      <c r="E312" s="38"/>
      <c r="F312" s="38"/>
      <c r="G312" s="55">
        <f>ROUND(+F310/F311,2)</f>
        <v>0.18</v>
      </c>
    </row>
    <row r="313" spans="1:7" ht="15" x14ac:dyDescent="0.2">
      <c r="A313" s="42"/>
      <c r="B313" s="50"/>
      <c r="C313" s="50"/>
      <c r="D313" s="50"/>
      <c r="E313" s="50"/>
      <c r="F313" s="67"/>
      <c r="G313" s="64"/>
    </row>
    <row r="314" spans="1:7" ht="18" x14ac:dyDescent="0.4">
      <c r="A314" s="35" t="s">
        <v>132</v>
      </c>
      <c r="B314" s="36"/>
      <c r="C314" s="38"/>
      <c r="D314" s="38"/>
      <c r="E314" s="38"/>
      <c r="F314" s="38"/>
      <c r="G314" s="180">
        <f>SUM(G306:G312)</f>
        <v>0.26</v>
      </c>
    </row>
    <row r="315" spans="1:7" ht="17.25" x14ac:dyDescent="0.35">
      <c r="A315" s="42"/>
      <c r="B315" s="50"/>
      <c r="C315" s="50"/>
      <c r="D315" s="50"/>
      <c r="E315" s="50"/>
      <c r="F315" s="50"/>
      <c r="G315" s="55"/>
    </row>
    <row r="316" spans="1:7" ht="15.75" thickBot="1" x14ac:dyDescent="0.25">
      <c r="A316" s="72"/>
      <c r="B316" s="73"/>
      <c r="C316" s="73"/>
      <c r="D316" s="73"/>
      <c r="E316" s="73"/>
      <c r="F316" s="73"/>
      <c r="G316" s="74"/>
    </row>
    <row r="317" spans="1:7" ht="23.25" x14ac:dyDescent="0.35">
      <c r="A317" s="31" t="s">
        <v>56</v>
      </c>
      <c r="B317" s="32"/>
      <c r="C317" s="33"/>
      <c r="D317" s="33"/>
      <c r="E317" s="33"/>
      <c r="F317" s="33"/>
      <c r="G317" s="34"/>
    </row>
    <row r="318" spans="1:7" ht="15.75" x14ac:dyDescent="0.25">
      <c r="A318" s="35" t="s">
        <v>95</v>
      </c>
      <c r="B318" s="36"/>
      <c r="C318" s="37"/>
      <c r="D318" s="37"/>
      <c r="E318" s="38"/>
      <c r="F318" s="38"/>
      <c r="G318" s="39"/>
    </row>
    <row r="319" spans="1:7" ht="15.75" x14ac:dyDescent="0.25">
      <c r="A319" s="40"/>
      <c r="B319" s="41"/>
      <c r="C319" s="38"/>
      <c r="D319" s="38"/>
      <c r="E319" s="38"/>
      <c r="F319" s="38"/>
      <c r="G319" s="39"/>
    </row>
    <row r="320" spans="1:7" ht="15" x14ac:dyDescent="0.2">
      <c r="A320" s="316" t="s">
        <v>21</v>
      </c>
      <c r="B320" s="317"/>
      <c r="C320" s="317"/>
      <c r="D320" s="317"/>
      <c r="E320" s="317"/>
      <c r="F320" s="317"/>
      <c r="G320" s="318"/>
    </row>
    <row r="321" spans="1:7" ht="15" x14ac:dyDescent="0.2">
      <c r="A321" s="42"/>
      <c r="B321" s="38"/>
      <c r="C321" s="38"/>
      <c r="D321" s="38"/>
      <c r="E321" s="38"/>
      <c r="F321" s="38"/>
      <c r="G321" s="39"/>
    </row>
    <row r="322" spans="1:7" ht="15.75" x14ac:dyDescent="0.25">
      <c r="A322" s="42"/>
      <c r="B322" s="38"/>
      <c r="C322" s="43"/>
      <c r="D322" s="43"/>
      <c r="E322" s="43" t="s">
        <v>13</v>
      </c>
      <c r="F322" s="43" t="s">
        <v>3</v>
      </c>
      <c r="G322" s="39"/>
    </row>
    <row r="323" spans="1:7" ht="15.75" x14ac:dyDescent="0.25">
      <c r="A323" s="42"/>
      <c r="B323" s="38"/>
      <c r="C323" s="44" t="s">
        <v>5</v>
      </c>
      <c r="D323" s="44"/>
      <c r="E323" s="44" t="s">
        <v>22</v>
      </c>
      <c r="F323" s="44" t="s">
        <v>6</v>
      </c>
      <c r="G323" s="39"/>
    </row>
    <row r="324" spans="1:7" ht="15.75" x14ac:dyDescent="0.25">
      <c r="A324" s="45" t="s">
        <v>97</v>
      </c>
      <c r="B324" s="36"/>
      <c r="C324" s="46"/>
      <c r="D324" s="46"/>
      <c r="E324" s="46"/>
      <c r="F324" s="46"/>
      <c r="G324" s="39"/>
    </row>
    <row r="325" spans="1:7" ht="15.75" x14ac:dyDescent="0.25">
      <c r="A325" s="42" t="s">
        <v>57</v>
      </c>
      <c r="B325" s="38"/>
      <c r="C325" s="47">
        <v>44693</v>
      </c>
      <c r="D325" s="47"/>
      <c r="E325" s="48">
        <v>1.71</v>
      </c>
      <c r="F325" s="131">
        <f>C325*E325</f>
        <v>76425.03</v>
      </c>
      <c r="G325" s="39"/>
    </row>
    <row r="326" spans="1:7" ht="17.25" x14ac:dyDescent="0.35">
      <c r="A326" s="49" t="s">
        <v>58</v>
      </c>
      <c r="B326" s="50"/>
      <c r="C326" s="51">
        <v>225967</v>
      </c>
      <c r="D326" s="51"/>
      <c r="E326" s="48">
        <v>2.23</v>
      </c>
      <c r="F326" s="132">
        <f>C326*E326</f>
        <v>503906.41</v>
      </c>
      <c r="G326" s="39"/>
    </row>
    <row r="327" spans="1:7" ht="17.25" x14ac:dyDescent="0.35">
      <c r="A327" s="42" t="s">
        <v>3</v>
      </c>
      <c r="B327" s="38"/>
      <c r="C327" s="47">
        <f>SUM(C325:C326)</f>
        <v>270660</v>
      </c>
      <c r="D327" s="51"/>
      <c r="E327" s="38"/>
      <c r="F327" s="131">
        <f>SUM(F325:F326)</f>
        <v>580331.43999999994</v>
      </c>
      <c r="G327" s="39"/>
    </row>
    <row r="328" spans="1:7" ht="15" x14ac:dyDescent="0.2">
      <c r="A328" s="42"/>
      <c r="B328" s="38"/>
      <c r="C328" s="38"/>
      <c r="D328" s="38"/>
      <c r="E328" s="38"/>
      <c r="F328" s="38"/>
      <c r="G328" s="39"/>
    </row>
    <row r="329" spans="1:7" ht="15.75" x14ac:dyDescent="0.25">
      <c r="A329" s="35" t="s">
        <v>23</v>
      </c>
      <c r="B329" s="38"/>
      <c r="C329" s="38"/>
      <c r="D329" s="38"/>
      <c r="E329" s="38"/>
      <c r="F329" s="131">
        <v>519430</v>
      </c>
      <c r="G329" s="39"/>
    </row>
    <row r="330" spans="1:7" ht="15" x14ac:dyDescent="0.2">
      <c r="A330" s="42"/>
      <c r="B330" s="38"/>
      <c r="C330" s="38"/>
      <c r="D330" s="38"/>
      <c r="E330" s="38"/>
      <c r="F330" s="131"/>
      <c r="G330" s="39"/>
    </row>
    <row r="331" spans="1:7" ht="15" x14ac:dyDescent="0.2">
      <c r="A331" s="42" t="s">
        <v>24</v>
      </c>
      <c r="B331" s="38"/>
      <c r="C331" s="38"/>
      <c r="D331" s="38"/>
      <c r="E331" s="38"/>
      <c r="F331" s="47">
        <f>F329-F327</f>
        <v>-60901.439999999944</v>
      </c>
      <c r="G331" s="39"/>
    </row>
    <row r="332" spans="1:7" ht="17.25" x14ac:dyDescent="0.35">
      <c r="A332" s="42"/>
      <c r="B332" s="38"/>
      <c r="C332" s="130"/>
      <c r="D332" s="38"/>
      <c r="E332" s="38"/>
      <c r="F332" s="133"/>
      <c r="G332" s="39"/>
    </row>
    <row r="333" spans="1:7" ht="15" x14ac:dyDescent="0.2">
      <c r="A333" s="42" t="s">
        <v>25</v>
      </c>
      <c r="B333" s="38"/>
      <c r="C333" s="38"/>
      <c r="D333" s="38"/>
      <c r="E333" s="38"/>
      <c r="F333" s="47">
        <f>+C327</f>
        <v>270660</v>
      </c>
      <c r="G333" s="39"/>
    </row>
    <row r="334" spans="1:7" ht="15" x14ac:dyDescent="0.2">
      <c r="A334" s="42"/>
      <c r="B334" s="38"/>
      <c r="C334" s="38"/>
      <c r="D334" s="38"/>
      <c r="E334" s="38"/>
      <c r="F334" s="38"/>
      <c r="G334" s="39"/>
    </row>
    <row r="335" spans="1:7" ht="15" x14ac:dyDescent="0.2">
      <c r="A335" s="42" t="s">
        <v>26</v>
      </c>
      <c r="B335" s="38"/>
      <c r="C335" s="38"/>
      <c r="D335" s="38"/>
      <c r="E335" s="38"/>
      <c r="F335" s="61"/>
      <c r="G335" s="52">
        <f>ROUND(F331/F333,2)</f>
        <v>-0.23</v>
      </c>
    </row>
    <row r="336" spans="1:7" ht="15" x14ac:dyDescent="0.2">
      <c r="A336" s="42"/>
      <c r="B336" s="38"/>
      <c r="C336" s="38"/>
      <c r="D336" s="38"/>
      <c r="E336" s="38"/>
      <c r="F336" s="38"/>
      <c r="G336" s="52"/>
    </row>
    <row r="337" spans="1:8" ht="15" x14ac:dyDescent="0.2">
      <c r="A337" s="42"/>
      <c r="B337" s="38"/>
      <c r="C337" s="38"/>
      <c r="D337" s="38"/>
      <c r="E337" s="38"/>
      <c r="F337" s="38"/>
      <c r="G337" s="52"/>
    </row>
    <row r="338" spans="1:8" ht="15" x14ac:dyDescent="0.2">
      <c r="A338" s="42"/>
      <c r="B338" s="38"/>
      <c r="C338" s="38"/>
      <c r="D338" s="38"/>
      <c r="E338" s="38"/>
      <c r="F338" s="38"/>
      <c r="G338" s="52"/>
      <c r="H338" s="63"/>
    </row>
    <row r="339" spans="1:8" ht="15.75" x14ac:dyDescent="0.25">
      <c r="A339" s="151" t="s">
        <v>137</v>
      </c>
      <c r="B339" s="36"/>
      <c r="C339" s="38"/>
      <c r="D339" s="38"/>
      <c r="E339" s="38"/>
      <c r="F339" s="163">
        <v>115861</v>
      </c>
      <c r="G339" s="52"/>
      <c r="H339" s="160"/>
    </row>
    <row r="340" spans="1:8" ht="17.25" x14ac:dyDescent="0.35">
      <c r="A340" s="42" t="s">
        <v>25</v>
      </c>
      <c r="B340" s="38"/>
      <c r="C340" s="38"/>
      <c r="D340" s="38"/>
      <c r="E340" s="38"/>
      <c r="F340" s="164">
        <f>135817</f>
        <v>135817</v>
      </c>
      <c r="G340" s="52"/>
      <c r="H340" s="161"/>
    </row>
    <row r="341" spans="1:8" ht="17.25" x14ac:dyDescent="0.35">
      <c r="A341" s="42" t="s">
        <v>104</v>
      </c>
      <c r="B341" s="38"/>
      <c r="C341" s="38"/>
      <c r="D341" s="38"/>
      <c r="E341" s="38"/>
      <c r="F341" s="38"/>
      <c r="G341" s="55">
        <f>ROUND(+F339/F340,2)</f>
        <v>0.85</v>
      </c>
      <c r="H341" s="162"/>
    </row>
    <row r="342" spans="1:8" ht="15" x14ac:dyDescent="0.2">
      <c r="A342" s="42"/>
      <c r="B342" s="38"/>
      <c r="C342" s="38"/>
      <c r="D342" s="38"/>
      <c r="E342" s="38"/>
      <c r="F342" s="38"/>
      <c r="G342" s="52"/>
    </row>
    <row r="343" spans="1:8" ht="15.75" x14ac:dyDescent="0.25">
      <c r="A343" s="35" t="s">
        <v>28</v>
      </c>
      <c r="B343" s="36"/>
      <c r="C343" s="38"/>
      <c r="D343" s="38"/>
      <c r="E343" s="38"/>
      <c r="F343" s="38"/>
      <c r="G343" s="167">
        <f>SUM(G335:G341)</f>
        <v>0.62</v>
      </c>
      <c r="H343" s="159"/>
    </row>
    <row r="344" spans="1:8" ht="15.75" x14ac:dyDescent="0.25">
      <c r="A344" s="35"/>
      <c r="B344" s="36"/>
      <c r="C344" s="38"/>
      <c r="D344" s="38"/>
      <c r="E344" s="38"/>
      <c r="F344" s="38"/>
      <c r="G344" s="150"/>
    </row>
    <row r="345" spans="1:8" ht="20.25" x14ac:dyDescent="0.55000000000000004">
      <c r="A345" s="49"/>
      <c r="B345" s="38"/>
      <c r="C345" s="38"/>
      <c r="D345" s="38"/>
      <c r="E345" s="139"/>
      <c r="F345" s="38"/>
      <c r="G345" s="152"/>
      <c r="H345" s="162"/>
    </row>
    <row r="346" spans="1:8" ht="20.25" x14ac:dyDescent="0.55000000000000004">
      <c r="A346" s="49"/>
      <c r="B346" s="38"/>
      <c r="C346" s="38"/>
      <c r="D346" s="38"/>
      <c r="E346" s="139"/>
      <c r="F346" s="38"/>
      <c r="G346" s="152"/>
      <c r="H346" s="119"/>
    </row>
    <row r="347" spans="1:8" ht="18" x14ac:dyDescent="0.4">
      <c r="A347" s="35" t="s">
        <v>128</v>
      </c>
      <c r="B347" s="38"/>
      <c r="C347" s="38"/>
      <c r="D347" s="38"/>
      <c r="E347" s="139"/>
      <c r="F347" s="38"/>
      <c r="G347" s="153">
        <f>+G343+G345</f>
        <v>0.62</v>
      </c>
      <c r="H347" s="159"/>
    </row>
    <row r="348" spans="1:8" ht="13.5" thickBot="1" x14ac:dyDescent="0.25">
      <c r="A348" s="19"/>
      <c r="B348" s="20"/>
      <c r="C348" s="20"/>
      <c r="D348" s="20"/>
      <c r="E348" s="20"/>
      <c r="F348" s="20"/>
      <c r="G348" s="21"/>
    </row>
    <row r="349" spans="1:8" ht="15" x14ac:dyDescent="0.2">
      <c r="A349" s="316" t="s">
        <v>29</v>
      </c>
      <c r="B349" s="317"/>
      <c r="C349" s="317"/>
      <c r="D349" s="317"/>
      <c r="E349" s="317"/>
      <c r="F349" s="317"/>
      <c r="G349" s="318"/>
    </row>
    <row r="350" spans="1:8" ht="15" x14ac:dyDescent="0.2">
      <c r="A350" s="49"/>
      <c r="B350" s="50"/>
      <c r="C350" s="50"/>
      <c r="D350" s="50"/>
      <c r="E350" s="50"/>
      <c r="F350" s="50"/>
      <c r="G350" s="64"/>
    </row>
    <row r="351" spans="1:8" ht="15.75" x14ac:dyDescent="0.25">
      <c r="A351" s="49"/>
      <c r="B351" s="50"/>
      <c r="C351" s="43"/>
      <c r="D351" s="43"/>
      <c r="E351" s="43" t="s">
        <v>13</v>
      </c>
      <c r="F351" s="43" t="s">
        <v>3</v>
      </c>
      <c r="G351" s="64"/>
    </row>
    <row r="352" spans="1:8" ht="15.75" x14ac:dyDescent="0.25">
      <c r="A352" s="49"/>
      <c r="B352" s="50"/>
      <c r="C352" s="65" t="s">
        <v>20</v>
      </c>
      <c r="D352" s="65"/>
      <c r="E352" s="65" t="s">
        <v>22</v>
      </c>
      <c r="F352" s="65" t="s">
        <v>6</v>
      </c>
      <c r="G352" s="64"/>
    </row>
    <row r="353" spans="1:8" ht="15.75" x14ac:dyDescent="0.25">
      <c r="A353" s="45" t="s">
        <v>97</v>
      </c>
      <c r="B353" s="36"/>
      <c r="C353" s="66"/>
      <c r="D353" s="66"/>
      <c r="E353" s="66"/>
      <c r="F353" s="66"/>
      <c r="G353" s="64"/>
    </row>
    <row r="354" spans="1:8" ht="15.75" x14ac:dyDescent="0.25">
      <c r="A354" s="42" t="s">
        <v>57</v>
      </c>
      <c r="B354" s="50"/>
      <c r="C354" s="67">
        <v>3419</v>
      </c>
      <c r="D354" s="67"/>
      <c r="E354" s="68">
        <v>0.24</v>
      </c>
      <c r="F354" s="54">
        <f>E354*C354</f>
        <v>820.56</v>
      </c>
      <c r="G354" s="64"/>
    </row>
    <row r="355" spans="1:8" ht="17.25" x14ac:dyDescent="0.35">
      <c r="A355" s="49" t="s">
        <v>58</v>
      </c>
      <c r="B355" s="50"/>
      <c r="C355" s="51">
        <v>17388</v>
      </c>
      <c r="D355" s="51"/>
      <c r="E355" s="68">
        <v>0.34</v>
      </c>
      <c r="F355" s="132">
        <f>E355*C355</f>
        <v>5911.92</v>
      </c>
      <c r="G355" s="64"/>
    </row>
    <row r="356" spans="1:8" ht="15" x14ac:dyDescent="0.2">
      <c r="A356" s="42" t="s">
        <v>3</v>
      </c>
      <c r="B356" s="50"/>
      <c r="C356" s="67">
        <f>SUM(C354:C355)</f>
        <v>20807</v>
      </c>
      <c r="D356" s="67"/>
      <c r="E356" s="50"/>
      <c r="F356" s="54">
        <f>SUM(F354:F355)</f>
        <v>6732.48</v>
      </c>
      <c r="G356" s="64"/>
    </row>
    <row r="357" spans="1:8" ht="15" x14ac:dyDescent="0.2">
      <c r="A357" s="42"/>
      <c r="B357" s="50"/>
      <c r="C357" s="50"/>
      <c r="D357" s="50"/>
      <c r="E357" s="50"/>
      <c r="F357" s="54"/>
      <c r="G357" s="64"/>
    </row>
    <row r="358" spans="1:8" ht="15.75" x14ac:dyDescent="0.25">
      <c r="A358" s="35" t="s">
        <v>23</v>
      </c>
      <c r="B358" s="50"/>
      <c r="C358" s="50"/>
      <c r="D358" s="50"/>
      <c r="E358" s="50"/>
      <c r="F358" s="54">
        <v>7108</v>
      </c>
      <c r="G358" s="64"/>
    </row>
    <row r="359" spans="1:8" ht="15" x14ac:dyDescent="0.2">
      <c r="A359" s="42"/>
      <c r="B359" s="50"/>
      <c r="C359" s="50"/>
      <c r="D359" s="50"/>
      <c r="E359" s="50"/>
      <c r="F359" s="54"/>
      <c r="G359" s="64"/>
    </row>
    <row r="360" spans="1:8" ht="15" x14ac:dyDescent="0.2">
      <c r="A360" s="42" t="s">
        <v>100</v>
      </c>
      <c r="B360" s="50"/>
      <c r="C360" s="50"/>
      <c r="D360" s="50"/>
      <c r="E360" s="50"/>
      <c r="F360" s="131">
        <f>F358-F356</f>
        <v>375.52000000000044</v>
      </c>
      <c r="G360" s="64"/>
    </row>
    <row r="361" spans="1:8" ht="17.25" x14ac:dyDescent="0.35">
      <c r="A361" s="42"/>
      <c r="B361" s="50"/>
      <c r="C361" s="135"/>
      <c r="D361" s="50"/>
      <c r="E361" s="50"/>
      <c r="F361" s="133"/>
      <c r="G361" s="64"/>
    </row>
    <row r="362" spans="1:8" ht="15" x14ac:dyDescent="0.2">
      <c r="A362" s="42" t="s">
        <v>25</v>
      </c>
      <c r="B362" s="50"/>
      <c r="C362" s="50"/>
      <c r="D362" s="50"/>
      <c r="E362" s="50"/>
      <c r="F362" s="67">
        <f>+C356</f>
        <v>20807</v>
      </c>
      <c r="G362" s="64"/>
    </row>
    <row r="363" spans="1:8" ht="15" x14ac:dyDescent="0.2">
      <c r="A363" s="42"/>
      <c r="B363" s="50"/>
      <c r="C363" s="50"/>
      <c r="D363" s="50"/>
      <c r="E363" s="50"/>
      <c r="F363" s="50"/>
      <c r="G363" s="64"/>
    </row>
    <row r="364" spans="1:8" ht="15" x14ac:dyDescent="0.2">
      <c r="A364" s="42" t="s">
        <v>26</v>
      </c>
      <c r="B364" s="50"/>
      <c r="C364" s="50"/>
      <c r="D364" s="50"/>
      <c r="E364" s="50"/>
      <c r="F364" s="50"/>
      <c r="G364" s="70">
        <f>ROUND(F360/F362,2)</f>
        <v>0.02</v>
      </c>
    </row>
    <row r="365" spans="1:8" ht="15" x14ac:dyDescent="0.2">
      <c r="A365" s="42"/>
      <c r="B365" s="50"/>
      <c r="C365" s="50"/>
      <c r="D365" s="50"/>
      <c r="E365" s="50"/>
      <c r="F365" s="50"/>
      <c r="G365" s="70"/>
    </row>
    <row r="366" spans="1:8" ht="15" x14ac:dyDescent="0.2">
      <c r="A366" s="42"/>
      <c r="B366" s="50"/>
      <c r="C366" s="50"/>
      <c r="D366" s="50"/>
      <c r="E366" s="50"/>
      <c r="F366" s="67"/>
      <c r="G366" s="64"/>
    </row>
    <row r="367" spans="1:8" ht="15.75" x14ac:dyDescent="0.25">
      <c r="A367" s="42"/>
      <c r="B367" s="36"/>
      <c r="C367" s="50"/>
      <c r="D367" s="50"/>
      <c r="E367" s="50"/>
      <c r="F367" s="67"/>
      <c r="G367" s="64"/>
    </row>
    <row r="368" spans="1:8" ht="15.75" x14ac:dyDescent="0.25">
      <c r="A368" s="151" t="s">
        <v>137</v>
      </c>
      <c r="B368" s="50"/>
      <c r="C368" s="50"/>
      <c r="D368" s="50"/>
      <c r="E368" s="50"/>
      <c r="F368" s="165">
        <v>1586</v>
      </c>
      <c r="G368" s="64"/>
      <c r="H368" s="158"/>
    </row>
    <row r="369" spans="1:8" ht="17.25" x14ac:dyDescent="0.35">
      <c r="A369" s="49" t="s">
        <v>25</v>
      </c>
      <c r="B369" s="36"/>
      <c r="C369" s="139"/>
      <c r="D369" s="38"/>
      <c r="E369" s="38"/>
      <c r="F369" s="166">
        <v>10624</v>
      </c>
      <c r="G369" s="64"/>
    </row>
    <row r="370" spans="1:8" ht="17.25" x14ac:dyDescent="0.35">
      <c r="A370" s="42" t="s">
        <v>104</v>
      </c>
      <c r="B370" s="38"/>
      <c r="C370" s="38"/>
      <c r="D370" s="38"/>
      <c r="E370" s="38"/>
      <c r="F370" s="38"/>
      <c r="G370" s="55">
        <f>ROUND(+F368/F369,2)</f>
        <v>0.15</v>
      </c>
    </row>
    <row r="371" spans="1:8" ht="15" x14ac:dyDescent="0.2">
      <c r="A371" s="42"/>
      <c r="B371" s="50"/>
      <c r="C371" s="50"/>
      <c r="D371" s="50"/>
      <c r="E371" s="50"/>
      <c r="F371" s="67"/>
      <c r="G371" s="64"/>
    </row>
    <row r="372" spans="1:8" ht="15.75" x14ac:dyDescent="0.25">
      <c r="A372" s="35" t="s">
        <v>132</v>
      </c>
      <c r="B372" s="36"/>
      <c r="C372" s="38"/>
      <c r="D372" s="38"/>
      <c r="E372" s="38"/>
      <c r="F372" s="38"/>
      <c r="G372" s="167">
        <f>SUM(G364:G370)</f>
        <v>0.16999999999999998</v>
      </c>
      <c r="H372" s="159"/>
    </row>
    <row r="373" spans="1:8" ht="17.25" x14ac:dyDescent="0.35">
      <c r="A373" s="42"/>
      <c r="B373" s="50"/>
      <c r="C373" s="50"/>
      <c r="D373" s="50"/>
      <c r="E373" s="50"/>
      <c r="F373" s="50"/>
      <c r="G373" s="55"/>
    </row>
    <row r="374" spans="1:8" ht="20.25" x14ac:dyDescent="0.55000000000000004">
      <c r="A374" s="49"/>
      <c r="B374" s="38"/>
      <c r="C374" s="38"/>
      <c r="D374" s="38"/>
      <c r="E374" s="139"/>
      <c r="F374" s="38"/>
      <c r="G374" s="152"/>
    </row>
    <row r="375" spans="1:8" ht="20.25" x14ac:dyDescent="0.55000000000000004">
      <c r="A375" s="49"/>
      <c r="B375" s="38"/>
      <c r="C375" s="38"/>
      <c r="D375" s="38"/>
      <c r="E375" s="139"/>
      <c r="F375" s="38"/>
      <c r="G375" s="152"/>
      <c r="H375" s="119"/>
    </row>
    <row r="376" spans="1:8" ht="18" x14ac:dyDescent="0.4">
      <c r="A376" s="35" t="s">
        <v>128</v>
      </c>
      <c r="B376" s="38"/>
      <c r="C376" s="38"/>
      <c r="D376" s="38"/>
      <c r="E376" s="139"/>
      <c r="F376" s="38"/>
      <c r="G376" s="153">
        <f>+G372+G374</f>
        <v>0.16999999999999998</v>
      </c>
      <c r="H376" s="159"/>
    </row>
    <row r="377" spans="1:8" ht="15.75" thickBot="1" x14ac:dyDescent="0.25">
      <c r="A377" s="72"/>
      <c r="B377" s="73"/>
      <c r="C377" s="73"/>
      <c r="D377" s="73"/>
      <c r="E377" s="73"/>
      <c r="F377" s="73"/>
      <c r="G377" s="74"/>
    </row>
    <row r="378" spans="1:8" ht="23.25" x14ac:dyDescent="0.35">
      <c r="A378" s="31" t="s">
        <v>56</v>
      </c>
      <c r="B378" s="32"/>
      <c r="C378" s="33"/>
      <c r="D378" s="33"/>
      <c r="E378" s="33"/>
      <c r="F378" s="33"/>
      <c r="G378" s="34"/>
    </row>
    <row r="379" spans="1:8" ht="15.75" x14ac:dyDescent="0.25">
      <c r="A379" s="35" t="s">
        <v>95</v>
      </c>
      <c r="B379" s="36"/>
      <c r="C379" s="37"/>
      <c r="D379" s="37"/>
      <c r="E379" s="38"/>
      <c r="F379" s="38"/>
      <c r="G379" s="39"/>
    </row>
    <row r="380" spans="1:8" ht="15.75" x14ac:dyDescent="0.25">
      <c r="A380" s="40"/>
      <c r="B380" s="41"/>
      <c r="C380" s="38"/>
      <c r="D380" s="38"/>
      <c r="E380" s="38"/>
      <c r="F380" s="38"/>
      <c r="G380" s="39"/>
    </row>
    <row r="381" spans="1:8" ht="15" x14ac:dyDescent="0.2">
      <c r="A381" s="316" t="s">
        <v>21</v>
      </c>
      <c r="B381" s="317"/>
      <c r="C381" s="317"/>
      <c r="D381" s="317"/>
      <c r="E381" s="317"/>
      <c r="F381" s="317"/>
      <c r="G381" s="318"/>
    </row>
    <row r="382" spans="1:8" ht="15" x14ac:dyDescent="0.2">
      <c r="A382" s="42"/>
      <c r="B382" s="38"/>
      <c r="C382" s="38"/>
      <c r="D382" s="38"/>
      <c r="E382" s="38"/>
      <c r="F382" s="38"/>
      <c r="G382" s="39"/>
    </row>
    <row r="383" spans="1:8" ht="15.75" x14ac:dyDescent="0.25">
      <c r="A383" s="42"/>
      <c r="B383" s="38"/>
      <c r="C383" s="43"/>
      <c r="D383" s="43"/>
      <c r="E383" s="43" t="s">
        <v>13</v>
      </c>
      <c r="F383" s="43" t="s">
        <v>3</v>
      </c>
      <c r="G383" s="39"/>
    </row>
    <row r="384" spans="1:8" ht="15.75" x14ac:dyDescent="0.25">
      <c r="A384" s="42"/>
      <c r="B384" s="38"/>
      <c r="C384" s="44" t="s">
        <v>5</v>
      </c>
      <c r="D384" s="44"/>
      <c r="E384" s="44" t="s">
        <v>22</v>
      </c>
      <c r="F384" s="44" t="s">
        <v>6</v>
      </c>
      <c r="G384" s="39"/>
    </row>
    <row r="385" spans="1:7" ht="15.75" x14ac:dyDescent="0.25">
      <c r="A385" s="45" t="s">
        <v>84</v>
      </c>
      <c r="B385" s="36"/>
      <c r="C385" s="46"/>
      <c r="D385" s="46"/>
      <c r="E385" s="46"/>
      <c r="F385" s="46"/>
      <c r="G385" s="39"/>
    </row>
    <row r="386" spans="1:7" ht="15.75" x14ac:dyDescent="0.25">
      <c r="A386" s="42" t="s">
        <v>57</v>
      </c>
      <c r="B386" s="38"/>
      <c r="C386" s="47">
        <v>43420</v>
      </c>
      <c r="D386" s="47"/>
      <c r="E386" s="48">
        <f>+E445</f>
        <v>1.99</v>
      </c>
      <c r="F386" s="131">
        <f>C386*E386</f>
        <v>86405.8</v>
      </c>
      <c r="G386" s="39"/>
    </row>
    <row r="387" spans="1:7" ht="17.25" x14ac:dyDescent="0.35">
      <c r="A387" s="49" t="s">
        <v>58</v>
      </c>
      <c r="B387" s="50"/>
      <c r="C387" s="51">
        <v>219122</v>
      </c>
      <c r="D387" s="51"/>
      <c r="E387" s="48">
        <f>+G460</f>
        <v>1.71</v>
      </c>
      <c r="F387" s="132">
        <f>C387*E387</f>
        <v>374698.62</v>
      </c>
      <c r="G387" s="39"/>
    </row>
    <row r="388" spans="1:7" ht="17.25" x14ac:dyDescent="0.35">
      <c r="A388" s="42" t="s">
        <v>3</v>
      </c>
      <c r="B388" s="38"/>
      <c r="C388" s="47">
        <f>SUM(C386:C387)</f>
        <v>262542</v>
      </c>
      <c r="D388" s="51"/>
      <c r="E388" s="38"/>
      <c r="F388" s="131">
        <f>SUM(F386:F387)</f>
        <v>461104.42</v>
      </c>
      <c r="G388" s="39"/>
    </row>
    <row r="389" spans="1:7" ht="15" x14ac:dyDescent="0.2">
      <c r="A389" s="42"/>
      <c r="B389" s="38"/>
      <c r="C389" s="38"/>
      <c r="D389" s="38"/>
      <c r="E389" s="38"/>
      <c r="F389" s="38"/>
      <c r="G389" s="39"/>
    </row>
    <row r="390" spans="1:7" ht="15.75" x14ac:dyDescent="0.25">
      <c r="A390" s="35" t="s">
        <v>23</v>
      </c>
      <c r="B390" s="38"/>
      <c r="C390" s="38"/>
      <c r="D390" s="38"/>
      <c r="E390" s="38"/>
      <c r="F390" s="131">
        <v>585067</v>
      </c>
      <c r="G390" s="39"/>
    </row>
    <row r="391" spans="1:7" ht="15" x14ac:dyDescent="0.2">
      <c r="A391" s="42"/>
      <c r="B391" s="38"/>
      <c r="C391" s="38"/>
      <c r="D391" s="38"/>
      <c r="E391" s="38"/>
      <c r="F391" s="131"/>
      <c r="G391" s="39"/>
    </row>
    <row r="392" spans="1:7" ht="15" x14ac:dyDescent="0.2">
      <c r="A392" s="42" t="s">
        <v>100</v>
      </c>
      <c r="B392" s="38"/>
      <c r="C392" s="38"/>
      <c r="D392" s="38"/>
      <c r="E392" s="38"/>
      <c r="F392" s="131">
        <f>F390-F388</f>
        <v>123962.58000000002</v>
      </c>
      <c r="G392" s="39"/>
    </row>
    <row r="393" spans="1:7" ht="17.25" x14ac:dyDescent="0.35">
      <c r="A393" s="42" t="s">
        <v>101</v>
      </c>
      <c r="B393" s="38"/>
      <c r="C393" s="130">
        <f>-1.78+1.44</f>
        <v>-0.34000000000000008</v>
      </c>
      <c r="D393" s="38"/>
      <c r="E393" s="38"/>
      <c r="F393" s="133">
        <f>C393*C386</f>
        <v>-14762.800000000003</v>
      </c>
      <c r="G393" s="39"/>
    </row>
    <row r="394" spans="1:7" ht="15" x14ac:dyDescent="0.2">
      <c r="A394" s="134" t="s">
        <v>99</v>
      </c>
      <c r="B394" s="38"/>
      <c r="C394" s="38"/>
      <c r="D394" s="38"/>
      <c r="E394" s="38"/>
      <c r="F394" s="131">
        <f>SUM(F392:F393)</f>
        <v>109199.78000000001</v>
      </c>
      <c r="G394" s="39"/>
    </row>
    <row r="395" spans="1:7" ht="15" x14ac:dyDescent="0.2">
      <c r="A395" s="42"/>
      <c r="B395" s="38"/>
      <c r="C395" s="38"/>
      <c r="D395" s="38"/>
      <c r="E395" s="38"/>
      <c r="F395" s="38"/>
      <c r="G395" s="39"/>
    </row>
    <row r="396" spans="1:7" ht="15" x14ac:dyDescent="0.2">
      <c r="A396" s="42" t="s">
        <v>25</v>
      </c>
      <c r="B396" s="38"/>
      <c r="C396" s="38"/>
      <c r="D396" s="38"/>
      <c r="E396" s="38"/>
      <c r="F396" s="47">
        <f>+C388</f>
        <v>262542</v>
      </c>
      <c r="G396" s="39"/>
    </row>
    <row r="397" spans="1:7" ht="15" x14ac:dyDescent="0.2">
      <c r="A397" s="42"/>
      <c r="B397" s="38"/>
      <c r="C397" s="38"/>
      <c r="D397" s="38"/>
      <c r="E397" s="38"/>
      <c r="F397" s="38"/>
      <c r="G397" s="39"/>
    </row>
    <row r="398" spans="1:7" ht="15" x14ac:dyDescent="0.2">
      <c r="A398" s="42" t="s">
        <v>26</v>
      </c>
      <c r="B398" s="38"/>
      <c r="C398" s="38"/>
      <c r="D398" s="38"/>
      <c r="E398" s="38"/>
      <c r="F398" s="61"/>
      <c r="G398" s="52">
        <f>ROUND(F394/F396,2)</f>
        <v>0.42</v>
      </c>
    </row>
    <row r="399" spans="1:7" ht="15" x14ac:dyDescent="0.2">
      <c r="A399" s="42"/>
      <c r="B399" s="38"/>
      <c r="C399" s="38"/>
      <c r="D399" s="38"/>
      <c r="E399" s="38"/>
      <c r="F399" s="38"/>
      <c r="G399" s="52"/>
    </row>
    <row r="400" spans="1:7" ht="15" x14ac:dyDescent="0.2">
      <c r="A400" s="42"/>
      <c r="B400" s="38"/>
      <c r="C400" s="38"/>
      <c r="D400" s="38"/>
      <c r="E400" s="38"/>
      <c r="F400" s="38"/>
      <c r="G400" s="52"/>
    </row>
    <row r="401" spans="1:7" ht="15" x14ac:dyDescent="0.2">
      <c r="A401" s="42"/>
      <c r="B401" s="38"/>
      <c r="C401" s="38"/>
      <c r="D401" s="38"/>
      <c r="E401" s="38"/>
      <c r="F401" s="38"/>
      <c r="G401" s="52"/>
    </row>
    <row r="402" spans="1:7" ht="15.75" x14ac:dyDescent="0.25">
      <c r="A402" s="45" t="s">
        <v>97</v>
      </c>
      <c r="B402" s="36"/>
      <c r="C402" s="38"/>
      <c r="D402" s="38"/>
      <c r="E402" s="38"/>
      <c r="F402" s="53">
        <f>+F390</f>
        <v>585067</v>
      </c>
      <c r="G402" s="52"/>
    </row>
    <row r="403" spans="1:7" ht="15" x14ac:dyDescent="0.2">
      <c r="A403" s="42" t="s">
        <v>25</v>
      </c>
      <c r="B403" s="38"/>
      <c r="C403" s="38"/>
      <c r="D403" s="38"/>
      <c r="E403" s="38"/>
      <c r="F403" s="47">
        <f>+C388</f>
        <v>262542</v>
      </c>
      <c r="G403" s="52"/>
    </row>
    <row r="404" spans="1:7" ht="17.25" x14ac:dyDescent="0.35">
      <c r="A404" s="42" t="s">
        <v>27</v>
      </c>
      <c r="B404" s="38"/>
      <c r="C404" s="38"/>
      <c r="D404" s="38"/>
      <c r="E404" s="38"/>
      <c r="F404" s="38"/>
      <c r="G404" s="55">
        <f>ROUND(+F402/F403,2)</f>
        <v>2.23</v>
      </c>
    </row>
    <row r="405" spans="1:7" ht="15" x14ac:dyDescent="0.2">
      <c r="A405" s="42"/>
      <c r="B405" s="38"/>
      <c r="C405" s="38"/>
      <c r="D405" s="38"/>
      <c r="E405" s="38"/>
      <c r="F405" s="38"/>
      <c r="G405" s="52"/>
    </row>
    <row r="406" spans="1:7" ht="15" x14ac:dyDescent="0.2">
      <c r="A406" s="42"/>
      <c r="B406" s="38"/>
      <c r="C406" s="38"/>
      <c r="D406" s="38"/>
      <c r="E406" s="38"/>
      <c r="F406" s="38"/>
      <c r="G406" s="52"/>
    </row>
    <row r="407" spans="1:7" ht="16.5" thickBot="1" x14ac:dyDescent="0.3">
      <c r="A407" s="35" t="s">
        <v>28</v>
      </c>
      <c r="B407" s="36"/>
      <c r="C407" s="38"/>
      <c r="D407" s="38"/>
      <c r="E407" s="38"/>
      <c r="F407" s="38"/>
      <c r="G407" s="58">
        <f>SUM(G398:G404)</f>
        <v>2.65</v>
      </c>
    </row>
    <row r="408" spans="1:7" ht="14.25" thickTop="1" thickBot="1" x14ac:dyDescent="0.25">
      <c r="A408" s="19"/>
      <c r="B408" s="20"/>
      <c r="C408" s="20"/>
      <c r="D408" s="20"/>
      <c r="E408" s="20"/>
      <c r="F408" s="20"/>
      <c r="G408" s="21"/>
    </row>
    <row r="409" spans="1:7" ht="15" x14ac:dyDescent="0.2">
      <c r="A409" s="316" t="s">
        <v>29</v>
      </c>
      <c r="B409" s="317"/>
      <c r="C409" s="317"/>
      <c r="D409" s="317"/>
      <c r="E409" s="317"/>
      <c r="F409" s="317"/>
      <c r="G409" s="318"/>
    </row>
    <row r="410" spans="1:7" ht="15" x14ac:dyDescent="0.2">
      <c r="A410" s="49"/>
      <c r="B410" s="50"/>
      <c r="C410" s="50"/>
      <c r="D410" s="50"/>
      <c r="E410" s="50"/>
      <c r="F410" s="50"/>
      <c r="G410" s="64"/>
    </row>
    <row r="411" spans="1:7" ht="15.75" x14ac:dyDescent="0.25">
      <c r="A411" s="49"/>
      <c r="B411" s="50"/>
      <c r="C411" s="43"/>
      <c r="D411" s="43"/>
      <c r="E411" s="43" t="s">
        <v>13</v>
      </c>
      <c r="F411" s="43" t="s">
        <v>3</v>
      </c>
      <c r="G411" s="64"/>
    </row>
    <row r="412" spans="1:7" ht="15.75" x14ac:dyDescent="0.25">
      <c r="A412" s="49"/>
      <c r="B412" s="50"/>
      <c r="C412" s="65" t="s">
        <v>20</v>
      </c>
      <c r="D412" s="65"/>
      <c r="E412" s="65" t="s">
        <v>22</v>
      </c>
      <c r="F412" s="65" t="s">
        <v>6</v>
      </c>
      <c r="G412" s="64"/>
    </row>
    <row r="413" spans="1:7" ht="15.75" x14ac:dyDescent="0.25">
      <c r="A413" s="45" t="s">
        <v>84</v>
      </c>
      <c r="B413" s="36"/>
      <c r="C413" s="66"/>
      <c r="D413" s="66"/>
      <c r="E413" s="66"/>
      <c r="F413" s="66"/>
      <c r="G413" s="64"/>
    </row>
    <row r="414" spans="1:7" ht="15.75" x14ac:dyDescent="0.25">
      <c r="A414" s="42" t="s">
        <v>57</v>
      </c>
      <c r="B414" s="50"/>
      <c r="C414" s="67">
        <v>3165.2666666666669</v>
      </c>
      <c r="D414" s="67"/>
      <c r="E414" s="68">
        <f>+E471</f>
        <v>0.26</v>
      </c>
      <c r="F414" s="54">
        <f>E414*C414</f>
        <v>822.96933333333345</v>
      </c>
      <c r="G414" s="64"/>
    </row>
    <row r="415" spans="1:7" ht="17.25" x14ac:dyDescent="0.35">
      <c r="A415" s="49" t="s">
        <v>58</v>
      </c>
      <c r="B415" s="50"/>
      <c r="C415" s="51">
        <v>15187.712732919255</v>
      </c>
      <c r="D415" s="51"/>
      <c r="E415" s="68">
        <f>+G486</f>
        <v>0.24</v>
      </c>
      <c r="F415" s="132">
        <f>E415*C415</f>
        <v>3645.0510559006211</v>
      </c>
      <c r="G415" s="64"/>
    </row>
    <row r="416" spans="1:7" ht="15" x14ac:dyDescent="0.2">
      <c r="A416" s="42" t="s">
        <v>3</v>
      </c>
      <c r="B416" s="50"/>
      <c r="C416" s="67">
        <f>SUM(C414:C415)</f>
        <v>18352.979399585922</v>
      </c>
      <c r="D416" s="67"/>
      <c r="E416" s="50"/>
      <c r="F416" s="54">
        <f>SUM(F414:F415)</f>
        <v>4468.0203892339541</v>
      </c>
      <c r="G416" s="64"/>
    </row>
    <row r="417" spans="1:7" ht="15" x14ac:dyDescent="0.2">
      <c r="A417" s="42"/>
      <c r="B417" s="50"/>
      <c r="C417" s="50"/>
      <c r="D417" s="50"/>
      <c r="E417" s="50"/>
      <c r="F417" s="54"/>
      <c r="G417" s="64"/>
    </row>
    <row r="418" spans="1:7" ht="15.75" x14ac:dyDescent="0.25">
      <c r="A418" s="35" t="s">
        <v>23</v>
      </c>
      <c r="B418" s="50"/>
      <c r="C418" s="50"/>
      <c r="D418" s="50"/>
      <c r="E418" s="50"/>
      <c r="F418" s="54">
        <v>6208.3877211296831</v>
      </c>
      <c r="G418" s="64"/>
    </row>
    <row r="419" spans="1:7" ht="15" x14ac:dyDescent="0.2">
      <c r="A419" s="42"/>
      <c r="B419" s="50"/>
      <c r="C419" s="50"/>
      <c r="D419" s="50"/>
      <c r="E419" s="50"/>
      <c r="F419" s="54"/>
      <c r="G419" s="64"/>
    </row>
    <row r="420" spans="1:7" ht="15" x14ac:dyDescent="0.2">
      <c r="A420" s="42" t="s">
        <v>100</v>
      </c>
      <c r="B420" s="50"/>
      <c r="C420" s="50"/>
      <c r="D420" s="50"/>
      <c r="E420" s="50"/>
      <c r="F420" s="131">
        <f>F418-F416</f>
        <v>1740.367331895729</v>
      </c>
      <c r="G420" s="64"/>
    </row>
    <row r="421" spans="1:7" ht="17.25" x14ac:dyDescent="0.35">
      <c r="A421" s="42" t="s">
        <v>102</v>
      </c>
      <c r="B421" s="50"/>
      <c r="C421" s="135">
        <f>-0.28+0.23</f>
        <v>-5.0000000000000017E-2</v>
      </c>
      <c r="D421" s="50"/>
      <c r="E421" s="50"/>
      <c r="F421" s="133">
        <f>C421*C414</f>
        <v>-158.26333333333341</v>
      </c>
      <c r="G421" s="64"/>
    </row>
    <row r="422" spans="1:7" ht="15" x14ac:dyDescent="0.2">
      <c r="A422" s="134" t="s">
        <v>99</v>
      </c>
      <c r="B422" s="50"/>
      <c r="C422" s="50"/>
      <c r="D422" s="50"/>
      <c r="E422" s="50"/>
      <c r="F422" s="131">
        <f>SUM(F420:F421)</f>
        <v>1582.1039985623956</v>
      </c>
      <c r="G422" s="64"/>
    </row>
    <row r="423" spans="1:7" ht="15" x14ac:dyDescent="0.2">
      <c r="A423" s="42"/>
      <c r="B423" s="50"/>
      <c r="C423" s="50"/>
      <c r="D423" s="50"/>
      <c r="E423" s="50"/>
      <c r="F423" s="50"/>
      <c r="G423" s="64"/>
    </row>
    <row r="424" spans="1:7" ht="15" x14ac:dyDescent="0.2">
      <c r="A424" s="42" t="s">
        <v>25</v>
      </c>
      <c r="B424" s="50"/>
      <c r="C424" s="50"/>
      <c r="D424" s="50"/>
      <c r="E424" s="50"/>
      <c r="F424" s="67">
        <f>+C416</f>
        <v>18352.979399585922</v>
      </c>
      <c r="G424" s="64"/>
    </row>
    <row r="425" spans="1:7" ht="15" x14ac:dyDescent="0.2">
      <c r="A425" s="42"/>
      <c r="B425" s="50"/>
      <c r="C425" s="50"/>
      <c r="D425" s="50"/>
      <c r="E425" s="50"/>
      <c r="F425" s="50"/>
      <c r="G425" s="64"/>
    </row>
    <row r="426" spans="1:7" ht="15" x14ac:dyDescent="0.2">
      <c r="A426" s="42" t="s">
        <v>26</v>
      </c>
      <c r="B426" s="50"/>
      <c r="C426" s="50"/>
      <c r="D426" s="50"/>
      <c r="E426" s="50"/>
      <c r="F426" s="50"/>
      <c r="G426" s="70">
        <f>ROUND(F422/F424,2)</f>
        <v>0.09</v>
      </c>
    </row>
    <row r="427" spans="1:7" ht="15" x14ac:dyDescent="0.2">
      <c r="A427" s="42"/>
      <c r="B427" s="50"/>
      <c r="C427" s="50"/>
      <c r="D427" s="50"/>
      <c r="E427" s="50"/>
      <c r="F427" s="50"/>
      <c r="G427" s="70"/>
    </row>
    <row r="428" spans="1:7" ht="15" x14ac:dyDescent="0.2">
      <c r="A428" s="42"/>
      <c r="B428" s="50"/>
      <c r="C428" s="50"/>
      <c r="D428" s="50"/>
      <c r="E428" s="50"/>
      <c r="F428" s="67"/>
      <c r="G428" s="64"/>
    </row>
    <row r="429" spans="1:7" ht="15.75" x14ac:dyDescent="0.25">
      <c r="A429" s="42"/>
      <c r="B429" s="36"/>
      <c r="C429" s="50"/>
      <c r="D429" s="50"/>
      <c r="E429" s="50"/>
      <c r="F429" s="67"/>
      <c r="G429" s="64"/>
    </row>
    <row r="430" spans="1:7" ht="15.75" x14ac:dyDescent="0.25">
      <c r="A430" s="45" t="s">
        <v>97</v>
      </c>
      <c r="B430" s="50"/>
      <c r="C430" s="50"/>
      <c r="D430" s="50"/>
      <c r="E430" s="50"/>
      <c r="F430" s="54">
        <f>+F418</f>
        <v>6208.3877211296831</v>
      </c>
      <c r="G430" s="64"/>
    </row>
    <row r="431" spans="1:7" ht="15" x14ac:dyDescent="0.2">
      <c r="A431" s="42" t="s">
        <v>25</v>
      </c>
      <c r="B431" s="50"/>
      <c r="C431" s="50"/>
      <c r="D431" s="50"/>
      <c r="E431" s="50"/>
      <c r="F431" s="67">
        <f>+C416</f>
        <v>18352.979399585922</v>
      </c>
      <c r="G431" s="64"/>
    </row>
    <row r="432" spans="1:7" ht="17.25" x14ac:dyDescent="0.35">
      <c r="A432" s="42" t="s">
        <v>27</v>
      </c>
      <c r="B432" s="50"/>
      <c r="C432" s="50"/>
      <c r="D432" s="50"/>
      <c r="E432" s="50"/>
      <c r="F432" s="50"/>
      <c r="G432" s="57">
        <f>ROUND(+F430/F431,2)</f>
        <v>0.34</v>
      </c>
    </row>
    <row r="433" spans="1:7" ht="17.25" x14ac:dyDescent="0.35">
      <c r="A433" s="42"/>
      <c r="B433" s="50"/>
      <c r="C433" s="50"/>
      <c r="D433" s="50"/>
      <c r="E433" s="50"/>
      <c r="F433" s="50"/>
      <c r="G433" s="57"/>
    </row>
    <row r="434" spans="1:7" ht="16.5" thickBot="1" x14ac:dyDescent="0.3">
      <c r="A434" s="35" t="s">
        <v>30</v>
      </c>
      <c r="B434" s="36"/>
      <c r="C434" s="50"/>
      <c r="D434" s="50"/>
      <c r="E434" s="50"/>
      <c r="F434" s="50"/>
      <c r="G434" s="71">
        <f>+G432+G426+G427</f>
        <v>0.43000000000000005</v>
      </c>
    </row>
    <row r="435" spans="1:7" ht="16.5" thickTop="1" thickBot="1" x14ac:dyDescent="0.25">
      <c r="A435" s="72"/>
      <c r="B435" s="73"/>
      <c r="C435" s="73"/>
      <c r="D435" s="73"/>
      <c r="E435" s="73"/>
      <c r="F435" s="73"/>
      <c r="G435" s="74"/>
    </row>
    <row r="436" spans="1:7" ht="23.25" x14ac:dyDescent="0.35">
      <c r="A436" s="31" t="s">
        <v>56</v>
      </c>
      <c r="B436" s="32"/>
      <c r="C436" s="33"/>
      <c r="D436" s="33"/>
      <c r="E436" s="33"/>
      <c r="F436" s="33"/>
      <c r="G436" s="34"/>
    </row>
    <row r="437" spans="1:7" ht="15.75" x14ac:dyDescent="0.25">
      <c r="A437" s="35" t="s">
        <v>83</v>
      </c>
      <c r="B437" s="36"/>
      <c r="C437" s="37"/>
      <c r="D437" s="37"/>
      <c r="E437" s="38"/>
      <c r="F437" s="38"/>
      <c r="G437" s="39"/>
    </row>
    <row r="438" spans="1:7" ht="15.75" x14ac:dyDescent="0.25">
      <c r="A438" s="40"/>
      <c r="B438" s="41"/>
      <c r="C438" s="38"/>
      <c r="D438" s="38"/>
      <c r="E438" s="38"/>
      <c r="F438" s="38"/>
      <c r="G438" s="39"/>
    </row>
    <row r="439" spans="1:7" ht="15" x14ac:dyDescent="0.2">
      <c r="A439" s="316" t="s">
        <v>21</v>
      </c>
      <c r="B439" s="317"/>
      <c r="C439" s="317"/>
      <c r="D439" s="317"/>
      <c r="E439" s="317"/>
      <c r="F439" s="317"/>
      <c r="G439" s="318"/>
    </row>
    <row r="440" spans="1:7" ht="15" x14ac:dyDescent="0.2">
      <c r="A440" s="42"/>
      <c r="B440" s="38"/>
      <c r="C440" s="38"/>
      <c r="D440" s="38"/>
      <c r="E440" s="38"/>
      <c r="F440" s="38"/>
      <c r="G440" s="39"/>
    </row>
    <row r="441" spans="1:7" ht="15.75" x14ac:dyDescent="0.25">
      <c r="A441" s="42"/>
      <c r="B441" s="38"/>
      <c r="C441" s="43"/>
      <c r="D441" s="43"/>
      <c r="E441" s="43" t="s">
        <v>13</v>
      </c>
      <c r="F441" s="43" t="s">
        <v>3</v>
      </c>
      <c r="G441" s="39"/>
    </row>
    <row r="442" spans="1:7" ht="15.75" x14ac:dyDescent="0.25">
      <c r="A442" s="42"/>
      <c r="B442" s="38"/>
      <c r="C442" s="44" t="s">
        <v>5</v>
      </c>
      <c r="D442" s="44"/>
      <c r="E442" s="44" t="s">
        <v>22</v>
      </c>
      <c r="F442" s="44" t="s">
        <v>6</v>
      </c>
      <c r="G442" s="39"/>
    </row>
    <row r="443" spans="1:7" ht="15.75" x14ac:dyDescent="0.25">
      <c r="A443" s="45" t="s">
        <v>77</v>
      </c>
      <c r="B443" s="36"/>
      <c r="C443" s="46"/>
      <c r="D443" s="46"/>
      <c r="E443" s="46"/>
      <c r="F443" s="46"/>
      <c r="G443" s="39"/>
    </row>
    <row r="444" spans="1:7" ht="15.75" x14ac:dyDescent="0.25">
      <c r="A444" s="42" t="s">
        <v>57</v>
      </c>
      <c r="B444" s="38"/>
      <c r="C444" s="47">
        <v>42479</v>
      </c>
      <c r="D444" s="47"/>
      <c r="E444" s="48">
        <f>+E499</f>
        <v>1.96</v>
      </c>
      <c r="F444" s="47">
        <f>C444*E444</f>
        <v>83258.84</v>
      </c>
      <c r="G444" s="39"/>
    </row>
    <row r="445" spans="1:7" ht="17.25" x14ac:dyDescent="0.35">
      <c r="A445" s="49" t="s">
        <v>58</v>
      </c>
      <c r="B445" s="50"/>
      <c r="C445" s="51">
        <v>213820</v>
      </c>
      <c r="D445" s="51"/>
      <c r="E445" s="48">
        <f>+G514</f>
        <v>1.99</v>
      </c>
      <c r="F445" s="51">
        <f>C445*E445</f>
        <v>425501.8</v>
      </c>
      <c r="G445" s="39"/>
    </row>
    <row r="446" spans="1:7" ht="17.25" x14ac:dyDescent="0.35">
      <c r="A446" s="42" t="s">
        <v>3</v>
      </c>
      <c r="B446" s="38"/>
      <c r="C446" s="47">
        <f>SUM(C444:C445)</f>
        <v>256299</v>
      </c>
      <c r="D446" s="51"/>
      <c r="E446" s="38"/>
      <c r="F446" s="47">
        <f>SUM(F444:F445)</f>
        <v>508760.64</v>
      </c>
      <c r="G446" s="39"/>
    </row>
    <row r="447" spans="1:7" ht="15" x14ac:dyDescent="0.2">
      <c r="A447" s="42"/>
      <c r="B447" s="38"/>
      <c r="C447" s="38"/>
      <c r="D447" s="38"/>
      <c r="E447" s="38"/>
      <c r="F447" s="38"/>
      <c r="G447" s="39"/>
    </row>
    <row r="448" spans="1:7" ht="15.75" x14ac:dyDescent="0.25">
      <c r="A448" s="35" t="s">
        <v>23</v>
      </c>
      <c r="B448" s="38"/>
      <c r="C448" s="38"/>
      <c r="D448" s="38"/>
      <c r="E448" s="38"/>
      <c r="F448" s="47">
        <v>438426</v>
      </c>
      <c r="G448" s="39"/>
    </row>
    <row r="449" spans="1:8" ht="15" x14ac:dyDescent="0.2">
      <c r="A449" s="42"/>
      <c r="B449" s="38"/>
      <c r="C449" s="38"/>
      <c r="D449" s="38"/>
      <c r="E449" s="38"/>
      <c r="F449" s="38"/>
      <c r="G449" s="39"/>
    </row>
    <row r="450" spans="1:8" ht="15" x14ac:dyDescent="0.2">
      <c r="A450" s="42" t="s">
        <v>24</v>
      </c>
      <c r="B450" s="38"/>
      <c r="C450" s="38"/>
      <c r="D450" s="38"/>
      <c r="E450" s="38"/>
      <c r="F450" s="47">
        <f>F448-F446</f>
        <v>-70334.640000000014</v>
      </c>
      <c r="G450" s="39"/>
    </row>
    <row r="451" spans="1:8" ht="15" x14ac:dyDescent="0.2">
      <c r="A451" s="42"/>
      <c r="B451" s="38"/>
      <c r="C451" s="38"/>
      <c r="D451" s="38"/>
      <c r="E451" s="38"/>
      <c r="F451" s="38"/>
      <c r="G451" s="39"/>
    </row>
    <row r="452" spans="1:8" ht="15" x14ac:dyDescent="0.2">
      <c r="A452" s="42" t="s">
        <v>25</v>
      </c>
      <c r="B452" s="38"/>
      <c r="C452" s="38"/>
      <c r="D452" s="38"/>
      <c r="E452" s="38"/>
      <c r="F452" s="47">
        <f>+C446</f>
        <v>256299</v>
      </c>
      <c r="G452" s="39"/>
    </row>
    <row r="453" spans="1:8" ht="15" x14ac:dyDescent="0.2">
      <c r="A453" s="42"/>
      <c r="B453" s="38"/>
      <c r="C453" s="38"/>
      <c r="D453" s="38"/>
      <c r="E453" s="38"/>
      <c r="F453" s="38"/>
      <c r="G453" s="39"/>
    </row>
    <row r="454" spans="1:8" ht="15" x14ac:dyDescent="0.2">
      <c r="A454" s="42" t="s">
        <v>26</v>
      </c>
      <c r="B454" s="38"/>
      <c r="C454" s="38"/>
      <c r="D454" s="38"/>
      <c r="E454" s="38"/>
      <c r="F454" s="61"/>
      <c r="G454" s="52">
        <f>ROUND(F450/F452,2)</f>
        <v>-0.27</v>
      </c>
    </row>
    <row r="455" spans="1:8" ht="15" x14ac:dyDescent="0.2">
      <c r="A455" s="42"/>
      <c r="B455" s="38"/>
      <c r="C455" s="38"/>
      <c r="D455" s="38"/>
      <c r="E455" s="38"/>
      <c r="F455" s="38"/>
      <c r="G455" s="52"/>
    </row>
    <row r="456" spans="1:8" ht="15" x14ac:dyDescent="0.2">
      <c r="A456" s="42"/>
      <c r="B456" s="38"/>
      <c r="C456" s="38"/>
      <c r="D456" s="38"/>
      <c r="E456" s="38"/>
      <c r="F456" s="38"/>
      <c r="G456" s="52"/>
    </row>
    <row r="457" spans="1:8" ht="15" x14ac:dyDescent="0.2">
      <c r="A457" s="42"/>
      <c r="B457" s="38"/>
      <c r="C457" s="38"/>
      <c r="D457" s="38"/>
      <c r="E457" s="38"/>
      <c r="F457" s="38"/>
      <c r="G457" s="52"/>
    </row>
    <row r="458" spans="1:8" ht="15.75" x14ac:dyDescent="0.25">
      <c r="A458" s="45" t="s">
        <v>84</v>
      </c>
      <c r="B458" s="36"/>
      <c r="C458" s="38"/>
      <c r="D458" s="38"/>
      <c r="E458" s="38"/>
      <c r="F458" s="53">
        <f>+F448</f>
        <v>438426</v>
      </c>
      <c r="G458" s="52"/>
    </row>
    <row r="459" spans="1:8" ht="15" x14ac:dyDescent="0.2">
      <c r="A459" s="42" t="s">
        <v>25</v>
      </c>
      <c r="B459" s="38"/>
      <c r="C459" s="38"/>
      <c r="D459" s="38"/>
      <c r="E459" s="38"/>
      <c r="F459" s="47">
        <f>+C446</f>
        <v>256299</v>
      </c>
      <c r="G459" s="52"/>
    </row>
    <row r="460" spans="1:8" ht="17.25" x14ac:dyDescent="0.35">
      <c r="A460" s="42" t="s">
        <v>27</v>
      </c>
      <c r="B460" s="38"/>
      <c r="C460" s="38"/>
      <c r="D460" s="38"/>
      <c r="E460" s="38"/>
      <c r="F460" s="38"/>
      <c r="G460" s="55">
        <f>ROUND(+F458/F459,2)</f>
        <v>1.71</v>
      </c>
    </row>
    <row r="461" spans="1:8" ht="15" x14ac:dyDescent="0.2">
      <c r="A461" s="42"/>
      <c r="B461" s="38"/>
      <c r="C461" s="38"/>
      <c r="D461" s="38"/>
      <c r="E461" s="38"/>
      <c r="F461" s="38"/>
      <c r="G461" s="52"/>
    </row>
    <row r="462" spans="1:8" ht="15" x14ac:dyDescent="0.2">
      <c r="A462" s="42"/>
      <c r="B462" s="38"/>
      <c r="C462" s="38"/>
      <c r="D462" s="38"/>
      <c r="E462" s="38"/>
      <c r="F462" s="38"/>
      <c r="G462" s="52"/>
    </row>
    <row r="463" spans="1:8" ht="16.5" thickBot="1" x14ac:dyDescent="0.3">
      <c r="A463" s="35" t="s">
        <v>28</v>
      </c>
      <c r="B463" s="36"/>
      <c r="C463" s="38"/>
      <c r="D463" s="38"/>
      <c r="E463" s="38"/>
      <c r="F463" s="38"/>
      <c r="G463" s="58">
        <f>SUM(G454:G460)</f>
        <v>1.44</v>
      </c>
      <c r="H463" s="18"/>
    </row>
    <row r="464" spans="1:8" ht="14.25" thickTop="1" thickBot="1" x14ac:dyDescent="0.25">
      <c r="A464" s="19"/>
      <c r="B464" s="20"/>
      <c r="C464" s="20"/>
      <c r="D464" s="20"/>
      <c r="E464" s="20"/>
      <c r="F464" s="20"/>
      <c r="G464" s="21"/>
    </row>
    <row r="465" spans="1:7" ht="15" x14ac:dyDescent="0.2">
      <c r="A465" s="316" t="s">
        <v>29</v>
      </c>
      <c r="B465" s="317"/>
      <c r="C465" s="317"/>
      <c r="D465" s="317"/>
      <c r="E465" s="317"/>
      <c r="F465" s="317"/>
      <c r="G465" s="318"/>
    </row>
    <row r="466" spans="1:7" ht="15" x14ac:dyDescent="0.2">
      <c r="A466" s="49"/>
      <c r="B466" s="50"/>
      <c r="C466" s="50"/>
      <c r="D466" s="50"/>
      <c r="E466" s="50"/>
      <c r="F466" s="50"/>
      <c r="G466" s="64"/>
    </row>
    <row r="467" spans="1:7" ht="15.75" x14ac:dyDescent="0.25">
      <c r="A467" s="49"/>
      <c r="B467" s="50"/>
      <c r="C467" s="43"/>
      <c r="D467" s="43"/>
      <c r="E467" s="43" t="s">
        <v>13</v>
      </c>
      <c r="F467" s="43" t="s">
        <v>3</v>
      </c>
      <c r="G467" s="64"/>
    </row>
    <row r="468" spans="1:7" ht="15.75" x14ac:dyDescent="0.25">
      <c r="A468" s="49"/>
      <c r="B468" s="50"/>
      <c r="C468" s="65" t="s">
        <v>20</v>
      </c>
      <c r="D468" s="65"/>
      <c r="E468" s="65" t="s">
        <v>22</v>
      </c>
      <c r="F468" s="65" t="s">
        <v>6</v>
      </c>
      <c r="G468" s="64"/>
    </row>
    <row r="469" spans="1:7" ht="15.75" x14ac:dyDescent="0.25">
      <c r="A469" s="45" t="s">
        <v>77</v>
      </c>
      <c r="B469" s="36"/>
      <c r="C469" s="66"/>
      <c r="D469" s="66"/>
      <c r="E469" s="66"/>
      <c r="F469" s="66"/>
      <c r="G469" s="64"/>
    </row>
    <row r="470" spans="1:7" ht="15.75" x14ac:dyDescent="0.25">
      <c r="A470" s="42" t="s">
        <v>57</v>
      </c>
      <c r="B470" s="50"/>
      <c r="C470" s="67">
        <v>3158</v>
      </c>
      <c r="D470" s="67"/>
      <c r="E470" s="68">
        <f>+E525</f>
        <v>0.23</v>
      </c>
      <c r="F470" s="67">
        <f>E470*C470</f>
        <v>726.34</v>
      </c>
      <c r="G470" s="64"/>
    </row>
    <row r="471" spans="1:7" ht="17.25" x14ac:dyDescent="0.35">
      <c r="A471" s="49" t="s">
        <v>58</v>
      </c>
      <c r="B471" s="50"/>
      <c r="C471" s="51">
        <v>15916</v>
      </c>
      <c r="D471" s="51"/>
      <c r="E471" s="68">
        <f>+G540</f>
        <v>0.26</v>
      </c>
      <c r="F471" s="51">
        <f>E471*C471</f>
        <v>4138.16</v>
      </c>
      <c r="G471" s="64"/>
    </row>
    <row r="472" spans="1:7" ht="15" x14ac:dyDescent="0.2">
      <c r="A472" s="42" t="s">
        <v>3</v>
      </c>
      <c r="B472" s="50"/>
      <c r="C472" s="67">
        <f>SUM(C470:C471)</f>
        <v>19074</v>
      </c>
      <c r="D472" s="67"/>
      <c r="E472" s="50"/>
      <c r="F472" s="67">
        <f>SUM(F470:F471)</f>
        <v>4864.5</v>
      </c>
      <c r="G472" s="64"/>
    </row>
    <row r="473" spans="1:7" ht="15" x14ac:dyDescent="0.2">
      <c r="A473" s="42"/>
      <c r="B473" s="50"/>
      <c r="C473" s="50"/>
      <c r="D473" s="50"/>
      <c r="E473" s="50"/>
      <c r="F473" s="50"/>
      <c r="G473" s="64"/>
    </row>
    <row r="474" spans="1:7" ht="15.75" x14ac:dyDescent="0.25">
      <c r="A474" s="35" t="s">
        <v>23</v>
      </c>
      <c r="B474" s="50"/>
      <c r="C474" s="50"/>
      <c r="D474" s="50"/>
      <c r="E474" s="50"/>
      <c r="F474" s="69">
        <v>4652</v>
      </c>
      <c r="G474" s="64"/>
    </row>
    <row r="475" spans="1:7" ht="15" x14ac:dyDescent="0.2">
      <c r="A475" s="42"/>
      <c r="B475" s="50"/>
      <c r="C475" s="50"/>
      <c r="D475" s="50"/>
      <c r="E475" s="50"/>
      <c r="F475" s="50"/>
      <c r="G475" s="64"/>
    </row>
    <row r="476" spans="1:7" ht="15" x14ac:dyDescent="0.2">
      <c r="A476" s="42" t="s">
        <v>24</v>
      </c>
      <c r="B476" s="50"/>
      <c r="C476" s="50"/>
      <c r="D476" s="50"/>
      <c r="E476" s="50"/>
      <c r="F476" s="47">
        <f>F474-F472</f>
        <v>-212.5</v>
      </c>
      <c r="G476" s="64"/>
    </row>
    <row r="477" spans="1:7" ht="15" x14ac:dyDescent="0.2">
      <c r="A477" s="42"/>
      <c r="B477" s="50"/>
      <c r="C477" s="50"/>
      <c r="D477" s="50"/>
      <c r="E477" s="50"/>
      <c r="F477" s="50"/>
      <c r="G477" s="64"/>
    </row>
    <row r="478" spans="1:7" ht="15" x14ac:dyDescent="0.2">
      <c r="A478" s="42" t="s">
        <v>25</v>
      </c>
      <c r="B478" s="50"/>
      <c r="C478" s="50"/>
      <c r="D478" s="50"/>
      <c r="E478" s="50"/>
      <c r="F478" s="67">
        <f>+C472</f>
        <v>19074</v>
      </c>
      <c r="G478" s="64"/>
    </row>
    <row r="479" spans="1:7" ht="15" x14ac:dyDescent="0.2">
      <c r="A479" s="42"/>
      <c r="B479" s="50"/>
      <c r="C479" s="50"/>
      <c r="D479" s="50"/>
      <c r="E479" s="50"/>
      <c r="F479" s="50"/>
      <c r="G479" s="64"/>
    </row>
    <row r="480" spans="1:7" ht="15" x14ac:dyDescent="0.2">
      <c r="A480" s="42" t="s">
        <v>26</v>
      </c>
      <c r="B480" s="50"/>
      <c r="C480" s="50"/>
      <c r="D480" s="50"/>
      <c r="E480" s="50"/>
      <c r="F480" s="50"/>
      <c r="G480" s="70">
        <f>ROUND(F476/F478,2)</f>
        <v>-0.01</v>
      </c>
    </row>
    <row r="481" spans="1:8" ht="15" x14ac:dyDescent="0.2">
      <c r="A481" s="42"/>
      <c r="B481" s="50"/>
      <c r="C481" s="50"/>
      <c r="D481" s="50"/>
      <c r="E481" s="50"/>
      <c r="F481" s="50"/>
      <c r="G481" s="70"/>
    </row>
    <row r="482" spans="1:8" ht="15" x14ac:dyDescent="0.2">
      <c r="A482" s="42"/>
      <c r="B482" s="50"/>
      <c r="C482" s="50"/>
      <c r="D482" s="50"/>
      <c r="E482" s="50"/>
      <c r="F482" s="67"/>
      <c r="G482" s="64"/>
    </row>
    <row r="483" spans="1:8" ht="15.75" x14ac:dyDescent="0.25">
      <c r="A483" s="42"/>
      <c r="B483" s="36"/>
      <c r="C483" s="50"/>
      <c r="D483" s="50"/>
      <c r="E483" s="50"/>
      <c r="F483" s="67"/>
      <c r="G483" s="64"/>
    </row>
    <row r="484" spans="1:8" ht="15.75" x14ac:dyDescent="0.25">
      <c r="A484" s="45" t="s">
        <v>84</v>
      </c>
      <c r="B484" s="50"/>
      <c r="C484" s="50"/>
      <c r="D484" s="50"/>
      <c r="E484" s="50"/>
      <c r="F484" s="54">
        <f>+F474</f>
        <v>4652</v>
      </c>
      <c r="G484" s="64"/>
    </row>
    <row r="485" spans="1:8" ht="15" x14ac:dyDescent="0.2">
      <c r="A485" s="42" t="s">
        <v>25</v>
      </c>
      <c r="B485" s="50"/>
      <c r="C485" s="50"/>
      <c r="D485" s="50"/>
      <c r="E485" s="50"/>
      <c r="F485" s="67">
        <f>+C472</f>
        <v>19074</v>
      </c>
      <c r="G485" s="64"/>
    </row>
    <row r="486" spans="1:8" ht="17.25" x14ac:dyDescent="0.35">
      <c r="A486" s="42" t="s">
        <v>27</v>
      </c>
      <c r="B486" s="50"/>
      <c r="C486" s="50"/>
      <c r="D486" s="50"/>
      <c r="E486" s="50"/>
      <c r="F486" s="50"/>
      <c r="G486" s="57">
        <f>ROUND(+F484/F485,2)</f>
        <v>0.24</v>
      </c>
      <c r="H486" s="18"/>
    </row>
    <row r="487" spans="1:8" ht="17.25" x14ac:dyDescent="0.35">
      <c r="A487" s="42"/>
      <c r="B487" s="50"/>
      <c r="C487" s="50"/>
      <c r="D487" s="50"/>
      <c r="E487" s="50"/>
      <c r="F487" s="50"/>
      <c r="G487" s="57"/>
    </row>
    <row r="488" spans="1:8" ht="16.5" thickBot="1" x14ac:dyDescent="0.3">
      <c r="A488" s="35" t="s">
        <v>30</v>
      </c>
      <c r="B488" s="36"/>
      <c r="C488" s="50"/>
      <c r="D488" s="50"/>
      <c r="E488" s="50"/>
      <c r="F488" s="50"/>
      <c r="G488" s="71">
        <f>+G486+G480+G481</f>
        <v>0.22999999999999998</v>
      </c>
    </row>
    <row r="489" spans="1:8" ht="16.5" thickTop="1" thickBot="1" x14ac:dyDescent="0.25">
      <c r="A489" s="72"/>
      <c r="B489" s="73"/>
      <c r="C489" s="73"/>
      <c r="D489" s="73"/>
      <c r="E489" s="73"/>
      <c r="F489" s="73"/>
      <c r="G489" s="74"/>
    </row>
    <row r="490" spans="1:8" ht="23.25" x14ac:dyDescent="0.35">
      <c r="A490" s="31" t="s">
        <v>56</v>
      </c>
      <c r="B490" s="32"/>
      <c r="C490" s="33"/>
      <c r="D490" s="33"/>
      <c r="E490" s="33"/>
      <c r="F490" s="33"/>
      <c r="G490" s="34"/>
    </row>
    <row r="491" spans="1:8" ht="15.75" x14ac:dyDescent="0.25">
      <c r="A491" s="35" t="s">
        <v>78</v>
      </c>
      <c r="B491" s="36"/>
      <c r="C491" s="37"/>
      <c r="D491" s="37"/>
      <c r="E491" s="38"/>
      <c r="F491" s="38"/>
      <c r="G491" s="39"/>
    </row>
    <row r="492" spans="1:8" ht="15.75" x14ac:dyDescent="0.25">
      <c r="A492" s="40"/>
      <c r="B492" s="41"/>
      <c r="C492" s="38"/>
      <c r="D492" s="38"/>
      <c r="E492" s="38"/>
      <c r="F492" s="38"/>
      <c r="G492" s="39"/>
    </row>
    <row r="493" spans="1:8" ht="15" x14ac:dyDescent="0.2">
      <c r="A493" s="316" t="s">
        <v>21</v>
      </c>
      <c r="B493" s="317"/>
      <c r="C493" s="317"/>
      <c r="D493" s="317"/>
      <c r="E493" s="317"/>
      <c r="F493" s="317"/>
      <c r="G493" s="318"/>
    </row>
    <row r="494" spans="1:8" ht="15" x14ac:dyDescent="0.2">
      <c r="A494" s="42"/>
      <c r="B494" s="38"/>
      <c r="C494" s="38"/>
      <c r="D494" s="38"/>
      <c r="E494" s="38"/>
      <c r="F494" s="38"/>
      <c r="G494" s="39"/>
    </row>
    <row r="495" spans="1:8" ht="15.75" x14ac:dyDescent="0.25">
      <c r="A495" s="42"/>
      <c r="B495" s="38"/>
      <c r="C495" s="43"/>
      <c r="D495" s="43"/>
      <c r="E495" s="43" t="s">
        <v>13</v>
      </c>
      <c r="F495" s="43" t="s">
        <v>3</v>
      </c>
      <c r="G495" s="39"/>
    </row>
    <row r="496" spans="1:8" ht="15.75" x14ac:dyDescent="0.25">
      <c r="A496" s="42"/>
      <c r="B496" s="38"/>
      <c r="C496" s="44" t="s">
        <v>5</v>
      </c>
      <c r="D496" s="44"/>
      <c r="E496" s="44" t="s">
        <v>22</v>
      </c>
      <c r="F496" s="44" t="s">
        <v>6</v>
      </c>
      <c r="G496" s="39"/>
    </row>
    <row r="497" spans="1:7" ht="15.75" x14ac:dyDescent="0.25">
      <c r="A497" s="45" t="s">
        <v>60</v>
      </c>
      <c r="B497" s="36"/>
      <c r="C497" s="46"/>
      <c r="D497" s="46"/>
      <c r="E497" s="46"/>
      <c r="F497" s="46"/>
      <c r="G497" s="39"/>
    </row>
    <row r="498" spans="1:7" ht="15.75" x14ac:dyDescent="0.25">
      <c r="A498" s="42" t="s">
        <v>57</v>
      </c>
      <c r="B498" s="38"/>
      <c r="C498" s="47">
        <v>41334</v>
      </c>
      <c r="D498" s="47"/>
      <c r="E498" s="48">
        <f>+E553</f>
        <v>1.6641107756753206</v>
      </c>
      <c r="F498" s="47">
        <f>C498*E498</f>
        <v>68784.354801763708</v>
      </c>
      <c r="G498" s="39"/>
    </row>
    <row r="499" spans="1:7" ht="17.25" x14ac:dyDescent="0.35">
      <c r="A499" s="49" t="s">
        <v>58</v>
      </c>
      <c r="B499" s="50"/>
      <c r="C499" s="51">
        <v>206670</v>
      </c>
      <c r="D499" s="51"/>
      <c r="E499" s="48">
        <f>+G568</f>
        <v>1.96</v>
      </c>
      <c r="F499" s="51">
        <f>C499*E499</f>
        <v>405073.2</v>
      </c>
      <c r="G499" s="39"/>
    </row>
    <row r="500" spans="1:7" ht="17.25" x14ac:dyDescent="0.35">
      <c r="A500" s="42" t="s">
        <v>3</v>
      </c>
      <c r="B500" s="38"/>
      <c r="C500" s="47">
        <f>SUM(C498:C499)</f>
        <v>248004</v>
      </c>
      <c r="D500" s="51"/>
      <c r="E500" s="38"/>
      <c r="F500" s="47">
        <f>SUM(F498:F499)</f>
        <v>473857.55480176373</v>
      </c>
      <c r="G500" s="39"/>
    </row>
    <row r="501" spans="1:7" ht="15" x14ac:dyDescent="0.2">
      <c r="A501" s="42"/>
      <c r="B501" s="38"/>
      <c r="C501" s="38"/>
      <c r="D501" s="38"/>
      <c r="E501" s="38"/>
      <c r="F501" s="38"/>
      <c r="G501" s="39"/>
    </row>
    <row r="502" spans="1:7" ht="15.75" x14ac:dyDescent="0.25">
      <c r="A502" s="35" t="s">
        <v>23</v>
      </c>
      <c r="B502" s="38"/>
      <c r="C502" s="38"/>
      <c r="D502" s="38"/>
      <c r="E502" s="38"/>
      <c r="F502" s="47">
        <v>494632</v>
      </c>
      <c r="G502" s="39"/>
    </row>
    <row r="503" spans="1:7" ht="15" x14ac:dyDescent="0.2">
      <c r="A503" s="42"/>
      <c r="B503" s="38"/>
      <c r="C503" s="38"/>
      <c r="D503" s="38"/>
      <c r="E503" s="38"/>
      <c r="F503" s="38"/>
      <c r="G503" s="39"/>
    </row>
    <row r="504" spans="1:7" ht="15" x14ac:dyDescent="0.2">
      <c r="A504" s="42" t="s">
        <v>24</v>
      </c>
      <c r="B504" s="38"/>
      <c r="C504" s="38"/>
      <c r="D504" s="38"/>
      <c r="E504" s="38"/>
      <c r="F504" s="47">
        <v>20775</v>
      </c>
      <c r="G504" s="39"/>
    </row>
    <row r="505" spans="1:7" ht="15" x14ac:dyDescent="0.2">
      <c r="A505" s="42"/>
      <c r="B505" s="38"/>
      <c r="C505" s="38"/>
      <c r="D505" s="38"/>
      <c r="E505" s="38"/>
      <c r="F505" s="38"/>
      <c r="G505" s="39"/>
    </row>
    <row r="506" spans="1:7" ht="15" x14ac:dyDescent="0.2">
      <c r="A506" s="42" t="s">
        <v>25</v>
      </c>
      <c r="B506" s="38"/>
      <c r="C506" s="38"/>
      <c r="D506" s="38"/>
      <c r="E506" s="38"/>
      <c r="F506" s="47">
        <f>+C500</f>
        <v>248004</v>
      </c>
      <c r="G506" s="39"/>
    </row>
    <row r="507" spans="1:7" ht="15" x14ac:dyDescent="0.2">
      <c r="A507" s="42"/>
      <c r="B507" s="38"/>
      <c r="C507" s="38"/>
      <c r="D507" s="38"/>
      <c r="E507" s="38"/>
      <c r="F507" s="38"/>
      <c r="G507" s="39"/>
    </row>
    <row r="508" spans="1:7" ht="15" x14ac:dyDescent="0.2">
      <c r="A508" s="42" t="s">
        <v>26</v>
      </c>
      <c r="B508" s="38"/>
      <c r="C508" s="38"/>
      <c r="D508" s="38"/>
      <c r="E508" s="38"/>
      <c r="F508" s="61"/>
      <c r="G508" s="52">
        <f>ROUND(F504/F506,2)</f>
        <v>0.08</v>
      </c>
    </row>
    <row r="509" spans="1:7" ht="15" x14ac:dyDescent="0.2">
      <c r="A509" s="42"/>
      <c r="B509" s="38"/>
      <c r="C509" s="38"/>
      <c r="D509" s="38"/>
      <c r="E509" s="38"/>
      <c r="F509" s="38"/>
      <c r="G509" s="52"/>
    </row>
    <row r="510" spans="1:7" ht="15" x14ac:dyDescent="0.2">
      <c r="A510" s="42"/>
      <c r="B510" s="38"/>
      <c r="C510" s="38"/>
      <c r="D510" s="38"/>
      <c r="E510" s="38"/>
      <c r="F510" s="38"/>
      <c r="G510" s="52"/>
    </row>
    <row r="511" spans="1:7" ht="15" x14ac:dyDescent="0.2">
      <c r="A511" s="42"/>
      <c r="B511" s="38"/>
      <c r="C511" s="38"/>
      <c r="D511" s="38"/>
      <c r="E511" s="38"/>
      <c r="F511" s="38"/>
      <c r="G511" s="52"/>
    </row>
    <row r="512" spans="1:7" ht="15.75" x14ac:dyDescent="0.25">
      <c r="A512" s="45" t="s">
        <v>77</v>
      </c>
      <c r="B512" s="36"/>
      <c r="C512" s="38"/>
      <c r="D512" s="38"/>
      <c r="E512" s="38"/>
      <c r="F512" s="53">
        <f>+F502</f>
        <v>494632</v>
      </c>
      <c r="G512" s="52"/>
    </row>
    <row r="513" spans="1:7" ht="15" x14ac:dyDescent="0.2">
      <c r="A513" s="42" t="s">
        <v>25</v>
      </c>
      <c r="B513" s="38"/>
      <c r="C513" s="38"/>
      <c r="D513" s="38"/>
      <c r="E513" s="38"/>
      <c r="F513" s="47">
        <f>+C500</f>
        <v>248004</v>
      </c>
      <c r="G513" s="52"/>
    </row>
    <row r="514" spans="1:7" ht="17.25" x14ac:dyDescent="0.35">
      <c r="A514" s="42" t="s">
        <v>27</v>
      </c>
      <c r="B514" s="38"/>
      <c r="C514" s="38"/>
      <c r="D514" s="38"/>
      <c r="E514" s="38"/>
      <c r="F514" s="38"/>
      <c r="G514" s="55">
        <f>ROUND(+F512/F513,2)</f>
        <v>1.99</v>
      </c>
    </row>
    <row r="515" spans="1:7" ht="15" x14ac:dyDescent="0.2">
      <c r="A515" s="42"/>
      <c r="B515" s="38"/>
      <c r="C515" s="38"/>
      <c r="D515" s="38"/>
      <c r="E515" s="38"/>
      <c r="F515" s="38"/>
      <c r="G515" s="52"/>
    </row>
    <row r="516" spans="1:7" ht="15" x14ac:dyDescent="0.2">
      <c r="A516" s="42"/>
      <c r="B516" s="38"/>
      <c r="C516" s="38"/>
      <c r="D516" s="38"/>
      <c r="E516" s="38"/>
      <c r="F516" s="38"/>
      <c r="G516" s="52"/>
    </row>
    <row r="517" spans="1:7" ht="16.5" thickBot="1" x14ac:dyDescent="0.3">
      <c r="A517" s="35" t="s">
        <v>28</v>
      </c>
      <c r="B517" s="36"/>
      <c r="C517" s="38"/>
      <c r="D517" s="38"/>
      <c r="E517" s="38"/>
      <c r="F517" s="38"/>
      <c r="G517" s="58">
        <f>SUM(G508:G514)</f>
        <v>2.0699999999999998</v>
      </c>
    </row>
    <row r="518" spans="1:7" ht="14.25" thickTop="1" thickBot="1" x14ac:dyDescent="0.25">
      <c r="A518" s="19"/>
      <c r="B518" s="20"/>
      <c r="C518" s="20"/>
      <c r="D518" s="20"/>
      <c r="E518" s="20"/>
      <c r="F518" s="20"/>
      <c r="G518" s="21"/>
    </row>
    <row r="519" spans="1:7" ht="15" x14ac:dyDescent="0.2">
      <c r="A519" s="316" t="s">
        <v>29</v>
      </c>
      <c r="B519" s="317"/>
      <c r="C519" s="317"/>
      <c r="D519" s="317"/>
      <c r="E519" s="317"/>
      <c r="F519" s="317"/>
      <c r="G519" s="318"/>
    </row>
    <row r="520" spans="1:7" ht="15" x14ac:dyDescent="0.2">
      <c r="A520" s="49"/>
      <c r="B520" s="50"/>
      <c r="C520" s="50"/>
      <c r="D520" s="50"/>
      <c r="E520" s="50"/>
      <c r="F520" s="50"/>
      <c r="G520" s="64"/>
    </row>
    <row r="521" spans="1:7" ht="15.75" x14ac:dyDescent="0.25">
      <c r="A521" s="49"/>
      <c r="B521" s="50"/>
      <c r="C521" s="43"/>
      <c r="D521" s="43"/>
      <c r="E521" s="43" t="s">
        <v>13</v>
      </c>
      <c r="F521" s="43" t="s">
        <v>3</v>
      </c>
      <c r="G521" s="64"/>
    </row>
    <row r="522" spans="1:7" ht="15.75" x14ac:dyDescent="0.25">
      <c r="A522" s="49"/>
      <c r="B522" s="50"/>
      <c r="C522" s="65" t="s">
        <v>20</v>
      </c>
      <c r="D522" s="65"/>
      <c r="E522" s="65" t="s">
        <v>22</v>
      </c>
      <c r="F522" s="65" t="s">
        <v>6</v>
      </c>
      <c r="G522" s="64"/>
    </row>
    <row r="523" spans="1:7" ht="15.75" x14ac:dyDescent="0.25">
      <c r="A523" s="45" t="s">
        <v>60</v>
      </c>
      <c r="B523" s="36"/>
      <c r="C523" s="66"/>
      <c r="D523" s="66"/>
      <c r="E523" s="66"/>
      <c r="F523" s="66"/>
      <c r="G523" s="64"/>
    </row>
    <row r="524" spans="1:7" ht="15.75" x14ac:dyDescent="0.25">
      <c r="A524" s="42" t="s">
        <v>57</v>
      </c>
      <c r="B524" s="50"/>
      <c r="C524" s="67">
        <v>3534</v>
      </c>
      <c r="D524" s="67"/>
      <c r="E524" s="68">
        <f>+E579</f>
        <v>0.19</v>
      </c>
      <c r="F524" s="67">
        <f>E524*C524</f>
        <v>671.46</v>
      </c>
      <c r="G524" s="64"/>
    </row>
    <row r="525" spans="1:7" ht="17.25" x14ac:dyDescent="0.35">
      <c r="A525" s="49" t="s">
        <v>58</v>
      </c>
      <c r="B525" s="50"/>
      <c r="C525" s="51">
        <v>17099</v>
      </c>
      <c r="D525" s="51"/>
      <c r="E525" s="68">
        <f>+G594</f>
        <v>0.23</v>
      </c>
      <c r="F525" s="51">
        <f>E525*C525</f>
        <v>3932.77</v>
      </c>
      <c r="G525" s="64"/>
    </row>
    <row r="526" spans="1:7" ht="15" x14ac:dyDescent="0.2">
      <c r="A526" s="42" t="s">
        <v>3</v>
      </c>
      <c r="B526" s="50"/>
      <c r="C526" s="67">
        <f>SUM(C524:C525)</f>
        <v>20633</v>
      </c>
      <c r="D526" s="67"/>
      <c r="E526" s="50"/>
      <c r="F526" s="67">
        <f>SUM(F524:F525)</f>
        <v>4604.2299999999996</v>
      </c>
      <c r="G526" s="64"/>
    </row>
    <row r="527" spans="1:7" ht="15" x14ac:dyDescent="0.2">
      <c r="A527" s="42"/>
      <c r="B527" s="50"/>
      <c r="C527" s="50"/>
      <c r="D527" s="50"/>
      <c r="E527" s="50"/>
      <c r="F527" s="50"/>
      <c r="G527" s="64"/>
    </row>
    <row r="528" spans="1:7" ht="15.75" x14ac:dyDescent="0.25">
      <c r="A528" s="35" t="s">
        <v>23</v>
      </c>
      <c r="B528" s="50"/>
      <c r="C528" s="50"/>
      <c r="D528" s="50"/>
      <c r="E528" s="50"/>
      <c r="F528" s="69">
        <v>5419</v>
      </c>
      <c r="G528" s="64"/>
    </row>
    <row r="529" spans="1:7" ht="15" x14ac:dyDescent="0.2">
      <c r="A529" s="42"/>
      <c r="B529" s="50"/>
      <c r="C529" s="50"/>
      <c r="D529" s="50"/>
      <c r="E529" s="50"/>
      <c r="F529" s="50"/>
      <c r="G529" s="64"/>
    </row>
    <row r="530" spans="1:7" ht="15" x14ac:dyDescent="0.2">
      <c r="A530" s="42" t="s">
        <v>24</v>
      </c>
      <c r="B530" s="50"/>
      <c r="C530" s="50"/>
      <c r="D530" s="50"/>
      <c r="E530" s="50"/>
      <c r="F530" s="67">
        <v>814</v>
      </c>
      <c r="G530" s="64"/>
    </row>
    <row r="531" spans="1:7" ht="15" x14ac:dyDescent="0.2">
      <c r="A531" s="42"/>
      <c r="B531" s="50"/>
      <c r="C531" s="50"/>
      <c r="D531" s="50"/>
      <c r="E531" s="50"/>
      <c r="F531" s="50"/>
      <c r="G531" s="64"/>
    </row>
    <row r="532" spans="1:7" ht="15" x14ac:dyDescent="0.2">
      <c r="A532" s="42" t="s">
        <v>25</v>
      </c>
      <c r="B532" s="50"/>
      <c r="C532" s="50"/>
      <c r="D532" s="50"/>
      <c r="E532" s="50"/>
      <c r="F532" s="67">
        <f>+C526</f>
        <v>20633</v>
      </c>
      <c r="G532" s="64"/>
    </row>
    <row r="533" spans="1:7" ht="15" x14ac:dyDescent="0.2">
      <c r="A533" s="42"/>
      <c r="B533" s="50"/>
      <c r="C533" s="50"/>
      <c r="D533" s="50"/>
      <c r="E533" s="50"/>
      <c r="F533" s="50"/>
      <c r="G533" s="64"/>
    </row>
    <row r="534" spans="1:7" ht="15" x14ac:dyDescent="0.2">
      <c r="A534" s="42" t="s">
        <v>26</v>
      </c>
      <c r="B534" s="50"/>
      <c r="C534" s="50"/>
      <c r="D534" s="50"/>
      <c r="E534" s="50"/>
      <c r="F534" s="50"/>
      <c r="G534" s="70">
        <f>ROUND(F530/F532,2)</f>
        <v>0.04</v>
      </c>
    </row>
    <row r="535" spans="1:7" ht="15" x14ac:dyDescent="0.2">
      <c r="A535" s="42"/>
      <c r="B535" s="50"/>
      <c r="C535" s="50"/>
      <c r="D535" s="50"/>
      <c r="E535" s="50"/>
      <c r="F535" s="50"/>
      <c r="G535" s="70"/>
    </row>
    <row r="536" spans="1:7" ht="15" x14ac:dyDescent="0.2">
      <c r="A536" s="42"/>
      <c r="B536" s="50"/>
      <c r="C536" s="50"/>
      <c r="D536" s="50"/>
      <c r="E536" s="50"/>
      <c r="F536" s="67"/>
      <c r="G536" s="64"/>
    </row>
    <row r="537" spans="1:7" ht="15.75" x14ac:dyDescent="0.25">
      <c r="A537" s="42"/>
      <c r="B537" s="36"/>
      <c r="C537" s="50"/>
      <c r="D537" s="50"/>
      <c r="E537" s="50"/>
      <c r="F537" s="67"/>
      <c r="G537" s="64"/>
    </row>
    <row r="538" spans="1:7" ht="15.75" x14ac:dyDescent="0.25">
      <c r="A538" s="45" t="s">
        <v>77</v>
      </c>
      <c r="B538" s="50"/>
      <c r="C538" s="50"/>
      <c r="D538" s="50"/>
      <c r="E538" s="50"/>
      <c r="F538" s="54">
        <f>+F528</f>
        <v>5419</v>
      </c>
      <c r="G538" s="64"/>
    </row>
    <row r="539" spans="1:7" ht="15" x14ac:dyDescent="0.2">
      <c r="A539" s="42" t="s">
        <v>25</v>
      </c>
      <c r="B539" s="50"/>
      <c r="C539" s="50"/>
      <c r="D539" s="50"/>
      <c r="E539" s="50"/>
      <c r="F539" s="67">
        <f>+C526</f>
        <v>20633</v>
      </c>
      <c r="G539" s="64"/>
    </row>
    <row r="540" spans="1:7" ht="17.25" x14ac:dyDescent="0.35">
      <c r="A540" s="42" t="s">
        <v>27</v>
      </c>
      <c r="B540" s="50"/>
      <c r="C540" s="50"/>
      <c r="D540" s="50"/>
      <c r="E540" s="50"/>
      <c r="F540" s="50"/>
      <c r="G540" s="57">
        <f>ROUND(+F538/F539,2)</f>
        <v>0.26</v>
      </c>
    </row>
    <row r="541" spans="1:7" ht="17.25" x14ac:dyDescent="0.35">
      <c r="A541" s="42"/>
      <c r="B541" s="50"/>
      <c r="C541" s="50"/>
      <c r="D541" s="50"/>
      <c r="E541" s="50"/>
      <c r="F541" s="50"/>
      <c r="G541" s="57"/>
    </row>
    <row r="542" spans="1:7" ht="16.5" thickBot="1" x14ac:dyDescent="0.3">
      <c r="A542" s="35" t="s">
        <v>30</v>
      </c>
      <c r="B542" s="36"/>
      <c r="C542" s="50"/>
      <c r="D542" s="50"/>
      <c r="E542" s="50"/>
      <c r="F542" s="50"/>
      <c r="G542" s="71">
        <f>+G540+G534+G535</f>
        <v>0.3</v>
      </c>
    </row>
    <row r="543" spans="1:7" ht="16.5" thickTop="1" thickBot="1" x14ac:dyDescent="0.25">
      <c r="A543" s="72"/>
      <c r="B543" s="73"/>
      <c r="C543" s="73"/>
      <c r="D543" s="73"/>
      <c r="E543" s="73"/>
      <c r="F543" s="73"/>
      <c r="G543" s="74"/>
    </row>
    <row r="544" spans="1:7" ht="23.25" x14ac:dyDescent="0.35">
      <c r="A544" s="31" t="s">
        <v>56</v>
      </c>
      <c r="B544" s="32"/>
      <c r="C544" s="33"/>
      <c r="D544" s="33"/>
      <c r="E544" s="33"/>
      <c r="F544" s="33"/>
      <c r="G544" s="34"/>
    </row>
    <row r="545" spans="1:7" ht="15.75" x14ac:dyDescent="0.25">
      <c r="A545" s="35" t="s">
        <v>54</v>
      </c>
      <c r="B545" s="36"/>
      <c r="C545" s="37"/>
      <c r="D545" s="37"/>
      <c r="E545" s="38"/>
      <c r="F545" s="38"/>
      <c r="G545" s="39"/>
    </row>
    <row r="546" spans="1:7" ht="15.75" x14ac:dyDescent="0.25">
      <c r="A546" s="40"/>
      <c r="B546" s="41"/>
      <c r="C546" s="38"/>
      <c r="D546" s="38"/>
      <c r="E546" s="38"/>
      <c r="F546" s="38"/>
      <c r="G546" s="39"/>
    </row>
    <row r="547" spans="1:7" ht="15" x14ac:dyDescent="0.2">
      <c r="A547" s="316" t="s">
        <v>21</v>
      </c>
      <c r="B547" s="317"/>
      <c r="C547" s="317"/>
      <c r="D547" s="317"/>
      <c r="E547" s="317"/>
      <c r="F547" s="317"/>
      <c r="G547" s="318"/>
    </row>
    <row r="548" spans="1:7" ht="15" x14ac:dyDescent="0.2">
      <c r="A548" s="42"/>
      <c r="B548" s="38"/>
      <c r="C548" s="38"/>
      <c r="D548" s="38"/>
      <c r="E548" s="38"/>
      <c r="F548" s="38"/>
      <c r="G548" s="39"/>
    </row>
    <row r="549" spans="1:7" ht="15.75" x14ac:dyDescent="0.25">
      <c r="A549" s="42"/>
      <c r="B549" s="38"/>
      <c r="C549" s="43"/>
      <c r="D549" s="43"/>
      <c r="E549" s="43" t="s">
        <v>13</v>
      </c>
      <c r="F549" s="43" t="s">
        <v>3</v>
      </c>
      <c r="G549" s="39"/>
    </row>
    <row r="550" spans="1:7" ht="15.75" x14ac:dyDescent="0.25">
      <c r="A550" s="42"/>
      <c r="B550" s="38"/>
      <c r="C550" s="44" t="s">
        <v>5</v>
      </c>
      <c r="D550" s="44"/>
      <c r="E550" s="44" t="s">
        <v>22</v>
      </c>
      <c r="F550" s="44" t="s">
        <v>6</v>
      </c>
      <c r="G550" s="39"/>
    </row>
    <row r="551" spans="1:7" ht="15.75" x14ac:dyDescent="0.25">
      <c r="A551" s="45" t="s">
        <v>59</v>
      </c>
      <c r="B551" s="36"/>
      <c r="C551" s="46"/>
      <c r="D551" s="46"/>
      <c r="E551" s="46"/>
      <c r="F551" s="46"/>
      <c r="G551" s="39"/>
    </row>
    <row r="552" spans="1:7" ht="15.75" x14ac:dyDescent="0.25">
      <c r="A552" s="42" t="s">
        <v>57</v>
      </c>
      <c r="B552" s="38"/>
      <c r="C552" s="47">
        <v>90954</v>
      </c>
      <c r="D552" s="47"/>
      <c r="E552" s="48">
        <f>+E607</f>
        <v>0.91</v>
      </c>
      <c r="F552" s="47">
        <f>C552*E552</f>
        <v>82768.14</v>
      </c>
      <c r="G552" s="39"/>
    </row>
    <row r="553" spans="1:7" ht="17.25" x14ac:dyDescent="0.35">
      <c r="A553" s="49" t="s">
        <v>58</v>
      </c>
      <c r="B553" s="50"/>
      <c r="C553" s="51">
        <v>454770</v>
      </c>
      <c r="D553" s="51"/>
      <c r="E553" s="48">
        <f>+G622</f>
        <v>1.6641107756753206</v>
      </c>
      <c r="F553" s="51">
        <f>C553*E553</f>
        <v>756787.65745386551</v>
      </c>
      <c r="G553" s="39"/>
    </row>
    <row r="554" spans="1:7" ht="15" x14ac:dyDescent="0.2">
      <c r="A554" s="42" t="s">
        <v>3</v>
      </c>
      <c r="B554" s="38"/>
      <c r="C554" s="47">
        <f>SUM(C552:C553)</f>
        <v>545724</v>
      </c>
      <c r="D554" s="47"/>
      <c r="E554" s="38"/>
      <c r="F554" s="47">
        <f>SUM(F552:F553)</f>
        <v>839555.79745386553</v>
      </c>
      <c r="G554" s="39"/>
    </row>
    <row r="555" spans="1:7" ht="15" x14ac:dyDescent="0.2">
      <c r="A555" s="42"/>
      <c r="B555" s="38"/>
      <c r="C555" s="38"/>
      <c r="D555" s="38"/>
      <c r="E555" s="38"/>
      <c r="F555" s="38"/>
      <c r="G555" s="39"/>
    </row>
    <row r="556" spans="1:7" ht="15.75" x14ac:dyDescent="0.25">
      <c r="A556" s="35" t="s">
        <v>23</v>
      </c>
      <c r="B556" s="38"/>
      <c r="C556" s="38"/>
      <c r="D556" s="38"/>
      <c r="E556" s="38"/>
      <c r="F556" s="47">
        <v>1070318.8014882323</v>
      </c>
      <c r="G556" s="39"/>
    </row>
    <row r="557" spans="1:7" ht="15" x14ac:dyDescent="0.2">
      <c r="A557" s="42"/>
      <c r="B557" s="38"/>
      <c r="C557" s="38"/>
      <c r="D557" s="38"/>
      <c r="E557" s="38"/>
      <c r="F557" s="38"/>
      <c r="G557" s="39"/>
    </row>
    <row r="558" spans="1:7" ht="15" x14ac:dyDescent="0.2">
      <c r="A558" s="42" t="s">
        <v>24</v>
      </c>
      <c r="B558" s="38"/>
      <c r="C558" s="38"/>
      <c r="D558" s="38"/>
      <c r="E558" s="38"/>
      <c r="F558" s="47">
        <f>F556-F554</f>
        <v>230763.00403436681</v>
      </c>
      <c r="G558" s="39"/>
    </row>
    <row r="559" spans="1:7" ht="15" x14ac:dyDescent="0.2">
      <c r="A559" s="42"/>
      <c r="B559" s="38"/>
      <c r="C559" s="38"/>
      <c r="D559" s="38"/>
      <c r="E559" s="38"/>
      <c r="F559" s="38"/>
      <c r="G559" s="39"/>
    </row>
    <row r="560" spans="1:7" ht="15" x14ac:dyDescent="0.2">
      <c r="A560" s="42" t="s">
        <v>25</v>
      </c>
      <c r="B560" s="38"/>
      <c r="C560" s="38"/>
      <c r="D560" s="38"/>
      <c r="E560" s="38"/>
      <c r="F560" s="47">
        <f>+C554</f>
        <v>545724</v>
      </c>
      <c r="G560" s="39"/>
    </row>
    <row r="561" spans="1:7" ht="15" x14ac:dyDescent="0.2">
      <c r="A561" s="42"/>
      <c r="B561" s="38"/>
      <c r="C561" s="38"/>
      <c r="D561" s="38"/>
      <c r="E561" s="38"/>
      <c r="F561" s="38"/>
      <c r="G561" s="39"/>
    </row>
    <row r="562" spans="1:7" ht="15" x14ac:dyDescent="0.2">
      <c r="A562" s="42" t="s">
        <v>26</v>
      </c>
      <c r="B562" s="38"/>
      <c r="C562" s="38"/>
      <c r="D562" s="38"/>
      <c r="E562" s="38"/>
      <c r="F562" s="61"/>
      <c r="G562" s="52">
        <f>ROUND(F558/F560,2)</f>
        <v>0.42</v>
      </c>
    </row>
    <row r="563" spans="1:7" ht="15" x14ac:dyDescent="0.2">
      <c r="A563" s="42"/>
      <c r="B563" s="38"/>
      <c r="C563" s="38"/>
      <c r="D563" s="38"/>
      <c r="E563" s="38"/>
      <c r="F563" s="38"/>
      <c r="G563" s="52"/>
    </row>
    <row r="564" spans="1:7" ht="15" x14ac:dyDescent="0.2">
      <c r="A564" s="42"/>
      <c r="B564" s="38"/>
      <c r="C564" s="38"/>
      <c r="D564" s="38"/>
      <c r="E564" s="38"/>
      <c r="F564" s="38"/>
      <c r="G564" s="52"/>
    </row>
    <row r="565" spans="1:7" ht="15" x14ac:dyDescent="0.2">
      <c r="A565" s="42"/>
      <c r="B565" s="38"/>
      <c r="C565" s="38"/>
      <c r="D565" s="38"/>
      <c r="E565" s="38"/>
      <c r="F565" s="38"/>
      <c r="G565" s="52"/>
    </row>
    <row r="566" spans="1:7" ht="15.75" x14ac:dyDescent="0.25">
      <c r="A566" s="45" t="s">
        <v>60</v>
      </c>
      <c r="B566" s="36"/>
      <c r="C566" s="38"/>
      <c r="D566" s="38"/>
      <c r="E566" s="38"/>
      <c r="F566" s="53">
        <f>+F556</f>
        <v>1070318.8014882323</v>
      </c>
      <c r="G566" s="52"/>
    </row>
    <row r="567" spans="1:7" ht="15" x14ac:dyDescent="0.2">
      <c r="A567" s="42" t="s">
        <v>25</v>
      </c>
      <c r="B567" s="38"/>
      <c r="C567" s="38"/>
      <c r="D567" s="38"/>
      <c r="E567" s="38"/>
      <c r="F567" s="47">
        <f>+C554</f>
        <v>545724</v>
      </c>
      <c r="G567" s="52"/>
    </row>
    <row r="568" spans="1:7" ht="17.25" x14ac:dyDescent="0.35">
      <c r="A568" s="42" t="s">
        <v>27</v>
      </c>
      <c r="B568" s="38"/>
      <c r="C568" s="38"/>
      <c r="D568" s="38"/>
      <c r="E568" s="38"/>
      <c r="F568" s="38"/>
      <c r="G568" s="55">
        <f>ROUND(+F566/F567,2)</f>
        <v>1.96</v>
      </c>
    </row>
    <row r="569" spans="1:7" ht="15" x14ac:dyDescent="0.2">
      <c r="A569" s="42"/>
      <c r="B569" s="38"/>
      <c r="C569" s="38"/>
      <c r="D569" s="38"/>
      <c r="E569" s="38"/>
      <c r="F569" s="38"/>
      <c r="G569" s="52"/>
    </row>
    <row r="570" spans="1:7" ht="15" x14ac:dyDescent="0.2">
      <c r="A570" s="42"/>
      <c r="B570" s="38"/>
      <c r="C570" s="38"/>
      <c r="D570" s="38"/>
      <c r="E570" s="38"/>
      <c r="F570" s="38"/>
      <c r="G570" s="52"/>
    </row>
    <row r="571" spans="1:7" ht="16.5" thickBot="1" x14ac:dyDescent="0.3">
      <c r="A571" s="35" t="s">
        <v>28</v>
      </c>
      <c r="B571" s="36"/>
      <c r="C571" s="38"/>
      <c r="D571" s="38"/>
      <c r="E571" s="38"/>
      <c r="F571" s="38"/>
      <c r="G571" s="58">
        <f>SUM(G562:G568)</f>
        <v>2.38</v>
      </c>
    </row>
    <row r="572" spans="1:7" ht="14.25" thickTop="1" thickBot="1" x14ac:dyDescent="0.25">
      <c r="A572" s="19"/>
      <c r="B572" s="20"/>
      <c r="C572" s="20"/>
      <c r="D572" s="20"/>
      <c r="E572" s="20"/>
      <c r="F572" s="20"/>
      <c r="G572" s="21"/>
    </row>
    <row r="573" spans="1:7" ht="15" x14ac:dyDescent="0.2">
      <c r="A573" s="316" t="s">
        <v>29</v>
      </c>
      <c r="B573" s="317"/>
      <c r="C573" s="317"/>
      <c r="D573" s="317"/>
      <c r="E573" s="317"/>
      <c r="F573" s="317"/>
      <c r="G573" s="318"/>
    </row>
    <row r="574" spans="1:7" ht="15" x14ac:dyDescent="0.2">
      <c r="A574" s="49"/>
      <c r="B574" s="50"/>
      <c r="C574" s="50"/>
      <c r="D574" s="50"/>
      <c r="E574" s="50"/>
      <c r="F574" s="50"/>
      <c r="G574" s="64"/>
    </row>
    <row r="575" spans="1:7" ht="15.75" x14ac:dyDescent="0.25">
      <c r="A575" s="49"/>
      <c r="B575" s="50"/>
      <c r="C575" s="43"/>
      <c r="D575" s="43"/>
      <c r="E575" s="43" t="s">
        <v>13</v>
      </c>
      <c r="F575" s="43" t="s">
        <v>3</v>
      </c>
      <c r="G575" s="64"/>
    </row>
    <row r="576" spans="1:7" ht="15.75" x14ac:dyDescent="0.25">
      <c r="A576" s="49"/>
      <c r="B576" s="50"/>
      <c r="C576" s="65" t="s">
        <v>20</v>
      </c>
      <c r="D576" s="65"/>
      <c r="E576" s="65" t="s">
        <v>22</v>
      </c>
      <c r="F576" s="65" t="s">
        <v>6</v>
      </c>
      <c r="G576" s="64"/>
    </row>
    <row r="577" spans="1:7" ht="15.75" x14ac:dyDescent="0.25">
      <c r="A577" s="45" t="s">
        <v>59</v>
      </c>
      <c r="B577" s="36"/>
      <c r="C577" s="66"/>
      <c r="D577" s="66"/>
      <c r="E577" s="66"/>
      <c r="F577" s="66"/>
      <c r="G577" s="64"/>
    </row>
    <row r="578" spans="1:7" ht="15.75" x14ac:dyDescent="0.25">
      <c r="A578" s="42" t="s">
        <v>57</v>
      </c>
      <c r="B578" s="50"/>
      <c r="C578" s="67">
        <v>15544.573148514854</v>
      </c>
      <c r="D578" s="67"/>
      <c r="E578" s="68">
        <f>+E633</f>
        <v>0.23</v>
      </c>
      <c r="F578" s="67">
        <f>E578*C578</f>
        <v>3575.2518241584166</v>
      </c>
      <c r="G578" s="64"/>
    </row>
    <row r="579" spans="1:7" ht="17.25" x14ac:dyDescent="0.35">
      <c r="A579" s="49" t="s">
        <v>58</v>
      </c>
      <c r="B579" s="50"/>
      <c r="C579" s="51">
        <v>77722.865742574271</v>
      </c>
      <c r="D579" s="51"/>
      <c r="E579" s="68">
        <f>+G648</f>
        <v>0.19</v>
      </c>
      <c r="F579" s="51">
        <f>E579*C579</f>
        <v>14767.344491089112</v>
      </c>
      <c r="G579" s="64"/>
    </row>
    <row r="580" spans="1:7" ht="15" x14ac:dyDescent="0.2">
      <c r="A580" s="42" t="s">
        <v>3</v>
      </c>
      <c r="B580" s="50"/>
      <c r="C580" s="67">
        <f>SUM(C578:C579)</f>
        <v>93267.438891089128</v>
      </c>
      <c r="D580" s="67"/>
      <c r="E580" s="50"/>
      <c r="F580" s="67">
        <f>SUM(F578:F579)</f>
        <v>18342.596315247531</v>
      </c>
      <c r="G580" s="64"/>
    </row>
    <row r="581" spans="1:7" ht="15" x14ac:dyDescent="0.2">
      <c r="A581" s="42"/>
      <c r="B581" s="50"/>
      <c r="C581" s="50"/>
      <c r="D581" s="50"/>
      <c r="E581" s="50"/>
      <c r="F581" s="50"/>
      <c r="G581" s="64"/>
    </row>
    <row r="582" spans="1:7" ht="15.75" x14ac:dyDescent="0.25">
      <c r="A582" s="35" t="s">
        <v>23</v>
      </c>
      <c r="B582" s="50"/>
      <c r="C582" s="50"/>
      <c r="D582" s="50"/>
      <c r="E582" s="50"/>
      <c r="F582" s="69">
        <v>21605.51866847141</v>
      </c>
      <c r="G582" s="64"/>
    </row>
    <row r="583" spans="1:7" ht="15" x14ac:dyDescent="0.2">
      <c r="A583" s="42"/>
      <c r="B583" s="50"/>
      <c r="C583" s="50"/>
      <c r="D583" s="50"/>
      <c r="E583" s="50"/>
      <c r="F583" s="50"/>
      <c r="G583" s="64"/>
    </row>
    <row r="584" spans="1:7" ht="15" x14ac:dyDescent="0.2">
      <c r="A584" s="42" t="s">
        <v>24</v>
      </c>
      <c r="B584" s="50"/>
      <c r="C584" s="50"/>
      <c r="D584" s="50"/>
      <c r="E584" s="50"/>
      <c r="F584" s="67">
        <f>F582-F580</f>
        <v>3262.9223532238793</v>
      </c>
      <c r="G584" s="64"/>
    </row>
    <row r="585" spans="1:7" ht="15" x14ac:dyDescent="0.2">
      <c r="A585" s="42"/>
      <c r="B585" s="50"/>
      <c r="C585" s="50"/>
      <c r="D585" s="50"/>
      <c r="E585" s="50"/>
      <c r="F585" s="50"/>
      <c r="G585" s="64"/>
    </row>
    <row r="586" spans="1:7" ht="15" x14ac:dyDescent="0.2">
      <c r="A586" s="42" t="s">
        <v>25</v>
      </c>
      <c r="B586" s="50"/>
      <c r="C586" s="50"/>
      <c r="D586" s="50"/>
      <c r="E586" s="50"/>
      <c r="F586" s="67">
        <f>+C580</f>
        <v>93267.438891089128</v>
      </c>
      <c r="G586" s="64"/>
    </row>
    <row r="587" spans="1:7" ht="15" x14ac:dyDescent="0.2">
      <c r="A587" s="42"/>
      <c r="B587" s="50"/>
      <c r="C587" s="50"/>
      <c r="D587" s="50"/>
      <c r="E587" s="50"/>
      <c r="F587" s="50"/>
      <c r="G587" s="64"/>
    </row>
    <row r="588" spans="1:7" ht="15" x14ac:dyDescent="0.2">
      <c r="A588" s="42" t="s">
        <v>26</v>
      </c>
      <c r="B588" s="50"/>
      <c r="C588" s="50"/>
      <c r="D588" s="50"/>
      <c r="E588" s="50"/>
      <c r="F588" s="50"/>
      <c r="G588" s="70">
        <f>ROUND(F584/F586,2)</f>
        <v>0.03</v>
      </c>
    </row>
    <row r="589" spans="1:7" ht="15" x14ac:dyDescent="0.2">
      <c r="A589" s="42"/>
      <c r="B589" s="50"/>
      <c r="C589" s="50"/>
      <c r="D589" s="50"/>
      <c r="E589" s="50"/>
      <c r="F589" s="50"/>
      <c r="G589" s="70"/>
    </row>
    <row r="590" spans="1:7" ht="15" x14ac:dyDescent="0.2">
      <c r="A590" s="42"/>
      <c r="B590" s="50"/>
      <c r="C590" s="50"/>
      <c r="D590" s="50"/>
      <c r="E590" s="50"/>
      <c r="F590" s="67"/>
      <c r="G590" s="64"/>
    </row>
    <row r="591" spans="1:7" ht="15.75" x14ac:dyDescent="0.25">
      <c r="A591" s="42"/>
      <c r="B591" s="36"/>
      <c r="C591" s="50"/>
      <c r="D591" s="50"/>
      <c r="E591" s="50"/>
      <c r="F591" s="67"/>
      <c r="G591" s="64"/>
    </row>
    <row r="592" spans="1:7" ht="15.75" x14ac:dyDescent="0.25">
      <c r="A592" s="45" t="s">
        <v>60</v>
      </c>
      <c r="B592" s="50"/>
      <c r="C592" s="50"/>
      <c r="D592" s="50"/>
      <c r="E592" s="50"/>
      <c r="F592" s="54">
        <f>+F582</f>
        <v>21605.51866847141</v>
      </c>
      <c r="G592" s="64"/>
    </row>
    <row r="593" spans="1:8" ht="15" x14ac:dyDescent="0.2">
      <c r="A593" s="42" t="s">
        <v>25</v>
      </c>
      <c r="B593" s="50"/>
      <c r="C593" s="50"/>
      <c r="D593" s="50"/>
      <c r="E593" s="50"/>
      <c r="F593" s="67">
        <f>+C580</f>
        <v>93267.438891089128</v>
      </c>
      <c r="G593" s="64"/>
      <c r="H593" s="119"/>
    </row>
    <row r="594" spans="1:8" ht="17.25" x14ac:dyDescent="0.35">
      <c r="A594" s="42" t="s">
        <v>27</v>
      </c>
      <c r="B594" s="50"/>
      <c r="C594" s="50"/>
      <c r="D594" s="50"/>
      <c r="E594" s="50"/>
      <c r="F594" s="50"/>
      <c r="G594" s="57">
        <f>ROUND(+F592/F593,2)</f>
        <v>0.23</v>
      </c>
    </row>
    <row r="595" spans="1:8" ht="17.25" x14ac:dyDescent="0.35">
      <c r="A595" s="42"/>
      <c r="B595" s="50"/>
      <c r="C595" s="50"/>
      <c r="D595" s="50"/>
      <c r="E595" s="50"/>
      <c r="F595" s="50"/>
      <c r="G595" s="57"/>
    </row>
    <row r="596" spans="1:8" ht="16.5" thickBot="1" x14ac:dyDescent="0.3">
      <c r="A596" s="35" t="s">
        <v>30</v>
      </c>
      <c r="B596" s="36"/>
      <c r="C596" s="50"/>
      <c r="D596" s="50"/>
      <c r="E596" s="50"/>
      <c r="F596" s="50"/>
      <c r="G596" s="71">
        <f>+G594+G588+G589</f>
        <v>0.26</v>
      </c>
    </row>
    <row r="597" spans="1:8" ht="16.5" thickTop="1" thickBot="1" x14ac:dyDescent="0.25">
      <c r="A597" s="72"/>
      <c r="B597" s="73"/>
      <c r="C597" s="73"/>
      <c r="D597" s="73"/>
      <c r="E597" s="73"/>
      <c r="F597" s="73"/>
      <c r="G597" s="74"/>
    </row>
    <row r="598" spans="1:8" ht="23.25" x14ac:dyDescent="0.35">
      <c r="A598" s="31" t="s">
        <v>56</v>
      </c>
      <c r="B598" s="32"/>
      <c r="C598" s="33"/>
      <c r="D598" s="33"/>
      <c r="E598" s="33"/>
      <c r="F598" s="33"/>
      <c r="G598" s="34"/>
    </row>
    <row r="599" spans="1:8" ht="15.75" x14ac:dyDescent="0.25">
      <c r="A599" s="35" t="s">
        <v>55</v>
      </c>
      <c r="B599" s="36"/>
      <c r="C599" s="37"/>
      <c r="D599" s="37"/>
      <c r="E599" s="38"/>
      <c r="F599" s="38"/>
      <c r="G599" s="39"/>
    </row>
    <row r="600" spans="1:8" ht="15.75" x14ac:dyDescent="0.25">
      <c r="A600" s="40"/>
      <c r="B600" s="41"/>
      <c r="C600" s="38"/>
      <c r="D600" s="38"/>
      <c r="E600" s="38"/>
      <c r="F600" s="38"/>
      <c r="G600" s="39"/>
    </row>
    <row r="601" spans="1:8" ht="15" x14ac:dyDescent="0.2">
      <c r="A601" s="316" t="s">
        <v>21</v>
      </c>
      <c r="B601" s="317"/>
      <c r="C601" s="317"/>
      <c r="D601" s="317"/>
      <c r="E601" s="317"/>
      <c r="F601" s="317"/>
      <c r="G601" s="318"/>
    </row>
    <row r="602" spans="1:8" ht="15" x14ac:dyDescent="0.2">
      <c r="A602" s="42"/>
      <c r="B602" s="38"/>
      <c r="C602" s="38"/>
      <c r="D602" s="38"/>
      <c r="E602" s="38"/>
      <c r="F602" s="38"/>
      <c r="G602" s="39"/>
    </row>
    <row r="603" spans="1:8" ht="15.75" x14ac:dyDescent="0.25">
      <c r="A603" s="42"/>
      <c r="B603" s="38"/>
      <c r="C603" s="43"/>
      <c r="D603" s="43"/>
      <c r="E603" s="43" t="s">
        <v>13</v>
      </c>
      <c r="F603" s="43" t="s">
        <v>3</v>
      </c>
      <c r="G603" s="39"/>
    </row>
    <row r="604" spans="1:8" ht="15.75" x14ac:dyDescent="0.25">
      <c r="A604" s="42"/>
      <c r="B604" s="38"/>
      <c r="C604" s="44" t="s">
        <v>5</v>
      </c>
      <c r="D604" s="44"/>
      <c r="E604" s="44" t="s">
        <v>22</v>
      </c>
      <c r="F604" s="44" t="s">
        <v>6</v>
      </c>
      <c r="G604" s="39"/>
    </row>
    <row r="605" spans="1:8" ht="15.75" x14ac:dyDescent="0.25">
      <c r="A605" s="45" t="s">
        <v>59</v>
      </c>
      <c r="B605" s="36"/>
      <c r="C605" s="46"/>
      <c r="D605" s="46"/>
      <c r="E605" s="46"/>
      <c r="F605" s="46"/>
      <c r="G605" s="39"/>
    </row>
    <row r="606" spans="1:8" ht="15.75" x14ac:dyDescent="0.25">
      <c r="A606" s="42" t="s">
        <v>57</v>
      </c>
      <c r="B606" s="38"/>
      <c r="C606" s="47">
        <v>87362</v>
      </c>
      <c r="D606" s="47"/>
      <c r="E606" s="48">
        <v>0.73</v>
      </c>
      <c r="F606" s="47">
        <f>C606*E606</f>
        <v>63774.26</v>
      </c>
      <c r="G606" s="39"/>
    </row>
    <row r="607" spans="1:8" ht="17.25" x14ac:dyDescent="0.35">
      <c r="A607" s="49" t="s">
        <v>58</v>
      </c>
      <c r="B607" s="50"/>
      <c r="C607" s="51">
        <v>443080</v>
      </c>
      <c r="D607" s="51"/>
      <c r="E607" s="48">
        <v>0.91</v>
      </c>
      <c r="F607" s="51">
        <f>C607*E607</f>
        <v>403202.8</v>
      </c>
      <c r="G607" s="39"/>
    </row>
    <row r="608" spans="1:8" ht="15" x14ac:dyDescent="0.2">
      <c r="A608" s="42" t="s">
        <v>3</v>
      </c>
      <c r="B608" s="38"/>
      <c r="C608" s="47">
        <f>SUM(C606:C607)</f>
        <v>530442</v>
      </c>
      <c r="D608" s="47"/>
      <c r="E608" s="38"/>
      <c r="F608" s="47">
        <f>SUM(F606:F607)</f>
        <v>466977.06</v>
      </c>
      <c r="G608" s="39"/>
    </row>
    <row r="609" spans="1:7" ht="15" x14ac:dyDescent="0.2">
      <c r="A609" s="42"/>
      <c r="B609" s="38"/>
      <c r="C609" s="38"/>
      <c r="D609" s="38"/>
      <c r="E609" s="38"/>
      <c r="F609" s="38"/>
      <c r="G609" s="39"/>
    </row>
    <row r="610" spans="1:7" ht="15.75" x14ac:dyDescent="0.25">
      <c r="A610" s="35" t="s">
        <v>23</v>
      </c>
      <c r="B610" s="38"/>
      <c r="C610" s="38"/>
      <c r="D610" s="38"/>
      <c r="E610" s="38"/>
      <c r="F610" s="47">
        <v>894186.62775827409</v>
      </c>
      <c r="G610" s="39"/>
    </row>
    <row r="611" spans="1:7" ht="15" x14ac:dyDescent="0.2">
      <c r="A611" s="42"/>
      <c r="B611" s="38"/>
      <c r="C611" s="38"/>
      <c r="D611" s="38"/>
      <c r="E611" s="38"/>
      <c r="F611" s="38"/>
      <c r="G611" s="39"/>
    </row>
    <row r="612" spans="1:7" ht="15" x14ac:dyDescent="0.2">
      <c r="A612" s="42" t="s">
        <v>24</v>
      </c>
      <c r="B612" s="38"/>
      <c r="C612" s="38"/>
      <c r="D612" s="38"/>
      <c r="E612" s="38"/>
      <c r="F612" s="60">
        <f>F610-F608</f>
        <v>427209.56775827409</v>
      </c>
      <c r="G612" s="39"/>
    </row>
    <row r="613" spans="1:7" ht="15" x14ac:dyDescent="0.2">
      <c r="A613" s="42"/>
      <c r="B613" s="38"/>
      <c r="C613" s="38"/>
      <c r="D613" s="38"/>
      <c r="E613" s="38"/>
      <c r="F613" s="38"/>
      <c r="G613" s="39"/>
    </row>
    <row r="614" spans="1:7" ht="15" x14ac:dyDescent="0.2">
      <c r="A614" s="49" t="s">
        <v>25</v>
      </c>
      <c r="B614" s="38"/>
      <c r="C614" s="38"/>
      <c r="D614" s="38"/>
      <c r="E614" s="38"/>
      <c r="F614" s="47">
        <f>+C608</f>
        <v>530442</v>
      </c>
      <c r="G614" s="39"/>
    </row>
    <row r="615" spans="1:7" ht="15" x14ac:dyDescent="0.2">
      <c r="A615" s="42"/>
      <c r="B615" s="38"/>
      <c r="C615" s="38"/>
      <c r="D615" s="38"/>
      <c r="E615" s="38"/>
      <c r="F615" s="38"/>
      <c r="G615" s="39"/>
    </row>
    <row r="616" spans="1:7" ht="15" x14ac:dyDescent="0.2">
      <c r="A616" s="42" t="s">
        <v>26</v>
      </c>
      <c r="B616" s="38"/>
      <c r="C616" s="38"/>
      <c r="D616" s="38"/>
      <c r="E616" s="38"/>
      <c r="F616" s="38"/>
      <c r="G616" s="52">
        <f>ROUND(F612/F614,2)</f>
        <v>0.81</v>
      </c>
    </row>
    <row r="617" spans="1:7" ht="15" x14ac:dyDescent="0.2">
      <c r="A617" s="42"/>
      <c r="B617" s="38"/>
      <c r="C617" s="38"/>
      <c r="D617" s="38"/>
      <c r="E617" s="38"/>
      <c r="F617" s="38"/>
      <c r="G617" s="52"/>
    </row>
    <row r="618" spans="1:7" ht="15" x14ac:dyDescent="0.2">
      <c r="A618" s="42"/>
      <c r="B618" s="38"/>
      <c r="C618" s="38"/>
      <c r="D618" s="38"/>
      <c r="E618" s="38"/>
      <c r="F618" s="38"/>
      <c r="G618" s="52"/>
    </row>
    <row r="619" spans="1:7" ht="15" x14ac:dyDescent="0.2">
      <c r="A619" s="42"/>
      <c r="B619" s="38"/>
      <c r="C619" s="38"/>
      <c r="D619" s="38"/>
      <c r="E619" s="38"/>
      <c r="F619" s="38"/>
      <c r="G619" s="52"/>
    </row>
    <row r="620" spans="1:7" ht="15.75" x14ac:dyDescent="0.25">
      <c r="A620" s="45" t="s">
        <v>59</v>
      </c>
      <c r="B620" s="36"/>
      <c r="C620" s="38"/>
      <c r="D620" s="38"/>
      <c r="E620" s="38"/>
      <c r="F620" s="54">
        <f>+F610</f>
        <v>894186.62775827409</v>
      </c>
      <c r="G620" s="52"/>
    </row>
    <row r="621" spans="1:7" ht="15" x14ac:dyDescent="0.2">
      <c r="A621" s="42" t="s">
        <v>25</v>
      </c>
      <c r="B621" s="38"/>
      <c r="C621" s="38"/>
      <c r="D621" s="38"/>
      <c r="E621" s="38"/>
      <c r="F621" s="47">
        <v>537336</v>
      </c>
      <c r="G621" s="52"/>
    </row>
    <row r="622" spans="1:7" ht="17.25" x14ac:dyDescent="0.35">
      <c r="A622" s="42" t="s">
        <v>27</v>
      </c>
      <c r="B622" s="38"/>
      <c r="C622" s="38"/>
      <c r="D622" s="38"/>
      <c r="E622" s="38"/>
      <c r="F622" s="38"/>
      <c r="G622" s="56">
        <f>+F620/F621</f>
        <v>1.6641107756753206</v>
      </c>
    </row>
    <row r="623" spans="1:7" ht="17.25" x14ac:dyDescent="0.35">
      <c r="A623" s="42"/>
      <c r="B623" s="38"/>
      <c r="C623" s="38"/>
      <c r="D623" s="38"/>
      <c r="E623" s="38"/>
      <c r="F623" s="38"/>
      <c r="G623" s="57"/>
    </row>
    <row r="624" spans="1:7" ht="15" x14ac:dyDescent="0.2">
      <c r="A624" s="42"/>
      <c r="B624" s="38"/>
      <c r="C624" s="38"/>
      <c r="D624" s="38"/>
      <c r="E624" s="38"/>
      <c r="F624" s="38"/>
      <c r="G624" s="52"/>
    </row>
    <row r="625" spans="1:7" ht="16.5" thickBot="1" x14ac:dyDescent="0.3">
      <c r="A625" s="35" t="s">
        <v>28</v>
      </c>
      <c r="B625" s="36"/>
      <c r="C625" s="38"/>
      <c r="D625" s="38"/>
      <c r="E625" s="38"/>
      <c r="F625" s="38"/>
      <c r="G625" s="59">
        <f>+G622+G616+G617</f>
        <v>2.4741107756753209</v>
      </c>
    </row>
    <row r="626" spans="1:7" ht="14.25" thickTop="1" thickBot="1" x14ac:dyDescent="0.25">
      <c r="A626" s="19"/>
      <c r="B626" s="20"/>
      <c r="C626" s="20"/>
      <c r="D626" s="20"/>
      <c r="E626" s="20"/>
      <c r="F626" s="20"/>
      <c r="G626" s="21"/>
    </row>
    <row r="627" spans="1:7" ht="15" x14ac:dyDescent="0.2">
      <c r="A627" s="316" t="s">
        <v>29</v>
      </c>
      <c r="B627" s="317"/>
      <c r="C627" s="317"/>
      <c r="D627" s="317"/>
      <c r="E627" s="317"/>
      <c r="F627" s="317"/>
      <c r="G627" s="318"/>
    </row>
    <row r="628" spans="1:7" ht="15" x14ac:dyDescent="0.2">
      <c r="A628" s="49"/>
      <c r="B628" s="50"/>
      <c r="C628" s="50"/>
      <c r="D628" s="50"/>
      <c r="E628" s="50"/>
      <c r="F628" s="50"/>
      <c r="G628" s="64"/>
    </row>
    <row r="629" spans="1:7" ht="15.75" x14ac:dyDescent="0.25">
      <c r="A629" s="49"/>
      <c r="B629" s="50"/>
      <c r="C629" s="43"/>
      <c r="D629" s="43"/>
      <c r="E629" s="43" t="s">
        <v>13</v>
      </c>
      <c r="F629" s="43" t="s">
        <v>3</v>
      </c>
      <c r="G629" s="64"/>
    </row>
    <row r="630" spans="1:7" ht="15.75" x14ac:dyDescent="0.25">
      <c r="A630" s="49"/>
      <c r="B630" s="50"/>
      <c r="C630" s="65" t="s">
        <v>5</v>
      </c>
      <c r="D630" s="65"/>
      <c r="E630" s="65" t="s">
        <v>22</v>
      </c>
      <c r="F630" s="65" t="s">
        <v>6</v>
      </c>
      <c r="G630" s="64"/>
    </row>
    <row r="631" spans="1:7" ht="15.75" x14ac:dyDescent="0.25">
      <c r="A631" s="45" t="s">
        <v>59</v>
      </c>
      <c r="B631" s="36"/>
      <c r="C631" s="66"/>
      <c r="D631" s="66"/>
      <c r="E631" s="66"/>
      <c r="F631" s="66"/>
      <c r="G631" s="64"/>
    </row>
    <row r="632" spans="1:7" ht="15.75" x14ac:dyDescent="0.25">
      <c r="A632" s="42" t="s">
        <v>57</v>
      </c>
      <c r="B632" s="50"/>
      <c r="C632" s="67">
        <v>13606</v>
      </c>
      <c r="D632" s="67"/>
      <c r="E632" s="68">
        <v>0.21</v>
      </c>
      <c r="F632" s="67">
        <f>C632*E632</f>
        <v>2857.2599999999998</v>
      </c>
      <c r="G632" s="64"/>
    </row>
    <row r="633" spans="1:7" ht="17.25" x14ac:dyDescent="0.35">
      <c r="A633" s="49" t="s">
        <v>58</v>
      </c>
      <c r="B633" s="50"/>
      <c r="C633" s="51">
        <v>72828</v>
      </c>
      <c r="D633" s="51"/>
      <c r="E633" s="68">
        <v>0.23</v>
      </c>
      <c r="F633" s="51">
        <f>C633*E633</f>
        <v>16750.440000000002</v>
      </c>
      <c r="G633" s="64"/>
    </row>
    <row r="634" spans="1:7" ht="15" x14ac:dyDescent="0.2">
      <c r="A634" s="42" t="s">
        <v>3</v>
      </c>
      <c r="B634" s="50"/>
      <c r="C634" s="67">
        <f>+C633+C632</f>
        <v>86434</v>
      </c>
      <c r="D634" s="67"/>
      <c r="E634" s="50"/>
      <c r="F634" s="67">
        <f>+F633+F632</f>
        <v>19607.7</v>
      </c>
      <c r="G634" s="64"/>
    </row>
    <row r="635" spans="1:7" ht="15" x14ac:dyDescent="0.2">
      <c r="A635" s="42"/>
      <c r="B635" s="50"/>
      <c r="C635" s="50"/>
      <c r="D635" s="50"/>
      <c r="E635" s="50"/>
      <c r="F635" s="50"/>
      <c r="G635" s="64"/>
    </row>
    <row r="636" spans="1:7" ht="15.75" x14ac:dyDescent="0.25">
      <c r="A636" s="35" t="s">
        <v>23</v>
      </c>
      <c r="B636" s="50"/>
      <c r="C636" s="50"/>
      <c r="D636" s="50"/>
      <c r="E636" s="50"/>
      <c r="F636" s="69">
        <v>17896.735447015508</v>
      </c>
      <c r="G636" s="64"/>
    </row>
    <row r="637" spans="1:7" ht="15" x14ac:dyDescent="0.2">
      <c r="A637" s="42"/>
      <c r="B637" s="50"/>
      <c r="C637" s="50"/>
      <c r="D637" s="50"/>
      <c r="E637" s="50"/>
      <c r="F637" s="50"/>
      <c r="G637" s="64"/>
    </row>
    <row r="638" spans="1:7" ht="15" x14ac:dyDescent="0.2">
      <c r="A638" s="42" t="s">
        <v>24</v>
      </c>
      <c r="B638" s="50"/>
      <c r="C638" s="50"/>
      <c r="D638" s="50"/>
      <c r="E638" s="50"/>
      <c r="F638" s="67">
        <v>-1710.9364485785482</v>
      </c>
      <c r="G638" s="64"/>
    </row>
    <row r="639" spans="1:7" ht="15" x14ac:dyDescent="0.2">
      <c r="A639" s="42"/>
      <c r="B639" s="50"/>
      <c r="C639" s="50"/>
      <c r="D639" s="50"/>
      <c r="E639" s="50"/>
      <c r="F639" s="50"/>
      <c r="G639" s="64"/>
    </row>
    <row r="640" spans="1:7" ht="15" x14ac:dyDescent="0.2">
      <c r="A640" s="49" t="s">
        <v>25</v>
      </c>
      <c r="B640" s="50"/>
      <c r="C640" s="50"/>
      <c r="D640" s="50"/>
      <c r="E640" s="50"/>
      <c r="F640" s="67">
        <f>+C634</f>
        <v>86434</v>
      </c>
      <c r="G640" s="64"/>
    </row>
    <row r="641" spans="1:7" ht="15" x14ac:dyDescent="0.2">
      <c r="A641" s="42"/>
      <c r="B641" s="50"/>
      <c r="C641" s="50"/>
      <c r="D641" s="50"/>
      <c r="E641" s="50"/>
      <c r="F641" s="50"/>
      <c r="G641" s="64"/>
    </row>
    <row r="642" spans="1:7" ht="15" x14ac:dyDescent="0.2">
      <c r="A642" s="42" t="s">
        <v>26</v>
      </c>
      <c r="B642" s="50"/>
      <c r="C642" s="50"/>
      <c r="D642" s="50"/>
      <c r="E642" s="50"/>
      <c r="F642" s="50"/>
      <c r="G642" s="70">
        <f>ROUND(F638/F640,2)</f>
        <v>-0.02</v>
      </c>
    </row>
    <row r="643" spans="1:7" ht="15" x14ac:dyDescent="0.2">
      <c r="A643" s="42"/>
      <c r="B643" s="50"/>
      <c r="C643" s="50"/>
      <c r="D643" s="50"/>
      <c r="E643" s="50"/>
      <c r="F643" s="50"/>
      <c r="G643" s="70"/>
    </row>
    <row r="644" spans="1:7" ht="15" x14ac:dyDescent="0.2">
      <c r="A644" s="42"/>
      <c r="B644" s="50"/>
      <c r="C644" s="50"/>
      <c r="D644" s="50"/>
      <c r="E644" s="50"/>
      <c r="F644" s="67"/>
      <c r="G644" s="64"/>
    </row>
    <row r="645" spans="1:7" ht="15.75" x14ac:dyDescent="0.25">
      <c r="A645" s="42"/>
      <c r="B645" s="36"/>
      <c r="C645" s="50"/>
      <c r="D645" s="50"/>
      <c r="E645" s="50"/>
      <c r="F645" s="67"/>
      <c r="G645" s="64"/>
    </row>
    <row r="646" spans="1:7" ht="15.75" x14ac:dyDescent="0.25">
      <c r="A646" s="45" t="s">
        <v>59</v>
      </c>
      <c r="B646" s="50"/>
      <c r="C646" s="50"/>
      <c r="D646" s="50"/>
      <c r="E646" s="50"/>
      <c r="F646" s="54">
        <f>+F636</f>
        <v>17896.735447015508</v>
      </c>
      <c r="G646" s="64"/>
    </row>
    <row r="647" spans="1:7" ht="15" x14ac:dyDescent="0.2">
      <c r="A647" s="42" t="s">
        <v>25</v>
      </c>
      <c r="B647" s="50"/>
      <c r="C647" s="50"/>
      <c r="D647" s="50"/>
      <c r="E647" s="50"/>
      <c r="F647" s="67">
        <v>91907</v>
      </c>
      <c r="G647" s="64"/>
    </row>
    <row r="648" spans="1:7" ht="17.25" x14ac:dyDescent="0.35">
      <c r="A648" s="42" t="s">
        <v>27</v>
      </c>
      <c r="B648" s="50"/>
      <c r="C648" s="50"/>
      <c r="D648" s="50"/>
      <c r="E648" s="50"/>
      <c r="F648" s="50"/>
      <c r="G648" s="57">
        <f>ROUND(+F646/F647,2)</f>
        <v>0.19</v>
      </c>
    </row>
    <row r="649" spans="1:7" ht="17.25" x14ac:dyDescent="0.35">
      <c r="A649" s="42"/>
      <c r="B649" s="50"/>
      <c r="C649" s="50"/>
      <c r="D649" s="50"/>
      <c r="E649" s="50"/>
      <c r="F649" s="50"/>
      <c r="G649" s="57"/>
    </row>
    <row r="650" spans="1:7" ht="16.5" thickBot="1" x14ac:dyDescent="0.3">
      <c r="A650" s="35" t="s">
        <v>30</v>
      </c>
      <c r="B650" s="36"/>
      <c r="C650" s="50"/>
      <c r="D650" s="50"/>
      <c r="E650" s="50"/>
      <c r="F650" s="50"/>
      <c r="G650" s="71">
        <f>+G648+G642</f>
        <v>0.17</v>
      </c>
    </row>
    <row r="651" spans="1:7" ht="16.5" thickTop="1" thickBot="1" x14ac:dyDescent="0.25">
      <c r="A651" s="72"/>
      <c r="B651" s="73"/>
      <c r="C651" s="73"/>
      <c r="D651" s="73"/>
      <c r="E651" s="73"/>
      <c r="F651" s="73"/>
      <c r="G651" s="74"/>
    </row>
  </sheetData>
  <mergeCells count="22">
    <mergeCell ref="A4:G4"/>
    <mergeCell ref="A37:G37"/>
    <mergeCell ref="A349:G349"/>
    <mergeCell ref="A381:G381"/>
    <mergeCell ref="A265:G265"/>
    <mergeCell ref="A291:G291"/>
    <mergeCell ref="A170:G170"/>
    <mergeCell ref="A204:G204"/>
    <mergeCell ref="A233:G233"/>
    <mergeCell ref="A320:G320"/>
    <mergeCell ref="A70:G70"/>
    <mergeCell ref="A103:G103"/>
    <mergeCell ref="A137:G137"/>
    <mergeCell ref="A409:G409"/>
    <mergeCell ref="A627:G627"/>
    <mergeCell ref="A493:G493"/>
    <mergeCell ref="A519:G519"/>
    <mergeCell ref="A439:G439"/>
    <mergeCell ref="A465:G465"/>
    <mergeCell ref="A547:G547"/>
    <mergeCell ref="A601:G601"/>
    <mergeCell ref="A573:G573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7FE7-0910-4C69-87F9-735E1DEDDB4C}">
  <sheetPr>
    <tabColor rgb="FFFF0000"/>
  </sheetPr>
  <dimension ref="A1:J38"/>
  <sheetViews>
    <sheetView workbookViewId="0">
      <selection activeCell="G12" sqref="G12"/>
    </sheetView>
  </sheetViews>
  <sheetFormatPr defaultRowHeight="12.75" x14ac:dyDescent="0.2"/>
  <cols>
    <col min="1" max="1" width="18.28515625" bestFit="1" customWidth="1"/>
    <col min="3" max="3" width="10.28515625" style="155" bestFit="1" customWidth="1"/>
    <col min="4" max="4" width="9.7109375" style="155" customWidth="1"/>
    <col min="5" max="5" width="5.42578125" style="155" customWidth="1"/>
    <col min="6" max="6" width="11.28515625" bestFit="1" customWidth="1"/>
    <col min="7" max="7" width="11.42578125" bestFit="1" customWidth="1"/>
    <col min="9" max="9" width="3.5703125" customWidth="1"/>
  </cols>
  <sheetData>
    <row r="1" spans="1:10" s="1" customFormat="1" ht="23.25" x14ac:dyDescent="0.35">
      <c r="A1" s="22" t="s">
        <v>31</v>
      </c>
      <c r="C1" s="168"/>
      <c r="D1" s="168"/>
      <c r="E1" s="168"/>
    </row>
    <row r="2" spans="1:10" s="1" customFormat="1" x14ac:dyDescent="0.2">
      <c r="A2" s="1" t="s">
        <v>145</v>
      </c>
      <c r="C2" s="168"/>
      <c r="D2" s="168"/>
      <c r="E2" s="168"/>
    </row>
    <row r="3" spans="1:10" s="1" customFormat="1" x14ac:dyDescent="0.2">
      <c r="C3" s="168"/>
      <c r="D3" s="168"/>
      <c r="E3" s="168"/>
    </row>
    <row r="4" spans="1:10" s="1" customFormat="1" x14ac:dyDescent="0.2">
      <c r="C4" s="168"/>
      <c r="D4" s="169" t="s">
        <v>184</v>
      </c>
      <c r="E4" s="169"/>
      <c r="H4" s="4"/>
    </row>
    <row r="5" spans="1:10" s="1" customFormat="1" x14ac:dyDescent="0.2">
      <c r="C5" s="169" t="s">
        <v>3</v>
      </c>
      <c r="D5" s="169" t="s">
        <v>105</v>
      </c>
      <c r="E5" s="169"/>
      <c r="F5" s="4"/>
      <c r="G5" s="4" t="s">
        <v>141</v>
      </c>
      <c r="H5" s="4" t="s">
        <v>4</v>
      </c>
    </row>
    <row r="6" spans="1:10" s="3" customFormat="1" x14ac:dyDescent="0.2">
      <c r="C6" s="170" t="s">
        <v>105</v>
      </c>
      <c r="D6" s="276">
        <v>24</v>
      </c>
      <c r="E6" s="275" t="s">
        <v>185</v>
      </c>
      <c r="F6" s="101" t="s">
        <v>140</v>
      </c>
      <c r="G6" s="101" t="s">
        <v>142</v>
      </c>
      <c r="H6" s="101" t="s">
        <v>143</v>
      </c>
    </row>
    <row r="7" spans="1:10" s="3" customFormat="1" x14ac:dyDescent="0.2">
      <c r="C7" s="170"/>
      <c r="D7" s="170"/>
      <c r="E7" s="275"/>
      <c r="F7" s="101"/>
      <c r="G7" s="101"/>
      <c r="H7" s="101"/>
    </row>
    <row r="8" spans="1:10" s="3" customFormat="1" x14ac:dyDescent="0.2">
      <c r="A8" s="63" t="s">
        <v>5</v>
      </c>
      <c r="C8" s="171">
        <f>+'2020-2022 Budget'!D6</f>
        <v>25579</v>
      </c>
      <c r="D8" s="171">
        <f>+C8</f>
        <v>25579</v>
      </c>
      <c r="E8" s="171"/>
      <c r="F8" s="171">
        <f>+'Res''l &amp; MF Customers'!P43</f>
        <v>26635.25</v>
      </c>
      <c r="G8" s="155">
        <f>+F8-D8</f>
        <v>1056.25</v>
      </c>
      <c r="H8" s="113">
        <f>+G8/C8</f>
        <v>4.1293639313499352E-2</v>
      </c>
    </row>
    <row r="9" spans="1:10" s="3" customFormat="1" x14ac:dyDescent="0.2">
      <c r="C9" s="170"/>
      <c r="D9" s="170"/>
      <c r="E9" s="170"/>
      <c r="F9" s="101"/>
      <c r="G9" s="101"/>
      <c r="H9" s="113"/>
    </row>
    <row r="10" spans="1:10" x14ac:dyDescent="0.2">
      <c r="A10" t="s">
        <v>139</v>
      </c>
      <c r="C10" s="285">
        <f>+'2020-2022 Budget'!D9</f>
        <v>10415</v>
      </c>
      <c r="D10" s="285">
        <f>+C10/24*D6</f>
        <v>10415</v>
      </c>
      <c r="E10" s="285"/>
      <c r="F10" s="285">
        <f>+'Tons &amp; Revenue'!H21+'Tons &amp; Revenue'!H35</f>
        <v>10408.875490388566</v>
      </c>
      <c r="G10" s="285">
        <f>+F10-D10</f>
        <v>-6.1245096114344051</v>
      </c>
      <c r="H10" s="113">
        <f>+G10/C10</f>
        <v>-5.8804701021933803E-4</v>
      </c>
      <c r="J10" s="6"/>
    </row>
    <row r="11" spans="1:10" x14ac:dyDescent="0.2">
      <c r="F11" s="155"/>
      <c r="G11" s="155"/>
      <c r="H11" s="113"/>
    </row>
    <row r="12" spans="1:10" x14ac:dyDescent="0.2">
      <c r="A12" s="63" t="s">
        <v>146</v>
      </c>
      <c r="C12" s="9">
        <f>+'2020-2022 Budget'!D12</f>
        <v>645000</v>
      </c>
      <c r="D12" s="9">
        <f>+C12/24*D6</f>
        <v>645000</v>
      </c>
      <c r="E12" s="9"/>
      <c r="F12" s="9">
        <f>+'Tons &amp; Revenue'!M217+'Tons &amp; Revenue'!M247+'Tons &amp; Revenue'!M231+'Tons &amp; Revenue'!M261</f>
        <v>1340395.7734130914</v>
      </c>
      <c r="G12" s="9">
        <f>+F12-D12</f>
        <v>695395.77341309143</v>
      </c>
      <c r="H12" s="113">
        <f>+G12/C12</f>
        <v>1.0781329820358008</v>
      </c>
    </row>
    <row r="13" spans="1:10" x14ac:dyDescent="0.2">
      <c r="F13" s="155"/>
      <c r="G13" s="155"/>
      <c r="H13" s="113"/>
    </row>
    <row r="14" spans="1:10" x14ac:dyDescent="0.2">
      <c r="A14" s="63" t="s">
        <v>144</v>
      </c>
      <c r="C14" s="76">
        <f>+C12/C10</f>
        <v>61.929908785405665</v>
      </c>
      <c r="D14" s="76">
        <f>+D12/D10</f>
        <v>61.929908785405665</v>
      </c>
      <c r="E14" s="76"/>
      <c r="F14" s="76">
        <f t="shared" ref="F14" si="0">+F12/F10</f>
        <v>128.77431137021452</v>
      </c>
      <c r="G14" s="76">
        <f>+F14-C14</f>
        <v>66.844402584808847</v>
      </c>
      <c r="H14" s="113">
        <f>+G14/C14</f>
        <v>1.0793557409624561</v>
      </c>
    </row>
    <row r="15" spans="1:10" x14ac:dyDescent="0.2">
      <c r="F15" s="155"/>
      <c r="G15" s="155"/>
    </row>
    <row r="16" spans="1:10" x14ac:dyDescent="0.2">
      <c r="F16" s="155"/>
      <c r="G16" s="155"/>
    </row>
    <row r="17" spans="6:7" x14ac:dyDescent="0.2">
      <c r="F17" s="155"/>
      <c r="G17" s="155"/>
    </row>
    <row r="18" spans="6:7" x14ac:dyDescent="0.2">
      <c r="F18" s="155"/>
      <c r="G18" s="155"/>
    </row>
    <row r="19" spans="6:7" x14ac:dyDescent="0.2">
      <c r="F19" s="155"/>
      <c r="G19" s="155"/>
    </row>
    <row r="20" spans="6:7" x14ac:dyDescent="0.2">
      <c r="F20" s="155"/>
      <c r="G20" s="155"/>
    </row>
    <row r="21" spans="6:7" x14ac:dyDescent="0.2">
      <c r="F21" s="155"/>
      <c r="G21" s="155"/>
    </row>
    <row r="22" spans="6:7" x14ac:dyDescent="0.2">
      <c r="F22" s="155"/>
      <c r="G22" s="155"/>
    </row>
    <row r="23" spans="6:7" x14ac:dyDescent="0.2">
      <c r="F23" s="155"/>
      <c r="G23" s="155"/>
    </row>
    <row r="24" spans="6:7" x14ac:dyDescent="0.2">
      <c r="F24" s="155"/>
      <c r="G24" s="155"/>
    </row>
    <row r="25" spans="6:7" x14ac:dyDescent="0.2">
      <c r="F25" s="155"/>
      <c r="G25" s="155"/>
    </row>
    <row r="26" spans="6:7" x14ac:dyDescent="0.2">
      <c r="F26" s="155"/>
      <c r="G26" s="155"/>
    </row>
    <row r="27" spans="6:7" x14ac:dyDescent="0.2">
      <c r="F27" s="155"/>
      <c r="G27" s="155"/>
    </row>
    <row r="28" spans="6:7" x14ac:dyDescent="0.2">
      <c r="F28" s="155"/>
      <c r="G28" s="155"/>
    </row>
    <row r="29" spans="6:7" x14ac:dyDescent="0.2">
      <c r="F29" s="155"/>
      <c r="G29" s="155"/>
    </row>
    <row r="30" spans="6:7" x14ac:dyDescent="0.2">
      <c r="F30" s="155"/>
      <c r="G30" s="155"/>
    </row>
    <row r="31" spans="6:7" x14ac:dyDescent="0.2">
      <c r="F31" s="155"/>
      <c r="G31" s="155"/>
    </row>
    <row r="32" spans="6:7" x14ac:dyDescent="0.2">
      <c r="F32" s="155"/>
      <c r="G32" s="155"/>
    </row>
    <row r="33" spans="6:7" x14ac:dyDescent="0.2">
      <c r="F33" s="155"/>
      <c r="G33" s="155"/>
    </row>
    <row r="34" spans="6:7" x14ac:dyDescent="0.2">
      <c r="F34" s="155"/>
      <c r="G34" s="155"/>
    </row>
    <row r="35" spans="6:7" x14ac:dyDescent="0.2">
      <c r="F35" s="155"/>
      <c r="G35" s="155"/>
    </row>
    <row r="36" spans="6:7" x14ac:dyDescent="0.2">
      <c r="F36" s="155"/>
      <c r="G36" s="155"/>
    </row>
    <row r="37" spans="6:7" x14ac:dyDescent="0.2">
      <c r="F37" s="155"/>
      <c r="G37" s="155"/>
    </row>
    <row r="38" spans="6:7" x14ac:dyDescent="0.2">
      <c r="F38" s="155"/>
      <c r="G38" s="15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topLeftCell="A220" zoomScale="115" zoomScaleNormal="115" workbookViewId="0">
      <selection activeCell="M261" sqref="M261"/>
    </sheetView>
  </sheetViews>
  <sheetFormatPr defaultRowHeight="12.75" x14ac:dyDescent="0.2"/>
  <cols>
    <col min="1" max="1" width="26.140625" customWidth="1"/>
    <col min="2" max="2" width="8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7" width="10.85546875" bestFit="1" customWidth="1"/>
    <col min="8" max="8" width="10.42578125" bestFit="1" customWidth="1"/>
    <col min="9" max="9" width="11.28515625" bestFit="1" customWidth="1"/>
    <col min="10" max="11" width="10.28515625" bestFit="1" customWidth="1"/>
    <col min="12" max="12" width="9.42578125" bestFit="1" customWidth="1"/>
    <col min="13" max="13" width="12.42578125" bestFit="1" customWidth="1"/>
    <col min="14" max="15" width="12.28515625" bestFit="1" customWidth="1"/>
    <col min="16" max="16" width="10.28515625" bestFit="1" customWidth="1"/>
    <col min="19" max="19" width="10.28515625" bestFit="1" customWidth="1"/>
  </cols>
  <sheetData>
    <row r="1" spans="1:14" s="4" customFormat="1" ht="23.25" x14ac:dyDescent="0.35">
      <c r="A1" s="22" t="s">
        <v>31</v>
      </c>
      <c r="C1" s="27"/>
    </row>
    <row r="2" spans="1:14" s="4" customFormat="1" x14ac:dyDescent="0.2">
      <c r="A2" s="1" t="s">
        <v>63</v>
      </c>
      <c r="C2" s="27"/>
    </row>
    <row r="3" spans="1:14" s="4" customFormat="1" x14ac:dyDescent="0.2">
      <c r="C3" s="27"/>
    </row>
    <row r="4" spans="1:14" s="4" customFormat="1" x14ac:dyDescent="0.2">
      <c r="C4" s="27"/>
    </row>
    <row r="5" spans="1:14" s="4" customFormat="1" x14ac:dyDescent="0.2">
      <c r="C5" s="27" t="s">
        <v>62</v>
      </c>
    </row>
    <row r="6" spans="1:14" s="4" customFormat="1" x14ac:dyDescent="0.2">
      <c r="C6" s="27" t="s">
        <v>33</v>
      </c>
      <c r="G6" s="4" t="s">
        <v>14</v>
      </c>
      <c r="H6" s="4" t="s">
        <v>16</v>
      </c>
      <c r="J6" s="4" t="s">
        <v>130</v>
      </c>
    </row>
    <row r="7" spans="1:14" s="4" customFormat="1" x14ac:dyDescent="0.2">
      <c r="C7" s="27" t="s">
        <v>32</v>
      </c>
      <c r="D7" s="4" t="s">
        <v>14</v>
      </c>
      <c r="E7" s="4" t="s">
        <v>46</v>
      </c>
      <c r="F7" s="4" t="s">
        <v>4</v>
      </c>
      <c r="G7" s="4" t="s">
        <v>15</v>
      </c>
      <c r="H7" s="27" t="s">
        <v>33</v>
      </c>
      <c r="I7" s="4" t="s">
        <v>32</v>
      </c>
      <c r="J7" s="4" t="s">
        <v>131</v>
      </c>
    </row>
    <row r="8" spans="1:14" s="5" customFormat="1" x14ac:dyDescent="0.2">
      <c r="A8" s="5" t="s">
        <v>61</v>
      </c>
      <c r="C8" s="16" t="s">
        <v>12</v>
      </c>
      <c r="D8" s="4" t="s">
        <v>45</v>
      </c>
      <c r="E8" s="5" t="s">
        <v>33</v>
      </c>
      <c r="F8" s="5" t="s">
        <v>15</v>
      </c>
      <c r="G8" s="101" t="s">
        <v>12</v>
      </c>
      <c r="H8" s="5" t="s">
        <v>12</v>
      </c>
      <c r="I8" s="5" t="s">
        <v>5</v>
      </c>
      <c r="J8" s="5" t="s">
        <v>61</v>
      </c>
      <c r="K8" s="101"/>
      <c r="L8" s="4"/>
      <c r="M8" s="4"/>
      <c r="N8" s="4"/>
    </row>
    <row r="9" spans="1:14" x14ac:dyDescent="0.2">
      <c r="A9" t="s">
        <v>198</v>
      </c>
      <c r="C9" s="2">
        <f>+Composition!B39</f>
        <v>1145.6200000000001</v>
      </c>
      <c r="D9" s="6">
        <f>-Composition!B37</f>
        <v>-191.45</v>
      </c>
      <c r="E9" s="6">
        <f t="shared" ref="E9:E20" si="0">+D9+C9</f>
        <v>954.17000000000007</v>
      </c>
      <c r="F9" s="113">
        <f>+'Res''l &amp; MF Customers'!C18</f>
        <v>0.5480233926344813</v>
      </c>
      <c r="G9" s="6">
        <f t="shared" ref="G9:G20" si="1">-F9*E9</f>
        <v>-522.90748055004303</v>
      </c>
      <c r="H9" s="6">
        <f t="shared" ref="H9:H20" si="2">+G9+E9</f>
        <v>431.26251944995704</v>
      </c>
      <c r="I9" s="155">
        <f>+'Res''l &amp; MF Customers'!C12</f>
        <v>25736</v>
      </c>
      <c r="J9" s="6">
        <f>+H9*2000/I9</f>
        <v>33.51433940394444</v>
      </c>
      <c r="K9" s="4"/>
      <c r="L9" s="4"/>
      <c r="M9" s="4"/>
      <c r="N9" s="4"/>
    </row>
    <row r="10" spans="1:14" x14ac:dyDescent="0.2">
      <c r="A10" t="s">
        <v>164</v>
      </c>
      <c r="C10" s="2">
        <f>+Composition!D39</f>
        <v>1174.2200000000003</v>
      </c>
      <c r="D10" s="6">
        <f>-Composition!D37</f>
        <v>-188.35000000000002</v>
      </c>
      <c r="E10" s="6">
        <f t="shared" si="0"/>
        <v>985.87000000000023</v>
      </c>
      <c r="F10" s="146">
        <f>+'Res''l &amp; MF Customers'!D18</f>
        <v>0.54843449361553265</v>
      </c>
      <c r="G10" s="6">
        <f t="shared" si="1"/>
        <v>-540.68511422074528</v>
      </c>
      <c r="H10" s="6">
        <f t="shared" si="2"/>
        <v>445.18488577925496</v>
      </c>
      <c r="I10" s="155">
        <f>+'Res''l &amp; MF Customers'!D$12</f>
        <v>25816</v>
      </c>
      <c r="J10" s="6">
        <f t="shared" ref="J10:J20" si="3">+H10*2000/I10</f>
        <v>34.489067692845907</v>
      </c>
      <c r="K10" s="4"/>
      <c r="L10" s="4"/>
      <c r="M10" s="4"/>
      <c r="N10" s="4"/>
    </row>
    <row r="11" spans="1:14" x14ac:dyDescent="0.2">
      <c r="A11" t="s">
        <v>165</v>
      </c>
      <c r="C11" s="2">
        <f>+Composition!F$39</f>
        <v>1030.97</v>
      </c>
      <c r="D11" s="6">
        <f>-Composition!F37</f>
        <v>-179.9</v>
      </c>
      <c r="E11" s="6">
        <f t="shared" si="0"/>
        <v>851.07</v>
      </c>
      <c r="F11" s="146">
        <f>+'Res''l &amp; MF Customers'!E$18</f>
        <v>0.54816221962738987</v>
      </c>
      <c r="G11" s="6">
        <f t="shared" si="1"/>
        <v>-466.5244202582827</v>
      </c>
      <c r="H11" s="6">
        <f t="shared" si="2"/>
        <v>384.54557974171735</v>
      </c>
      <c r="I11" s="155">
        <f>+'Res''l &amp; MF Customers'!E$12</f>
        <v>25926</v>
      </c>
      <c r="J11" s="6">
        <f t="shared" si="3"/>
        <v>29.664859966189724</v>
      </c>
      <c r="K11" s="4"/>
      <c r="L11" s="4"/>
      <c r="M11" s="4"/>
      <c r="N11" s="4"/>
    </row>
    <row r="12" spans="1:14" x14ac:dyDescent="0.2">
      <c r="A12" t="s">
        <v>166</v>
      </c>
      <c r="C12" s="2">
        <f>+Composition!H$39</f>
        <v>1091.17</v>
      </c>
      <c r="D12" s="6">
        <f>-Composition!H37</f>
        <v>-168.24</v>
      </c>
      <c r="E12" s="6">
        <f t="shared" si="0"/>
        <v>922.93000000000006</v>
      </c>
      <c r="F12" s="146">
        <f>+'Res''l &amp; MF Customers'!F$18</f>
        <v>0.54695871415064601</v>
      </c>
      <c r="G12" s="6">
        <f t="shared" si="1"/>
        <v>-504.80460605105577</v>
      </c>
      <c r="H12" s="6">
        <f t="shared" si="2"/>
        <v>418.12539394894429</v>
      </c>
      <c r="I12" s="155">
        <f>+'Res''l &amp; MF Customers'!F$12</f>
        <v>25875</v>
      </c>
      <c r="J12" s="6">
        <f t="shared" si="3"/>
        <v>32.318871029870088</v>
      </c>
      <c r="K12" s="4"/>
      <c r="L12" s="4"/>
      <c r="M12" s="4"/>
      <c r="N12" s="4"/>
    </row>
    <row r="13" spans="1:14" x14ac:dyDescent="0.2">
      <c r="A13" t="s">
        <v>167</v>
      </c>
      <c r="C13" s="2">
        <f>+Composition!J39</f>
        <v>1089.3600000000001</v>
      </c>
      <c r="D13" s="6">
        <f>-Composition!J37</f>
        <v>-180.73</v>
      </c>
      <c r="E13" s="6">
        <f t="shared" si="0"/>
        <v>908.63000000000011</v>
      </c>
      <c r="F13" s="146">
        <f>+'Res''l &amp; MF Customers'!G$18</f>
        <v>0.54614170466502987</v>
      </c>
      <c r="G13" s="6">
        <f t="shared" si="1"/>
        <v>-496.24073710978615</v>
      </c>
      <c r="H13" s="6">
        <f t="shared" si="2"/>
        <v>412.38926289021396</v>
      </c>
      <c r="I13" s="155">
        <f>+'Res''l &amp; MF Customers'!G$12</f>
        <v>25879</v>
      </c>
      <c r="J13" s="6">
        <f t="shared" si="3"/>
        <v>31.870571729217819</v>
      </c>
      <c r="K13" s="4"/>
      <c r="L13" s="4"/>
      <c r="M13" s="4"/>
      <c r="N13" s="4"/>
    </row>
    <row r="14" spans="1:14" x14ac:dyDescent="0.2">
      <c r="A14" t="s">
        <v>168</v>
      </c>
      <c r="C14" s="2">
        <f>+Composition!L39</f>
        <v>1135.4000000000001</v>
      </c>
      <c r="D14" s="6">
        <f>-Composition!L37</f>
        <v>-166.1</v>
      </c>
      <c r="E14" s="6">
        <f t="shared" si="0"/>
        <v>969.30000000000007</v>
      </c>
      <c r="F14" s="146">
        <f>+'Res''l &amp; MF Customers'!H$18</f>
        <v>0.54684659488183474</v>
      </c>
      <c r="G14" s="6">
        <f t="shared" si="1"/>
        <v>-530.05840441896248</v>
      </c>
      <c r="H14" s="6">
        <f t="shared" si="2"/>
        <v>439.24159558103759</v>
      </c>
      <c r="I14" s="155">
        <f>+'Res''l &amp; MF Customers'!H$12</f>
        <v>25924</v>
      </c>
      <c r="J14" s="6">
        <f t="shared" si="3"/>
        <v>33.886868969374909</v>
      </c>
      <c r="K14" s="4"/>
      <c r="L14" s="4"/>
      <c r="M14" s="4"/>
      <c r="N14" s="4"/>
    </row>
    <row r="15" spans="1:14" x14ac:dyDescent="0.2">
      <c r="A15" t="s">
        <v>7</v>
      </c>
      <c r="C15" s="2">
        <f>+Composition!N39</f>
        <v>1245.3099999999997</v>
      </c>
      <c r="D15" s="6">
        <f>-Composition!N37</f>
        <v>-185.06</v>
      </c>
      <c r="E15" s="6">
        <f t="shared" si="0"/>
        <v>1060.2499999999998</v>
      </c>
      <c r="F15" s="146">
        <f>+'Res''l &amp; MF Customers'!I$18</f>
        <v>0.54728998708686705</v>
      </c>
      <c r="G15" s="6">
        <f t="shared" si="1"/>
        <v>-580.26420880885064</v>
      </c>
      <c r="H15" s="6">
        <f t="shared" si="2"/>
        <v>479.98579119114913</v>
      </c>
      <c r="I15" s="155">
        <f>+'Res''l &amp; MF Customers'!I$12</f>
        <v>25943</v>
      </c>
      <c r="J15" s="6">
        <f t="shared" si="3"/>
        <v>37.00310613199315</v>
      </c>
      <c r="K15" s="4"/>
      <c r="L15" s="4"/>
      <c r="M15" s="4"/>
      <c r="N15" s="4"/>
    </row>
    <row r="16" spans="1:14" x14ac:dyDescent="0.2">
      <c r="A16" t="s">
        <v>199</v>
      </c>
      <c r="C16" s="2">
        <f>+Composition!P39</f>
        <v>1239.31</v>
      </c>
      <c r="D16" s="6">
        <f>-Composition!P37</f>
        <v>-209.09</v>
      </c>
      <c r="E16" s="6">
        <f t="shared" si="0"/>
        <v>1030.22</v>
      </c>
      <c r="F16" s="146">
        <f>+'Res''l &amp; MF Customers'!J$18</f>
        <v>0.54679914388626916</v>
      </c>
      <c r="G16" s="6">
        <f t="shared" si="1"/>
        <v>-563.3234140145122</v>
      </c>
      <c r="H16" s="6">
        <f t="shared" si="2"/>
        <v>466.89658598548783</v>
      </c>
      <c r="I16" s="155">
        <f>+'Res''l &amp; MF Customers'!J$12</f>
        <v>26045</v>
      </c>
      <c r="J16" s="6">
        <f t="shared" si="3"/>
        <v>35.853068610903271</v>
      </c>
      <c r="K16" s="4"/>
      <c r="L16" s="4"/>
      <c r="M16" s="4"/>
      <c r="N16" s="4"/>
    </row>
    <row r="17" spans="1:14" x14ac:dyDescent="0.2">
      <c r="A17" t="s">
        <v>10</v>
      </c>
      <c r="C17" s="2">
        <f>+Composition!R39</f>
        <v>977.97000000000014</v>
      </c>
      <c r="D17" s="6">
        <f>-Composition!R37</f>
        <v>-150.99</v>
      </c>
      <c r="E17" s="6">
        <f t="shared" si="0"/>
        <v>826.98000000000013</v>
      </c>
      <c r="F17" s="146">
        <f>+'Res''l &amp; MF Customers'!K$18</f>
        <v>0.5475880278631855</v>
      </c>
      <c r="G17" s="6">
        <f t="shared" si="1"/>
        <v>-452.84434728229724</v>
      </c>
      <c r="H17" s="6">
        <f t="shared" si="2"/>
        <v>374.1356527177029</v>
      </c>
      <c r="I17" s="155">
        <f>+'Res''l &amp; MF Customers'!K$12</f>
        <v>26044</v>
      </c>
      <c r="J17" s="6">
        <f t="shared" si="3"/>
        <v>28.731043827192668</v>
      </c>
      <c r="K17" s="4"/>
      <c r="L17" s="4"/>
      <c r="M17" s="4"/>
      <c r="N17" s="4"/>
    </row>
    <row r="18" spans="1:14" x14ac:dyDescent="0.2">
      <c r="A18" t="s">
        <v>8</v>
      </c>
      <c r="C18" s="2">
        <f>+Composition!T39</f>
        <v>1124.67</v>
      </c>
      <c r="D18" s="6">
        <f>-Composition!T37</f>
        <v>-157.12</v>
      </c>
      <c r="E18" s="6">
        <f t="shared" si="0"/>
        <v>967.55000000000007</v>
      </c>
      <c r="F18" s="146">
        <f>+'Res''l &amp; MF Customers'!L$18</f>
        <v>0.54802670263913389</v>
      </c>
      <c r="G18" s="6">
        <f t="shared" si="1"/>
        <v>-530.24323613849401</v>
      </c>
      <c r="H18" s="6">
        <f t="shared" si="2"/>
        <v>437.30676386150606</v>
      </c>
      <c r="I18" s="155">
        <f>+'Res''l &amp; MF Customers'!L$12</f>
        <v>26134</v>
      </c>
      <c r="J18" s="6">
        <f t="shared" si="3"/>
        <v>33.466500639894853</v>
      </c>
      <c r="K18" s="4"/>
      <c r="L18" s="4"/>
      <c r="M18" s="4"/>
      <c r="N18" s="4"/>
    </row>
    <row r="19" spans="1:14" x14ac:dyDescent="0.2">
      <c r="A19" t="s">
        <v>9</v>
      </c>
      <c r="C19" s="2">
        <f>+Composition!V39</f>
        <v>1109.22</v>
      </c>
      <c r="D19" s="6">
        <f>-Composition!V37</f>
        <v>-171.94</v>
      </c>
      <c r="E19" s="6">
        <f t="shared" si="0"/>
        <v>937.28</v>
      </c>
      <c r="F19" s="146">
        <f>+'Res''l &amp; MF Customers'!M$18</f>
        <v>0.5471792139948104</v>
      </c>
      <c r="G19" s="6">
        <f t="shared" si="1"/>
        <v>-512.8601336930559</v>
      </c>
      <c r="H19" s="6">
        <f t="shared" si="2"/>
        <v>424.41986630694407</v>
      </c>
      <c r="I19" s="155">
        <f>+'Res''l &amp; MF Customers'!M$12</f>
        <v>26351</v>
      </c>
      <c r="J19" s="6">
        <f t="shared" si="3"/>
        <v>32.212809100750945</v>
      </c>
      <c r="K19" s="4"/>
      <c r="L19" s="4"/>
      <c r="M19" s="4"/>
      <c r="N19" s="4"/>
    </row>
    <row r="20" spans="1:14" ht="15" x14ac:dyDescent="0.35">
      <c r="A20" t="s">
        <v>2</v>
      </c>
      <c r="C20" s="12">
        <f>+Composition!X39</f>
        <v>1012.6499999999999</v>
      </c>
      <c r="D20" s="7">
        <f>-Composition!X37</f>
        <v>-161.30000000000001</v>
      </c>
      <c r="E20" s="7">
        <f t="shared" si="0"/>
        <v>851.34999999999991</v>
      </c>
      <c r="F20" s="149">
        <f>+'Res''l &amp; MF Customers'!N$18</f>
        <v>0.5475212973416812</v>
      </c>
      <c r="G20" s="7">
        <f t="shared" si="1"/>
        <v>-466.13225649184022</v>
      </c>
      <c r="H20" s="7">
        <f t="shared" si="2"/>
        <v>385.21774350815969</v>
      </c>
      <c r="I20" s="156">
        <f>+'Res''l &amp; MF Customers'!N$12</f>
        <v>26451</v>
      </c>
      <c r="J20" s="7">
        <f t="shared" si="3"/>
        <v>29.126894522563209</v>
      </c>
      <c r="K20" s="4"/>
      <c r="L20" s="4"/>
      <c r="M20" s="4"/>
      <c r="N20" s="4"/>
    </row>
    <row r="21" spans="1:14" ht="15" x14ac:dyDescent="0.35">
      <c r="C21" s="15">
        <f>SUM(C9:C20)</f>
        <v>13375.869999999997</v>
      </c>
      <c r="D21" s="15">
        <f>SUM(D9:D20)</f>
        <v>-2110.27</v>
      </c>
      <c r="E21" s="15">
        <f>SUM(E9:E20)</f>
        <v>11265.600000000002</v>
      </c>
      <c r="F21" s="100">
        <f>-G21/E21</f>
        <v>0.54740878062756759</v>
      </c>
      <c r="G21" s="15">
        <f>SUM(G9:G20)</f>
        <v>-6166.8883590379264</v>
      </c>
      <c r="H21" s="15">
        <f>SUM(H9:H20)</f>
        <v>5098.7116409620739</v>
      </c>
      <c r="I21" s="157">
        <f>SUM(I9:I20)</f>
        <v>312124</v>
      </c>
      <c r="J21" s="8">
        <f>+H21*2000/I21</f>
        <v>32.671064326755221</v>
      </c>
      <c r="K21" s="4"/>
      <c r="L21" s="4"/>
      <c r="M21" s="4"/>
      <c r="N21" s="4"/>
    </row>
    <row r="22" spans="1:14" x14ac:dyDescent="0.2">
      <c r="I22" s="6"/>
    </row>
    <row r="23" spans="1:14" x14ac:dyDescent="0.2">
      <c r="A23" t="s">
        <v>200</v>
      </c>
      <c r="C23" s="2">
        <f>+Composition!B58</f>
        <v>1225.92</v>
      </c>
      <c r="D23" s="6">
        <f>-Composition!B56</f>
        <v>-182.76000000000002</v>
      </c>
      <c r="E23" s="6">
        <f t="shared" ref="E23:E34" si="4">+D23+C23</f>
        <v>1043.1600000000001</v>
      </c>
      <c r="F23" s="113">
        <f>+'Res''l &amp; MF Customers'!C49</f>
        <v>0.54721847404649249</v>
      </c>
      <c r="G23" s="6">
        <f t="shared" ref="G23:G34" si="5">-F23*E23</f>
        <v>-570.83642338633911</v>
      </c>
      <c r="H23" s="6">
        <f t="shared" ref="H23:H34" si="6">+G23+E23</f>
        <v>472.32357661366098</v>
      </c>
      <c r="I23" s="155">
        <f>+'Res''l &amp; MF Customers'!C43</f>
        <v>26509</v>
      </c>
      <c r="J23" s="6">
        <f>+H23*2000/I23</f>
        <v>35.634959946709493</v>
      </c>
    </row>
    <row r="24" spans="1:14" x14ac:dyDescent="0.2">
      <c r="A24" t="s">
        <v>164</v>
      </c>
      <c r="C24" s="2">
        <f>+Composition!D58</f>
        <v>1126.3</v>
      </c>
      <c r="D24" s="6">
        <f>-Composition!D56</f>
        <v>-157.78</v>
      </c>
      <c r="E24" s="6">
        <f t="shared" si="4"/>
        <v>968.52</v>
      </c>
      <c r="F24" s="146">
        <f>+'Res''l &amp; MF Customers'!D49</f>
        <v>0.54657569296375264</v>
      </c>
      <c r="G24" s="6">
        <f t="shared" si="5"/>
        <v>-529.36949014925369</v>
      </c>
      <c r="H24" s="6">
        <f t="shared" si="6"/>
        <v>439.15050985074629</v>
      </c>
      <c r="I24" s="155">
        <f>+'Res''l &amp; MF Customers'!D43</f>
        <v>26582</v>
      </c>
      <c r="J24" s="6">
        <f t="shared" ref="J24:J34" si="7">+H24*2000/I24</f>
        <v>33.04119402985075</v>
      </c>
    </row>
    <row r="25" spans="1:14" x14ac:dyDescent="0.2">
      <c r="A25" t="s">
        <v>165</v>
      </c>
      <c r="C25" s="2">
        <f>+Composition!F58</f>
        <v>1130.3300000000002</v>
      </c>
      <c r="D25" s="6">
        <f>-Composition!F56</f>
        <v>-162.77000000000001</v>
      </c>
      <c r="E25" s="6">
        <f t="shared" si="4"/>
        <v>967.56000000000017</v>
      </c>
      <c r="F25" s="146">
        <f>+'Res''l &amp; MF Customers'!E49</f>
        <v>0.54714254136131002</v>
      </c>
      <c r="G25" s="6">
        <f t="shared" si="5"/>
        <v>-529.39323731954926</v>
      </c>
      <c r="H25" s="6">
        <f t="shared" si="6"/>
        <v>438.16676268045092</v>
      </c>
      <c r="I25" s="155">
        <f>+'Res''l &amp; MF Customers'!E$43</f>
        <v>26633</v>
      </c>
      <c r="J25" s="6">
        <f t="shared" si="7"/>
        <v>32.904048562343775</v>
      </c>
    </row>
    <row r="26" spans="1:14" x14ac:dyDescent="0.2">
      <c r="A26" t="s">
        <v>166</v>
      </c>
      <c r="C26" s="2">
        <f>+Composition!H58</f>
        <v>1225.9200000000003</v>
      </c>
      <c r="D26" s="6">
        <f>-Composition!H56</f>
        <v>-171.97</v>
      </c>
      <c r="E26" s="6">
        <f t="shared" si="4"/>
        <v>1053.9500000000003</v>
      </c>
      <c r="F26" s="146">
        <f>+'Res''l &amp; MF Customers'!F49</f>
        <v>0.54720508506262855</v>
      </c>
      <c r="G26" s="6">
        <f t="shared" si="5"/>
        <v>-576.72679940175749</v>
      </c>
      <c r="H26" s="6">
        <f t="shared" si="6"/>
        <v>477.22320059824278</v>
      </c>
      <c r="I26" s="155">
        <f>+'Res''l &amp; MF Customers'!F$43</f>
        <v>26642</v>
      </c>
      <c r="J26" s="6">
        <f t="shared" si="7"/>
        <v>35.824878057071004</v>
      </c>
    </row>
    <row r="27" spans="1:14" x14ac:dyDescent="0.2">
      <c r="A27" t="s">
        <v>167</v>
      </c>
      <c r="C27" s="2">
        <f>+Composition!J58</f>
        <v>1070.29</v>
      </c>
      <c r="D27" s="6">
        <f>-Composition!J56</f>
        <v>-158.71</v>
      </c>
      <c r="E27" s="6">
        <f t="shared" si="4"/>
        <v>911.57999999999993</v>
      </c>
      <c r="F27" s="146">
        <f>+'Res''l &amp; MF Customers'!G$49</f>
        <v>0.54672395273899033</v>
      </c>
      <c r="G27" s="6">
        <f t="shared" si="5"/>
        <v>-498.38262083780876</v>
      </c>
      <c r="H27" s="6">
        <f t="shared" si="6"/>
        <v>413.19737916219117</v>
      </c>
      <c r="I27" s="155">
        <f>+'Res''l &amp; MF Customers'!G$43</f>
        <v>26586</v>
      </c>
      <c r="J27" s="6">
        <f t="shared" si="7"/>
        <v>31.083832029052221</v>
      </c>
    </row>
    <row r="28" spans="1:14" x14ac:dyDescent="0.2">
      <c r="A28" t="s">
        <v>168</v>
      </c>
      <c r="C28" s="2">
        <f>+Composition!L58</f>
        <v>1162.1300000000001</v>
      </c>
      <c r="D28" s="6">
        <f>-Composition!L56</f>
        <v>-159.77000000000001</v>
      </c>
      <c r="E28" s="6">
        <f t="shared" si="4"/>
        <v>1002.3600000000001</v>
      </c>
      <c r="F28" s="146">
        <f>+'Res''l &amp; MF Customers'!H$49</f>
        <v>0.54677424857562007</v>
      </c>
      <c r="G28" s="6">
        <f t="shared" si="5"/>
        <v>-548.06463580225864</v>
      </c>
      <c r="H28" s="6">
        <f t="shared" si="6"/>
        <v>454.29536419774149</v>
      </c>
      <c r="I28" s="155">
        <f>+'Res''l &amp; MF Customers'!H$43</f>
        <v>26569</v>
      </c>
      <c r="J28" s="6">
        <f t="shared" si="7"/>
        <v>34.197400293405209</v>
      </c>
    </row>
    <row r="29" spans="1:14" x14ac:dyDescent="0.2">
      <c r="A29" t="s">
        <v>7</v>
      </c>
      <c r="C29" s="2">
        <f>+Composition!N58</f>
        <v>1275.9499999999998</v>
      </c>
      <c r="D29" s="6">
        <f>-Composition!N56</f>
        <v>-190.88</v>
      </c>
      <c r="E29" s="6">
        <f t="shared" si="4"/>
        <v>1085.0699999999997</v>
      </c>
      <c r="F29" s="146">
        <f>+'Res''l &amp; MF Customers'!I$49</f>
        <v>0.5475865597816818</v>
      </c>
      <c r="G29" s="6">
        <f t="shared" si="5"/>
        <v>-594.16974842230934</v>
      </c>
      <c r="H29" s="6">
        <f t="shared" si="6"/>
        <v>490.90025157769037</v>
      </c>
      <c r="I29" s="155">
        <f>+'Res''l &amp; MF Customers'!I$43</f>
        <v>26525</v>
      </c>
      <c r="J29" s="6">
        <f t="shared" si="7"/>
        <v>37.014156575132169</v>
      </c>
    </row>
    <row r="30" spans="1:14" x14ac:dyDescent="0.2">
      <c r="A30" t="s">
        <v>201</v>
      </c>
      <c r="C30" s="2">
        <f>+Composition!P58</f>
        <v>1215.9299999999998</v>
      </c>
      <c r="D30" s="6">
        <f>-Composition!P56</f>
        <v>-197.79999999999998</v>
      </c>
      <c r="E30" s="6">
        <f t="shared" si="4"/>
        <v>1018.1299999999999</v>
      </c>
      <c r="F30" s="146">
        <f>+'Res''l &amp; MF Customers'!J$49</f>
        <v>0.54689394845167127</v>
      </c>
      <c r="G30" s="6">
        <f t="shared" si="5"/>
        <v>-556.80913573710006</v>
      </c>
      <c r="H30" s="6">
        <f t="shared" si="6"/>
        <v>461.32086426289982</v>
      </c>
      <c r="I30" s="155">
        <f>+'Res''l &amp; MF Customers'!J$43</f>
        <v>26528</v>
      </c>
      <c r="J30" s="6">
        <f t="shared" si="7"/>
        <v>34.779920405827788</v>
      </c>
    </row>
    <row r="31" spans="1:14" x14ac:dyDescent="0.2">
      <c r="A31" t="s">
        <v>10</v>
      </c>
      <c r="C31" s="2">
        <f>+Composition!R58</f>
        <v>997.21</v>
      </c>
      <c r="D31" s="6">
        <f>-Composition!R56</f>
        <v>-136.9</v>
      </c>
      <c r="E31" s="6">
        <f t="shared" si="4"/>
        <v>860.31000000000006</v>
      </c>
      <c r="F31" s="146">
        <f>+'Res''l &amp; MF Customers'!K$49</f>
        <v>0.54793752230739168</v>
      </c>
      <c r="G31" s="6">
        <f t="shared" si="5"/>
        <v>-471.39612981627215</v>
      </c>
      <c r="H31" s="6">
        <f t="shared" si="6"/>
        <v>388.91387018372791</v>
      </c>
      <c r="I31" s="155">
        <f>+'Res''l &amp; MF Customers'!K$43</f>
        <v>26598</v>
      </c>
      <c r="J31" s="6">
        <f t="shared" si="7"/>
        <v>29.243843159916381</v>
      </c>
    </row>
    <row r="32" spans="1:14" x14ac:dyDescent="0.2">
      <c r="A32" t="s">
        <v>8</v>
      </c>
      <c r="C32" s="2">
        <f>+Composition!T58</f>
        <v>1139.19</v>
      </c>
      <c r="D32" s="6">
        <f>-Composition!T56</f>
        <v>-173.28</v>
      </c>
      <c r="E32" s="6">
        <f t="shared" si="4"/>
        <v>965.91000000000008</v>
      </c>
      <c r="F32" s="146">
        <f>+'Res''l &amp; MF Customers'!L$49</f>
        <v>0.5478209359397479</v>
      </c>
      <c r="G32" s="6">
        <f t="shared" si="5"/>
        <v>-529.14572023356197</v>
      </c>
      <c r="H32" s="6">
        <f t="shared" si="6"/>
        <v>436.76427976643811</v>
      </c>
      <c r="I32" s="155">
        <f>+'Res''l &amp; MF Customers'!L$43</f>
        <v>26717</v>
      </c>
      <c r="J32" s="6">
        <f t="shared" si="7"/>
        <v>32.695608022340693</v>
      </c>
    </row>
    <row r="33" spans="1:28" x14ac:dyDescent="0.2">
      <c r="A33" t="s">
        <v>9</v>
      </c>
      <c r="C33" s="2">
        <f>+Composition!V58</f>
        <v>1032.21</v>
      </c>
      <c r="D33" s="6">
        <f>-Composition!V56</f>
        <v>-146.47999999999999</v>
      </c>
      <c r="E33" s="6">
        <f t="shared" si="4"/>
        <v>885.73</v>
      </c>
      <c r="F33" s="146">
        <f>+'Res''l &amp; MF Customers'!M$49</f>
        <v>0.54669415203690241</v>
      </c>
      <c r="G33" s="6">
        <f t="shared" si="5"/>
        <v>-484.22341128364559</v>
      </c>
      <c r="H33" s="6">
        <f t="shared" si="6"/>
        <v>401.50658871635443</v>
      </c>
      <c r="I33" s="155">
        <f>+'Res''l &amp; MF Customers'!M$43</f>
        <v>26828</v>
      </c>
      <c r="J33" s="6">
        <f t="shared" si="7"/>
        <v>29.931906121690357</v>
      </c>
    </row>
    <row r="34" spans="1:28" ht="15" x14ac:dyDescent="0.35">
      <c r="A34" t="s">
        <v>2</v>
      </c>
      <c r="C34" s="12">
        <f>+Composition!X58</f>
        <v>1140.0999999999999</v>
      </c>
      <c r="D34" s="7">
        <f>-Composition!X56</f>
        <v>-175.69</v>
      </c>
      <c r="E34" s="7">
        <f t="shared" si="4"/>
        <v>964.40999999999985</v>
      </c>
      <c r="F34" s="149">
        <f>+'Res''l &amp; MF Customers'!N$49</f>
        <v>0.54749411368987555</v>
      </c>
      <c r="G34" s="7">
        <f t="shared" si="5"/>
        <v>-528.00879818365274</v>
      </c>
      <c r="H34" s="7">
        <f t="shared" si="6"/>
        <v>436.40120181634711</v>
      </c>
      <c r="I34" s="156">
        <f>+'Res''l &amp; MF Customers'!N$43</f>
        <v>26906</v>
      </c>
      <c r="J34" s="7">
        <f t="shared" si="7"/>
        <v>32.438950554994953</v>
      </c>
    </row>
    <row r="35" spans="1:28" ht="15" x14ac:dyDescent="0.35">
      <c r="C35" s="15">
        <f>SUM(C23:C34)</f>
        <v>13741.480000000001</v>
      </c>
      <c r="D35" s="15">
        <f>SUM(D23:D34)</f>
        <v>-2014.7900000000002</v>
      </c>
      <c r="E35" s="15">
        <f>SUM(E23:E34)</f>
        <v>11726.69</v>
      </c>
      <c r="F35" s="100">
        <f>-G35/E35</f>
        <v>0.5471728297220706</v>
      </c>
      <c r="G35" s="15">
        <f>SUM(G23:G34)</f>
        <v>-6416.5261505735089</v>
      </c>
      <c r="H35" s="15">
        <f>SUM(H23:H34)</f>
        <v>5310.1638494264917</v>
      </c>
      <c r="I35" s="157">
        <f>SUM(I23:I34)</f>
        <v>319623</v>
      </c>
      <c r="J35" s="8">
        <f>+H35*2000/I35</f>
        <v>33.227670408115131</v>
      </c>
    </row>
    <row r="36" spans="1:28" x14ac:dyDescent="0.2">
      <c r="I36" s="6"/>
    </row>
    <row r="37" spans="1:28" x14ac:dyDescent="0.2">
      <c r="I37" s="6"/>
    </row>
    <row r="38" spans="1:28" x14ac:dyDescent="0.2">
      <c r="I38" s="6"/>
    </row>
    <row r="39" spans="1:28" x14ac:dyDescent="0.2">
      <c r="I39" s="6"/>
    </row>
    <row r="40" spans="1:28" x14ac:dyDescent="0.2">
      <c r="I40" s="6"/>
    </row>
    <row r="41" spans="1:28" x14ac:dyDescent="0.2">
      <c r="C41" s="322" t="s">
        <v>34</v>
      </c>
      <c r="D41" s="322"/>
      <c r="E41" s="322"/>
      <c r="F41" s="322"/>
      <c r="G41" s="322"/>
      <c r="H41" s="322"/>
      <c r="I41" s="322"/>
      <c r="J41" s="322"/>
      <c r="K41" s="322"/>
      <c r="L41" s="322"/>
    </row>
    <row r="42" spans="1:28" x14ac:dyDescent="0.2"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28" x14ac:dyDescent="0.2">
      <c r="C43" s="24" t="s">
        <v>35</v>
      </c>
      <c r="D43" s="24" t="s">
        <v>36</v>
      </c>
      <c r="E43" s="24"/>
      <c r="F43" s="24" t="s">
        <v>37</v>
      </c>
      <c r="G43" s="24" t="s">
        <v>38</v>
      </c>
      <c r="H43" s="24"/>
      <c r="I43" s="24"/>
      <c r="J43" s="24" t="s">
        <v>0</v>
      </c>
      <c r="K43" s="24" t="s">
        <v>0</v>
      </c>
      <c r="L43" s="24" t="s">
        <v>39</v>
      </c>
      <c r="N43" s="99"/>
    </row>
    <row r="44" spans="1:28" x14ac:dyDescent="0.2">
      <c r="C44" s="25" t="s">
        <v>40</v>
      </c>
      <c r="D44" s="25" t="s">
        <v>41</v>
      </c>
      <c r="E44" s="25" t="s">
        <v>19</v>
      </c>
      <c r="F44" s="25" t="s">
        <v>17</v>
      </c>
      <c r="G44" s="25" t="s">
        <v>18</v>
      </c>
      <c r="H44" s="25" t="s">
        <v>11</v>
      </c>
      <c r="I44" s="25" t="s">
        <v>1</v>
      </c>
      <c r="J44" s="25" t="s">
        <v>42</v>
      </c>
      <c r="K44" s="25" t="s">
        <v>43</v>
      </c>
      <c r="L44" s="25" t="s">
        <v>44</v>
      </c>
      <c r="M44" s="30"/>
      <c r="N44" s="30"/>
    </row>
    <row r="45" spans="1:28" x14ac:dyDescent="0.2">
      <c r="A45" s="3" t="s">
        <v>47</v>
      </c>
      <c r="B45" s="3"/>
      <c r="C45"/>
    </row>
    <row r="46" spans="1:28" x14ac:dyDescent="0.2">
      <c r="A46" t="s">
        <v>198</v>
      </c>
      <c r="C46" s="26">
        <f>+Composition!$C$25</f>
        <v>0.23436075332487921</v>
      </c>
      <c r="D46" s="26">
        <f>+Composition!$C$26</f>
        <v>0</v>
      </c>
      <c r="E46" s="26">
        <f>+Composition!$C$27</f>
        <v>0.48818344739407021</v>
      </c>
      <c r="F46" s="26">
        <f>+Composition!$C$28</f>
        <v>2.1369357661632622E-2</v>
      </c>
      <c r="G46" s="26">
        <f>+Composition!$C$30</f>
        <v>2.4733538048775375E-2</v>
      </c>
      <c r="H46" s="26">
        <f>+Composition!$C$29</f>
        <v>0.16869111374283408</v>
      </c>
      <c r="I46" s="26">
        <f>+Composition!$C$31</f>
        <v>4.5505517884653679E-2</v>
      </c>
      <c r="J46" s="26">
        <f>+Composition!$C$32</f>
        <v>9.599966462999255E-3</v>
      </c>
      <c r="K46" s="26">
        <f>+Composition!$C$33</f>
        <v>7.4410220400976754E-3</v>
      </c>
      <c r="L46" s="26">
        <f>+Composition!$C$34</f>
        <v>1.1528344005785132E-4</v>
      </c>
      <c r="M46" s="26">
        <f t="shared" ref="M46" si="8">SUM(C46:L46)</f>
        <v>0.99999999999999989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2">
      <c r="A47" t="s">
        <v>164</v>
      </c>
      <c r="C47" s="26">
        <f>+Composition!$E$25</f>
        <v>0.20866848570298313</v>
      </c>
      <c r="D47" s="26">
        <f>+Composition!$E$26</f>
        <v>0</v>
      </c>
      <c r="E47" s="26">
        <f>+Composition!$E$27</f>
        <v>0.48678831894671709</v>
      </c>
      <c r="F47" s="26">
        <f>+Composition!$E$28</f>
        <v>2.2031302301520481E-2</v>
      </c>
      <c r="G47" s="26">
        <f>+Composition!$E$30</f>
        <v>2.4293263817744729E-2</v>
      </c>
      <c r="H47" s="26">
        <f>+Composition!$E$29</f>
        <v>0.18877742501546857</v>
      </c>
      <c r="I47" s="26">
        <f>+Composition!$E$31</f>
        <v>5.1812105044275608E-2</v>
      </c>
      <c r="J47" s="26">
        <f>+Composition!$E$32</f>
        <v>1.0123038534492377E-2</v>
      </c>
      <c r="K47" s="26">
        <f>+Composition!$E$33</f>
        <v>7.3843407345796095E-3</v>
      </c>
      <c r="L47" s="26">
        <f>+Composition!$E$34</f>
        <v>1.217199022183452E-4</v>
      </c>
      <c r="M47" s="26">
        <f t="shared" ref="M47:M52" si="9">SUM(C47:L47)</f>
        <v>1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x14ac:dyDescent="0.2">
      <c r="A48" t="s">
        <v>165</v>
      </c>
      <c r="C48" s="26">
        <f>+Composition!$G$25</f>
        <v>0.21489419201710785</v>
      </c>
      <c r="D48" s="26">
        <f>+Composition!$G$26</f>
        <v>0</v>
      </c>
      <c r="E48" s="26">
        <f>+Composition!$G$27</f>
        <v>0.46844560376937266</v>
      </c>
      <c r="F48" s="26">
        <f>+Composition!$G$28</f>
        <v>2.1561093682070806E-2</v>
      </c>
      <c r="G48" s="26">
        <f>+Composition!$G$30</f>
        <v>2.5685313781475084E-2</v>
      </c>
      <c r="H48" s="26">
        <f>+Composition!$G$29</f>
        <v>0.19672882371602807</v>
      </c>
      <c r="I48" s="26">
        <f>+Composition!$G$31</f>
        <v>5.4872102177259213E-2</v>
      </c>
      <c r="J48" s="26">
        <f>+Composition!$G$32</f>
        <v>1.0539673587366492E-2</v>
      </c>
      <c r="K48" s="26">
        <f>+Composition!$G$33</f>
        <v>7.2731972693197977E-3</v>
      </c>
      <c r="L48" s="26">
        <f>+Composition!$G$34</f>
        <v>0</v>
      </c>
      <c r="M48" s="26">
        <f t="shared" si="9"/>
        <v>1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x14ac:dyDescent="0.2">
      <c r="A49" t="s">
        <v>166</v>
      </c>
      <c r="C49" s="26">
        <f>+Composition!$I$25</f>
        <v>0.22652855579513073</v>
      </c>
      <c r="D49" s="26">
        <f>+Composition!$I$26</f>
        <v>0</v>
      </c>
      <c r="E49" s="26">
        <f>+Composition!$I$27</f>
        <v>0.47575655791880206</v>
      </c>
      <c r="F49" s="26">
        <f>+Composition!$I$28</f>
        <v>2.1995167564170633E-2</v>
      </c>
      <c r="G49" s="26">
        <f>+Composition!$I$30</f>
        <v>2.6838438451453523E-2</v>
      </c>
      <c r="H49" s="26">
        <f>+Composition!$I$29</f>
        <v>0.18065292058986054</v>
      </c>
      <c r="I49" s="26">
        <f>+Composition!$I$31</f>
        <v>5.0133812965230305E-2</v>
      </c>
      <c r="J49" s="26">
        <f>+Composition!$I$32</f>
        <v>1.1355140693227007E-2</v>
      </c>
      <c r="K49" s="26">
        <f>+Composition!$I$33</f>
        <v>6.7394060221251887E-3</v>
      </c>
      <c r="L49" s="26">
        <f>+Composition!$I$34</f>
        <v>0</v>
      </c>
      <c r="M49" s="26">
        <f t="shared" si="9"/>
        <v>0.99999999999999989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2">
      <c r="A50" t="s">
        <v>167</v>
      </c>
      <c r="C50" s="26">
        <f>+Composition!$K$25</f>
        <v>0.23330728679440474</v>
      </c>
      <c r="D50" s="26">
        <f>+Composition!$K$26</f>
        <v>0</v>
      </c>
      <c r="E50" s="26">
        <f>+Composition!$K$27</f>
        <v>0.49466779657286242</v>
      </c>
      <c r="F50" s="26">
        <f>+Composition!$K$28</f>
        <v>1.9777026952664999E-2</v>
      </c>
      <c r="G50" s="26">
        <f>+Composition!$K$30</f>
        <v>2.4454398379978644E-2</v>
      </c>
      <c r="H50" s="26">
        <f>+Composition!$K$29</f>
        <v>0.15873347787328174</v>
      </c>
      <c r="I50" s="26">
        <f>+Composition!$K$31</f>
        <v>4.9393042272432117E-2</v>
      </c>
      <c r="J50" s="26">
        <f>+Composition!$K$32</f>
        <v>1.1753959257343471E-2</v>
      </c>
      <c r="K50" s="26">
        <f>+Composition!$K$33</f>
        <v>7.9130118970317954E-3</v>
      </c>
      <c r="L50" s="26">
        <f>+Composition!$K$34</f>
        <v>0</v>
      </c>
      <c r="M50" s="26">
        <f t="shared" si="9"/>
        <v>0.99999999999999989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x14ac:dyDescent="0.2">
      <c r="A51" t="s">
        <v>168</v>
      </c>
      <c r="C51" s="26">
        <f>+Composition!$M$25</f>
        <v>0.25442071598060456</v>
      </c>
      <c r="D51" s="26">
        <f>+Composition!$M$26</f>
        <v>0</v>
      </c>
      <c r="E51" s="26">
        <f>+Composition!$M$27</f>
        <v>0.46397400185701021</v>
      </c>
      <c r="F51" s="26">
        <f>+Composition!$M$28</f>
        <v>1.909625502940266E-2</v>
      </c>
      <c r="G51" s="26">
        <f>+Composition!$M$30</f>
        <v>2.7875786650159908E-2</v>
      </c>
      <c r="H51" s="26">
        <f>+Composition!$M$29</f>
        <v>0.17922211905498811</v>
      </c>
      <c r="I51" s="26">
        <f>+Composition!$M$31</f>
        <v>3.7717940782007631E-2</v>
      </c>
      <c r="J51" s="26">
        <f>+Composition!$M$32</f>
        <v>1.0543691323635614E-2</v>
      </c>
      <c r="K51" s="26">
        <f>+Composition!$M$33</f>
        <v>7.1494893221912712E-3</v>
      </c>
      <c r="L51" s="26">
        <f>+Composition!$M$34</f>
        <v>0</v>
      </c>
      <c r="M51" s="26">
        <f t="shared" si="9"/>
        <v>1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x14ac:dyDescent="0.2">
      <c r="A52" t="s">
        <v>7</v>
      </c>
      <c r="C52" s="26">
        <f>+Composition!$O$25</f>
        <v>0.24735675548219763</v>
      </c>
      <c r="D52" s="26">
        <f>+Composition!$O$26</f>
        <v>0</v>
      </c>
      <c r="E52" s="26">
        <f>+Composition!$O$27</f>
        <v>0.47110587125677916</v>
      </c>
      <c r="F52" s="26">
        <f>+Composition!$O$28</f>
        <v>2.0202782362650325E-2</v>
      </c>
      <c r="G52" s="26">
        <f>+Composition!$O$30</f>
        <v>2.6540910162697485E-2</v>
      </c>
      <c r="H52" s="26">
        <f>+Composition!$O$29</f>
        <v>0.18452251827399202</v>
      </c>
      <c r="I52" s="26">
        <f>+Composition!$O$31</f>
        <v>3.4180617778825757E-2</v>
      </c>
      <c r="J52" s="26">
        <f>+Composition!$O$32</f>
        <v>9.1582174015562394E-3</v>
      </c>
      <c r="K52" s="26">
        <f>+Composition!$O$33</f>
        <v>6.9323272813015813E-3</v>
      </c>
      <c r="L52" s="26">
        <f>+Composition!$O$34</f>
        <v>0</v>
      </c>
      <c r="M52" s="26">
        <f t="shared" si="9"/>
        <v>1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x14ac:dyDescent="0.2">
      <c r="A53" t="s">
        <v>199</v>
      </c>
      <c r="C53" s="26">
        <f>+Composition!$Q$25</f>
        <v>0.20175302362602163</v>
      </c>
      <c r="D53" s="26">
        <f>+Composition!$Q$26</f>
        <v>0</v>
      </c>
      <c r="E53" s="26">
        <f>+Composition!$Q$27</f>
        <v>0.54282580419716175</v>
      </c>
      <c r="F53" s="26">
        <f>+Composition!$Q$28</f>
        <v>1.8170876123546426E-2</v>
      </c>
      <c r="G53" s="26">
        <f>+Composition!$Q$30</f>
        <v>2.538292791830871E-2</v>
      </c>
      <c r="H53" s="26">
        <f>+Composition!$Q$29</f>
        <v>0.16060647240395257</v>
      </c>
      <c r="I53" s="26">
        <f>+Composition!$Q$31</f>
        <v>3.6574712197394728E-2</v>
      </c>
      <c r="J53" s="26">
        <f>+Composition!$Q$32</f>
        <v>9.0271980741977453E-3</v>
      </c>
      <c r="K53" s="26">
        <f>+Composition!$Q$33</f>
        <v>5.6589854594164355E-3</v>
      </c>
      <c r="L53" s="26">
        <f>+Composition!$Q$34</f>
        <v>0</v>
      </c>
      <c r="M53" s="26">
        <f t="shared" ref="M53" si="10">SUM(C53:L53)</f>
        <v>1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x14ac:dyDescent="0.2">
      <c r="A54" t="s">
        <v>10</v>
      </c>
      <c r="C54" s="26">
        <f>+Composition!$S$25</f>
        <v>0.22289535418027037</v>
      </c>
      <c r="D54" s="26">
        <f>+Composition!$S$26</f>
        <v>0</v>
      </c>
      <c r="E54" s="26">
        <f>+Composition!$S$27</f>
        <v>0.48113618225350058</v>
      </c>
      <c r="F54" s="26">
        <f>+Composition!$S$28</f>
        <v>1.786016590485864E-2</v>
      </c>
      <c r="G54" s="26">
        <f>+Composition!$S$30</f>
        <v>2.4946189750659018E-2</v>
      </c>
      <c r="H54" s="26">
        <f>+Composition!$S$29</f>
        <v>0.19877143340830489</v>
      </c>
      <c r="I54" s="26">
        <f>+Composition!$S$31</f>
        <v>3.6542600788410838E-2</v>
      </c>
      <c r="J54" s="26">
        <f>+Composition!$S$32</f>
        <v>6.7353503107693046E-3</v>
      </c>
      <c r="K54" s="26">
        <f>+Composition!$S$33</f>
        <v>1.1112723403226193E-2</v>
      </c>
      <c r="L54" s="26">
        <f>+Composition!$S$34</f>
        <v>0</v>
      </c>
      <c r="M54" s="26">
        <f t="shared" ref="M54" si="11">SUM(C54:L54)</f>
        <v>0.99999999999999989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x14ac:dyDescent="0.2">
      <c r="A55" t="s">
        <v>8</v>
      </c>
      <c r="C55" s="26">
        <f>+Composition!$U$25</f>
        <v>0.24317089556095295</v>
      </c>
      <c r="D55" s="26">
        <f>+Composition!$U$26</f>
        <v>0</v>
      </c>
      <c r="E55" s="26">
        <f>+Composition!$U$27</f>
        <v>0.46890599968993851</v>
      </c>
      <c r="F55" s="26">
        <f>+Composition!$U$28</f>
        <v>2.034003410676451E-2</v>
      </c>
      <c r="G55" s="26">
        <f>+Composition!$U$30</f>
        <v>2.60348302413312E-2</v>
      </c>
      <c r="H55" s="26">
        <f>+Composition!$U$29</f>
        <v>0.18261588548395433</v>
      </c>
      <c r="I55" s="26">
        <f>+Composition!$U$31</f>
        <v>4.091778202676865E-2</v>
      </c>
      <c r="J55" s="26">
        <f>+Composition!$U$32</f>
        <v>1.1275903054105732E-2</v>
      </c>
      <c r="K55" s="26">
        <f>+Composition!$U$33</f>
        <v>6.7386698361841767E-3</v>
      </c>
      <c r="L55" s="26">
        <f>+Composition!$U$34</f>
        <v>0</v>
      </c>
      <c r="M55" s="26">
        <f t="shared" ref="M55" si="12">SUM(C55:L55)</f>
        <v>1.0000000000000002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">
      <c r="A56" t="s">
        <v>9</v>
      </c>
      <c r="C56" s="26">
        <f>+Composition!$W$25</f>
        <v>0.20272490611130078</v>
      </c>
      <c r="D56" s="26">
        <f>+Composition!$W$26</f>
        <v>0</v>
      </c>
      <c r="E56" s="26">
        <f>+Composition!$W$27</f>
        <v>0.50485447251621718</v>
      </c>
      <c r="F56" s="26">
        <f>+Composition!$W$28</f>
        <v>2.1178303175145102E-2</v>
      </c>
      <c r="G56" s="26">
        <f>+Composition!$W$30</f>
        <v>2.4731136906794127E-2</v>
      </c>
      <c r="H56" s="26">
        <f>+Composition!$W$29</f>
        <v>0.19089279617616933</v>
      </c>
      <c r="I56" s="26">
        <f>+Composition!$W$31</f>
        <v>3.9881358825537727E-2</v>
      </c>
      <c r="J56" s="26">
        <f>+Composition!$W$32</f>
        <v>8.9941106179583473E-3</v>
      </c>
      <c r="K56" s="26">
        <f>+Composition!$W$33</f>
        <v>6.742915670877433E-3</v>
      </c>
      <c r="L56" s="26">
        <f>+Composition!$W$34</f>
        <v>0</v>
      </c>
      <c r="M56" s="26">
        <f t="shared" ref="M56" si="13">SUM(C56:L56)</f>
        <v>1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x14ac:dyDescent="0.2">
      <c r="A57" t="s">
        <v>2</v>
      </c>
      <c r="C57" s="26">
        <f>+Composition!$Y$25</f>
        <v>0.18399013331767197</v>
      </c>
      <c r="D57" s="26">
        <f>+Composition!$Y$26</f>
        <v>0</v>
      </c>
      <c r="E57" s="26">
        <f>+Composition!$Y$27</f>
        <v>0.50261349621189888</v>
      </c>
      <c r="F57" s="26">
        <f>+Composition!$Y$28</f>
        <v>2.17654313737006E-2</v>
      </c>
      <c r="G57" s="26">
        <f>+Composition!$Y$30</f>
        <v>2.7474011863510901E-2</v>
      </c>
      <c r="H57" s="26">
        <f>+Composition!$Y$29</f>
        <v>0.19969460268984557</v>
      </c>
      <c r="I57" s="26">
        <f>+Composition!$Y$31</f>
        <v>4.7336583073941396E-2</v>
      </c>
      <c r="J57" s="26">
        <f>+Composition!$Y$32</f>
        <v>9.8666823280671896E-3</v>
      </c>
      <c r="K57" s="26">
        <f>+Composition!$Y$33</f>
        <v>7.2590591413637176E-3</v>
      </c>
      <c r="L57" s="26">
        <f>+Composition!$Y$34</f>
        <v>0</v>
      </c>
      <c r="M57" s="26">
        <f t="shared" ref="M57" si="14">SUM(C57:L57)</f>
        <v>1.0000000000000004</v>
      </c>
      <c r="N57" s="26"/>
      <c r="O57" s="26"/>
      <c r="P57" s="26"/>
      <c r="Q57" s="26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x14ac:dyDescent="0.2">
      <c r="A58" t="s">
        <v>163</v>
      </c>
      <c r="C58" s="26">
        <f>+Composition!$C$44</f>
        <v>0.2072836381763104</v>
      </c>
      <c r="D58" s="26">
        <f>+Composition!$C$45</f>
        <v>0</v>
      </c>
      <c r="E58" s="26">
        <f>+Composition!$C$46</f>
        <v>0.51209785651290307</v>
      </c>
      <c r="F58" s="26">
        <f>+Composition!$C$47</f>
        <v>2.338088116875647E-2</v>
      </c>
      <c r="G58" s="26">
        <f>+Composition!$C$49</f>
        <v>2.3735572683001648E-2</v>
      </c>
      <c r="H58" s="26">
        <f>+Composition!$C$48</f>
        <v>0.159697457724606</v>
      </c>
      <c r="I58" s="26">
        <f>+Composition!$C$50</f>
        <v>5.6290501936423938E-2</v>
      </c>
      <c r="J58" s="26">
        <f>+Composition!$C$51</f>
        <v>9.873844856014417E-3</v>
      </c>
      <c r="K58" s="26">
        <f>+Composition!$C$52</f>
        <v>7.6402469419839707E-3</v>
      </c>
      <c r="L58" s="26">
        <f>+Composition!$C$53</f>
        <v>0</v>
      </c>
      <c r="M58" s="26">
        <f t="shared" ref="M58" si="15">SUM(C58:L58)</f>
        <v>0.99999999999999978</v>
      </c>
      <c r="N58" s="26"/>
      <c r="R58" s="28"/>
    </row>
    <row r="59" spans="1:28" x14ac:dyDescent="0.2">
      <c r="A59" t="s">
        <v>164</v>
      </c>
      <c r="C59" s="26">
        <f>+Composition!$E$44</f>
        <v>0.20769834386486599</v>
      </c>
      <c r="D59" s="26">
        <f>+Composition!$E$45</f>
        <v>0</v>
      </c>
      <c r="E59" s="26">
        <f>+Composition!$E$46</f>
        <v>0.50330401024243177</v>
      </c>
      <c r="F59" s="26">
        <f>+Composition!$E$47</f>
        <v>2.4532276050055757E-2</v>
      </c>
      <c r="G59" s="26">
        <f>+Composition!$E$49</f>
        <v>1.9772436294552512E-2</v>
      </c>
      <c r="H59" s="26">
        <f>+Composition!$E$48</f>
        <v>0.1753706686490728</v>
      </c>
      <c r="I59" s="26">
        <f>+Composition!$E$50</f>
        <v>5.2915789038946025E-2</v>
      </c>
      <c r="J59" s="26">
        <f>+Composition!$E$51</f>
        <v>9.0757031346797162E-3</v>
      </c>
      <c r="K59" s="26">
        <f>+Composition!$E$52</f>
        <v>7.3307727253954487E-3</v>
      </c>
      <c r="L59" s="26">
        <f>+Composition!$E$53</f>
        <v>0</v>
      </c>
      <c r="M59" s="26">
        <f t="shared" ref="M59:M60" si="16">SUM(C59:L59)</f>
        <v>1</v>
      </c>
      <c r="N59" s="26"/>
      <c r="R59" s="28"/>
    </row>
    <row r="60" spans="1:28" x14ac:dyDescent="0.2">
      <c r="A60" t="s">
        <v>165</v>
      </c>
      <c r="C60" s="26">
        <f>+Composition!$G$44</f>
        <v>0.19532638802761584</v>
      </c>
      <c r="D60" s="26">
        <f>+Composition!$G$45</f>
        <v>0</v>
      </c>
      <c r="E60" s="26">
        <f>+Composition!$G$46</f>
        <v>0.50619083054280856</v>
      </c>
      <c r="F60" s="26">
        <f>+Composition!$G$47</f>
        <v>2.5817520360494436E-2</v>
      </c>
      <c r="G60" s="26">
        <f>+Composition!$G$49</f>
        <v>2.0680888006945303E-2</v>
      </c>
      <c r="H60" s="26">
        <f>+Composition!$G$48</f>
        <v>0.17721898383562773</v>
      </c>
      <c r="I60" s="26">
        <f>+Composition!$G$50</f>
        <v>5.5490098805242041E-2</v>
      </c>
      <c r="J60" s="26">
        <f>+Composition!$G$51</f>
        <v>1.1565174252759516E-2</v>
      </c>
      <c r="K60" s="26">
        <f>+Composition!$G$52</f>
        <v>7.7101161685063447E-3</v>
      </c>
      <c r="L60" s="26">
        <f>+Composition!$G$53</f>
        <v>0</v>
      </c>
      <c r="M60" s="26">
        <f t="shared" si="16"/>
        <v>0.99999999999999978</v>
      </c>
      <c r="N60" s="26"/>
      <c r="R60" s="28"/>
    </row>
    <row r="61" spans="1:28" x14ac:dyDescent="0.2">
      <c r="A61" t="s">
        <v>166</v>
      </c>
      <c r="C61" s="26">
        <f>+Composition!$I$44</f>
        <v>0.20537027373215042</v>
      </c>
      <c r="D61" s="26">
        <f>+Composition!$I$45</f>
        <v>0</v>
      </c>
      <c r="E61" s="26">
        <f>+Composition!$I$46</f>
        <v>0.53227382703164272</v>
      </c>
      <c r="F61" s="26">
        <f>+Composition!$I$47</f>
        <v>2.256274016793965E-2</v>
      </c>
      <c r="G61" s="26">
        <f>+Composition!$I$49</f>
        <v>2.0816926799184017E-2</v>
      </c>
      <c r="H61" s="26">
        <f>+Composition!$I$48</f>
        <v>0.15699985767825794</v>
      </c>
      <c r="I61" s="26">
        <f>+Composition!$I$50</f>
        <v>4.5467052516722797E-2</v>
      </c>
      <c r="J61" s="26">
        <f>+Composition!$I$51</f>
        <v>9.1844964182361561E-3</v>
      </c>
      <c r="K61" s="26">
        <f>+Composition!$I$52</f>
        <v>7.3248256558660256E-3</v>
      </c>
      <c r="L61" s="26">
        <f>+Composition!$I$53</f>
        <v>0</v>
      </c>
      <c r="M61" s="26">
        <f t="shared" ref="M61" si="17">SUM(C61:L61)</f>
        <v>0.99999999999999978</v>
      </c>
      <c r="N61" s="26"/>
      <c r="R61" s="28"/>
    </row>
    <row r="62" spans="1:28" x14ac:dyDescent="0.2">
      <c r="A62" t="s">
        <v>167</v>
      </c>
      <c r="C62" s="26">
        <f>+Composition!$K$44</f>
        <v>0.19852344281357642</v>
      </c>
      <c r="D62" s="26">
        <f>+Composition!$K$45</f>
        <v>0</v>
      </c>
      <c r="E62" s="26">
        <f>+Composition!$K$46</f>
        <v>0.53815353561947388</v>
      </c>
      <c r="F62" s="26">
        <f>+Composition!$K$47</f>
        <v>2.1479189977840669E-2</v>
      </c>
      <c r="G62" s="26">
        <f>+Composition!$K$49</f>
        <v>2.3717062682375657E-2</v>
      </c>
      <c r="H62" s="26">
        <f>+Composition!$K$48</f>
        <v>0.15308585094012594</v>
      </c>
      <c r="I62" s="26">
        <f>+Composition!$K$50</f>
        <v>4.661137804690757E-2</v>
      </c>
      <c r="J62" s="26">
        <f>+Composition!$K$51</f>
        <v>1.0684745167730754E-2</v>
      </c>
      <c r="K62" s="26">
        <f>+Composition!$K$52</f>
        <v>7.7447947519691078E-3</v>
      </c>
      <c r="L62" s="26">
        <f>+Composition!$K$53</f>
        <v>0</v>
      </c>
      <c r="M62" s="26">
        <f t="shared" ref="M62" si="18">SUM(C62:L62)</f>
        <v>1</v>
      </c>
      <c r="N62" s="26"/>
      <c r="R62" s="28"/>
    </row>
    <row r="63" spans="1:28" x14ac:dyDescent="0.2">
      <c r="A63" t="s">
        <v>168</v>
      </c>
      <c r="C63" s="26">
        <f>+Composition!$M$44</f>
        <v>0.21281775010974097</v>
      </c>
      <c r="D63" s="26">
        <f>+Composition!$M$45</f>
        <v>0</v>
      </c>
      <c r="E63" s="26">
        <f>+Composition!$M$46</f>
        <v>0.56056706173430693</v>
      </c>
      <c r="F63" s="26">
        <f>+Composition!$M$47</f>
        <v>1.9823217207390557E-2</v>
      </c>
      <c r="G63" s="26">
        <f>+Composition!$M$49</f>
        <v>2.3295023743964242E-2</v>
      </c>
      <c r="H63" s="26">
        <f>+Composition!$M$48</f>
        <v>0.12924498184285085</v>
      </c>
      <c r="I63" s="26">
        <f>+Composition!$M$50</f>
        <v>3.9297258470010768E-2</v>
      </c>
      <c r="J63" s="26">
        <f>+Composition!$M$51</f>
        <v>8.9289277305558863E-3</v>
      </c>
      <c r="K63" s="26">
        <f>+Composition!$M$52</f>
        <v>6.025779161179615E-3</v>
      </c>
      <c r="L63" s="26">
        <f>+Composition!$M$53</f>
        <v>0</v>
      </c>
      <c r="M63" s="26">
        <f t="shared" ref="M63:M64" si="19">SUM(C63:L63)</f>
        <v>0.99999999999999967</v>
      </c>
      <c r="N63" s="26"/>
      <c r="R63" s="28"/>
    </row>
    <row r="64" spans="1:28" x14ac:dyDescent="0.2">
      <c r="A64" t="s">
        <v>7</v>
      </c>
      <c r="C64" s="26">
        <f>+Composition!$O$44</f>
        <v>0.22577345240399238</v>
      </c>
      <c r="D64" s="26">
        <f>+Composition!$O$45</f>
        <v>0</v>
      </c>
      <c r="E64" s="26">
        <f>+Composition!$O$46</f>
        <v>0.51175500198143897</v>
      </c>
      <c r="F64" s="26">
        <f>+Composition!$O$47</f>
        <v>1.8819062364640073E-2</v>
      </c>
      <c r="G64" s="26">
        <f>+Composition!$O$49</f>
        <v>2.3169012137465788E-2</v>
      </c>
      <c r="H64" s="26">
        <f>+Composition!$O$48</f>
        <v>0.15957495829762136</v>
      </c>
      <c r="I64" s="26">
        <f>+Composition!$O$50</f>
        <v>4.4328937303584101E-2</v>
      </c>
      <c r="J64" s="26">
        <f>+Composition!$O$51</f>
        <v>9.6399310643552963E-3</v>
      </c>
      <c r="K64" s="26">
        <f>+Composition!$O$52</f>
        <v>6.939644446902044E-3</v>
      </c>
      <c r="L64" s="26">
        <f>+Composition!$O$53</f>
        <v>0</v>
      </c>
      <c r="M64" s="26">
        <f t="shared" si="19"/>
        <v>1</v>
      </c>
      <c r="N64" s="26"/>
      <c r="R64" s="28"/>
    </row>
    <row r="65" spans="1:26" x14ac:dyDescent="0.2">
      <c r="A65" t="s">
        <v>201</v>
      </c>
      <c r="C65" s="26">
        <f>+Composition!$Q$44</f>
        <v>0.20935440464380781</v>
      </c>
      <c r="D65" s="26">
        <f>+Composition!$Q$45</f>
        <v>0</v>
      </c>
      <c r="E65" s="26">
        <f>+Composition!$Q$46</f>
        <v>0.51249840393662893</v>
      </c>
      <c r="F65" s="26">
        <f>+Composition!$Q$47</f>
        <v>1.9702788445483389E-2</v>
      </c>
      <c r="G65" s="26">
        <f>+Composition!$Q$49</f>
        <v>2.7707660121988355E-2</v>
      </c>
      <c r="H65" s="26">
        <f>+Composition!$Q$48</f>
        <v>0.16958541640065611</v>
      </c>
      <c r="I65" s="26">
        <f>+Composition!$Q$50</f>
        <v>4.3953129757496594E-2</v>
      </c>
      <c r="J65" s="26">
        <f>+Composition!$Q$51</f>
        <v>1.0391600286800312E-2</v>
      </c>
      <c r="K65" s="26">
        <f>+Composition!$Q$52</f>
        <v>6.8065964071385779E-3</v>
      </c>
      <c r="L65" s="26">
        <f>+Composition!$Q$53</f>
        <v>0</v>
      </c>
      <c r="M65" s="26">
        <f t="shared" ref="M65" si="20">SUM(C65:L65)</f>
        <v>1</v>
      </c>
      <c r="N65" s="26"/>
      <c r="R65" s="28"/>
    </row>
    <row r="66" spans="1:26" x14ac:dyDescent="0.2">
      <c r="A66" t="s">
        <v>10</v>
      </c>
      <c r="C66" s="26">
        <f>+Composition!$S$44</f>
        <v>0.21523636828585041</v>
      </c>
      <c r="D66" s="26">
        <f>+Composition!$S$45</f>
        <v>0</v>
      </c>
      <c r="E66" s="26">
        <f>+Composition!$S$46</f>
        <v>0.52854203717264703</v>
      </c>
      <c r="F66" s="26">
        <f>+Composition!$S$47</f>
        <v>1.9702200369634198E-2</v>
      </c>
      <c r="G66" s="26">
        <f>+Composition!$S$49</f>
        <v>1.8086503702153874E-2</v>
      </c>
      <c r="H66" s="26">
        <f>+Composition!$S$48</f>
        <v>0.17258895049458914</v>
      </c>
      <c r="I66" s="26">
        <f>+Composition!$S$50</f>
        <v>3.03030303030303E-2</v>
      </c>
      <c r="J66" s="26">
        <f>+Composition!$S$51</f>
        <v>9.5082005323662393E-3</v>
      </c>
      <c r="K66" s="26">
        <f>+Composition!$S$52</f>
        <v>6.0327091397287024E-3</v>
      </c>
      <c r="L66" s="26">
        <f>+Composition!$S$53</f>
        <v>0</v>
      </c>
      <c r="M66" s="26">
        <f t="shared" ref="M66" si="21">SUM(C66:L66)</f>
        <v>1</v>
      </c>
      <c r="N66" s="26"/>
      <c r="R66" s="28"/>
    </row>
    <row r="67" spans="1:26" x14ac:dyDescent="0.2">
      <c r="A67" t="s">
        <v>8</v>
      </c>
      <c r="C67" s="26">
        <f>+Composition!$U$44</f>
        <v>0.24397718213912267</v>
      </c>
      <c r="D67" s="26">
        <f>+Composition!$U$45</f>
        <v>0</v>
      </c>
      <c r="E67" s="26">
        <f>+Composition!$U$46</f>
        <v>0.50176517480924721</v>
      </c>
      <c r="F67" s="26">
        <f>+Composition!$U$47</f>
        <v>2.1482332722510378E-2</v>
      </c>
      <c r="G67" s="26">
        <f>+Composition!$U$49</f>
        <v>2.0188216293443487E-2</v>
      </c>
      <c r="H67" s="26">
        <f>+Composition!$U$48</f>
        <v>0.15651561739706596</v>
      </c>
      <c r="I67" s="26">
        <f>+Composition!$U$50</f>
        <v>3.6359495191063344E-2</v>
      </c>
      <c r="J67" s="26">
        <f>+Composition!$U$51</f>
        <v>1.1212224741435536E-2</v>
      </c>
      <c r="K67" s="26">
        <f>+Composition!$U$52</f>
        <v>8.499756706111335E-3</v>
      </c>
      <c r="L67" s="26">
        <f>+Composition!$U$53</f>
        <v>0</v>
      </c>
      <c r="M67" s="26">
        <f t="shared" ref="M67" si="22">SUM(C67:L67)</f>
        <v>1</v>
      </c>
      <c r="N67" s="26"/>
      <c r="R67" s="28"/>
    </row>
    <row r="68" spans="1:26" x14ac:dyDescent="0.2">
      <c r="A68" t="s">
        <v>9</v>
      </c>
      <c r="C68" s="26">
        <f>+Composition!$W$44</f>
        <v>0.21967190904677497</v>
      </c>
      <c r="D68" s="26">
        <f>+Composition!$W$45</f>
        <v>0</v>
      </c>
      <c r="E68" s="26">
        <f>+Composition!$W$46</f>
        <v>0.55716753412439457</v>
      </c>
      <c r="F68" s="26">
        <f>+Composition!$W$47</f>
        <v>1.8989985661544716E-2</v>
      </c>
      <c r="G68" s="26">
        <f>+Composition!$W$49</f>
        <v>1.9464170796969729E-2</v>
      </c>
      <c r="H68" s="26">
        <f>+Composition!$W$48</f>
        <v>0.13670080046966909</v>
      </c>
      <c r="I68" s="26">
        <f>+Composition!$W$50</f>
        <v>3.052849062355345E-2</v>
      </c>
      <c r="J68" s="26">
        <f>+Composition!$W$51</f>
        <v>1.0838517381143237E-2</v>
      </c>
      <c r="K68" s="26">
        <f>+Composition!$W$52</f>
        <v>6.6385918959502325E-3</v>
      </c>
      <c r="L68" s="26">
        <f>+Composition!$W$53</f>
        <v>0</v>
      </c>
      <c r="M68" s="26">
        <f t="shared" ref="M68" si="23">SUM(C68:L68)</f>
        <v>1.0000000000000002</v>
      </c>
      <c r="N68" s="26"/>
      <c r="R68" s="28"/>
    </row>
    <row r="69" spans="1:26" x14ac:dyDescent="0.2">
      <c r="A69" t="s">
        <v>2</v>
      </c>
      <c r="C69" s="26">
        <f>+Composition!$Y$44</f>
        <v>0.21125869702719799</v>
      </c>
      <c r="D69" s="26">
        <f>+Composition!$Y$45</f>
        <v>0</v>
      </c>
      <c r="E69" s="26">
        <f>+Composition!$Y$46</f>
        <v>0.55361308986841695</v>
      </c>
      <c r="F69" s="26">
        <f>+Composition!$Y$47</f>
        <v>2.4947895604566523E-2</v>
      </c>
      <c r="G69" s="26">
        <f>+Composition!$Y$49</f>
        <v>2.2459327464460138E-2</v>
      </c>
      <c r="H69" s="26">
        <f>+Composition!$Y$48</f>
        <v>0.1238892172416296</v>
      </c>
      <c r="I69" s="26">
        <f>+Composition!$Y$50</f>
        <v>4.4452048402650324E-2</v>
      </c>
      <c r="J69" s="26">
        <f>+Composition!$Y$51</f>
        <v>1.0991175952136539E-2</v>
      </c>
      <c r="K69" s="26">
        <f>+Composition!$Y$52</f>
        <v>8.3885484389419444E-3</v>
      </c>
      <c r="L69" s="26">
        <f>+Composition!$Y$53</f>
        <v>0</v>
      </c>
      <c r="M69" s="26">
        <f t="shared" ref="M69" si="24">SUM(C69:L69)</f>
        <v>1</v>
      </c>
      <c r="N69" s="26"/>
      <c r="R69" s="28"/>
    </row>
    <row r="70" spans="1:26" x14ac:dyDescent="0.2">
      <c r="C70"/>
      <c r="N70" s="26"/>
      <c r="R70" s="28"/>
    </row>
    <row r="71" spans="1:26" x14ac:dyDescent="0.2">
      <c r="C71"/>
      <c r="N71" s="26"/>
      <c r="R71" s="28"/>
    </row>
    <row r="72" spans="1:26" x14ac:dyDescent="0.2">
      <c r="A72" s="3" t="s">
        <v>48</v>
      </c>
      <c r="B72" s="3"/>
      <c r="C72"/>
      <c r="R72" s="28"/>
    </row>
    <row r="73" spans="1:26" x14ac:dyDescent="0.2">
      <c r="A73" t="s">
        <v>198</v>
      </c>
      <c r="C73" s="18">
        <f>+Prices!B5</f>
        <v>21.52</v>
      </c>
      <c r="D73" s="18">
        <f>+Prices!C5</f>
        <v>0</v>
      </c>
      <c r="E73" s="18">
        <f>+Prices!D5</f>
        <v>82.53</v>
      </c>
      <c r="F73" s="18">
        <f>+Prices!E5</f>
        <v>734.83</v>
      </c>
      <c r="G73" s="18">
        <f>+Prices!F5</f>
        <v>77.13</v>
      </c>
      <c r="H73" s="18">
        <f>+Prices!G5</f>
        <v>-53.34</v>
      </c>
      <c r="I73" s="18">
        <f>+Prices!H5</f>
        <v>84.31</v>
      </c>
      <c r="J73" s="18">
        <f>+Prices!I5</f>
        <v>700</v>
      </c>
      <c r="K73" s="18">
        <f>+Prices!J5</f>
        <v>60</v>
      </c>
      <c r="L73" s="18">
        <f>+Prices!K5</f>
        <v>-197.5</v>
      </c>
      <c r="O73" s="18"/>
      <c r="P73" s="18"/>
      <c r="R73" s="2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t="s">
        <v>164</v>
      </c>
      <c r="C74" s="18">
        <f>+Prices!B6</f>
        <v>22.53</v>
      </c>
      <c r="D74" s="18">
        <f>+Prices!C6</f>
        <v>0</v>
      </c>
      <c r="E74" s="18">
        <f>+Prices!D6</f>
        <v>69.510000000000005</v>
      </c>
      <c r="F74" s="18">
        <f>+Prices!E6</f>
        <v>803.77</v>
      </c>
      <c r="G74" s="18">
        <f>+Prices!F6</f>
        <v>78.400000000000006</v>
      </c>
      <c r="H74" s="18">
        <f>+Prices!G6</f>
        <v>-53.34</v>
      </c>
      <c r="I74" s="18">
        <f>+Prices!H6</f>
        <v>42.29</v>
      </c>
      <c r="J74" s="18">
        <f>+Prices!I6</f>
        <v>725.1</v>
      </c>
      <c r="K74" s="18">
        <f>+Prices!J6</f>
        <v>60</v>
      </c>
      <c r="L74" s="18">
        <f>+Prices!K6</f>
        <v>-197.5</v>
      </c>
      <c r="O74" s="18"/>
      <c r="P74" s="18"/>
      <c r="R74" s="2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t="s">
        <v>165</v>
      </c>
      <c r="C75" s="18">
        <f>+Prices!B7</f>
        <v>43.15</v>
      </c>
      <c r="D75" s="18">
        <f>+Prices!C7</f>
        <v>0</v>
      </c>
      <c r="E75" s="18">
        <f>+Prices!D7</f>
        <v>81.540000000000006</v>
      </c>
      <c r="F75" s="18">
        <f>+Prices!E7</f>
        <v>903.63</v>
      </c>
      <c r="G75" s="18">
        <f>+Prices!F7</f>
        <v>88.13</v>
      </c>
      <c r="H75" s="18">
        <f>+Prices!G7</f>
        <v>-53.34</v>
      </c>
      <c r="I75" s="18">
        <f>+Prices!H7</f>
        <v>34</v>
      </c>
      <c r="J75" s="18">
        <f>+Prices!I7</f>
        <v>780</v>
      </c>
      <c r="K75" s="18">
        <f>+Prices!J7</f>
        <v>60</v>
      </c>
      <c r="L75" s="18">
        <f>+Prices!K7</f>
        <v>-197.5</v>
      </c>
      <c r="O75" s="18"/>
      <c r="P75" s="18"/>
      <c r="R75" s="2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t="s">
        <v>166</v>
      </c>
      <c r="C76" s="18">
        <f>+Prices!B8</f>
        <v>52.62</v>
      </c>
      <c r="D76" s="18">
        <f>+Prices!C8</f>
        <v>0</v>
      </c>
      <c r="E76" s="18">
        <f>+Prices!D8</f>
        <v>89.73</v>
      </c>
      <c r="F76" s="18">
        <f>+Prices!E8</f>
        <v>843.97</v>
      </c>
      <c r="G76" s="18">
        <f>+Prices!F8</f>
        <v>99.61</v>
      </c>
      <c r="H76" s="18">
        <f>+Prices!G8</f>
        <v>-53.34</v>
      </c>
      <c r="I76" s="18">
        <f>+Prices!H8</f>
        <v>20.23</v>
      </c>
      <c r="J76" s="18">
        <f>+Prices!I8</f>
        <v>950</v>
      </c>
      <c r="K76" s="18">
        <f>+Prices!J8</f>
        <v>100</v>
      </c>
      <c r="L76" s="18">
        <f>+Prices!K8</f>
        <v>-197.5</v>
      </c>
      <c r="O76" s="18"/>
      <c r="P76" s="18"/>
      <c r="R76" s="2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t="s">
        <v>167</v>
      </c>
      <c r="C77" s="18">
        <f>+Prices!B9</f>
        <v>54.91</v>
      </c>
      <c r="D77" s="18">
        <f>+Prices!C9</f>
        <v>0</v>
      </c>
      <c r="E77" s="18">
        <f>+Prices!D9</f>
        <v>92.7</v>
      </c>
      <c r="F77" s="18">
        <f>+Prices!E9</f>
        <v>828.72</v>
      </c>
      <c r="G77" s="18">
        <f>+Prices!F9</f>
        <v>105.7</v>
      </c>
      <c r="H77" s="18">
        <f>+Prices!G9</f>
        <v>-53.34</v>
      </c>
      <c r="I77" s="18">
        <f>+Prices!H9</f>
        <v>20</v>
      </c>
      <c r="J77" s="18">
        <f>+Prices!I9</f>
        <v>1120</v>
      </c>
      <c r="K77" s="18">
        <f>+Prices!J9</f>
        <v>220</v>
      </c>
      <c r="L77" s="18">
        <f>+Prices!K9</f>
        <v>-197.5</v>
      </c>
      <c r="O77" s="18"/>
      <c r="P77" s="18"/>
      <c r="R77" s="2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t="s">
        <v>168</v>
      </c>
      <c r="C78" s="18">
        <f>+Prices!B10</f>
        <v>54.24</v>
      </c>
      <c r="D78" s="18">
        <f>+Prices!C10</f>
        <v>0</v>
      </c>
      <c r="E78" s="18">
        <f>+Prices!D10</f>
        <v>101.46</v>
      </c>
      <c r="F78" s="18">
        <f>+Prices!E10</f>
        <v>975.86</v>
      </c>
      <c r="G78" s="18">
        <f>+Prices!F10</f>
        <v>110.74</v>
      </c>
      <c r="H78" s="18">
        <f>+Prices!G10</f>
        <v>-53.34</v>
      </c>
      <c r="I78" s="18">
        <f>+Prices!H10</f>
        <v>36.729999999999997</v>
      </c>
      <c r="J78" s="18">
        <f>+Prices!I10</f>
        <v>1200</v>
      </c>
      <c r="K78" s="18">
        <f>+Prices!J10</f>
        <v>280</v>
      </c>
      <c r="L78" s="18">
        <f>+Prices!K10</f>
        <v>-197.5</v>
      </c>
      <c r="O78" s="18"/>
      <c r="P78" s="18"/>
      <c r="R78" s="2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t="s">
        <v>7</v>
      </c>
      <c r="C79" s="18">
        <f>+Prices!B11</f>
        <v>57.77</v>
      </c>
      <c r="D79" s="18">
        <f>+Prices!C11</f>
        <v>0</v>
      </c>
      <c r="E79" s="18">
        <f>+Prices!D11</f>
        <v>109.54</v>
      </c>
      <c r="F79" s="18">
        <f>+Prices!E11</f>
        <v>1032.32</v>
      </c>
      <c r="G79" s="18">
        <f>+Prices!F11</f>
        <v>137.81</v>
      </c>
      <c r="H79" s="18">
        <f>+Prices!G11</f>
        <v>-53.34</v>
      </c>
      <c r="I79" s="18">
        <f>+Prices!H11</f>
        <v>40.39</v>
      </c>
      <c r="J79" s="18">
        <f>+Prices!I11</f>
        <v>1200</v>
      </c>
      <c r="K79" s="18">
        <f>+Prices!J11</f>
        <v>280</v>
      </c>
      <c r="L79" s="18">
        <f>+Prices!K11</f>
        <v>-197.5</v>
      </c>
      <c r="O79" s="18"/>
      <c r="P79" s="18"/>
      <c r="R79" s="2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t="s">
        <v>199</v>
      </c>
      <c r="C80" s="18">
        <f>+Prices!B12</f>
        <v>59.43</v>
      </c>
      <c r="D80" s="18">
        <f>+Prices!C12</f>
        <v>0</v>
      </c>
      <c r="E80" s="18">
        <f>+Prices!D12</f>
        <v>113.84</v>
      </c>
      <c r="F80" s="18">
        <f>+Prices!E12</f>
        <v>1054.52</v>
      </c>
      <c r="G80" s="18">
        <f>+Prices!F12</f>
        <v>208.4</v>
      </c>
      <c r="H80" s="18">
        <f>+Prices!G12</f>
        <v>-53.34</v>
      </c>
      <c r="I80" s="18">
        <f>+Prices!H12</f>
        <v>50</v>
      </c>
      <c r="J80" s="18">
        <f>+Prices!I12</f>
        <v>1240</v>
      </c>
      <c r="K80" s="18">
        <f>+Prices!J12</f>
        <v>280</v>
      </c>
      <c r="L80" s="18">
        <f>+Prices!K12</f>
        <v>-197.5</v>
      </c>
      <c r="O80" s="18"/>
      <c r="P80" s="18"/>
      <c r="R80" s="2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t="s">
        <v>10</v>
      </c>
      <c r="C81" s="18">
        <f>+Prices!B13</f>
        <v>54.85</v>
      </c>
      <c r="D81" s="18">
        <f>+Prices!C13</f>
        <v>0</v>
      </c>
      <c r="E81" s="18">
        <f>+Prices!D13</f>
        <v>102.04</v>
      </c>
      <c r="F81" s="18">
        <f>+Prices!E13</f>
        <v>1049.67</v>
      </c>
      <c r="G81" s="18">
        <f>+Prices!F13</f>
        <v>160.31</v>
      </c>
      <c r="H81" s="18">
        <f>+Prices!G13</f>
        <v>-53.34</v>
      </c>
      <c r="I81" s="18">
        <f>+Prices!H13</f>
        <v>70</v>
      </c>
      <c r="J81" s="18">
        <f>+Prices!I13</f>
        <v>1280</v>
      </c>
      <c r="K81" s="18">
        <f>+Prices!J13</f>
        <v>280</v>
      </c>
      <c r="L81" s="18">
        <f>+Prices!K13</f>
        <v>-197.5</v>
      </c>
      <c r="O81" s="18"/>
      <c r="P81" s="18"/>
      <c r="R81" s="2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t="s">
        <v>8</v>
      </c>
      <c r="C82" s="18">
        <f>+Prices!B14</f>
        <v>61.4</v>
      </c>
      <c r="D82" s="18">
        <f>+Prices!C14</f>
        <v>0</v>
      </c>
      <c r="E82" s="18">
        <f>+Prices!D14</f>
        <v>103.48</v>
      </c>
      <c r="F82" s="18">
        <f>+Prices!E14</f>
        <v>1209.6600000000001</v>
      </c>
      <c r="G82" s="18">
        <f>+Prices!F14</f>
        <v>199.71</v>
      </c>
      <c r="H82" s="18">
        <f>+Prices!G14</f>
        <v>-53.34</v>
      </c>
      <c r="I82" s="18">
        <f>+Prices!H14</f>
        <v>70</v>
      </c>
      <c r="J82" s="18">
        <f>+Prices!I14</f>
        <v>1410</v>
      </c>
      <c r="K82" s="18">
        <f>+Prices!J14</f>
        <v>320</v>
      </c>
      <c r="L82" s="18">
        <f>+Prices!K14</f>
        <v>-197.5</v>
      </c>
      <c r="O82" s="18"/>
      <c r="P82" s="18"/>
      <c r="R82" s="2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t="s">
        <v>9</v>
      </c>
      <c r="C83" s="18">
        <f>+Prices!B15</f>
        <v>73.27</v>
      </c>
      <c r="D83" s="18">
        <f>+Prices!C15</f>
        <v>0</v>
      </c>
      <c r="E83" s="18">
        <f>+Prices!D15</f>
        <v>112.96</v>
      </c>
      <c r="F83" s="18">
        <f>+Prices!E15</f>
        <v>1305.82</v>
      </c>
      <c r="G83" s="18">
        <f>+Prices!F15</f>
        <v>179.62</v>
      </c>
      <c r="H83" s="18">
        <f>+Prices!G15</f>
        <v>-53.34</v>
      </c>
      <c r="I83" s="18">
        <f>+Prices!H15</f>
        <v>155</v>
      </c>
      <c r="J83" s="18">
        <f>+Prices!I15</f>
        <v>1520</v>
      </c>
      <c r="K83" s="18">
        <f>+Prices!J15</f>
        <v>400</v>
      </c>
      <c r="L83" s="18">
        <f>+Prices!K15</f>
        <v>-197.5</v>
      </c>
      <c r="O83" s="18"/>
      <c r="P83" s="18"/>
      <c r="R83" s="2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t="s">
        <v>2</v>
      </c>
      <c r="C84" s="18">
        <f>+Prices!B16</f>
        <v>76.39</v>
      </c>
      <c r="D84" s="18">
        <f>+Prices!C16</f>
        <v>0</v>
      </c>
      <c r="E84" s="18">
        <f>+Prices!D16</f>
        <v>122.77</v>
      </c>
      <c r="F84" s="18">
        <f>+Prices!E16</f>
        <v>1396</v>
      </c>
      <c r="G84" s="18">
        <f>+Prices!F16</f>
        <v>199.64</v>
      </c>
      <c r="H84" s="18">
        <f>+Prices!G16</f>
        <v>-53.34</v>
      </c>
      <c r="I84" s="18">
        <f>+Prices!H16</f>
        <v>200</v>
      </c>
      <c r="J84" s="18">
        <f>+Prices!I16</f>
        <v>1640</v>
      </c>
      <c r="K84" s="18">
        <f>+Prices!J16</f>
        <v>640</v>
      </c>
      <c r="L84" s="18">
        <f>+Prices!K16</f>
        <v>-197.5</v>
      </c>
      <c r="O84" s="62"/>
      <c r="P84" s="18"/>
      <c r="R84" s="28"/>
      <c r="S84" s="29"/>
      <c r="T84" s="29"/>
      <c r="U84" s="18"/>
      <c r="V84" s="29"/>
      <c r="W84" s="29"/>
      <c r="X84" s="29"/>
      <c r="Y84" s="29"/>
      <c r="Z84" s="29"/>
    </row>
    <row r="85" spans="1:26" x14ac:dyDescent="0.2">
      <c r="A85" t="s">
        <v>163</v>
      </c>
      <c r="C85" s="18">
        <f>+Prices!B20</f>
        <v>93.35</v>
      </c>
      <c r="D85" s="18">
        <f>+Prices!C20</f>
        <v>0</v>
      </c>
      <c r="E85" s="18">
        <f>+Prices!D20</f>
        <v>131.6</v>
      </c>
      <c r="F85" s="18">
        <f>+Prices!E20</f>
        <v>1433.21</v>
      </c>
      <c r="G85" s="18">
        <f>+Prices!F20</f>
        <v>191.77</v>
      </c>
      <c r="H85" s="18">
        <f>+Prices!G20</f>
        <v>-52.5</v>
      </c>
      <c r="I85" s="18">
        <f>+Prices!H20</f>
        <v>305</v>
      </c>
      <c r="J85" s="18">
        <f>+Prices!I20</f>
        <v>1800</v>
      </c>
      <c r="K85" s="18">
        <f>+Prices!J20</f>
        <v>840</v>
      </c>
      <c r="L85" s="18">
        <f>+Prices!K20</f>
        <v>-197.5</v>
      </c>
      <c r="O85" s="62"/>
      <c r="P85" s="18"/>
      <c r="R85" s="28"/>
      <c r="S85" s="29"/>
      <c r="T85" s="29"/>
      <c r="U85" s="18"/>
      <c r="V85" s="29"/>
      <c r="W85" s="29"/>
      <c r="X85" s="29"/>
      <c r="Y85" s="29"/>
      <c r="Z85" s="29"/>
    </row>
    <row r="86" spans="1:26" x14ac:dyDescent="0.2">
      <c r="A86" t="s">
        <v>164</v>
      </c>
      <c r="C86" s="18">
        <f>+Prices!B21</f>
        <v>109.26</v>
      </c>
      <c r="D86" s="18">
        <f>+Prices!C21</f>
        <v>0</v>
      </c>
      <c r="E86" s="18">
        <f>+Prices!D21</f>
        <v>152.5</v>
      </c>
      <c r="F86" s="18">
        <f>+Prices!E21</f>
        <v>1480.11</v>
      </c>
      <c r="G86" s="18">
        <f>+Prices!F21</f>
        <v>241.83</v>
      </c>
      <c r="H86" s="18">
        <f>+Prices!G21</f>
        <v>-52.5</v>
      </c>
      <c r="I86" s="18">
        <f>+Prices!H21</f>
        <v>317.25</v>
      </c>
      <c r="J86" s="18">
        <f>+Prices!I21</f>
        <v>1990</v>
      </c>
      <c r="K86" s="18">
        <f>+Prices!J21</f>
        <v>1040</v>
      </c>
      <c r="L86" s="18">
        <f>+Prices!K21</f>
        <v>-197.5</v>
      </c>
      <c r="O86" s="62"/>
      <c r="P86" s="18"/>
      <c r="R86" s="28"/>
      <c r="S86" s="29"/>
      <c r="T86" s="29"/>
      <c r="U86" s="18"/>
      <c r="V86" s="29"/>
      <c r="W86" s="29"/>
      <c r="X86" s="29"/>
      <c r="Y86" s="29"/>
      <c r="Z86" s="29"/>
    </row>
    <row r="87" spans="1:26" x14ac:dyDescent="0.2">
      <c r="A87" t="s">
        <v>165</v>
      </c>
      <c r="C87" s="18">
        <f>+Prices!B22</f>
        <v>116.07</v>
      </c>
      <c r="D87" s="18">
        <f>+Prices!C22</f>
        <v>0</v>
      </c>
      <c r="E87" s="18">
        <f>+Prices!D22</f>
        <v>162.5</v>
      </c>
      <c r="F87" s="18">
        <f>+Prices!E22</f>
        <v>1597.6</v>
      </c>
      <c r="G87" s="18">
        <f>+Prices!F22</f>
        <v>226.93</v>
      </c>
      <c r="H87" s="18">
        <f>+Prices!G22</f>
        <v>-52.5</v>
      </c>
      <c r="I87" s="18">
        <f>+Prices!H22</f>
        <v>335.93</v>
      </c>
      <c r="J87" s="18">
        <f>+Prices!I22</f>
        <v>2040</v>
      </c>
      <c r="K87" s="18">
        <f>+Prices!J22</f>
        <v>1050</v>
      </c>
      <c r="L87" s="18">
        <f>+Prices!K22</f>
        <v>-197.5</v>
      </c>
      <c r="O87" s="62"/>
      <c r="P87" s="18"/>
      <c r="R87" s="28"/>
      <c r="S87" s="29"/>
      <c r="T87" s="29"/>
      <c r="U87" s="18"/>
      <c r="V87" s="29"/>
      <c r="W87" s="29"/>
      <c r="X87" s="29"/>
      <c r="Y87" s="29"/>
      <c r="Z87" s="29"/>
    </row>
    <row r="88" spans="1:26" x14ac:dyDescent="0.2">
      <c r="A88" t="s">
        <v>166</v>
      </c>
      <c r="C88" s="18">
        <f>+Prices!B23</f>
        <v>122.39</v>
      </c>
      <c r="D88" s="18">
        <f>+Prices!C23</f>
        <v>0</v>
      </c>
      <c r="E88" s="18">
        <f>+Prices!D23</f>
        <v>172.5</v>
      </c>
      <c r="F88" s="18">
        <f>+Prices!E23</f>
        <v>1783.88</v>
      </c>
      <c r="G88" s="18">
        <f>+Prices!F23</f>
        <v>214.73</v>
      </c>
      <c r="H88" s="18">
        <f>+Prices!G23</f>
        <v>-52.5</v>
      </c>
      <c r="I88" s="18">
        <f>+Prices!H23</f>
        <v>350.07</v>
      </c>
      <c r="J88" s="18">
        <f>+Prices!I23</f>
        <v>2040</v>
      </c>
      <c r="K88" s="18">
        <f>+Prices!J23</f>
        <v>1050</v>
      </c>
      <c r="L88" s="18">
        <f>+Prices!K23</f>
        <v>-197.5</v>
      </c>
      <c r="O88" s="62"/>
      <c r="P88" s="18"/>
      <c r="R88" s="28"/>
      <c r="S88" s="29"/>
      <c r="T88" s="29"/>
      <c r="U88" s="18"/>
      <c r="V88" s="29"/>
      <c r="W88" s="29"/>
      <c r="X88" s="29"/>
      <c r="Y88" s="29"/>
      <c r="Z88" s="29"/>
    </row>
    <row r="89" spans="1:26" x14ac:dyDescent="0.2">
      <c r="A89" t="s">
        <v>167</v>
      </c>
      <c r="C89" s="18">
        <f>+Prices!B24</f>
        <v>117.57</v>
      </c>
      <c r="D89" s="18">
        <f>+Prices!C24</f>
        <v>0</v>
      </c>
      <c r="E89" s="18">
        <f>+Prices!D24</f>
        <v>167.5</v>
      </c>
      <c r="F89" s="18">
        <f>+Prices!E24</f>
        <v>1759.22</v>
      </c>
      <c r="G89" s="18">
        <f>+Prices!F24</f>
        <v>231.3</v>
      </c>
      <c r="H89" s="18">
        <f>+Prices!G24</f>
        <v>-52.5</v>
      </c>
      <c r="I89" s="18">
        <f>+Prices!H24</f>
        <v>240</v>
      </c>
      <c r="J89" s="18">
        <f>+Prices!I24</f>
        <v>2020</v>
      </c>
      <c r="K89" s="18">
        <f>+Prices!J24</f>
        <v>1010</v>
      </c>
      <c r="L89" s="18">
        <f>+Prices!K24</f>
        <v>-197.5</v>
      </c>
      <c r="O89" s="62"/>
      <c r="P89" s="18"/>
      <c r="R89" s="28"/>
      <c r="S89" s="29"/>
      <c r="T89" s="29"/>
      <c r="U89" s="18"/>
      <c r="V89" s="29"/>
      <c r="W89" s="29"/>
      <c r="X89" s="29"/>
      <c r="Y89" s="29"/>
      <c r="Z89" s="29"/>
    </row>
    <row r="90" spans="1:26" x14ac:dyDescent="0.2">
      <c r="A90" t="s">
        <v>168</v>
      </c>
      <c r="C90" s="18">
        <f>+Prices!B25</f>
        <v>107.53</v>
      </c>
      <c r="D90" s="18">
        <f>+Prices!C25</f>
        <v>0</v>
      </c>
      <c r="E90" s="18">
        <f>+Prices!D25</f>
        <v>157.5</v>
      </c>
      <c r="F90" s="18">
        <f>+Prices!E25</f>
        <v>1472.52</v>
      </c>
      <c r="G90" s="18">
        <f>+Prices!F25</f>
        <v>249.82</v>
      </c>
      <c r="H90" s="18">
        <f>+Prices!G25</f>
        <v>-52.5</v>
      </c>
      <c r="I90" s="18">
        <f>+Prices!H25</f>
        <v>250</v>
      </c>
      <c r="J90" s="18">
        <f>+Prices!I25</f>
        <v>1680</v>
      </c>
      <c r="K90" s="18">
        <f>+Prices!J25</f>
        <v>706</v>
      </c>
      <c r="L90" s="18">
        <f>+Prices!K25</f>
        <v>-197.5</v>
      </c>
      <c r="O90" s="62"/>
      <c r="P90" s="18"/>
      <c r="R90" s="28"/>
      <c r="S90" s="29"/>
      <c r="T90" s="29"/>
      <c r="U90" s="18"/>
      <c r="V90" s="29"/>
      <c r="W90" s="29"/>
      <c r="X90" s="29"/>
      <c r="Y90" s="29"/>
      <c r="Z90" s="29"/>
    </row>
    <row r="91" spans="1:26" x14ac:dyDescent="0.2">
      <c r="A91" t="s">
        <v>7</v>
      </c>
      <c r="C91" s="18">
        <f>+Prices!B26</f>
        <v>92.62</v>
      </c>
      <c r="D91" s="18">
        <f>+Prices!C26</f>
        <v>0</v>
      </c>
      <c r="E91" s="18">
        <f>+Prices!D26</f>
        <v>137.5</v>
      </c>
      <c r="F91" s="18">
        <f>+Prices!E26</f>
        <v>1544.18</v>
      </c>
      <c r="G91" s="18">
        <f>+Prices!F26</f>
        <v>249.13</v>
      </c>
      <c r="H91" s="18">
        <f>+Prices!G26</f>
        <v>-52.5</v>
      </c>
      <c r="I91" s="18">
        <f>+Prices!H26</f>
        <v>260</v>
      </c>
      <c r="J91" s="18">
        <f>+Prices!I26</f>
        <v>1100</v>
      </c>
      <c r="K91" s="18">
        <f>+Prices!J26</f>
        <v>460</v>
      </c>
      <c r="L91" s="18">
        <f>+Prices!K26</f>
        <v>-197.5</v>
      </c>
      <c r="O91" s="62"/>
      <c r="P91" s="18"/>
      <c r="R91" s="28"/>
      <c r="S91" s="29"/>
      <c r="T91" s="29"/>
      <c r="U91" s="18"/>
      <c r="V91" s="29"/>
      <c r="W91" s="29"/>
      <c r="X91" s="29"/>
      <c r="Y91" s="29"/>
      <c r="Z91" s="29"/>
    </row>
    <row r="92" spans="1:26" x14ac:dyDescent="0.2">
      <c r="A92" t="s">
        <v>201</v>
      </c>
      <c r="C92" s="18">
        <f>+Prices!B27</f>
        <v>92.3</v>
      </c>
      <c r="D92" s="18">
        <f>+Prices!C27</f>
        <v>0</v>
      </c>
      <c r="E92" s="18">
        <f>+Prices!D27</f>
        <v>127.5</v>
      </c>
      <c r="F92" s="18">
        <f>+Prices!E27</f>
        <v>1845.75</v>
      </c>
      <c r="G92" s="18">
        <f>+Prices!F27</f>
        <v>222.78</v>
      </c>
      <c r="H92" s="18">
        <f>+Prices!G27</f>
        <v>-58.5</v>
      </c>
      <c r="I92" s="18">
        <f>+Prices!H27</f>
        <v>243.76</v>
      </c>
      <c r="J92" s="18">
        <f>+Prices!I27</f>
        <v>900</v>
      </c>
      <c r="K92" s="18">
        <f>+Prices!J27</f>
        <v>320</v>
      </c>
      <c r="L92" s="18">
        <f>+Prices!K27</f>
        <v>-205</v>
      </c>
      <c r="O92" s="62"/>
      <c r="P92" s="18"/>
      <c r="R92" s="28"/>
      <c r="S92" s="29"/>
      <c r="T92" s="29"/>
      <c r="U92" s="18"/>
      <c r="V92" s="29"/>
      <c r="W92" s="29"/>
      <c r="X92" s="29"/>
      <c r="Y92" s="29"/>
      <c r="Z92" s="29"/>
    </row>
    <row r="93" spans="1:26" x14ac:dyDescent="0.2">
      <c r="A93" t="s">
        <v>10</v>
      </c>
      <c r="C93" s="18">
        <f>+Prices!B28</f>
        <v>89.36</v>
      </c>
      <c r="D93" s="18">
        <f>+Prices!C28</f>
        <v>0</v>
      </c>
      <c r="E93" s="18">
        <f>+Prices!D28</f>
        <v>132.5</v>
      </c>
      <c r="F93" s="18">
        <f>+Prices!E28</f>
        <v>1976.37</v>
      </c>
      <c r="G93" s="18">
        <f>+Prices!F28</f>
        <v>219.73</v>
      </c>
      <c r="H93" s="18">
        <f>+Prices!G28</f>
        <v>-58.5</v>
      </c>
      <c r="I93" s="18">
        <f>+Prices!H28</f>
        <v>257.07</v>
      </c>
      <c r="J93" s="18">
        <f>+Prices!I28</f>
        <v>840</v>
      </c>
      <c r="K93" s="18">
        <f>+Prices!J28</f>
        <v>280</v>
      </c>
      <c r="L93" s="18">
        <f>+Prices!K28</f>
        <v>-205</v>
      </c>
      <c r="O93" s="62"/>
      <c r="P93" s="18"/>
      <c r="R93" s="28"/>
      <c r="S93" s="29"/>
      <c r="T93" s="29"/>
      <c r="U93" s="18"/>
      <c r="V93" s="29"/>
      <c r="W93" s="29"/>
      <c r="X93" s="29"/>
      <c r="Y93" s="29"/>
      <c r="Z93" s="29"/>
    </row>
    <row r="94" spans="1:26" x14ac:dyDescent="0.2">
      <c r="A94" t="s">
        <v>8</v>
      </c>
      <c r="C94" s="18">
        <f>+Prices!B29</f>
        <v>85.29</v>
      </c>
      <c r="D94" s="18">
        <f>+Prices!C29</f>
        <v>0</v>
      </c>
      <c r="E94" s="18">
        <f>+Prices!D29</f>
        <v>137.5</v>
      </c>
      <c r="F94" s="18">
        <f>+Prices!E29</f>
        <v>2273.9899999999998</v>
      </c>
      <c r="G94" s="18">
        <f>+Prices!F29</f>
        <v>279.49</v>
      </c>
      <c r="H94" s="18">
        <f>+Prices!G29</f>
        <v>-58.5</v>
      </c>
      <c r="I94" s="18">
        <f>+Prices!H29</f>
        <v>324.95999999999998</v>
      </c>
      <c r="J94" s="18">
        <f>+Prices!I29</f>
        <v>820</v>
      </c>
      <c r="K94" s="18">
        <f>+Prices!J29</f>
        <v>390</v>
      </c>
      <c r="L94" s="18">
        <f>+Prices!K29</f>
        <v>-205</v>
      </c>
      <c r="O94" s="62"/>
      <c r="P94" s="18"/>
      <c r="R94" s="28"/>
      <c r="S94" s="29"/>
      <c r="T94" s="29"/>
      <c r="U94" s="18"/>
      <c r="V94" s="29"/>
      <c r="W94" s="29"/>
      <c r="X94" s="29"/>
      <c r="Y94" s="29"/>
      <c r="Z94" s="29"/>
    </row>
    <row r="95" spans="1:26" x14ac:dyDescent="0.2">
      <c r="A95" t="s">
        <v>9</v>
      </c>
      <c r="C95" s="18">
        <f>+Prices!B30</f>
        <v>85.5</v>
      </c>
      <c r="D95" s="18">
        <f>+Prices!C30</f>
        <v>0</v>
      </c>
      <c r="E95" s="18">
        <f>+Prices!D30</f>
        <v>132.5</v>
      </c>
      <c r="F95" s="18">
        <f>+Prices!E30</f>
        <v>2143</v>
      </c>
      <c r="G95" s="18">
        <f>+Prices!F30</f>
        <v>305.02</v>
      </c>
      <c r="H95" s="18">
        <f>+Prices!G30</f>
        <v>-58.5</v>
      </c>
      <c r="I95" s="18">
        <f>+Prices!H30</f>
        <v>515.12</v>
      </c>
      <c r="J95" s="18">
        <f>+Prices!I30</f>
        <v>860</v>
      </c>
      <c r="K95" s="18">
        <f>+Prices!J30</f>
        <v>460</v>
      </c>
      <c r="L95" s="18">
        <f>+Prices!K30</f>
        <v>-205</v>
      </c>
      <c r="O95" s="62"/>
      <c r="P95" s="18"/>
      <c r="R95" s="28"/>
      <c r="S95" s="29"/>
      <c r="T95" s="29"/>
      <c r="U95" s="18"/>
      <c r="V95" s="29"/>
      <c r="W95" s="29"/>
      <c r="X95" s="29"/>
      <c r="Y95" s="29"/>
      <c r="Z95" s="29"/>
    </row>
    <row r="96" spans="1:26" x14ac:dyDescent="0.2">
      <c r="A96" t="s">
        <v>2</v>
      </c>
      <c r="C96" s="18">
        <f>+Prices!B31</f>
        <v>88.14</v>
      </c>
      <c r="D96" s="18">
        <f>+Prices!C31</f>
        <v>0</v>
      </c>
      <c r="E96" s="18">
        <f>+Prices!D31</f>
        <v>132.5</v>
      </c>
      <c r="F96" s="18">
        <f>+Prices!E31</f>
        <v>1764.23</v>
      </c>
      <c r="G96" s="18">
        <f>+Prices!F31</f>
        <v>243.22</v>
      </c>
      <c r="H96" s="18">
        <f>+Prices!G31</f>
        <v>-58.5</v>
      </c>
      <c r="I96" s="18">
        <f>+Prices!H31</f>
        <v>628.6</v>
      </c>
      <c r="J96" s="18">
        <f>+Prices!I31</f>
        <v>1080</v>
      </c>
      <c r="K96" s="18">
        <f>+Prices!J31</f>
        <v>480</v>
      </c>
      <c r="L96" s="18">
        <f>+Prices!K31</f>
        <v>-205</v>
      </c>
      <c r="O96" s="62"/>
      <c r="P96" s="18"/>
      <c r="R96" s="28"/>
      <c r="S96" s="29"/>
      <c r="T96" s="29"/>
      <c r="U96" s="18"/>
      <c r="V96" s="29"/>
      <c r="W96" s="29"/>
      <c r="X96" s="29"/>
      <c r="Y96" s="29"/>
      <c r="Z96" s="29"/>
    </row>
    <row r="97" spans="1:2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O97" s="62"/>
      <c r="P97" s="18"/>
      <c r="R97" s="28"/>
      <c r="S97" s="29"/>
      <c r="T97" s="29"/>
      <c r="U97" s="18"/>
      <c r="V97" s="29"/>
      <c r="W97" s="29"/>
      <c r="X97" s="29"/>
      <c r="Y97" s="29"/>
      <c r="Z97" s="29"/>
    </row>
    <row r="98" spans="1:26" x14ac:dyDescent="0.2">
      <c r="C98" s="63"/>
      <c r="D98" s="63"/>
      <c r="E98" s="63"/>
      <c r="F98" s="63"/>
      <c r="G98" s="63"/>
      <c r="H98" s="63"/>
      <c r="I98" s="63"/>
      <c r="J98" s="63"/>
      <c r="K98" s="63"/>
      <c r="L98" s="63"/>
      <c r="P98" s="4"/>
      <c r="Q98" s="4"/>
      <c r="R98" s="4"/>
      <c r="S98" s="4"/>
      <c r="T98" s="4"/>
    </row>
    <row r="99" spans="1:26" x14ac:dyDescent="0.2">
      <c r="C99"/>
      <c r="P99" s="4"/>
      <c r="Q99" s="4"/>
      <c r="R99" s="4"/>
      <c r="S99" s="4"/>
      <c r="T99" s="4"/>
      <c r="U99" s="4"/>
    </row>
    <row r="100" spans="1:26" x14ac:dyDescent="0.2">
      <c r="C100" s="322" t="s">
        <v>34</v>
      </c>
      <c r="D100" s="322"/>
      <c r="E100" s="322"/>
      <c r="F100" s="322"/>
      <c r="G100" s="322"/>
      <c r="H100" s="322"/>
      <c r="I100" s="322"/>
      <c r="J100" s="322"/>
      <c r="K100" s="322"/>
      <c r="L100" s="322"/>
      <c r="P100" s="4"/>
      <c r="Q100" s="4"/>
      <c r="R100" s="4"/>
      <c r="S100" s="4"/>
      <c r="T100" s="4"/>
      <c r="U100" s="4"/>
    </row>
    <row r="101" spans="1:26" x14ac:dyDescent="0.2">
      <c r="C101" s="24" t="s">
        <v>35</v>
      </c>
      <c r="D101" s="24" t="s">
        <v>36</v>
      </c>
      <c r="E101" s="24"/>
      <c r="F101" s="24" t="s">
        <v>37</v>
      </c>
      <c r="G101" s="24" t="s">
        <v>38</v>
      </c>
      <c r="H101" s="24"/>
      <c r="I101" s="24"/>
      <c r="J101" s="24" t="s">
        <v>0</v>
      </c>
      <c r="K101" s="24" t="s">
        <v>0</v>
      </c>
      <c r="L101" s="24" t="s">
        <v>39</v>
      </c>
      <c r="N101" s="99"/>
      <c r="P101" s="4"/>
      <c r="Q101" s="4"/>
      <c r="R101" s="4"/>
      <c r="S101" s="4"/>
      <c r="T101" s="4"/>
      <c r="U101" s="4"/>
    </row>
    <row r="102" spans="1:26" x14ac:dyDescent="0.2">
      <c r="C102" s="25" t="s">
        <v>40</v>
      </c>
      <c r="D102" s="25" t="s">
        <v>41</v>
      </c>
      <c r="E102" s="25" t="s">
        <v>19</v>
      </c>
      <c r="F102" s="25" t="s">
        <v>17</v>
      </c>
      <c r="G102" s="25" t="s">
        <v>18</v>
      </c>
      <c r="H102" s="25" t="s">
        <v>11</v>
      </c>
      <c r="I102" s="25" t="s">
        <v>1</v>
      </c>
      <c r="J102" s="25" t="s">
        <v>42</v>
      </c>
      <c r="K102" s="25" t="s">
        <v>43</v>
      </c>
      <c r="L102" s="25" t="s">
        <v>44</v>
      </c>
      <c r="M102" s="30" t="s">
        <v>3</v>
      </c>
      <c r="N102" s="30"/>
      <c r="P102" s="4"/>
      <c r="Q102" s="4"/>
      <c r="R102" s="4"/>
      <c r="S102" s="4"/>
      <c r="T102" s="4"/>
      <c r="U102" s="4"/>
    </row>
    <row r="103" spans="1:26" x14ac:dyDescent="0.2">
      <c r="A103" s="3" t="s">
        <v>49</v>
      </c>
      <c r="B103" s="3"/>
      <c r="P103" s="5"/>
      <c r="Q103" s="5"/>
      <c r="R103" s="5"/>
      <c r="S103" s="5"/>
      <c r="T103" s="5"/>
      <c r="U103" s="5"/>
      <c r="V103" s="5"/>
    </row>
    <row r="104" spans="1:26" x14ac:dyDescent="0.2">
      <c r="A104" t="s">
        <v>198</v>
      </c>
      <c r="C104" s="2">
        <f t="shared" ref="C104:L104" si="25">+$H9*C46</f>
        <v>101.0710089390773</v>
      </c>
      <c r="D104" s="2">
        <f t="shared" si="25"/>
        <v>0</v>
      </c>
      <c r="E104" s="2">
        <f t="shared" si="25"/>
        <v>210.53522347693229</v>
      </c>
      <c r="F104" s="2">
        <f t="shared" si="25"/>
        <v>9.215803024182927</v>
      </c>
      <c r="G104" s="2">
        <f t="shared" si="25"/>
        <v>10.666647933826242</v>
      </c>
      <c r="H104" s="2">
        <f t="shared" si="25"/>
        <v>72.750154721553898</v>
      </c>
      <c r="I104" s="2">
        <f t="shared" si="25"/>
        <v>19.624824291810825</v>
      </c>
      <c r="J104" s="2">
        <f t="shared" si="25"/>
        <v>4.1401057234681513</v>
      </c>
      <c r="K104" s="2">
        <f t="shared" si="25"/>
        <v>3.2090339122951828</v>
      </c>
      <c r="L104" s="2">
        <f t="shared" si="25"/>
        <v>4.9717426810207063E-2</v>
      </c>
      <c r="M104" s="6">
        <f t="shared" ref="M104" si="26">SUM(C104:L104)</f>
        <v>431.26251944995698</v>
      </c>
      <c r="N104" s="2"/>
      <c r="O104" s="6"/>
      <c r="P104" s="79"/>
      <c r="Q104" s="17"/>
      <c r="R104" s="76"/>
      <c r="S104" s="9"/>
      <c r="T104" s="76"/>
      <c r="U104" s="76"/>
      <c r="V104" s="18"/>
    </row>
    <row r="105" spans="1:26" x14ac:dyDescent="0.2">
      <c r="A105" t="s">
        <v>164</v>
      </c>
      <c r="C105" s="2">
        <f t="shared" ref="C105:L105" si="27">+$H10*C47</f>
        <v>92.896055973412643</v>
      </c>
      <c r="D105" s="2">
        <f t="shared" si="27"/>
        <v>0</v>
      </c>
      <c r="E105" s="2">
        <f t="shared" si="27"/>
        <v>216.71080216896979</v>
      </c>
      <c r="F105" s="2">
        <f t="shared" si="27"/>
        <v>9.808002798670632</v>
      </c>
      <c r="G105" s="2">
        <f t="shared" si="27"/>
        <v>10.814993877907995</v>
      </c>
      <c r="H105" s="2">
        <f t="shared" si="27"/>
        <v>84.040856393213247</v>
      </c>
      <c r="I105" s="2">
        <f t="shared" si="27"/>
        <v>23.065966066118595</v>
      </c>
      <c r="J105" s="2">
        <f t="shared" si="27"/>
        <v>4.5066237537169851</v>
      </c>
      <c r="K105" s="2">
        <f t="shared" si="27"/>
        <v>3.2873968864789229</v>
      </c>
      <c r="L105" s="2">
        <f t="shared" si="27"/>
        <v>5.4187860766136089E-2</v>
      </c>
      <c r="M105" s="6">
        <f t="shared" ref="M105:M110" si="28">SUM(C105:L105)</f>
        <v>445.18488577925496</v>
      </c>
      <c r="N105" s="2">
        <f>+M105+M104</f>
        <v>876.44740522921188</v>
      </c>
      <c r="O105" s="6"/>
      <c r="P105" s="79"/>
      <c r="Q105" s="17"/>
      <c r="R105" s="76"/>
      <c r="S105" s="9"/>
      <c r="T105" s="76"/>
      <c r="U105" s="76"/>
      <c r="V105" s="18"/>
    </row>
    <row r="106" spans="1:26" x14ac:dyDescent="0.2">
      <c r="A106" t="s">
        <v>165</v>
      </c>
      <c r="C106" s="2">
        <f t="shared" ref="C106:L106" si="29">+$H11*C48</f>
        <v>82.636611652346673</v>
      </c>
      <c r="D106" s="2">
        <f t="shared" si="29"/>
        <v>0</v>
      </c>
      <c r="E106" s="2">
        <f t="shared" si="29"/>
        <v>180.13868627895224</v>
      </c>
      <c r="F106" s="2">
        <f t="shared" si="29"/>
        <v>8.2912232698373973</v>
      </c>
      <c r="G106" s="2">
        <f t="shared" si="29"/>
        <v>9.8771738789452588</v>
      </c>
      <c r="H106" s="2">
        <f t="shared" si="29"/>
        <v>75.651199567786122</v>
      </c>
      <c r="I106" s="2">
        <f t="shared" si="29"/>
        <v>21.100824343400895</v>
      </c>
      <c r="J106" s="2">
        <f t="shared" si="29"/>
        <v>4.0529848899423131</v>
      </c>
      <c r="K106" s="2">
        <f t="shared" si="29"/>
        <v>2.7968758605064572</v>
      </c>
      <c r="L106" s="2">
        <f t="shared" si="29"/>
        <v>0</v>
      </c>
      <c r="M106" s="6">
        <f t="shared" si="28"/>
        <v>384.5455797417174</v>
      </c>
      <c r="N106" s="2">
        <f>+N105+M106</f>
        <v>1260.9929849709292</v>
      </c>
      <c r="O106" s="6"/>
      <c r="P106" s="79"/>
      <c r="Q106" s="17"/>
      <c r="R106" s="76"/>
      <c r="S106" s="9"/>
      <c r="T106" s="76"/>
      <c r="U106" s="76"/>
      <c r="V106" s="18"/>
    </row>
    <row r="107" spans="1:26" x14ac:dyDescent="0.2">
      <c r="A107" t="s">
        <v>166</v>
      </c>
      <c r="C107" s="2">
        <f t="shared" ref="C107:L107" si="30">+$H12*C49</f>
        <v>94.717341632524452</v>
      </c>
      <c r="D107" s="2">
        <f t="shared" si="30"/>
        <v>0</v>
      </c>
      <c r="E107" s="2">
        <f t="shared" si="30"/>
        <v>198.92589820359285</v>
      </c>
      <c r="F107" s="2">
        <f t="shared" si="30"/>
        <v>9.1967381027418877</v>
      </c>
      <c r="G107" s="2">
        <f t="shared" si="30"/>
        <v>11.2218326504885</v>
      </c>
      <c r="H107" s="2">
        <f t="shared" si="30"/>
        <v>75.535573589662789</v>
      </c>
      <c r="I107" s="2">
        <f t="shared" si="30"/>
        <v>20.962220296249612</v>
      </c>
      <c r="J107" s="2">
        <f t="shared" si="30"/>
        <v>4.7478726757012302</v>
      </c>
      <c r="K107" s="2">
        <f t="shared" si="30"/>
        <v>2.8179167979829822</v>
      </c>
      <c r="L107" s="2">
        <f t="shared" si="30"/>
        <v>0</v>
      </c>
      <c r="M107" s="6">
        <f t="shared" si="28"/>
        <v>418.12539394894435</v>
      </c>
      <c r="N107" s="2">
        <f t="shared" ref="N107:N115" si="31">+N106+M107</f>
        <v>1679.1183789198735</v>
      </c>
      <c r="O107" s="6"/>
      <c r="P107" s="79"/>
      <c r="Q107" s="17"/>
      <c r="R107" s="76"/>
      <c r="S107" s="9"/>
      <c r="T107" s="76"/>
      <c r="U107" s="76"/>
      <c r="V107" s="18"/>
    </row>
    <row r="108" spans="1:26" x14ac:dyDescent="0.2">
      <c r="A108" t="s">
        <v>167</v>
      </c>
      <c r="C108" s="2">
        <f t="shared" ref="C108:L108" si="32">+$H13*C50</f>
        <v>96.213420028060312</v>
      </c>
      <c r="D108" s="2">
        <f t="shared" si="32"/>
        <v>0</v>
      </c>
      <c r="E108" s="2">
        <f t="shared" si="32"/>
        <v>203.99568800420903</v>
      </c>
      <c r="F108" s="2">
        <f t="shared" si="32"/>
        <v>8.1558335671694131</v>
      </c>
      <c r="G108" s="2">
        <f t="shared" si="32"/>
        <v>10.084731322343035</v>
      </c>
      <c r="H108" s="2">
        <f t="shared" si="32"/>
        <v>65.459981936162748</v>
      </c>
      <c r="I108" s="2">
        <f t="shared" si="32"/>
        <v>20.36916029463346</v>
      </c>
      <c r="J108" s="2">
        <f t="shared" si="32"/>
        <v>4.8472065941774805</v>
      </c>
      <c r="K108" s="2">
        <f t="shared" si="32"/>
        <v>3.2632411434584356</v>
      </c>
      <c r="L108" s="2">
        <f t="shared" si="32"/>
        <v>0</v>
      </c>
      <c r="M108" s="6">
        <f t="shared" si="28"/>
        <v>412.3892628902139</v>
      </c>
      <c r="N108" s="2">
        <f t="shared" si="31"/>
        <v>2091.5076418100875</v>
      </c>
      <c r="O108" s="6"/>
      <c r="P108" s="79"/>
      <c r="Q108" s="17"/>
      <c r="R108" s="76"/>
      <c r="S108" s="9"/>
      <c r="T108" s="76"/>
      <c r="U108" s="76"/>
      <c r="V108" s="18"/>
    </row>
    <row r="109" spans="1:26" x14ac:dyDescent="0.2">
      <c r="A109" t="s">
        <v>168</v>
      </c>
      <c r="C109" s="2">
        <f t="shared" ref="C109:L109" si="33">+$H14*C51</f>
        <v>111.75216123619073</v>
      </c>
      <c r="D109" s="2">
        <f t="shared" si="33"/>
        <v>0</v>
      </c>
      <c r="E109" s="2">
        <f t="shared" si="33"/>
        <v>203.79668088379245</v>
      </c>
      <c r="F109" s="2">
        <f t="shared" si="33"/>
        <v>8.3878695287372391</v>
      </c>
      <c r="G109" s="2">
        <f t="shared" si="33"/>
        <v>12.244205006292825</v>
      </c>
      <c r="H109" s="2">
        <f t="shared" si="33"/>
        <v>78.721809537127655</v>
      </c>
      <c r="I109" s="2">
        <f t="shared" si="33"/>
        <v>16.56728849112012</v>
      </c>
      <c r="J109" s="2">
        <f t="shared" si="33"/>
        <v>4.6312278003076495</v>
      </c>
      <c r="K109" s="2">
        <f t="shared" si="33"/>
        <v>3.1403530974688847</v>
      </c>
      <c r="L109" s="2">
        <f t="shared" si="33"/>
        <v>0</v>
      </c>
      <c r="M109" s="6">
        <f t="shared" si="28"/>
        <v>439.24159558103759</v>
      </c>
      <c r="N109" s="2">
        <f t="shared" si="31"/>
        <v>2530.749237391125</v>
      </c>
      <c r="O109" s="6"/>
      <c r="P109" s="79"/>
      <c r="Q109" s="17"/>
      <c r="R109" s="76"/>
      <c r="S109" s="9"/>
      <c r="T109" s="76"/>
      <c r="U109" s="76"/>
      <c r="V109" s="18"/>
    </row>
    <row r="110" spans="1:26" x14ac:dyDescent="0.2">
      <c r="A110" t="s">
        <v>7</v>
      </c>
      <c r="C110" s="2">
        <f t="shared" ref="C110:L110" si="34">+$H15*C52</f>
        <v>118.72772798659824</v>
      </c>
      <c r="D110" s="2">
        <f t="shared" si="34"/>
        <v>0</v>
      </c>
      <c r="E110" s="2">
        <f t="shared" si="34"/>
        <v>226.12412434998078</v>
      </c>
      <c r="F110" s="2">
        <f t="shared" si="34"/>
        <v>9.6970484765993099</v>
      </c>
      <c r="G110" s="2">
        <f t="shared" si="34"/>
        <v>12.739259763375562</v>
      </c>
      <c r="H110" s="2">
        <f t="shared" si="34"/>
        <v>88.568186926325339</v>
      </c>
      <c r="I110" s="2">
        <f t="shared" si="34"/>
        <v>16.406210867971939</v>
      </c>
      <c r="J110" s="2">
        <f t="shared" si="34"/>
        <v>4.3958142253865216</v>
      </c>
      <c r="K110" s="2">
        <f t="shared" si="34"/>
        <v>3.3274185949115274</v>
      </c>
      <c r="L110" s="2">
        <f t="shared" si="34"/>
        <v>0</v>
      </c>
      <c r="M110" s="6">
        <f t="shared" si="28"/>
        <v>479.98579119114919</v>
      </c>
      <c r="N110" s="2">
        <f t="shared" si="31"/>
        <v>3010.735028582274</v>
      </c>
      <c r="O110" s="6"/>
      <c r="P110" s="79"/>
      <c r="Q110" s="17"/>
      <c r="R110" s="76"/>
      <c r="S110" s="9"/>
      <c r="T110" s="76"/>
      <c r="U110" s="76"/>
      <c r="V110" s="18"/>
    </row>
    <row r="111" spans="1:26" x14ac:dyDescent="0.2">
      <c r="A111" t="s">
        <v>199</v>
      </c>
      <c r="C111" s="2">
        <f t="shared" ref="C111:L111" si="35">+$H16*C53</f>
        <v>94.197797943238967</v>
      </c>
      <c r="D111" s="2">
        <f t="shared" si="35"/>
        <v>0</v>
      </c>
      <c r="E111" s="2">
        <f t="shared" si="35"/>
        <v>253.44351476448171</v>
      </c>
      <c r="F111" s="2">
        <f t="shared" si="35"/>
        <v>8.4839200264490415</v>
      </c>
      <c r="G111" s="2">
        <f t="shared" si="35"/>
        <v>11.851202387374062</v>
      </c>
      <c r="H111" s="2">
        <f t="shared" si="35"/>
        <v>74.986613652577915</v>
      </c>
      <c r="I111" s="2">
        <f t="shared" si="35"/>
        <v>17.076608258365379</v>
      </c>
      <c r="J111" s="2">
        <f t="shared" si="35"/>
        <v>4.2147679618576976</v>
      </c>
      <c r="K111" s="2">
        <f t="shared" si="35"/>
        <v>2.6421609911430513</v>
      </c>
      <c r="L111" s="2">
        <f t="shared" si="35"/>
        <v>0</v>
      </c>
      <c r="M111" s="6">
        <f t="shared" ref="M111" si="36">SUM(C111:L111)</f>
        <v>466.89658598548783</v>
      </c>
      <c r="N111" s="2">
        <f t="shared" si="31"/>
        <v>3477.631614567762</v>
      </c>
      <c r="O111" s="6"/>
      <c r="P111" s="79"/>
      <c r="Q111" s="17"/>
      <c r="R111" s="76"/>
      <c r="S111" s="9"/>
      <c r="T111" s="76"/>
      <c r="U111" s="76"/>
      <c r="V111" s="18"/>
    </row>
    <row r="112" spans="1:26" x14ac:dyDescent="0.2">
      <c r="A112" t="s">
        <v>10</v>
      </c>
      <c r="C112" s="2">
        <f t="shared" ref="C112:L112" si="37">+$H17*C54</f>
        <v>83.393098823979017</v>
      </c>
      <c r="D112" s="2">
        <f t="shared" si="37"/>
        <v>0</v>
      </c>
      <c r="E112" s="2">
        <f t="shared" si="37"/>
        <v>180.01019959351709</v>
      </c>
      <c r="F112" s="2">
        <f t="shared" si="37"/>
        <v>6.6821248284607497</v>
      </c>
      <c r="G112" s="2">
        <f t="shared" si="37"/>
        <v>9.3332589851824821</v>
      </c>
      <c r="H112" s="2">
        <f t="shared" si="37"/>
        <v>74.367479979849563</v>
      </c>
      <c r="I112" s="2">
        <f t="shared" si="37"/>
        <v>13.671889797974533</v>
      </c>
      <c r="J112" s="2">
        <f t="shared" si="37"/>
        <v>2.519934684802057</v>
      </c>
      <c r="K112" s="2">
        <f t="shared" si="37"/>
        <v>4.1576660239373249</v>
      </c>
      <c r="L112" s="2">
        <f t="shared" si="37"/>
        <v>0</v>
      </c>
      <c r="M112" s="6">
        <f t="shared" ref="M112" si="38">SUM(C112:L112)</f>
        <v>374.13565271770284</v>
      </c>
      <c r="N112" s="2">
        <f t="shared" si="31"/>
        <v>3851.7672672854646</v>
      </c>
      <c r="O112" s="6"/>
      <c r="P112" s="79"/>
      <c r="Q112" s="17"/>
      <c r="R112" s="76"/>
      <c r="S112" s="9"/>
      <c r="T112" s="76"/>
      <c r="U112" s="76"/>
      <c r="V112" s="18"/>
    </row>
    <row r="113" spans="1:22" x14ac:dyDescent="0.2">
      <c r="A113" t="s">
        <v>8</v>
      </c>
      <c r="C113" s="2">
        <f t="shared" ref="C113:L113" si="39">+$H18*C55</f>
        <v>106.3402774030646</v>
      </c>
      <c r="D113" s="2">
        <f t="shared" si="39"/>
        <v>0</v>
      </c>
      <c r="E113" s="2">
        <f t="shared" si="39"/>
        <v>205.05576527965138</v>
      </c>
      <c r="F113" s="2">
        <f t="shared" si="39"/>
        <v>8.8948344920618467</v>
      </c>
      <c r="G113" s="2">
        <f t="shared" si="39"/>
        <v>11.385207360520219</v>
      </c>
      <c r="H113" s="2">
        <f t="shared" si="39"/>
        <v>79.859161910691441</v>
      </c>
      <c r="I113" s="2">
        <f t="shared" si="39"/>
        <v>17.893622842516695</v>
      </c>
      <c r="J113" s="2">
        <f t="shared" si="39"/>
        <v>4.9310286742070506</v>
      </c>
      <c r="K113" s="2">
        <f t="shared" si="39"/>
        <v>2.9468658987928475</v>
      </c>
      <c r="L113" s="2">
        <f t="shared" si="39"/>
        <v>0</v>
      </c>
      <c r="M113" s="6">
        <f t="shared" ref="M113" si="40">SUM(C113:L113)</f>
        <v>437.30676386150611</v>
      </c>
      <c r="N113" s="2">
        <f t="shared" si="31"/>
        <v>4289.0740311469708</v>
      </c>
      <c r="O113" s="6"/>
      <c r="P113" s="79"/>
      <c r="Q113" s="17"/>
      <c r="R113" s="76"/>
      <c r="S113" s="9"/>
      <c r="T113" s="76"/>
      <c r="U113" s="76"/>
      <c r="V113" s="18"/>
    </row>
    <row r="114" spans="1:22" x14ac:dyDescent="0.2">
      <c r="A114" t="s">
        <v>9</v>
      </c>
      <c r="C114" s="2">
        <f t="shared" ref="C114:L114" si="41">+$H19*C56</f>
        <v>86.04047754884607</v>
      </c>
      <c r="D114" s="2">
        <f t="shared" si="41"/>
        <v>0</v>
      </c>
      <c r="E114" s="2">
        <f t="shared" si="41"/>
        <v>214.27026772979568</v>
      </c>
      <c r="F114" s="2">
        <f t="shared" si="41"/>
        <v>8.9884926022030136</v>
      </c>
      <c r="G114" s="2">
        <f t="shared" si="41"/>
        <v>10.496385819600293</v>
      </c>
      <c r="H114" s="2">
        <f t="shared" si="41"/>
        <v>81.018695032048512</v>
      </c>
      <c r="I114" s="2">
        <f t="shared" si="41"/>
        <v>16.926440980873988</v>
      </c>
      <c r="J114" s="2">
        <f t="shared" si="41"/>
        <v>3.8172792260237478</v>
      </c>
      <c r="K114" s="2">
        <f t="shared" si="41"/>
        <v>2.8618273675527983</v>
      </c>
      <c r="L114" s="2">
        <f t="shared" si="41"/>
        <v>0</v>
      </c>
      <c r="M114" s="6">
        <f t="shared" ref="M114" si="42">SUM(C114:L114)</f>
        <v>424.41986630694407</v>
      </c>
      <c r="N114" s="2">
        <f t="shared" si="31"/>
        <v>4713.4938974539145</v>
      </c>
      <c r="O114" s="6"/>
      <c r="P114" s="79"/>
      <c r="Q114" s="17"/>
      <c r="R114" s="76"/>
      <c r="S114" s="9"/>
      <c r="T114" s="76"/>
      <c r="U114" s="76"/>
      <c r="V114" s="18"/>
    </row>
    <row r="115" spans="1:22" ht="15" x14ac:dyDescent="0.35">
      <c r="A115" t="s">
        <v>2</v>
      </c>
      <c r="C115" s="12">
        <f t="shared" ref="C115:L115" si="43">+$H20*C57</f>
        <v>70.876263984399074</v>
      </c>
      <c r="D115" s="12">
        <f t="shared" si="43"/>
        <v>0</v>
      </c>
      <c r="E115" s="12">
        <f t="shared" si="43"/>
        <v>193.61563686749466</v>
      </c>
      <c r="F115" s="12">
        <f t="shared" si="43"/>
        <v>8.3844303602586496</v>
      </c>
      <c r="G115" s="12">
        <f t="shared" si="43"/>
        <v>10.583476855178079</v>
      </c>
      <c r="H115" s="12">
        <f t="shared" si="43"/>
        <v>76.925904238940788</v>
      </c>
      <c r="I115" s="12">
        <f t="shared" si="43"/>
        <v>18.23489171713025</v>
      </c>
      <c r="J115" s="12">
        <f t="shared" si="43"/>
        <v>3.8008211023298784</v>
      </c>
      <c r="K115" s="12">
        <f t="shared" si="43"/>
        <v>2.7963183824284106</v>
      </c>
      <c r="L115" s="12">
        <f t="shared" si="43"/>
        <v>0</v>
      </c>
      <c r="M115" s="7">
        <f t="shared" ref="M115" si="44">SUM(C115:L115)</f>
        <v>385.21774350815986</v>
      </c>
      <c r="N115" s="2">
        <f t="shared" si="31"/>
        <v>5098.7116409620739</v>
      </c>
      <c r="O115" s="7"/>
      <c r="P115" s="79"/>
      <c r="Q115" s="78"/>
      <c r="R115" s="76"/>
      <c r="S115" s="9"/>
      <c r="T115" s="76"/>
      <c r="U115" s="76"/>
      <c r="V115" s="18"/>
    </row>
    <row r="116" spans="1:22" ht="15" x14ac:dyDescent="0.35">
      <c r="C116" s="15">
        <f t="shared" ref="C116:M116" si="45">SUM(C104:C115)</f>
        <v>1138.8622431517379</v>
      </c>
      <c r="D116" s="15">
        <f t="shared" si="45"/>
        <v>0</v>
      </c>
      <c r="E116" s="15">
        <f t="shared" si="45"/>
        <v>2486.6224876013703</v>
      </c>
      <c r="F116" s="15">
        <f t="shared" si="45"/>
        <v>104.1863210773721</v>
      </c>
      <c r="G116" s="15">
        <f t="shared" si="45"/>
        <v>131.29837584103456</v>
      </c>
      <c r="H116" s="15">
        <f t="shared" si="45"/>
        <v>927.88561748594009</v>
      </c>
      <c r="I116" s="15">
        <f t="shared" si="45"/>
        <v>221.89994824816628</v>
      </c>
      <c r="J116" s="15">
        <f t="shared" si="45"/>
        <v>50.605667311920762</v>
      </c>
      <c r="K116" s="15">
        <f t="shared" si="45"/>
        <v>37.247074956956823</v>
      </c>
      <c r="L116" s="15">
        <f t="shared" si="45"/>
        <v>0.10390528757634315</v>
      </c>
      <c r="M116" s="8">
        <f t="shared" si="45"/>
        <v>5098.7116409620739</v>
      </c>
      <c r="N116" s="8"/>
      <c r="O116" s="8"/>
      <c r="Q116" s="17"/>
    </row>
    <row r="117" spans="1:22" x14ac:dyDescent="0.2">
      <c r="C117" s="80">
        <f t="shared" ref="C117:M117" si="46">+C116/$M116</f>
        <v>0.22336274795427466</v>
      </c>
      <c r="D117" s="80">
        <f t="shared" si="46"/>
        <v>0</v>
      </c>
      <c r="E117" s="80">
        <f t="shared" si="46"/>
        <v>0.48769623832505471</v>
      </c>
      <c r="F117" s="80">
        <f t="shared" si="46"/>
        <v>2.0433852395251993E-2</v>
      </c>
      <c r="G117" s="80">
        <f t="shared" si="46"/>
        <v>2.5751284851296262E-2</v>
      </c>
      <c r="H117" s="80">
        <f t="shared" si="46"/>
        <v>0.18198432914532459</v>
      </c>
      <c r="I117" s="80">
        <f t="shared" si="46"/>
        <v>4.3520787970330495E-2</v>
      </c>
      <c r="J117" s="80">
        <f t="shared" si="46"/>
        <v>9.9251871600983498E-3</v>
      </c>
      <c r="K117" s="80">
        <f t="shared" si="46"/>
        <v>7.3051934645060037E-3</v>
      </c>
      <c r="L117" s="80">
        <f t="shared" si="46"/>
        <v>2.0378733863195548E-5</v>
      </c>
      <c r="M117" s="80">
        <f t="shared" si="46"/>
        <v>1</v>
      </c>
    </row>
    <row r="119" spans="1:22" x14ac:dyDescent="0.2">
      <c r="A119" s="3" t="s">
        <v>49</v>
      </c>
      <c r="B119" s="3"/>
    </row>
    <row r="120" spans="1:22" x14ac:dyDescent="0.2">
      <c r="A120" t="s">
        <v>200</v>
      </c>
      <c r="C120" s="2">
        <f>+$H$23*C58</f>
        <v>97.904949356926934</v>
      </c>
      <c r="D120" s="2">
        <f>+$H$23*D58</f>
        <v>0</v>
      </c>
      <c r="E120" s="2">
        <f t="shared" ref="E120:L120" si="47">+$H$23*E58</f>
        <v>241.87589116436374</v>
      </c>
      <c r="F120" s="2">
        <f t="shared" si="47"/>
        <v>11.043341418006049</v>
      </c>
      <c r="G120" s="2">
        <f t="shared" si="47"/>
        <v>11.210870582608848</v>
      </c>
      <c r="H120" s="2">
        <f t="shared" si="47"/>
        <v>75.428874408594822</v>
      </c>
      <c r="I120" s="2">
        <f t="shared" si="47"/>
        <v>26.587331203989965</v>
      </c>
      <c r="J120" s="2">
        <f t="shared" si="47"/>
        <v>4.6636497173211282</v>
      </c>
      <c r="K120" s="2">
        <f t="shared" si="47"/>
        <v>3.6086687618494548</v>
      </c>
      <c r="L120" s="2">
        <f t="shared" si="47"/>
        <v>0</v>
      </c>
      <c r="M120" s="6">
        <f t="shared" ref="M120:M122" si="48">SUM(C120:L120)</f>
        <v>472.32357661366086</v>
      </c>
      <c r="N120" s="2"/>
    </row>
    <row r="121" spans="1:22" x14ac:dyDescent="0.2">
      <c r="A121" t="s">
        <v>164</v>
      </c>
      <c r="C121" s="2">
        <f>+$H$24*C59</f>
        <v>91.21083360341153</v>
      </c>
      <c r="D121" s="2">
        <f>+$H$24*D59</f>
        <v>0</v>
      </c>
      <c r="E121" s="2">
        <f t="shared" ref="E121:L121" si="49">+$H$24*E59</f>
        <v>221.02621270788913</v>
      </c>
      <c r="F121" s="2">
        <f t="shared" si="49"/>
        <v>10.773361535181238</v>
      </c>
      <c r="G121" s="2">
        <f t="shared" si="49"/>
        <v>8.6830754797441365</v>
      </c>
      <c r="H121" s="2">
        <f t="shared" si="49"/>
        <v>77.014118550106616</v>
      </c>
      <c r="I121" s="2">
        <f t="shared" si="49"/>
        <v>23.237995735607679</v>
      </c>
      <c r="J121" s="2">
        <f t="shared" si="49"/>
        <v>3.9855996588486136</v>
      </c>
      <c r="K121" s="2">
        <f t="shared" si="49"/>
        <v>3.2193125799573563</v>
      </c>
      <c r="L121" s="2">
        <f t="shared" si="49"/>
        <v>0</v>
      </c>
      <c r="M121" s="6">
        <f t="shared" si="48"/>
        <v>439.1505098507464</v>
      </c>
      <c r="N121" s="2"/>
    </row>
    <row r="122" spans="1:22" x14ac:dyDescent="0.2">
      <c r="A122" t="s">
        <v>165</v>
      </c>
      <c r="C122" s="2">
        <f>+$H$25*C60</f>
        <v>85.58553110812602</v>
      </c>
      <c r="D122" s="2">
        <f>+$H$25*D60</f>
        <v>0</v>
      </c>
      <c r="E122" s="2">
        <f t="shared" ref="E122:L122" si="50">+$H$25*E60</f>
        <v>221.79599751747114</v>
      </c>
      <c r="F122" s="2">
        <f t="shared" si="50"/>
        <v>11.312379316794475</v>
      </c>
      <c r="G122" s="2">
        <f t="shared" si="50"/>
        <v>9.0616777473601857</v>
      </c>
      <c r="H122" s="2">
        <f t="shared" si="50"/>
        <v>77.651468432776156</v>
      </c>
      <c r="I122" s="2">
        <f t="shared" si="50"/>
        <v>24.313916954311264</v>
      </c>
      <c r="J122" s="2">
        <f t="shared" si="50"/>
        <v>5.0674749621669397</v>
      </c>
      <c r="K122" s="2">
        <f t="shared" si="50"/>
        <v>3.3783166414446271</v>
      </c>
      <c r="L122" s="2">
        <f t="shared" si="50"/>
        <v>0</v>
      </c>
      <c r="M122" s="6">
        <f t="shared" si="48"/>
        <v>438.1667626804508</v>
      </c>
      <c r="N122" s="2"/>
    </row>
    <row r="123" spans="1:22" x14ac:dyDescent="0.2">
      <c r="A123" t="s">
        <v>166</v>
      </c>
      <c r="C123" s="2">
        <f t="shared" ref="C123:L123" si="51">+$H$25*C61</f>
        <v>89.986427992014399</v>
      </c>
      <c r="D123" s="2">
        <f t="shared" si="51"/>
        <v>0</v>
      </c>
      <c r="E123" s="2">
        <f t="shared" si="51"/>
        <v>233.22469964998916</v>
      </c>
      <c r="F123" s="2">
        <f t="shared" si="51"/>
        <v>9.8862428165862895</v>
      </c>
      <c r="G123" s="2">
        <f t="shared" si="51"/>
        <v>9.1212854245543813</v>
      </c>
      <c r="H123" s="2">
        <f t="shared" si="51"/>
        <v>68.792119380173816</v>
      </c>
      <c r="I123" s="2">
        <f t="shared" si="51"/>
        <v>19.922151209874478</v>
      </c>
      <c r="J123" s="2">
        <f t="shared" si="51"/>
        <v>4.024341062428733</v>
      </c>
      <c r="K123" s="2">
        <f t="shared" si="51"/>
        <v>3.209495144829527</v>
      </c>
      <c r="L123" s="2">
        <f t="shared" si="51"/>
        <v>0</v>
      </c>
      <c r="M123" s="6">
        <f t="shared" ref="M123:M130" si="52">SUM(C123:L123)</f>
        <v>438.1667626804508</v>
      </c>
      <c r="N123" s="2"/>
    </row>
    <row r="124" spans="1:22" x14ac:dyDescent="0.2">
      <c r="A124" t="s">
        <v>167</v>
      </c>
      <c r="C124" s="2">
        <f t="shared" ref="C124:L124" si="53">+$H$25*C62</f>
        <v>86.98637425380241</v>
      </c>
      <c r="D124" s="2">
        <f t="shared" si="53"/>
        <v>0</v>
      </c>
      <c r="E124" s="2">
        <f t="shared" si="53"/>
        <v>235.8009925274236</v>
      </c>
      <c r="F124" s="2">
        <f t="shared" si="53"/>
        <v>9.4114671375888328</v>
      </c>
      <c r="G124" s="2">
        <f t="shared" si="53"/>
        <v>10.392028575825872</v>
      </c>
      <c r="H124" s="2">
        <f t="shared" si="53"/>
        <v>67.077131718617053</v>
      </c>
      <c r="I124" s="2">
        <f t="shared" si="53"/>
        <v>20.423556622888128</v>
      </c>
      <c r="J124" s="2">
        <f t="shared" si="53"/>
        <v>4.6817002002101757</v>
      </c>
      <c r="K124" s="2">
        <f t="shared" si="53"/>
        <v>3.3935116440948496</v>
      </c>
      <c r="L124" s="2">
        <f t="shared" si="53"/>
        <v>0</v>
      </c>
      <c r="M124" s="6">
        <f t="shared" si="52"/>
        <v>438.16676268045092</v>
      </c>
      <c r="N124" s="2"/>
    </row>
    <row r="125" spans="1:22" x14ac:dyDescent="0.2">
      <c r="A125" t="s">
        <v>168</v>
      </c>
      <c r="C125" s="2">
        <f t="shared" ref="C125:L125" si="54">+$H$25*C63</f>
        <v>93.249664606522373</v>
      </c>
      <c r="D125" s="2">
        <f t="shared" si="54"/>
        <v>0</v>
      </c>
      <c r="E125" s="2">
        <f t="shared" si="54"/>
        <v>245.62185470541374</v>
      </c>
      <c r="F125" s="2">
        <f t="shared" si="54"/>
        <v>8.6858749096737284</v>
      </c>
      <c r="G125" s="2">
        <f t="shared" si="54"/>
        <v>10.207105140457049</v>
      </c>
      <c r="H125" s="2">
        <f t="shared" si="54"/>
        <v>56.630855286775621</v>
      </c>
      <c r="I125" s="2">
        <f t="shared" si="54"/>
        <v>17.218752526021547</v>
      </c>
      <c r="J125" s="2">
        <f t="shared" si="54"/>
        <v>3.9123593579053781</v>
      </c>
      <c r="K125" s="2">
        <f t="shared" si="54"/>
        <v>2.6402961476813949</v>
      </c>
      <c r="L125" s="2">
        <f t="shared" si="54"/>
        <v>0</v>
      </c>
      <c r="M125" s="6">
        <f t="shared" si="52"/>
        <v>438.1667626804508</v>
      </c>
      <c r="N125" s="2"/>
    </row>
    <row r="126" spans="1:22" x14ac:dyDescent="0.2">
      <c r="A126" t="s">
        <v>7</v>
      </c>
      <c r="C126" s="2">
        <f t="shared" ref="C126:L126" si="55">+$H$25*C64</f>
        <v>98.926422739046217</v>
      </c>
      <c r="D126" s="2">
        <f t="shared" si="55"/>
        <v>0</v>
      </c>
      <c r="E126" s="2">
        <f t="shared" si="55"/>
        <v>224.23403250373485</v>
      </c>
      <c r="F126" s="2">
        <f t="shared" si="55"/>
        <v>8.2458876329958528</v>
      </c>
      <c r="G126" s="2">
        <f t="shared" si="55"/>
        <v>10.151891042777459</v>
      </c>
      <c r="H126" s="2">
        <f t="shared" si="55"/>
        <v>69.920442882136712</v>
      </c>
      <c r="I126" s="2">
        <f t="shared" si="55"/>
        <v>19.423466951376124</v>
      </c>
      <c r="J126" s="2">
        <f t="shared" si="55"/>
        <v>4.2238973869312737</v>
      </c>
      <c r="K126" s="2">
        <f t="shared" si="55"/>
        <v>3.0407215414524371</v>
      </c>
      <c r="L126" s="2">
        <f t="shared" si="55"/>
        <v>0</v>
      </c>
      <c r="M126" s="6">
        <f t="shared" si="52"/>
        <v>438.16676268045086</v>
      </c>
      <c r="N126" s="2"/>
    </row>
    <row r="127" spans="1:22" x14ac:dyDescent="0.2">
      <c r="A127" t="s">
        <v>201</v>
      </c>
      <c r="C127" s="2">
        <f t="shared" ref="C127:L127" si="56">+$H$25*C65</f>
        <v>91.732141735670425</v>
      </c>
      <c r="D127" s="2">
        <f t="shared" si="56"/>
        <v>0</v>
      </c>
      <c r="E127" s="2">
        <f t="shared" si="56"/>
        <v>224.55976653181077</v>
      </c>
      <c r="F127" s="2">
        <f t="shared" si="56"/>
        <v>8.6331070289352496</v>
      </c>
      <c r="G127" s="2">
        <f t="shared" si="56"/>
        <v>12.140575737101866</v>
      </c>
      <c r="H127" s="2">
        <f t="shared" si="56"/>
        <v>74.30669290209174</v>
      </c>
      <c r="I127" s="2">
        <f t="shared" si="56"/>
        <v>19.258800575516076</v>
      </c>
      <c r="J127" s="2">
        <f t="shared" si="56"/>
        <v>4.5532538567365375</v>
      </c>
      <c r="K127" s="2">
        <f t="shared" si="56"/>
        <v>2.9824243125882992</v>
      </c>
      <c r="L127" s="2">
        <f t="shared" si="56"/>
        <v>0</v>
      </c>
      <c r="M127" s="6">
        <f t="shared" si="52"/>
        <v>438.16676268045097</v>
      </c>
      <c r="N127" s="2"/>
    </row>
    <row r="128" spans="1:22" x14ac:dyDescent="0.2">
      <c r="A128" t="s">
        <v>10</v>
      </c>
      <c r="C128" s="2">
        <f t="shared" ref="C128:L128" si="57">+$H$25*C66</f>
        <v>94.30942270290835</v>
      </c>
      <c r="D128" s="2">
        <f t="shared" si="57"/>
        <v>0</v>
      </c>
      <c r="E128" s="2">
        <f t="shared" si="57"/>
        <v>231.5895533684693</v>
      </c>
      <c r="F128" s="2">
        <f t="shared" si="57"/>
        <v>8.6328493536442004</v>
      </c>
      <c r="G128" s="2">
        <f t="shared" si="57"/>
        <v>7.9249047753807531</v>
      </c>
      <c r="H128" s="2">
        <f t="shared" si="57"/>
        <v>75.622741712630727</v>
      </c>
      <c r="I128" s="2">
        <f t="shared" si="57"/>
        <v>13.277780687286389</v>
      </c>
      <c r="J128" s="2">
        <f t="shared" si="57"/>
        <v>4.1661774461834549</v>
      </c>
      <c r="K128" s="2">
        <f t="shared" si="57"/>
        <v>2.6433326339476935</v>
      </c>
      <c r="L128" s="2">
        <f t="shared" si="57"/>
        <v>0</v>
      </c>
      <c r="M128" s="6">
        <f t="shared" si="52"/>
        <v>438.16676268045086</v>
      </c>
      <c r="N128" s="2"/>
    </row>
    <row r="129" spans="1:15" x14ac:dyDescent="0.2">
      <c r="A129" t="s">
        <v>8</v>
      </c>
      <c r="C129" s="2">
        <f t="shared" ref="C129:L129" si="58">+$H$25*C67</f>
        <v>106.90269206579811</v>
      </c>
      <c r="D129" s="2">
        <f t="shared" si="58"/>
        <v>0</v>
      </c>
      <c r="E129" s="2">
        <f t="shared" si="58"/>
        <v>219.85682227195838</v>
      </c>
      <c r="F129" s="2">
        <f t="shared" si="58"/>
        <v>9.4128441838466905</v>
      </c>
      <c r="G129" s="2">
        <f t="shared" si="58"/>
        <v>8.8458053775908638</v>
      </c>
      <c r="H129" s="2">
        <f t="shared" si="58"/>
        <v>68.579941383804453</v>
      </c>
      <c r="I129" s="2">
        <f t="shared" si="58"/>
        <v>15.931522300563648</v>
      </c>
      <c r="J129" s="2">
        <f t="shared" si="58"/>
        <v>4.9128242174004644</v>
      </c>
      <c r="K129" s="2">
        <f t="shared" si="58"/>
        <v>3.7243108794882565</v>
      </c>
      <c r="L129" s="2">
        <f t="shared" si="58"/>
        <v>0</v>
      </c>
      <c r="M129" s="6">
        <f t="shared" si="52"/>
        <v>438.16676268045086</v>
      </c>
      <c r="N129" s="2"/>
    </row>
    <row r="130" spans="1:15" x14ac:dyDescent="0.2">
      <c r="A130" t="s">
        <v>9</v>
      </c>
      <c r="C130" s="2">
        <f t="shared" ref="C130:L131" si="59">+$H$25*C68</f>
        <v>96.252929238859849</v>
      </c>
      <c r="D130" s="2">
        <f t="shared" si="59"/>
        <v>0</v>
      </c>
      <c r="E130" s="2">
        <f t="shared" si="59"/>
        <v>244.13229469793563</v>
      </c>
      <c r="F130" s="2">
        <f t="shared" si="59"/>
        <v>8.3207805406672293</v>
      </c>
      <c r="G130" s="2">
        <f t="shared" si="59"/>
        <v>8.5285527063675985</v>
      </c>
      <c r="H130" s="2">
        <f t="shared" si="59"/>
        <v>59.897747197621172</v>
      </c>
      <c r="I130" s="2">
        <f t="shared" si="59"/>
        <v>13.376569906042915</v>
      </c>
      <c r="J130" s="2">
        <f t="shared" si="59"/>
        <v>4.7490780731513311</v>
      </c>
      <c r="K130" s="2">
        <f t="shared" si="59"/>
        <v>2.9088103198051902</v>
      </c>
      <c r="L130" s="2">
        <f t="shared" si="59"/>
        <v>0</v>
      </c>
      <c r="M130" s="6">
        <f t="shared" si="52"/>
        <v>438.16676268045086</v>
      </c>
      <c r="N130" s="2"/>
    </row>
    <row r="131" spans="1:15" ht="15" x14ac:dyDescent="0.35">
      <c r="A131" t="s">
        <v>2</v>
      </c>
      <c r="C131" s="12">
        <f t="shared" si="59"/>
        <v>92.566539364497544</v>
      </c>
      <c r="D131" s="12">
        <f t="shared" si="59"/>
        <v>0</v>
      </c>
      <c r="E131" s="12">
        <f t="shared" si="59"/>
        <v>242.5748553651658</v>
      </c>
      <c r="F131" s="12">
        <f t="shared" si="59"/>
        <v>10.931338652742765</v>
      </c>
      <c r="G131" s="12">
        <f t="shared" si="59"/>
        <v>9.8409308070826391</v>
      </c>
      <c r="H131" s="12">
        <f t="shared" si="59"/>
        <v>54.284137249779945</v>
      </c>
      <c r="I131" s="12">
        <f t="shared" si="59"/>
        <v>19.477410143104002</v>
      </c>
      <c r="J131" s="12">
        <f t="shared" si="59"/>
        <v>4.8159679849988901</v>
      </c>
      <c r="K131" s="12">
        <f t="shared" si="59"/>
        <v>3.6755831130793419</v>
      </c>
      <c r="L131" s="12">
        <f t="shared" si="59"/>
        <v>0</v>
      </c>
      <c r="M131" s="7">
        <f t="shared" ref="M131" si="60">SUM(C131:L131)</f>
        <v>438.16676268045097</v>
      </c>
      <c r="N131" s="2"/>
    </row>
    <row r="132" spans="1:15" ht="15" x14ac:dyDescent="0.35">
      <c r="C132" s="15">
        <f t="shared" ref="C132:M132" si="61">SUM(C120:C131)</f>
        <v>1125.6139287675842</v>
      </c>
      <c r="D132" s="15">
        <f t="shared" si="61"/>
        <v>0</v>
      </c>
      <c r="E132" s="15">
        <f t="shared" si="61"/>
        <v>2786.2929730116248</v>
      </c>
      <c r="F132" s="15">
        <f t="shared" si="61"/>
        <v>115.28947452666262</v>
      </c>
      <c r="G132" s="15">
        <f t="shared" si="61"/>
        <v>116.10870339685165</v>
      </c>
      <c r="H132" s="15">
        <f t="shared" si="61"/>
        <v>825.20627110510884</v>
      </c>
      <c r="I132" s="15">
        <f t="shared" si="61"/>
        <v>232.4492548165822</v>
      </c>
      <c r="J132" s="15">
        <f t="shared" si="61"/>
        <v>53.756323924282917</v>
      </c>
      <c r="K132" s="15">
        <f t="shared" si="61"/>
        <v>38.424783720218429</v>
      </c>
      <c r="L132" s="15">
        <f t="shared" si="61"/>
        <v>0</v>
      </c>
      <c r="M132" s="8">
        <f t="shared" si="61"/>
        <v>5293.1417132689166</v>
      </c>
      <c r="N132" s="8"/>
    </row>
    <row r="133" spans="1:15" x14ac:dyDescent="0.2">
      <c r="C133" s="80">
        <f t="shared" ref="C133:M133" si="62">+C132/$M132</f>
        <v>0.21265516582446309</v>
      </c>
      <c r="D133" s="80">
        <f t="shared" si="62"/>
        <v>0</v>
      </c>
      <c r="E133" s="80">
        <f t="shared" si="62"/>
        <v>0.52639682138623067</v>
      </c>
      <c r="F133" s="80">
        <f t="shared" si="62"/>
        <v>2.1780915904377442E-2</v>
      </c>
      <c r="G133" s="80">
        <f t="shared" si="62"/>
        <v>2.1935687666511713E-2</v>
      </c>
      <c r="H133" s="80">
        <f t="shared" si="62"/>
        <v>0.15590103492533952</v>
      </c>
      <c r="I133" s="80">
        <f t="shared" si="62"/>
        <v>4.3915176922974759E-2</v>
      </c>
      <c r="J133" s="80">
        <f t="shared" si="62"/>
        <v>1.0155844456143289E-2</v>
      </c>
      <c r="K133" s="80">
        <f t="shared" si="62"/>
        <v>7.2593529139593372E-3</v>
      </c>
      <c r="L133" s="80">
        <f t="shared" si="62"/>
        <v>0</v>
      </c>
      <c r="M133" s="80">
        <f t="shared" si="62"/>
        <v>1</v>
      </c>
    </row>
    <row r="134" spans="1:15" x14ac:dyDescent="0.2"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</row>
    <row r="135" spans="1:15" x14ac:dyDescent="0.2">
      <c r="A135" s="3" t="s">
        <v>50</v>
      </c>
      <c r="B135" s="77">
        <v>1.35E-2</v>
      </c>
    </row>
    <row r="136" spans="1:15" x14ac:dyDescent="0.2">
      <c r="A136" t="s">
        <v>198</v>
      </c>
      <c r="C136" s="2">
        <f t="shared" ref="C136:L136" si="63">+$B$135*C104</f>
        <v>1.3644586206775435</v>
      </c>
      <c r="D136" s="2">
        <f t="shared" si="63"/>
        <v>0</v>
      </c>
      <c r="E136" s="2">
        <f t="shared" si="63"/>
        <v>2.8422255169385857</v>
      </c>
      <c r="F136" s="2">
        <f t="shared" si="63"/>
        <v>0.12441334082646952</v>
      </c>
      <c r="G136" s="2">
        <f t="shared" si="63"/>
        <v>0.14399974710665428</v>
      </c>
      <c r="H136" s="2">
        <f t="shared" si="63"/>
        <v>0.98212708874097765</v>
      </c>
      <c r="I136" s="2">
        <f t="shared" si="63"/>
        <v>0.26493512793944612</v>
      </c>
      <c r="J136" s="2">
        <f t="shared" si="63"/>
        <v>5.5891427266820039E-2</v>
      </c>
      <c r="K136" s="2">
        <f t="shared" si="63"/>
        <v>4.3321957815984968E-2</v>
      </c>
      <c r="L136" s="2">
        <f t="shared" si="63"/>
        <v>6.7118526193779538E-4</v>
      </c>
      <c r="M136" s="6">
        <f t="shared" ref="M136" si="64">SUM(C136:L136)</f>
        <v>5.8220440125744197</v>
      </c>
      <c r="N136" s="2"/>
      <c r="O136" s="6"/>
    </row>
    <row r="137" spans="1:15" x14ac:dyDescent="0.2">
      <c r="A137" t="s">
        <v>164</v>
      </c>
      <c r="C137" s="2">
        <f t="shared" ref="C137:L137" si="65">+$B$135*C105</f>
        <v>1.2540967556410707</v>
      </c>
      <c r="D137" s="2">
        <f t="shared" si="65"/>
        <v>0</v>
      </c>
      <c r="E137" s="2">
        <f t="shared" si="65"/>
        <v>2.9255958292810922</v>
      </c>
      <c r="F137" s="2">
        <f t="shared" si="65"/>
        <v>0.13240803778205354</v>
      </c>
      <c r="G137" s="2">
        <f t="shared" si="65"/>
        <v>0.14600241735175792</v>
      </c>
      <c r="H137" s="2">
        <f t="shared" si="65"/>
        <v>1.1345515613083788</v>
      </c>
      <c r="I137" s="2">
        <f t="shared" si="65"/>
        <v>0.31139054189260101</v>
      </c>
      <c r="J137" s="2">
        <f t="shared" si="65"/>
        <v>6.08394206751793E-2</v>
      </c>
      <c r="K137" s="2">
        <f t="shared" si="65"/>
        <v>4.4379857967465457E-2</v>
      </c>
      <c r="L137" s="2">
        <f t="shared" si="65"/>
        <v>7.3153612034283723E-4</v>
      </c>
      <c r="M137" s="6">
        <f t="shared" ref="M137:M147" si="66">SUM(C137:L137)</f>
        <v>6.0099959580199425</v>
      </c>
      <c r="N137" s="2">
        <f>+M137+M136</f>
        <v>11.832039970594362</v>
      </c>
      <c r="O137" s="6"/>
    </row>
    <row r="138" spans="1:15" x14ac:dyDescent="0.2">
      <c r="A138" t="s">
        <v>165</v>
      </c>
      <c r="C138" s="2">
        <f t="shared" ref="C138:L138" si="67">+$B$135*C106</f>
        <v>1.1155942573066802</v>
      </c>
      <c r="D138" s="2">
        <f t="shared" si="67"/>
        <v>0</v>
      </c>
      <c r="E138" s="2">
        <f t="shared" si="67"/>
        <v>2.4318722647658553</v>
      </c>
      <c r="F138" s="2">
        <f t="shared" si="67"/>
        <v>0.11193151414280486</v>
      </c>
      <c r="G138" s="2">
        <f t="shared" si="67"/>
        <v>0.13334184736576099</v>
      </c>
      <c r="H138" s="2">
        <f t="shared" si="67"/>
        <v>1.0212911941651126</v>
      </c>
      <c r="I138" s="2">
        <f t="shared" si="67"/>
        <v>0.28486112863591206</v>
      </c>
      <c r="J138" s="2">
        <f t="shared" si="67"/>
        <v>5.4715296014221225E-2</v>
      </c>
      <c r="K138" s="2">
        <f t="shared" si="67"/>
        <v>3.7757824116837174E-2</v>
      </c>
      <c r="L138" s="2">
        <f t="shared" si="67"/>
        <v>0</v>
      </c>
      <c r="M138" s="6">
        <f t="shared" si="66"/>
        <v>5.1913653265131838</v>
      </c>
      <c r="N138" s="2">
        <f>+M138+N137</f>
        <v>17.023405297107544</v>
      </c>
      <c r="O138" s="6"/>
    </row>
    <row r="139" spans="1:15" x14ac:dyDescent="0.2">
      <c r="A139" t="s">
        <v>166</v>
      </c>
      <c r="C139" s="2">
        <f t="shared" ref="C139:L139" si="68">+$B$135*C107</f>
        <v>1.2786841120390802</v>
      </c>
      <c r="D139" s="2">
        <f t="shared" si="68"/>
        <v>0</v>
      </c>
      <c r="E139" s="2">
        <f t="shared" si="68"/>
        <v>2.6854996257485033</v>
      </c>
      <c r="F139" s="2">
        <f t="shared" si="68"/>
        <v>0.12415596438701548</v>
      </c>
      <c r="G139" s="2">
        <f t="shared" si="68"/>
        <v>0.15149474078159475</v>
      </c>
      <c r="H139" s="2">
        <f t="shared" si="68"/>
        <v>1.0197302434604476</v>
      </c>
      <c r="I139" s="2">
        <f t="shared" si="68"/>
        <v>0.28298997399936976</v>
      </c>
      <c r="J139" s="2">
        <f t="shared" si="68"/>
        <v>6.4096281121966608E-2</v>
      </c>
      <c r="K139" s="2">
        <f t="shared" si="68"/>
        <v>3.804187677277026E-2</v>
      </c>
      <c r="L139" s="2">
        <f t="shared" si="68"/>
        <v>0</v>
      </c>
      <c r="M139" s="6">
        <f t="shared" si="66"/>
        <v>5.6446928183107481</v>
      </c>
      <c r="N139" s="2">
        <f t="shared" ref="N139:N147" si="69">+M139+N138</f>
        <v>22.668098115418292</v>
      </c>
      <c r="O139" s="6"/>
    </row>
    <row r="140" spans="1:15" x14ac:dyDescent="0.2">
      <c r="A140" t="s">
        <v>167</v>
      </c>
      <c r="C140" s="2">
        <f t="shared" ref="C140:L140" si="70">+$B$135*C108</f>
        <v>1.2988811703788141</v>
      </c>
      <c r="D140" s="2">
        <f t="shared" si="70"/>
        <v>0</v>
      </c>
      <c r="E140" s="2">
        <f t="shared" si="70"/>
        <v>2.7539417880568218</v>
      </c>
      <c r="F140" s="2">
        <f t="shared" si="70"/>
        <v>0.11010375315678708</v>
      </c>
      <c r="G140" s="2">
        <f t="shared" si="70"/>
        <v>0.13614387285163099</v>
      </c>
      <c r="H140" s="2">
        <f t="shared" si="70"/>
        <v>0.88370975613819713</v>
      </c>
      <c r="I140" s="2">
        <f t="shared" si="70"/>
        <v>0.2749836639775517</v>
      </c>
      <c r="J140" s="2">
        <f t="shared" si="70"/>
        <v>6.5437289021395992E-2</v>
      </c>
      <c r="K140" s="2">
        <f t="shared" si="70"/>
        <v>4.4053755436688879E-2</v>
      </c>
      <c r="L140" s="2">
        <f t="shared" si="70"/>
        <v>0</v>
      </c>
      <c r="M140" s="6">
        <f t="shared" si="66"/>
        <v>5.5672550490178878</v>
      </c>
      <c r="N140" s="2">
        <f t="shared" si="69"/>
        <v>28.23535316443618</v>
      </c>
      <c r="O140" s="6"/>
    </row>
    <row r="141" spans="1:15" x14ac:dyDescent="0.2">
      <c r="A141" t="s">
        <v>168</v>
      </c>
      <c r="C141" s="2">
        <f t="shared" ref="C141:L141" si="71">+$B$135*C109</f>
        <v>1.5086541766885748</v>
      </c>
      <c r="D141" s="2">
        <f t="shared" si="71"/>
        <v>0</v>
      </c>
      <c r="E141" s="2">
        <f t="shared" si="71"/>
        <v>2.7512551919311981</v>
      </c>
      <c r="F141" s="2">
        <f t="shared" si="71"/>
        <v>0.11323623863795272</v>
      </c>
      <c r="G141" s="2">
        <f t="shared" si="71"/>
        <v>0.16529676758495312</v>
      </c>
      <c r="H141" s="2">
        <f t="shared" si="71"/>
        <v>1.0627444287512233</v>
      </c>
      <c r="I141" s="2">
        <f t="shared" si="71"/>
        <v>0.22365839463012163</v>
      </c>
      <c r="J141" s="2">
        <f t="shared" si="71"/>
        <v>6.2521575304153268E-2</v>
      </c>
      <c r="K141" s="2">
        <f t="shared" si="71"/>
        <v>4.2394766815829946E-2</v>
      </c>
      <c r="L141" s="2">
        <f t="shared" si="71"/>
        <v>0</v>
      </c>
      <c r="M141" s="6">
        <f t="shared" si="66"/>
        <v>5.9297615403440078</v>
      </c>
      <c r="N141" s="2">
        <f t="shared" si="69"/>
        <v>34.165114704780187</v>
      </c>
      <c r="O141" s="6"/>
    </row>
    <row r="142" spans="1:15" x14ac:dyDescent="0.2">
      <c r="A142" t="s">
        <v>7</v>
      </c>
      <c r="C142" s="2">
        <f t="shared" ref="C142:L142" si="72">+$B$135*C110</f>
        <v>1.6028243278190761</v>
      </c>
      <c r="D142" s="2">
        <f t="shared" si="72"/>
        <v>0</v>
      </c>
      <c r="E142" s="2">
        <f t="shared" si="72"/>
        <v>3.0526756787247402</v>
      </c>
      <c r="F142" s="2">
        <f t="shared" si="72"/>
        <v>0.13091015443409068</v>
      </c>
      <c r="G142" s="2">
        <f t="shared" si="72"/>
        <v>0.1719800068055701</v>
      </c>
      <c r="H142" s="2">
        <f t="shared" si="72"/>
        <v>1.1956705235053922</v>
      </c>
      <c r="I142" s="2">
        <f t="shared" si="72"/>
        <v>0.22148384671762117</v>
      </c>
      <c r="J142" s="2">
        <f t="shared" si="72"/>
        <v>5.9343492042718042E-2</v>
      </c>
      <c r="K142" s="2">
        <f t="shared" si="72"/>
        <v>4.4920151031305616E-2</v>
      </c>
      <c r="L142" s="2">
        <f t="shared" si="72"/>
        <v>0</v>
      </c>
      <c r="M142" s="6">
        <f t="shared" si="66"/>
        <v>6.4798081810805144</v>
      </c>
      <c r="N142" s="2">
        <f t="shared" si="69"/>
        <v>40.644922885860701</v>
      </c>
      <c r="O142" s="6"/>
    </row>
    <row r="143" spans="1:15" x14ac:dyDescent="0.2">
      <c r="A143" t="s">
        <v>199</v>
      </c>
      <c r="C143" s="2">
        <f t="shared" ref="C143:L143" si="73">+$B$135*C111</f>
        <v>1.2716702722337261</v>
      </c>
      <c r="D143" s="2">
        <f t="shared" si="73"/>
        <v>0</v>
      </c>
      <c r="E143" s="2">
        <f t="shared" si="73"/>
        <v>3.421487449320503</v>
      </c>
      <c r="F143" s="2">
        <f t="shared" si="73"/>
        <v>0.11453292035706206</v>
      </c>
      <c r="G143" s="2">
        <f t="shared" si="73"/>
        <v>0.15999123222954983</v>
      </c>
      <c r="H143" s="2">
        <f t="shared" si="73"/>
        <v>1.0123192843098019</v>
      </c>
      <c r="I143" s="2">
        <f t="shared" si="73"/>
        <v>0.23053421148793263</v>
      </c>
      <c r="J143" s="2">
        <f t="shared" si="73"/>
        <v>5.6899367485078921E-2</v>
      </c>
      <c r="K143" s="2">
        <f t="shared" si="73"/>
        <v>3.5669173380431192E-2</v>
      </c>
      <c r="L143" s="2">
        <f t="shared" si="73"/>
        <v>0</v>
      </c>
      <c r="M143" s="6">
        <f t="shared" si="66"/>
        <v>6.3031039108040865</v>
      </c>
      <c r="N143" s="2">
        <f t="shared" si="69"/>
        <v>46.948026796664792</v>
      </c>
      <c r="O143" s="6"/>
    </row>
    <row r="144" spans="1:15" x14ac:dyDescent="0.2">
      <c r="A144" t="s">
        <v>10</v>
      </c>
      <c r="C144" s="2">
        <f t="shared" ref="C144:L144" si="74">+$B$135*C112</f>
        <v>1.1258068341237166</v>
      </c>
      <c r="D144" s="2">
        <f t="shared" si="74"/>
        <v>0</v>
      </c>
      <c r="E144" s="2">
        <f t="shared" si="74"/>
        <v>2.4301376945124806</v>
      </c>
      <c r="F144" s="2">
        <f t="shared" si="74"/>
        <v>9.0208685184220122E-2</v>
      </c>
      <c r="G144" s="2">
        <f t="shared" si="74"/>
        <v>0.1259989962999635</v>
      </c>
      <c r="H144" s="2">
        <f t="shared" si="74"/>
        <v>1.0039609797279692</v>
      </c>
      <c r="I144" s="2">
        <f t="shared" si="74"/>
        <v>0.1845705122726562</v>
      </c>
      <c r="J144" s="2">
        <f t="shared" si="74"/>
        <v>3.401911824482777E-2</v>
      </c>
      <c r="K144" s="2">
        <f t="shared" si="74"/>
        <v>5.6128491323153888E-2</v>
      </c>
      <c r="L144" s="2">
        <f t="shared" si="74"/>
        <v>0</v>
      </c>
      <c r="M144" s="6">
        <f t="shared" si="66"/>
        <v>5.050831311688988</v>
      </c>
      <c r="N144" s="2">
        <f t="shared" si="69"/>
        <v>51.99885810835378</v>
      </c>
      <c r="O144" s="6"/>
    </row>
    <row r="145" spans="1:17" x14ac:dyDescent="0.2">
      <c r="A145" t="s">
        <v>8</v>
      </c>
      <c r="C145" s="2">
        <f t="shared" ref="C145:L145" si="75">+$B$135*C113</f>
        <v>1.435593744941372</v>
      </c>
      <c r="D145" s="2">
        <f t="shared" si="75"/>
        <v>0</v>
      </c>
      <c r="E145" s="2">
        <f t="shared" si="75"/>
        <v>2.7682528312752934</v>
      </c>
      <c r="F145" s="2">
        <f t="shared" si="75"/>
        <v>0.12008026564283493</v>
      </c>
      <c r="G145" s="2">
        <f t="shared" si="75"/>
        <v>0.15370029936702295</v>
      </c>
      <c r="H145" s="2">
        <f t="shared" si="75"/>
        <v>1.0780986857943344</v>
      </c>
      <c r="I145" s="2">
        <f t="shared" si="75"/>
        <v>0.24156390837397537</v>
      </c>
      <c r="J145" s="2">
        <f t="shared" si="75"/>
        <v>6.6568887101795177E-2</v>
      </c>
      <c r="K145" s="2">
        <f t="shared" si="75"/>
        <v>3.978268963370344E-2</v>
      </c>
      <c r="L145" s="2">
        <f t="shared" si="75"/>
        <v>0</v>
      </c>
      <c r="M145" s="6">
        <f t="shared" si="66"/>
        <v>5.9036413121303317</v>
      </c>
      <c r="N145" s="2">
        <f t="shared" si="69"/>
        <v>57.902499420484112</v>
      </c>
      <c r="O145" s="6"/>
    </row>
    <row r="146" spans="1:17" x14ac:dyDescent="0.2">
      <c r="A146" t="s">
        <v>9</v>
      </c>
      <c r="C146" s="2">
        <f t="shared" ref="C146:L146" si="76">+$B$135*C114</f>
        <v>1.1615464469094219</v>
      </c>
      <c r="D146" s="2">
        <f t="shared" si="76"/>
        <v>0</v>
      </c>
      <c r="E146" s="2">
        <f t="shared" si="76"/>
        <v>2.8926486143522414</v>
      </c>
      <c r="F146" s="2">
        <f t="shared" si="76"/>
        <v>0.12134465012974069</v>
      </c>
      <c r="G146" s="2">
        <f t="shared" si="76"/>
        <v>0.14170120856460397</v>
      </c>
      <c r="H146" s="2">
        <f t="shared" si="76"/>
        <v>1.093752382932655</v>
      </c>
      <c r="I146" s="2">
        <f t="shared" si="76"/>
        <v>0.22850695324179884</v>
      </c>
      <c r="J146" s="2">
        <f t="shared" si="76"/>
        <v>5.1533269551320593E-2</v>
      </c>
      <c r="K146" s="2">
        <f t="shared" si="76"/>
        <v>3.8634669461962777E-2</v>
      </c>
      <c r="L146" s="2">
        <f t="shared" si="76"/>
        <v>0</v>
      </c>
      <c r="M146" s="6">
        <f t="shared" si="66"/>
        <v>5.7296681951437449</v>
      </c>
      <c r="N146" s="2">
        <f t="shared" si="69"/>
        <v>63.632167615627857</v>
      </c>
      <c r="O146" s="6"/>
    </row>
    <row r="147" spans="1:17" ht="15" x14ac:dyDescent="0.35">
      <c r="A147" t="s">
        <v>2</v>
      </c>
      <c r="C147" s="12">
        <f t="shared" ref="C147:L147" si="77">+$B$135*C115</f>
        <v>0.95682956378938744</v>
      </c>
      <c r="D147" s="12">
        <f t="shared" si="77"/>
        <v>0</v>
      </c>
      <c r="E147" s="12">
        <f t="shared" si="77"/>
        <v>2.6138110977111779</v>
      </c>
      <c r="F147" s="12">
        <f t="shared" si="77"/>
        <v>0.11318980986349177</v>
      </c>
      <c r="G147" s="12">
        <f t="shared" si="77"/>
        <v>0.14287693754490405</v>
      </c>
      <c r="H147" s="12">
        <f t="shared" si="77"/>
        <v>1.0384997072257007</v>
      </c>
      <c r="I147" s="12">
        <f t="shared" si="77"/>
        <v>0.24617103818125838</v>
      </c>
      <c r="J147" s="12">
        <f t="shared" si="77"/>
        <v>5.1311084881453355E-2</v>
      </c>
      <c r="K147" s="12">
        <f t="shared" si="77"/>
        <v>3.7750298162783545E-2</v>
      </c>
      <c r="L147" s="12">
        <f t="shared" si="77"/>
        <v>0</v>
      </c>
      <c r="M147" s="7">
        <f t="shared" si="66"/>
        <v>5.2004395373601566</v>
      </c>
      <c r="N147" s="2">
        <f t="shared" si="69"/>
        <v>68.832607152988018</v>
      </c>
      <c r="O147" s="7"/>
    </row>
    <row r="148" spans="1:17" ht="15" x14ac:dyDescent="0.35">
      <c r="C148" s="15">
        <f t="shared" ref="C148:M148" si="78">SUM(C136:C147)</f>
        <v>15.374640282548462</v>
      </c>
      <c r="D148" s="15">
        <f t="shared" si="78"/>
        <v>0</v>
      </c>
      <c r="E148" s="15">
        <f t="shared" si="78"/>
        <v>33.569403582618492</v>
      </c>
      <c r="F148" s="15">
        <f t="shared" si="78"/>
        <v>1.4065153345445236</v>
      </c>
      <c r="G148" s="15">
        <f t="shared" si="78"/>
        <v>1.7725280738539664</v>
      </c>
      <c r="H148" s="15">
        <f t="shared" si="78"/>
        <v>12.526455836060189</v>
      </c>
      <c r="I148" s="15">
        <f t="shared" si="78"/>
        <v>2.995649301350245</v>
      </c>
      <c r="J148" s="15">
        <f t="shared" si="78"/>
        <v>0.68317650871093027</v>
      </c>
      <c r="K148" s="15">
        <f t="shared" si="78"/>
        <v>0.50283551191891718</v>
      </c>
      <c r="L148" s="15">
        <f t="shared" si="78"/>
        <v>1.4027213822806325E-3</v>
      </c>
      <c r="M148" s="8">
        <f t="shared" si="78"/>
        <v>68.832607152988018</v>
      </c>
      <c r="N148" s="2"/>
      <c r="O148" s="8"/>
      <c r="P148" s="6"/>
      <c r="Q148" s="6"/>
    </row>
    <row r="149" spans="1:17" x14ac:dyDescent="0.2"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</row>
    <row r="150" spans="1:17" x14ac:dyDescent="0.2">
      <c r="A150" s="3" t="s">
        <v>50</v>
      </c>
      <c r="B150" s="77">
        <v>1.35E-2</v>
      </c>
    </row>
    <row r="151" spans="1:17" x14ac:dyDescent="0.2">
      <c r="A151" t="s">
        <v>200</v>
      </c>
      <c r="C151" s="2">
        <f>+$B$150*C120</f>
        <v>1.3217168163185136</v>
      </c>
      <c r="D151" s="2">
        <f t="shared" ref="D151:L151" si="79">+$B$150*D120</f>
        <v>0</v>
      </c>
      <c r="E151" s="2">
        <f t="shared" si="79"/>
        <v>3.2653245307189103</v>
      </c>
      <c r="F151" s="2">
        <f t="shared" si="79"/>
        <v>0.14908510914308165</v>
      </c>
      <c r="G151" s="2">
        <f t="shared" si="79"/>
        <v>0.15134675286521945</v>
      </c>
      <c r="H151" s="2">
        <f t="shared" si="79"/>
        <v>1.01828980451603</v>
      </c>
      <c r="I151" s="2">
        <f t="shared" si="79"/>
        <v>0.35892897125386453</v>
      </c>
      <c r="J151" s="2">
        <f t="shared" si="79"/>
        <v>6.2959271183835236E-2</v>
      </c>
      <c r="K151" s="2">
        <f t="shared" si="79"/>
        <v>4.8717028284967642E-2</v>
      </c>
      <c r="L151" s="2">
        <f t="shared" si="79"/>
        <v>0</v>
      </c>
      <c r="M151" s="6">
        <f t="shared" ref="M151:M162" si="80">SUM(C151:L151)</f>
        <v>6.3763682842844229</v>
      </c>
      <c r="N151" s="2"/>
    </row>
    <row r="152" spans="1:17" x14ac:dyDescent="0.2">
      <c r="A152" t="s">
        <v>164</v>
      </c>
      <c r="C152" s="2">
        <f t="shared" ref="C152:L152" si="81">+$B$150*C121</f>
        <v>1.2313462536460555</v>
      </c>
      <c r="D152" s="2">
        <f t="shared" si="81"/>
        <v>0</v>
      </c>
      <c r="E152" s="2">
        <f t="shared" si="81"/>
        <v>2.9838538715565033</v>
      </c>
      <c r="F152" s="2">
        <f t="shared" si="81"/>
        <v>0.14544038072494669</v>
      </c>
      <c r="G152" s="2">
        <f t="shared" si="81"/>
        <v>0.11722151897654584</v>
      </c>
      <c r="H152" s="2">
        <f t="shared" si="81"/>
        <v>1.0396906004264392</v>
      </c>
      <c r="I152" s="2">
        <f t="shared" si="81"/>
        <v>0.31371294243070369</v>
      </c>
      <c r="J152" s="2">
        <f t="shared" si="81"/>
        <v>5.3805595394456285E-2</v>
      </c>
      <c r="K152" s="2">
        <f t="shared" si="81"/>
        <v>4.3460719829424309E-2</v>
      </c>
      <c r="L152" s="2">
        <f t="shared" si="81"/>
        <v>0</v>
      </c>
      <c r="M152" s="6">
        <f t="shared" si="80"/>
        <v>5.9285318829850748</v>
      </c>
      <c r="N152" s="2">
        <f>+M152+M151</f>
        <v>12.304900167269498</v>
      </c>
    </row>
    <row r="153" spans="1:17" x14ac:dyDescent="0.2">
      <c r="A153" t="s">
        <v>165</v>
      </c>
      <c r="C153" s="2">
        <f t="shared" ref="C153:L153" si="82">+$B$150*C122</f>
        <v>1.1554046699597011</v>
      </c>
      <c r="D153" s="2">
        <f t="shared" si="82"/>
        <v>0</v>
      </c>
      <c r="E153" s="2">
        <f t="shared" si="82"/>
        <v>2.9942459664858605</v>
      </c>
      <c r="F153" s="2">
        <f t="shared" si="82"/>
        <v>0.15271712077672542</v>
      </c>
      <c r="G153" s="2">
        <f t="shared" si="82"/>
        <v>0.1223326495893625</v>
      </c>
      <c r="H153" s="2">
        <f t="shared" si="82"/>
        <v>1.0482948238424781</v>
      </c>
      <c r="I153" s="2">
        <f t="shared" si="82"/>
        <v>0.32823787888320205</v>
      </c>
      <c r="J153" s="2">
        <f t="shared" si="82"/>
        <v>6.8410911989253684E-2</v>
      </c>
      <c r="K153" s="2">
        <f t="shared" si="82"/>
        <v>4.5607274659502463E-2</v>
      </c>
      <c r="L153" s="2">
        <f t="shared" si="82"/>
        <v>0</v>
      </c>
      <c r="M153" s="6">
        <f t="shared" si="80"/>
        <v>5.9152512961860868</v>
      </c>
      <c r="N153" s="2">
        <f>+M153+N152</f>
        <v>18.220151463455586</v>
      </c>
    </row>
    <row r="154" spans="1:17" x14ac:dyDescent="0.2">
      <c r="A154" t="s">
        <v>166</v>
      </c>
      <c r="C154" s="2">
        <f t="shared" ref="C154:L154" si="83">+$B$150*C123</f>
        <v>1.2148167778921943</v>
      </c>
      <c r="D154" s="2">
        <f t="shared" si="83"/>
        <v>0</v>
      </c>
      <c r="E154" s="2">
        <f t="shared" si="83"/>
        <v>3.1485334452748535</v>
      </c>
      <c r="F154" s="2">
        <f t="shared" si="83"/>
        <v>0.13346427802391492</v>
      </c>
      <c r="G154" s="2">
        <f t="shared" si="83"/>
        <v>0.12313735323148414</v>
      </c>
      <c r="H154" s="2">
        <f t="shared" si="83"/>
        <v>0.92869361163234654</v>
      </c>
      <c r="I154" s="2">
        <f t="shared" si="83"/>
        <v>0.26894904133330544</v>
      </c>
      <c r="J154" s="2">
        <f t="shared" si="83"/>
        <v>5.4328604342787898E-2</v>
      </c>
      <c r="K154" s="2">
        <f t="shared" si="83"/>
        <v>4.3328184455198614E-2</v>
      </c>
      <c r="L154" s="2">
        <f t="shared" si="83"/>
        <v>0</v>
      </c>
      <c r="M154" s="6">
        <f t="shared" si="80"/>
        <v>5.9152512961860859</v>
      </c>
      <c r="N154" s="2">
        <f t="shared" ref="N154:N162" si="84">+M154+N153</f>
        <v>24.135402759641671</v>
      </c>
    </row>
    <row r="155" spans="1:17" x14ac:dyDescent="0.2">
      <c r="A155" t="s">
        <v>167</v>
      </c>
      <c r="C155" s="2">
        <f t="shared" ref="C155:L155" si="85">+$B$150*C124</f>
        <v>1.1743160524263325</v>
      </c>
      <c r="D155" s="2">
        <f t="shared" si="85"/>
        <v>0</v>
      </c>
      <c r="E155" s="2">
        <f t="shared" si="85"/>
        <v>3.1833133991202187</v>
      </c>
      <c r="F155" s="2">
        <f t="shared" si="85"/>
        <v>0.12705480635744923</v>
      </c>
      <c r="G155" s="2">
        <f t="shared" si="85"/>
        <v>0.14029238577364928</v>
      </c>
      <c r="H155" s="2">
        <f t="shared" si="85"/>
        <v>0.90554127820133024</v>
      </c>
      <c r="I155" s="2">
        <f t="shared" si="85"/>
        <v>0.27571801440898974</v>
      </c>
      <c r="J155" s="2">
        <f t="shared" si="85"/>
        <v>6.3202952702837378E-2</v>
      </c>
      <c r="K155" s="2">
        <f t="shared" si="85"/>
        <v>4.5812407195280472E-2</v>
      </c>
      <c r="L155" s="2">
        <f t="shared" si="85"/>
        <v>0</v>
      </c>
      <c r="M155" s="6">
        <f t="shared" si="80"/>
        <v>5.9152512961860877</v>
      </c>
      <c r="N155" s="2">
        <f t="shared" si="84"/>
        <v>30.05065405582776</v>
      </c>
    </row>
    <row r="156" spans="1:17" x14ac:dyDescent="0.2">
      <c r="A156" t="s">
        <v>168</v>
      </c>
      <c r="C156" s="2">
        <f t="shared" ref="C156:L156" si="86">+$B$150*C125</f>
        <v>1.2588704721880519</v>
      </c>
      <c r="D156" s="2">
        <f t="shared" si="86"/>
        <v>0</v>
      </c>
      <c r="E156" s="2">
        <f t="shared" si="86"/>
        <v>3.3158950385230854</v>
      </c>
      <c r="F156" s="2">
        <f t="shared" si="86"/>
        <v>0.11725931128059533</v>
      </c>
      <c r="G156" s="2">
        <f t="shared" si="86"/>
        <v>0.13779591939617017</v>
      </c>
      <c r="H156" s="2">
        <f t="shared" si="86"/>
        <v>0.76451654637147082</v>
      </c>
      <c r="I156" s="2">
        <f t="shared" si="86"/>
        <v>0.23245315910129088</v>
      </c>
      <c r="J156" s="2">
        <f t="shared" si="86"/>
        <v>5.2816851331722606E-2</v>
      </c>
      <c r="K156" s="2">
        <f t="shared" si="86"/>
        <v>3.5643997993698828E-2</v>
      </c>
      <c r="L156" s="2">
        <f t="shared" si="86"/>
        <v>0</v>
      </c>
      <c r="M156" s="6">
        <f t="shared" si="80"/>
        <v>5.9152512961860868</v>
      </c>
      <c r="N156" s="2">
        <f t="shared" si="84"/>
        <v>35.965905352013849</v>
      </c>
    </row>
    <row r="157" spans="1:17" x14ac:dyDescent="0.2">
      <c r="A157" t="s">
        <v>7</v>
      </c>
      <c r="C157" s="2">
        <f t="shared" ref="C157:L157" si="87">+$B$150*C126</f>
        <v>1.3355067069771238</v>
      </c>
      <c r="D157" s="2">
        <f t="shared" si="87"/>
        <v>0</v>
      </c>
      <c r="E157" s="2">
        <f t="shared" si="87"/>
        <v>3.0271594388004206</v>
      </c>
      <c r="F157" s="2">
        <f t="shared" si="87"/>
        <v>0.11131948304544401</v>
      </c>
      <c r="G157" s="2">
        <f t="shared" si="87"/>
        <v>0.13705052907749568</v>
      </c>
      <c r="H157" s="2">
        <f t="shared" si="87"/>
        <v>0.94392597890884555</v>
      </c>
      <c r="I157" s="2">
        <f t="shared" si="87"/>
        <v>0.26221680384357765</v>
      </c>
      <c r="J157" s="2">
        <f t="shared" si="87"/>
        <v>5.7022614723572194E-2</v>
      </c>
      <c r="K157" s="2">
        <f t="shared" si="87"/>
        <v>4.1049740809607903E-2</v>
      </c>
      <c r="L157" s="2">
        <f t="shared" si="87"/>
        <v>0</v>
      </c>
      <c r="M157" s="6">
        <f t="shared" si="80"/>
        <v>5.9152512961860877</v>
      </c>
      <c r="N157" s="2">
        <f t="shared" si="84"/>
        <v>41.881156648199934</v>
      </c>
    </row>
    <row r="158" spans="1:17" x14ac:dyDescent="0.2">
      <c r="A158" t="s">
        <v>201</v>
      </c>
      <c r="C158" s="2">
        <f t="shared" ref="C158:L158" si="88">+$B$150*C127</f>
        <v>1.2383839134315506</v>
      </c>
      <c r="D158" s="2">
        <f t="shared" si="88"/>
        <v>0</v>
      </c>
      <c r="E158" s="2">
        <f t="shared" si="88"/>
        <v>3.0315568481794455</v>
      </c>
      <c r="F158" s="2">
        <f t="shared" si="88"/>
        <v>0.11654694489062586</v>
      </c>
      <c r="G158" s="2">
        <f t="shared" si="88"/>
        <v>0.1638977724508752</v>
      </c>
      <c r="H158" s="2">
        <f t="shared" si="88"/>
        <v>1.0031403541782384</v>
      </c>
      <c r="I158" s="2">
        <f t="shared" si="88"/>
        <v>0.25999380776946701</v>
      </c>
      <c r="J158" s="2">
        <f t="shared" si="88"/>
        <v>6.1468927065943257E-2</v>
      </c>
      <c r="K158" s="2">
        <f t="shared" si="88"/>
        <v>4.0262728219942041E-2</v>
      </c>
      <c r="L158" s="2">
        <f t="shared" si="88"/>
        <v>0</v>
      </c>
      <c r="M158" s="6">
        <f t="shared" si="80"/>
        <v>5.9152512961860895</v>
      </c>
      <c r="N158" s="2">
        <f t="shared" si="84"/>
        <v>47.796407944386026</v>
      </c>
    </row>
    <row r="159" spans="1:17" x14ac:dyDescent="0.2">
      <c r="A159" t="s">
        <v>10</v>
      </c>
      <c r="C159" s="2">
        <f t="shared" ref="C159:L159" si="89">+$B$150*C128</f>
        <v>1.2731772064892628</v>
      </c>
      <c r="D159" s="2">
        <f t="shared" si="89"/>
        <v>0</v>
      </c>
      <c r="E159" s="2">
        <f t="shared" si="89"/>
        <v>3.1264589704743355</v>
      </c>
      <c r="F159" s="2">
        <f t="shared" si="89"/>
        <v>0.11654346627419671</v>
      </c>
      <c r="G159" s="2">
        <f t="shared" si="89"/>
        <v>0.10698621446764016</v>
      </c>
      <c r="H159" s="2">
        <f t="shared" si="89"/>
        <v>1.0209070131205149</v>
      </c>
      <c r="I159" s="2">
        <f t="shared" si="89"/>
        <v>0.17925003927836625</v>
      </c>
      <c r="J159" s="2">
        <f t="shared" si="89"/>
        <v>5.6243395523476639E-2</v>
      </c>
      <c r="K159" s="2">
        <f t="shared" si="89"/>
        <v>3.5684990558293862E-2</v>
      </c>
      <c r="L159" s="2">
        <f t="shared" si="89"/>
        <v>0</v>
      </c>
      <c r="M159" s="6">
        <f t="shared" si="80"/>
        <v>5.9152512961860868</v>
      </c>
      <c r="N159" s="2">
        <f t="shared" si="84"/>
        <v>53.711659240572111</v>
      </c>
    </row>
    <row r="160" spans="1:17" x14ac:dyDescent="0.2">
      <c r="A160" t="s">
        <v>8</v>
      </c>
      <c r="C160" s="2">
        <f t="shared" ref="C160:L160" si="90">+$B$150*C129</f>
        <v>1.4431863428882745</v>
      </c>
      <c r="D160" s="2">
        <f t="shared" si="90"/>
        <v>0</v>
      </c>
      <c r="E160" s="2">
        <f t="shared" si="90"/>
        <v>2.9680671006714379</v>
      </c>
      <c r="F160" s="2">
        <f t="shared" si="90"/>
        <v>0.12707339648193033</v>
      </c>
      <c r="G160" s="2">
        <f t="shared" si="90"/>
        <v>0.11941837259747666</v>
      </c>
      <c r="H160" s="2">
        <f t="shared" si="90"/>
        <v>0.92582920868136009</v>
      </c>
      <c r="I160" s="2">
        <f t="shared" si="90"/>
        <v>0.21507555105760925</v>
      </c>
      <c r="J160" s="2">
        <f t="shared" si="90"/>
        <v>6.6323126934906274E-2</v>
      </c>
      <c r="K160" s="2">
        <f t="shared" si="90"/>
        <v>5.0278196873091464E-2</v>
      </c>
      <c r="L160" s="2">
        <f t="shared" si="90"/>
        <v>0</v>
      </c>
      <c r="M160" s="6">
        <f t="shared" si="80"/>
        <v>5.9152512961860859</v>
      </c>
      <c r="N160" s="2">
        <f t="shared" si="84"/>
        <v>59.626910536758196</v>
      </c>
    </row>
    <row r="161" spans="1:15" x14ac:dyDescent="0.2">
      <c r="A161" t="s">
        <v>9</v>
      </c>
      <c r="C161" s="2">
        <f t="shared" ref="C161:L162" si="91">+$B$150*C130</f>
        <v>1.2994145447246079</v>
      </c>
      <c r="D161" s="2">
        <f t="shared" si="91"/>
        <v>0</v>
      </c>
      <c r="E161" s="2">
        <f t="shared" si="91"/>
        <v>3.2957859784221308</v>
      </c>
      <c r="F161" s="2">
        <f t="shared" si="91"/>
        <v>0.11233053729900759</v>
      </c>
      <c r="G161" s="2">
        <f t="shared" si="91"/>
        <v>0.11513546153596257</v>
      </c>
      <c r="H161" s="2">
        <f t="shared" si="91"/>
        <v>0.80861958716788584</v>
      </c>
      <c r="I161" s="2">
        <f t="shared" si="91"/>
        <v>0.18058369373157934</v>
      </c>
      <c r="J161" s="2">
        <f t="shared" si="91"/>
        <v>6.4112553987542967E-2</v>
      </c>
      <c r="K161" s="2">
        <f t="shared" si="91"/>
        <v>3.926893931737007E-2</v>
      </c>
      <c r="L161" s="2">
        <f t="shared" si="91"/>
        <v>0</v>
      </c>
      <c r="M161" s="6">
        <f t="shared" si="80"/>
        <v>5.9152512961860877</v>
      </c>
      <c r="N161" s="2">
        <f t="shared" si="84"/>
        <v>65.542161832944288</v>
      </c>
    </row>
    <row r="162" spans="1:15" ht="15" x14ac:dyDescent="0.35">
      <c r="A162" t="s">
        <v>2</v>
      </c>
      <c r="C162" s="12">
        <f t="shared" si="91"/>
        <v>1.2496482814207168</v>
      </c>
      <c r="D162" s="12">
        <f t="shared" si="91"/>
        <v>0</v>
      </c>
      <c r="E162" s="12">
        <f t="shared" si="91"/>
        <v>3.2747605474297381</v>
      </c>
      <c r="F162" s="12">
        <f t="shared" si="91"/>
        <v>0.14757307181202733</v>
      </c>
      <c r="G162" s="12">
        <f t="shared" si="91"/>
        <v>0.13285256589561562</v>
      </c>
      <c r="H162" s="12">
        <f t="shared" si="91"/>
        <v>0.73283585287202924</v>
      </c>
      <c r="I162" s="12">
        <f t="shared" si="91"/>
        <v>0.26294503693190402</v>
      </c>
      <c r="J162" s="12">
        <f t="shared" si="91"/>
        <v>6.5015567797485019E-2</v>
      </c>
      <c r="K162" s="12">
        <f t="shared" si="91"/>
        <v>4.9620372026571116E-2</v>
      </c>
      <c r="L162" s="12">
        <f t="shared" si="91"/>
        <v>0</v>
      </c>
      <c r="M162" s="7">
        <f t="shared" si="80"/>
        <v>5.9152512961860877</v>
      </c>
      <c r="N162" s="2">
        <f t="shared" si="84"/>
        <v>71.457413129130373</v>
      </c>
    </row>
    <row r="163" spans="1:15" ht="15" x14ac:dyDescent="0.35">
      <c r="C163" s="15">
        <f t="shared" ref="C163:M163" si="92">SUM(C151:C162)</f>
        <v>15.195788038362386</v>
      </c>
      <c r="D163" s="15">
        <f t="shared" si="92"/>
        <v>0</v>
      </c>
      <c r="E163" s="15">
        <f t="shared" si="92"/>
        <v>37.614955135656935</v>
      </c>
      <c r="F163" s="15">
        <f t="shared" si="92"/>
        <v>1.5564079061099452</v>
      </c>
      <c r="G163" s="15">
        <f t="shared" si="92"/>
        <v>1.5674674958574975</v>
      </c>
      <c r="H163" s="15">
        <f t="shared" si="92"/>
        <v>11.14028465991897</v>
      </c>
      <c r="I163" s="15">
        <f t="shared" si="92"/>
        <v>3.13806494002386</v>
      </c>
      <c r="J163" s="15">
        <f t="shared" si="92"/>
        <v>0.72571037297781937</v>
      </c>
      <c r="K163" s="15">
        <f t="shared" si="92"/>
        <v>0.51873458022294883</v>
      </c>
      <c r="L163" s="15">
        <f t="shared" si="92"/>
        <v>0</v>
      </c>
      <c r="M163" s="8">
        <f t="shared" si="92"/>
        <v>71.457413129130373</v>
      </c>
      <c r="N163" s="2"/>
    </row>
    <row r="164" spans="1:15" x14ac:dyDescent="0.2"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</row>
    <row r="165" spans="1:15" x14ac:dyDescent="0.2"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</row>
    <row r="167" spans="1:15" x14ac:dyDescent="0.2">
      <c r="A167" s="3" t="s">
        <v>51</v>
      </c>
    </row>
    <row r="168" spans="1:15" x14ac:dyDescent="0.2">
      <c r="A168" t="s">
        <v>198</v>
      </c>
      <c r="C168" s="2">
        <f t="shared" ref="C168:L168" si="93">+C104-C136</f>
        <v>99.706550318399763</v>
      </c>
      <c r="D168" s="2">
        <f t="shared" si="93"/>
        <v>0</v>
      </c>
      <c r="E168" s="2">
        <f t="shared" si="93"/>
        <v>207.6929979599937</v>
      </c>
      <c r="F168" s="2">
        <f t="shared" si="93"/>
        <v>9.0913896833564571</v>
      </c>
      <c r="G168" s="2">
        <f t="shared" si="93"/>
        <v>10.522648186719588</v>
      </c>
      <c r="H168" s="2">
        <f t="shared" si="93"/>
        <v>71.768027632812917</v>
      </c>
      <c r="I168" s="2">
        <f t="shared" si="93"/>
        <v>19.359889163871379</v>
      </c>
      <c r="J168" s="2">
        <f t="shared" si="93"/>
        <v>4.0842142962013313</v>
      </c>
      <c r="K168" s="2">
        <f t="shared" si="93"/>
        <v>3.1657119544791978</v>
      </c>
      <c r="L168" s="2">
        <f t="shared" si="93"/>
        <v>4.9046241548269268E-2</v>
      </c>
      <c r="M168" s="6">
        <f t="shared" ref="M168" si="94">SUM(C168:L168)</f>
        <v>425.44047543738264</v>
      </c>
      <c r="N168" s="2"/>
      <c r="O168" s="76"/>
    </row>
    <row r="169" spans="1:15" x14ac:dyDescent="0.2">
      <c r="A169" t="s">
        <v>164</v>
      </c>
      <c r="C169" s="2">
        <f t="shared" ref="C169:L169" si="95">+C105-C137</f>
        <v>91.641959217771571</v>
      </c>
      <c r="D169" s="2">
        <f t="shared" si="95"/>
        <v>0</v>
      </c>
      <c r="E169" s="2">
        <f t="shared" si="95"/>
        <v>213.7852063396887</v>
      </c>
      <c r="F169" s="2">
        <f t="shared" si="95"/>
        <v>9.6755947608885791</v>
      </c>
      <c r="G169" s="2">
        <f t="shared" si="95"/>
        <v>10.668991460556237</v>
      </c>
      <c r="H169" s="2">
        <f t="shared" si="95"/>
        <v>82.906304831904862</v>
      </c>
      <c r="I169" s="2">
        <f t="shared" si="95"/>
        <v>22.754575524225995</v>
      </c>
      <c r="J169" s="2">
        <f t="shared" si="95"/>
        <v>4.4457843330418054</v>
      </c>
      <c r="K169" s="2">
        <f t="shared" si="95"/>
        <v>3.2430170285114577</v>
      </c>
      <c r="L169" s="2">
        <f t="shared" si="95"/>
        <v>5.3456324645793252E-2</v>
      </c>
      <c r="M169" s="6">
        <f t="shared" ref="M169:M179" si="96">SUM(C169:L169)</f>
        <v>439.17488982123501</v>
      </c>
      <c r="N169" s="2">
        <f>+M169+M168</f>
        <v>864.61536525861766</v>
      </c>
      <c r="O169" s="76"/>
    </row>
    <row r="170" spans="1:15" x14ac:dyDescent="0.2">
      <c r="A170" t="s">
        <v>165</v>
      </c>
      <c r="C170" s="2">
        <f t="shared" ref="C170:L170" si="97">+C106-C138</f>
        <v>81.521017395039991</v>
      </c>
      <c r="D170" s="2">
        <f t="shared" si="97"/>
        <v>0</v>
      </c>
      <c r="E170" s="2">
        <f t="shared" si="97"/>
        <v>177.70681401418639</v>
      </c>
      <c r="F170" s="2">
        <f t="shared" si="97"/>
        <v>8.1792917556945923</v>
      </c>
      <c r="G170" s="2">
        <f t="shared" si="97"/>
        <v>9.7438320315794975</v>
      </c>
      <c r="H170" s="2">
        <f t="shared" si="97"/>
        <v>74.629908373621006</v>
      </c>
      <c r="I170" s="2">
        <f t="shared" si="97"/>
        <v>20.815963214764981</v>
      </c>
      <c r="J170" s="2">
        <f t="shared" si="97"/>
        <v>3.9982695939280917</v>
      </c>
      <c r="K170" s="2">
        <f t="shared" si="97"/>
        <v>2.7591180363896202</v>
      </c>
      <c r="L170" s="2">
        <f t="shared" si="97"/>
        <v>0</v>
      </c>
      <c r="M170" s="6">
        <f t="shared" si="96"/>
        <v>379.35421441520413</v>
      </c>
      <c r="N170" s="2">
        <f>+M170+N169</f>
        <v>1243.9695796738217</v>
      </c>
      <c r="O170" s="76"/>
    </row>
    <row r="171" spans="1:15" x14ac:dyDescent="0.2">
      <c r="A171" t="s">
        <v>166</v>
      </c>
      <c r="C171" s="2">
        <f t="shared" ref="C171:L171" si="98">+C107-C139</f>
        <v>93.438657520485378</v>
      </c>
      <c r="D171" s="2">
        <f t="shared" si="98"/>
        <v>0</v>
      </c>
      <c r="E171" s="2">
        <f t="shared" si="98"/>
        <v>196.24039857784436</v>
      </c>
      <c r="F171" s="2">
        <f t="shared" si="98"/>
        <v>9.072582138354873</v>
      </c>
      <c r="G171" s="2">
        <f t="shared" si="98"/>
        <v>11.070337909706904</v>
      </c>
      <c r="H171" s="2">
        <f t="shared" si="98"/>
        <v>74.515843346202345</v>
      </c>
      <c r="I171" s="2">
        <f t="shared" si="98"/>
        <v>20.679230322250241</v>
      </c>
      <c r="J171" s="2">
        <f t="shared" si="98"/>
        <v>4.6837763945792634</v>
      </c>
      <c r="K171" s="2">
        <f t="shared" si="98"/>
        <v>2.7798749212102121</v>
      </c>
      <c r="L171" s="2">
        <f t="shared" si="98"/>
        <v>0</v>
      </c>
      <c r="M171" s="6">
        <f t="shared" si="96"/>
        <v>412.48070113063352</v>
      </c>
      <c r="N171" s="2">
        <f t="shared" ref="N171:N179" si="99">+M171+N170</f>
        <v>1656.4502808044554</v>
      </c>
      <c r="O171" s="76"/>
    </row>
    <row r="172" spans="1:15" x14ac:dyDescent="0.2">
      <c r="A172" t="s">
        <v>167</v>
      </c>
      <c r="C172" s="2">
        <f t="shared" ref="C172:L172" si="100">+C108-C140</f>
        <v>94.914538857681492</v>
      </c>
      <c r="D172" s="2">
        <f t="shared" si="100"/>
        <v>0</v>
      </c>
      <c r="E172" s="2">
        <f t="shared" si="100"/>
        <v>201.24174621615219</v>
      </c>
      <c r="F172" s="2">
        <f t="shared" si="100"/>
        <v>8.0457298140126259</v>
      </c>
      <c r="G172" s="2">
        <f t="shared" si="100"/>
        <v>9.9485874494914039</v>
      </c>
      <c r="H172" s="2">
        <f t="shared" si="100"/>
        <v>64.576272180024546</v>
      </c>
      <c r="I172" s="2">
        <f t="shared" si="100"/>
        <v>20.094176630655909</v>
      </c>
      <c r="J172" s="2">
        <f t="shared" si="100"/>
        <v>4.7817693051560841</v>
      </c>
      <c r="K172" s="2">
        <f t="shared" si="100"/>
        <v>3.219187388021747</v>
      </c>
      <c r="L172" s="2">
        <f t="shared" si="100"/>
        <v>0</v>
      </c>
      <c r="M172" s="6">
        <f t="shared" si="96"/>
        <v>406.82200784119607</v>
      </c>
      <c r="N172" s="2">
        <f t="shared" si="99"/>
        <v>2063.2722886456513</v>
      </c>
      <c r="O172" s="76"/>
    </row>
    <row r="173" spans="1:15" x14ac:dyDescent="0.2">
      <c r="A173" t="s">
        <v>168</v>
      </c>
      <c r="C173" s="2">
        <f t="shared" ref="C173:L173" si="101">+C109-C141</f>
        <v>110.24350705950215</v>
      </c>
      <c r="D173" s="2">
        <f t="shared" si="101"/>
        <v>0</v>
      </c>
      <c r="E173" s="2">
        <f t="shared" si="101"/>
        <v>201.04542569186125</v>
      </c>
      <c r="F173" s="2">
        <f t="shared" si="101"/>
        <v>8.2746332900992865</v>
      </c>
      <c r="G173" s="2">
        <f t="shared" si="101"/>
        <v>12.078908238707871</v>
      </c>
      <c r="H173" s="2">
        <f t="shared" si="101"/>
        <v>77.659065108376439</v>
      </c>
      <c r="I173" s="2">
        <f t="shared" si="101"/>
        <v>16.343630096489999</v>
      </c>
      <c r="J173" s="2">
        <f t="shared" si="101"/>
        <v>4.5687062250034964</v>
      </c>
      <c r="K173" s="2">
        <f t="shared" si="101"/>
        <v>3.0979583306530549</v>
      </c>
      <c r="L173" s="2">
        <f t="shared" si="101"/>
        <v>0</v>
      </c>
      <c r="M173" s="6">
        <f t="shared" si="96"/>
        <v>433.31183404069355</v>
      </c>
      <c r="N173" s="2">
        <f t="shared" si="99"/>
        <v>2496.5841226863449</v>
      </c>
      <c r="O173" s="76"/>
    </row>
    <row r="174" spans="1:15" x14ac:dyDescent="0.2">
      <c r="A174" t="s">
        <v>7</v>
      </c>
      <c r="C174" s="2">
        <f t="shared" ref="C174:L174" si="102">+C110-C142</f>
        <v>117.12490365877916</v>
      </c>
      <c r="D174" s="2">
        <f t="shared" si="102"/>
        <v>0</v>
      </c>
      <c r="E174" s="2">
        <f t="shared" si="102"/>
        <v>223.07144867125604</v>
      </c>
      <c r="F174" s="2">
        <f t="shared" si="102"/>
        <v>9.5661383221652194</v>
      </c>
      <c r="G174" s="2">
        <f t="shared" si="102"/>
        <v>12.567279756569992</v>
      </c>
      <c r="H174" s="2">
        <f t="shared" si="102"/>
        <v>87.37251640281994</v>
      </c>
      <c r="I174" s="2">
        <f t="shared" si="102"/>
        <v>16.184727021254318</v>
      </c>
      <c r="J174" s="2">
        <f t="shared" si="102"/>
        <v>4.3364707333438037</v>
      </c>
      <c r="K174" s="2">
        <f t="shared" si="102"/>
        <v>3.2824984438802218</v>
      </c>
      <c r="L174" s="2">
        <f t="shared" si="102"/>
        <v>0</v>
      </c>
      <c r="M174" s="6">
        <f t="shared" si="96"/>
        <v>473.50598301006869</v>
      </c>
      <c r="N174" s="2">
        <f t="shared" si="99"/>
        <v>2970.0901056964135</v>
      </c>
      <c r="O174" s="76"/>
    </row>
    <row r="175" spans="1:15" x14ac:dyDescent="0.2">
      <c r="A175" t="s">
        <v>199</v>
      </c>
      <c r="C175" s="2">
        <f t="shared" ref="C175:L175" si="103">+C111-C143</f>
        <v>92.926127671005247</v>
      </c>
      <c r="D175" s="2">
        <f t="shared" si="103"/>
        <v>0</v>
      </c>
      <c r="E175" s="2">
        <f t="shared" si="103"/>
        <v>250.02202731516121</v>
      </c>
      <c r="F175" s="2">
        <f t="shared" si="103"/>
        <v>8.3693871060919793</v>
      </c>
      <c r="G175" s="2">
        <f t="shared" si="103"/>
        <v>11.691211155144513</v>
      </c>
      <c r="H175" s="2">
        <f t="shared" si="103"/>
        <v>73.974294368268119</v>
      </c>
      <c r="I175" s="2">
        <f t="shared" si="103"/>
        <v>16.846074046877447</v>
      </c>
      <c r="J175" s="2">
        <f t="shared" si="103"/>
        <v>4.1578685943726184</v>
      </c>
      <c r="K175" s="2">
        <f t="shared" si="103"/>
        <v>2.60649181776262</v>
      </c>
      <c r="L175" s="2">
        <f t="shared" si="103"/>
        <v>0</v>
      </c>
      <c r="M175" s="6">
        <f t="shared" si="96"/>
        <v>460.59348207468383</v>
      </c>
      <c r="N175" s="2">
        <f t="shared" si="99"/>
        <v>3430.6835877710973</v>
      </c>
      <c r="O175" s="76"/>
    </row>
    <row r="176" spans="1:15" x14ac:dyDescent="0.2">
      <c r="A176" t="s">
        <v>10</v>
      </c>
      <c r="C176" s="2">
        <f t="shared" ref="C176:L176" si="104">+C112-C144</f>
        <v>82.267291989855295</v>
      </c>
      <c r="D176" s="2">
        <f t="shared" si="104"/>
        <v>0</v>
      </c>
      <c r="E176" s="2">
        <f t="shared" si="104"/>
        <v>177.58006189900462</v>
      </c>
      <c r="F176" s="2">
        <f t="shared" si="104"/>
        <v>6.5919161432765296</v>
      </c>
      <c r="G176" s="2">
        <f t="shared" si="104"/>
        <v>9.2072599888825177</v>
      </c>
      <c r="H176" s="2">
        <f t="shared" si="104"/>
        <v>73.363519000121599</v>
      </c>
      <c r="I176" s="2">
        <f t="shared" si="104"/>
        <v>13.487319285701876</v>
      </c>
      <c r="J176" s="2">
        <f t="shared" si="104"/>
        <v>2.485915566557229</v>
      </c>
      <c r="K176" s="2">
        <f t="shared" si="104"/>
        <v>4.101537532614171</v>
      </c>
      <c r="L176" s="2">
        <f t="shared" si="104"/>
        <v>0</v>
      </c>
      <c r="M176" s="6">
        <f t="shared" si="96"/>
        <v>369.08482140601382</v>
      </c>
      <c r="N176" s="2">
        <f t="shared" si="99"/>
        <v>3799.7684091771112</v>
      </c>
      <c r="O176" s="76"/>
    </row>
    <row r="177" spans="1:16" x14ac:dyDescent="0.2">
      <c r="A177" t="s">
        <v>8</v>
      </c>
      <c r="C177" s="2">
        <f t="shared" ref="C177:L177" si="105">+C113-C145</f>
        <v>104.90468365812323</v>
      </c>
      <c r="D177" s="2">
        <f t="shared" si="105"/>
        <v>0</v>
      </c>
      <c r="E177" s="2">
        <f t="shared" si="105"/>
        <v>202.28751244837608</v>
      </c>
      <c r="F177" s="2">
        <f t="shared" si="105"/>
        <v>8.7747542264190113</v>
      </c>
      <c r="G177" s="2">
        <f t="shared" si="105"/>
        <v>11.231507061153197</v>
      </c>
      <c r="H177" s="2">
        <f t="shared" si="105"/>
        <v>78.78106322489711</v>
      </c>
      <c r="I177" s="2">
        <f t="shared" si="105"/>
        <v>17.652058934142719</v>
      </c>
      <c r="J177" s="2">
        <f t="shared" si="105"/>
        <v>4.8644597871052557</v>
      </c>
      <c r="K177" s="2">
        <f t="shared" si="105"/>
        <v>2.9070832091591443</v>
      </c>
      <c r="L177" s="2">
        <f t="shared" si="105"/>
        <v>0</v>
      </c>
      <c r="M177" s="6">
        <f t="shared" si="96"/>
        <v>431.40312254937578</v>
      </c>
      <c r="N177" s="2">
        <f t="shared" si="99"/>
        <v>4231.171531726487</v>
      </c>
      <c r="O177" s="76"/>
    </row>
    <row r="178" spans="1:16" x14ac:dyDescent="0.2">
      <c r="A178" t="s">
        <v>9</v>
      </c>
      <c r="C178" s="2">
        <f t="shared" ref="C178:L178" si="106">+C114-C146</f>
        <v>84.878931101936644</v>
      </c>
      <c r="D178" s="2">
        <f t="shared" si="106"/>
        <v>0</v>
      </c>
      <c r="E178" s="2">
        <f t="shared" si="106"/>
        <v>211.37761911544342</v>
      </c>
      <c r="F178" s="2">
        <f t="shared" si="106"/>
        <v>8.8671479520732728</v>
      </c>
      <c r="G178" s="2">
        <f t="shared" si="106"/>
        <v>10.35468461103569</v>
      </c>
      <c r="H178" s="2">
        <f t="shared" si="106"/>
        <v>79.924942649115863</v>
      </c>
      <c r="I178" s="2">
        <f t="shared" si="106"/>
        <v>16.69793402763219</v>
      </c>
      <c r="J178" s="2">
        <f t="shared" si="106"/>
        <v>3.7657459564724274</v>
      </c>
      <c r="K178" s="2">
        <f t="shared" si="106"/>
        <v>2.8231926980908355</v>
      </c>
      <c r="L178" s="2">
        <f t="shared" si="106"/>
        <v>0</v>
      </c>
      <c r="M178" s="6">
        <f t="shared" si="96"/>
        <v>418.69019811180033</v>
      </c>
      <c r="N178" s="2">
        <f t="shared" si="99"/>
        <v>4649.8617298382869</v>
      </c>
      <c r="O178" s="76"/>
    </row>
    <row r="179" spans="1:16" ht="15" x14ac:dyDescent="0.35">
      <c r="A179" t="s">
        <v>2</v>
      </c>
      <c r="C179" s="12">
        <f t="shared" ref="C179:L179" si="107">+C115-C147</f>
        <v>69.91943442060969</v>
      </c>
      <c r="D179" s="12">
        <f t="shared" si="107"/>
        <v>0</v>
      </c>
      <c r="E179" s="12">
        <f t="shared" si="107"/>
        <v>191.00182576978347</v>
      </c>
      <c r="F179" s="12">
        <f t="shared" si="107"/>
        <v>8.2712405503951576</v>
      </c>
      <c r="G179" s="12">
        <f t="shared" si="107"/>
        <v>10.440599917633175</v>
      </c>
      <c r="H179" s="12">
        <f t="shared" si="107"/>
        <v>75.887404531715092</v>
      </c>
      <c r="I179" s="12">
        <f t="shared" si="107"/>
        <v>17.98872067894899</v>
      </c>
      <c r="J179" s="12">
        <f t="shared" si="107"/>
        <v>3.7495100174484248</v>
      </c>
      <c r="K179" s="12">
        <f t="shared" si="107"/>
        <v>2.7585680842656268</v>
      </c>
      <c r="L179" s="12">
        <f t="shared" si="107"/>
        <v>0</v>
      </c>
      <c r="M179" s="7">
        <f t="shared" si="96"/>
        <v>380.01730397079956</v>
      </c>
      <c r="N179" s="2">
        <f t="shared" si="99"/>
        <v>5029.8790338090866</v>
      </c>
      <c r="O179" s="76"/>
    </row>
    <row r="180" spans="1:16" ht="15" x14ac:dyDescent="0.35">
      <c r="C180" s="15">
        <f t="shared" ref="C180:M180" si="108">SUM(C168:C179)</f>
        <v>1123.4876028691895</v>
      </c>
      <c r="D180" s="15">
        <f t="shared" si="108"/>
        <v>0</v>
      </c>
      <c r="E180" s="15">
        <f t="shared" si="108"/>
        <v>2453.0530840187516</v>
      </c>
      <c r="F180" s="15">
        <f t="shared" si="108"/>
        <v>102.77980574282758</v>
      </c>
      <c r="G180" s="15">
        <f t="shared" si="108"/>
        <v>129.52584776718058</v>
      </c>
      <c r="H180" s="15">
        <f t="shared" si="108"/>
        <v>915.35916164988009</v>
      </c>
      <c r="I180" s="15">
        <f t="shared" si="108"/>
        <v>218.90429894681606</v>
      </c>
      <c r="J180" s="15">
        <f t="shared" si="108"/>
        <v>49.922490803209826</v>
      </c>
      <c r="K180" s="15">
        <f t="shared" si="108"/>
        <v>36.744239445037906</v>
      </c>
      <c r="L180" s="15">
        <f t="shared" si="108"/>
        <v>0.10250256619406252</v>
      </c>
      <c r="M180" s="8">
        <f t="shared" si="108"/>
        <v>5029.8790338090866</v>
      </c>
      <c r="N180" s="8"/>
      <c r="O180" s="8"/>
      <c r="P180" s="6"/>
    </row>
    <row r="181" spans="1:16" x14ac:dyDescent="0.2"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</row>
    <row r="182" spans="1:16" x14ac:dyDescent="0.2"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</row>
    <row r="183" spans="1:16" x14ac:dyDescent="0.2">
      <c r="A183" s="3" t="s">
        <v>51</v>
      </c>
    </row>
    <row r="184" spans="1:16" x14ac:dyDescent="0.2">
      <c r="A184" t="s">
        <v>200</v>
      </c>
      <c r="C184" s="2">
        <f>+C120-C151</f>
        <v>96.583232540608421</v>
      </c>
      <c r="D184" s="2">
        <f t="shared" ref="D184:L184" si="109">+D120-D151</f>
        <v>0</v>
      </c>
      <c r="E184" s="2">
        <f t="shared" si="109"/>
        <v>238.61056663364482</v>
      </c>
      <c r="F184" s="2">
        <f t="shared" si="109"/>
        <v>10.894256308862968</v>
      </c>
      <c r="G184" s="2">
        <f t="shared" si="109"/>
        <v>11.059523829743629</v>
      </c>
      <c r="H184" s="2">
        <f t="shared" si="109"/>
        <v>74.410584604078792</v>
      </c>
      <c r="I184" s="2">
        <f t="shared" si="109"/>
        <v>26.228402232736101</v>
      </c>
      <c r="J184" s="2">
        <f t="shared" si="109"/>
        <v>4.6006904461372926</v>
      </c>
      <c r="K184" s="2">
        <f t="shared" si="109"/>
        <v>3.5599517335644872</v>
      </c>
      <c r="L184" s="2">
        <f t="shared" si="109"/>
        <v>0</v>
      </c>
      <c r="M184" s="6">
        <f t="shared" ref="M184:M195" si="110">SUM(C184:L184)</f>
        <v>465.94720832937651</v>
      </c>
      <c r="N184" s="2"/>
    </row>
    <row r="185" spans="1:16" x14ac:dyDescent="0.2">
      <c r="A185" t="s">
        <v>164</v>
      </c>
      <c r="C185" s="2">
        <f t="shared" ref="C185:L186" si="111">+C121-C152</f>
        <v>89.979487349765478</v>
      </c>
      <c r="D185" s="2">
        <f t="shared" si="111"/>
        <v>0</v>
      </c>
      <c r="E185" s="2">
        <f t="shared" si="111"/>
        <v>218.04235883633262</v>
      </c>
      <c r="F185" s="2">
        <f t="shared" si="111"/>
        <v>10.62792115445629</v>
      </c>
      <c r="G185" s="2">
        <f t="shared" si="111"/>
        <v>8.5658539607675905</v>
      </c>
      <c r="H185" s="2">
        <f t="shared" si="111"/>
        <v>75.974427949680177</v>
      </c>
      <c r="I185" s="2">
        <f t="shared" si="111"/>
        <v>22.924282793176975</v>
      </c>
      <c r="J185" s="2">
        <f t="shared" si="111"/>
        <v>3.9317940634541575</v>
      </c>
      <c r="K185" s="2">
        <f t="shared" si="111"/>
        <v>3.1758518601279322</v>
      </c>
      <c r="L185" s="2">
        <f t="shared" si="111"/>
        <v>0</v>
      </c>
      <c r="M185" s="6">
        <f t="shared" si="110"/>
        <v>433.22197796776123</v>
      </c>
      <c r="N185" s="2">
        <f>+M185+M184</f>
        <v>899.16918629713768</v>
      </c>
    </row>
    <row r="186" spans="1:16" x14ac:dyDescent="0.2">
      <c r="A186" t="s">
        <v>165</v>
      </c>
      <c r="C186" s="2">
        <f t="shared" si="111"/>
        <v>84.430126438166312</v>
      </c>
      <c r="D186" s="2">
        <f t="shared" si="111"/>
        <v>0</v>
      </c>
      <c r="E186" s="2">
        <f t="shared" si="111"/>
        <v>218.80175155098527</v>
      </c>
      <c r="F186" s="2">
        <f t="shared" si="111"/>
        <v>11.15966219601775</v>
      </c>
      <c r="G186" s="2">
        <f t="shared" si="111"/>
        <v>8.9393450977708238</v>
      </c>
      <c r="H186" s="2">
        <f t="shared" si="111"/>
        <v>76.603173608933673</v>
      </c>
      <c r="I186" s="2">
        <f t="shared" si="111"/>
        <v>23.985679075428063</v>
      </c>
      <c r="J186" s="2">
        <f t="shared" si="111"/>
        <v>4.9990640501776857</v>
      </c>
      <c r="K186" s="2">
        <f t="shared" si="111"/>
        <v>3.3327093667851244</v>
      </c>
      <c r="L186" s="2">
        <f t="shared" si="111"/>
        <v>0</v>
      </c>
      <c r="M186" s="6">
        <f t="shared" si="110"/>
        <v>432.25151138426469</v>
      </c>
      <c r="N186" s="2">
        <f>+M186+N185</f>
        <v>1331.4206976814023</v>
      </c>
    </row>
    <row r="187" spans="1:16" x14ac:dyDescent="0.2">
      <c r="A187" t="s">
        <v>166</v>
      </c>
      <c r="C187" s="2">
        <f t="shared" ref="C187:L187" si="112">+C123-C154</f>
        <v>88.771611214122203</v>
      </c>
      <c r="D187" s="2">
        <f t="shared" si="112"/>
        <v>0</v>
      </c>
      <c r="E187" s="2">
        <f t="shared" si="112"/>
        <v>230.0761662047143</v>
      </c>
      <c r="F187" s="2">
        <f t="shared" si="112"/>
        <v>9.7527785385623744</v>
      </c>
      <c r="G187" s="2">
        <f t="shared" si="112"/>
        <v>8.9981480713228965</v>
      </c>
      <c r="H187" s="2">
        <f t="shared" si="112"/>
        <v>67.863425768541475</v>
      </c>
      <c r="I187" s="2">
        <f t="shared" si="112"/>
        <v>19.653202168541174</v>
      </c>
      <c r="J187" s="2">
        <f t="shared" si="112"/>
        <v>3.9700124580859453</v>
      </c>
      <c r="K187" s="2">
        <f t="shared" si="112"/>
        <v>3.1661669603743285</v>
      </c>
      <c r="L187" s="2">
        <f t="shared" si="112"/>
        <v>0</v>
      </c>
      <c r="M187" s="6">
        <f t="shared" si="110"/>
        <v>432.25151138426457</v>
      </c>
      <c r="N187" s="2">
        <f t="shared" ref="N187:N195" si="113">+M187+N186</f>
        <v>1763.6722090656669</v>
      </c>
    </row>
    <row r="188" spans="1:16" x14ac:dyDescent="0.2">
      <c r="A188" t="s">
        <v>167</v>
      </c>
      <c r="C188" s="2">
        <f t="shared" ref="C188:L188" si="114">+C124-C155</f>
        <v>85.812058201376075</v>
      </c>
      <c r="D188" s="2">
        <f t="shared" si="114"/>
        <v>0</v>
      </c>
      <c r="E188" s="2">
        <f t="shared" si="114"/>
        <v>232.61767912830339</v>
      </c>
      <c r="F188" s="2">
        <f t="shared" si="114"/>
        <v>9.2844123312313833</v>
      </c>
      <c r="G188" s="2">
        <f t="shared" si="114"/>
        <v>10.251736190052222</v>
      </c>
      <c r="H188" s="2">
        <f t="shared" si="114"/>
        <v>66.171590440415727</v>
      </c>
      <c r="I188" s="2">
        <f t="shared" si="114"/>
        <v>20.147838608479137</v>
      </c>
      <c r="J188" s="2">
        <f t="shared" si="114"/>
        <v>4.6184972475073387</v>
      </c>
      <c r="K188" s="2">
        <f t="shared" si="114"/>
        <v>3.3476992368995693</v>
      </c>
      <c r="L188" s="2">
        <f t="shared" si="114"/>
        <v>0</v>
      </c>
      <c r="M188" s="6">
        <f t="shared" si="110"/>
        <v>432.25151138426492</v>
      </c>
      <c r="N188" s="2">
        <f t="shared" si="113"/>
        <v>2195.9237204499318</v>
      </c>
    </row>
    <row r="189" spans="1:16" x14ac:dyDescent="0.2">
      <c r="A189" t="s">
        <v>168</v>
      </c>
      <c r="C189" s="2">
        <f t="shared" ref="C189:L189" si="115">+C125-C156</f>
        <v>91.990794134334323</v>
      </c>
      <c r="D189" s="2">
        <f t="shared" si="115"/>
        <v>0</v>
      </c>
      <c r="E189" s="2">
        <f t="shared" si="115"/>
        <v>242.30595966689066</v>
      </c>
      <c r="F189" s="2">
        <f t="shared" si="115"/>
        <v>8.5686155983931336</v>
      </c>
      <c r="G189" s="2">
        <f t="shared" si="115"/>
        <v>10.069309221060879</v>
      </c>
      <c r="H189" s="2">
        <f t="shared" si="115"/>
        <v>55.866338740404153</v>
      </c>
      <c r="I189" s="2">
        <f t="shared" si="115"/>
        <v>16.986299366920257</v>
      </c>
      <c r="J189" s="2">
        <f t="shared" si="115"/>
        <v>3.8595425065736557</v>
      </c>
      <c r="K189" s="2">
        <f t="shared" si="115"/>
        <v>2.6046521496876962</v>
      </c>
      <c r="L189" s="2">
        <f t="shared" si="115"/>
        <v>0</v>
      </c>
      <c r="M189" s="6">
        <f t="shared" si="110"/>
        <v>432.2515113842648</v>
      </c>
      <c r="N189" s="2">
        <f t="shared" si="113"/>
        <v>2628.1752318341964</v>
      </c>
    </row>
    <row r="190" spans="1:16" x14ac:dyDescent="0.2">
      <c r="A190" t="s">
        <v>7</v>
      </c>
      <c r="C190" s="2">
        <f t="shared" ref="C190:L190" si="116">+C126-C157</f>
        <v>97.590916032069089</v>
      </c>
      <c r="D190" s="2">
        <f t="shared" si="116"/>
        <v>0</v>
      </c>
      <c r="E190" s="2">
        <f t="shared" si="116"/>
        <v>221.20687306493443</v>
      </c>
      <c r="F190" s="2">
        <f t="shared" si="116"/>
        <v>8.1345681499504092</v>
      </c>
      <c r="G190" s="2">
        <f t="shared" si="116"/>
        <v>10.014840513699964</v>
      </c>
      <c r="H190" s="2">
        <f t="shared" si="116"/>
        <v>68.976516903227861</v>
      </c>
      <c r="I190" s="2">
        <f t="shared" si="116"/>
        <v>19.161250147532545</v>
      </c>
      <c r="J190" s="2">
        <f t="shared" si="116"/>
        <v>4.1668747722077013</v>
      </c>
      <c r="K190" s="2">
        <f t="shared" si="116"/>
        <v>2.9996718006428291</v>
      </c>
      <c r="L190" s="2">
        <f t="shared" si="116"/>
        <v>0</v>
      </c>
      <c r="M190" s="6">
        <f t="shared" si="110"/>
        <v>432.25151138426475</v>
      </c>
      <c r="N190" s="2">
        <f t="shared" si="113"/>
        <v>3060.4267432184611</v>
      </c>
    </row>
    <row r="191" spans="1:16" x14ac:dyDescent="0.2">
      <c r="A191" t="s">
        <v>201</v>
      </c>
      <c r="C191" s="2">
        <f t="shared" ref="C191:L191" si="117">+C127-C158</f>
        <v>90.493757822238877</v>
      </c>
      <c r="D191" s="2">
        <f t="shared" si="117"/>
        <v>0</v>
      </c>
      <c r="E191" s="2">
        <f t="shared" si="117"/>
        <v>221.52820968363133</v>
      </c>
      <c r="F191" s="2">
        <f t="shared" si="117"/>
        <v>8.5165600840446238</v>
      </c>
      <c r="G191" s="2">
        <f t="shared" si="117"/>
        <v>11.976677964650991</v>
      </c>
      <c r="H191" s="2">
        <f t="shared" si="117"/>
        <v>73.303552547913498</v>
      </c>
      <c r="I191" s="2">
        <f t="shared" si="117"/>
        <v>18.998806767746608</v>
      </c>
      <c r="J191" s="2">
        <f t="shared" si="117"/>
        <v>4.4917849296705938</v>
      </c>
      <c r="K191" s="2">
        <f t="shared" si="117"/>
        <v>2.9421615843683573</v>
      </c>
      <c r="L191" s="2">
        <f t="shared" si="117"/>
        <v>0</v>
      </c>
      <c r="M191" s="6">
        <f t="shared" si="110"/>
        <v>432.25151138426486</v>
      </c>
      <c r="N191" s="2">
        <f t="shared" si="113"/>
        <v>3492.6782546027262</v>
      </c>
    </row>
    <row r="192" spans="1:16" x14ac:dyDescent="0.2">
      <c r="A192" t="s">
        <v>10</v>
      </c>
      <c r="C192" s="2">
        <f t="shared" ref="C192:L192" si="118">+C128-C159</f>
        <v>93.036245496419085</v>
      </c>
      <c r="D192" s="2">
        <f t="shared" si="118"/>
        <v>0</v>
      </c>
      <c r="E192" s="2">
        <f t="shared" si="118"/>
        <v>228.46309439799495</v>
      </c>
      <c r="F192" s="2">
        <f t="shared" si="118"/>
        <v>8.5163058873700042</v>
      </c>
      <c r="G192" s="2">
        <f t="shared" si="118"/>
        <v>7.817918560913113</v>
      </c>
      <c r="H192" s="2">
        <f t="shared" si="118"/>
        <v>74.601834699510206</v>
      </c>
      <c r="I192" s="2">
        <f t="shared" si="118"/>
        <v>13.098530648008023</v>
      </c>
      <c r="J192" s="2">
        <f t="shared" si="118"/>
        <v>4.1099340506599784</v>
      </c>
      <c r="K192" s="2">
        <f t="shared" si="118"/>
        <v>2.6076476433893996</v>
      </c>
      <c r="L192" s="2">
        <f t="shared" si="118"/>
        <v>0</v>
      </c>
      <c r="M192" s="6">
        <f t="shared" si="110"/>
        <v>432.25151138426475</v>
      </c>
      <c r="N192" s="2">
        <f t="shared" si="113"/>
        <v>3924.9297659869908</v>
      </c>
    </row>
    <row r="193" spans="1:14" x14ac:dyDescent="0.2">
      <c r="A193" t="s">
        <v>8</v>
      </c>
      <c r="C193" s="2">
        <f t="shared" ref="C193:L193" si="119">+C129-C160</f>
        <v>105.45950572290984</v>
      </c>
      <c r="D193" s="2">
        <f t="shared" si="119"/>
        <v>0</v>
      </c>
      <c r="E193" s="2">
        <f t="shared" si="119"/>
        <v>216.88875517128693</v>
      </c>
      <c r="F193" s="2">
        <f t="shared" si="119"/>
        <v>9.2857707873647595</v>
      </c>
      <c r="G193" s="2">
        <f t="shared" si="119"/>
        <v>8.7263870049933878</v>
      </c>
      <c r="H193" s="2">
        <f t="shared" si="119"/>
        <v>67.654112175123089</v>
      </c>
      <c r="I193" s="2">
        <f t="shared" si="119"/>
        <v>15.716446749506039</v>
      </c>
      <c r="J193" s="2">
        <f t="shared" si="119"/>
        <v>4.8465010904655585</v>
      </c>
      <c r="K193" s="2">
        <f t="shared" si="119"/>
        <v>3.6740326826151648</v>
      </c>
      <c r="L193" s="2">
        <f t="shared" si="119"/>
        <v>0</v>
      </c>
      <c r="M193" s="6">
        <f t="shared" si="110"/>
        <v>432.25151138426475</v>
      </c>
      <c r="N193" s="2">
        <f t="shared" si="113"/>
        <v>4357.1812773712554</v>
      </c>
    </row>
    <row r="194" spans="1:14" x14ac:dyDescent="0.2">
      <c r="A194" t="s">
        <v>9</v>
      </c>
      <c r="C194" s="2">
        <f t="shared" ref="C194:L194" si="120">+C130-C161</f>
        <v>94.953514694135237</v>
      </c>
      <c r="D194" s="2">
        <f t="shared" si="120"/>
        <v>0</v>
      </c>
      <c r="E194" s="2">
        <f t="shared" si="120"/>
        <v>240.83650871951352</v>
      </c>
      <c r="F194" s="2">
        <f t="shared" si="120"/>
        <v>8.2084500033682222</v>
      </c>
      <c r="G194" s="2">
        <f t="shared" si="120"/>
        <v>8.4134172448316367</v>
      </c>
      <c r="H194" s="2">
        <f t="shared" si="120"/>
        <v>59.089127610453289</v>
      </c>
      <c r="I194" s="2">
        <f t="shared" si="120"/>
        <v>13.195986212311336</v>
      </c>
      <c r="J194" s="2">
        <f t="shared" si="120"/>
        <v>4.6849655191637884</v>
      </c>
      <c r="K194" s="2">
        <f t="shared" si="120"/>
        <v>2.8695413804878203</v>
      </c>
      <c r="L194" s="2">
        <f t="shared" si="120"/>
        <v>0</v>
      </c>
      <c r="M194" s="6">
        <f t="shared" si="110"/>
        <v>432.25151138426486</v>
      </c>
      <c r="N194" s="2">
        <f t="shared" si="113"/>
        <v>4789.4327887555201</v>
      </c>
    </row>
    <row r="195" spans="1:14" ht="15" x14ac:dyDescent="0.35">
      <c r="A195" t="s">
        <v>2</v>
      </c>
      <c r="C195" s="12">
        <f t="shared" ref="C195:L195" si="121">+C131-C162</f>
        <v>91.316891083076825</v>
      </c>
      <c r="D195" s="12">
        <f t="shared" si="121"/>
        <v>0</v>
      </c>
      <c r="E195" s="12">
        <f t="shared" si="121"/>
        <v>239.30009481773607</v>
      </c>
      <c r="F195" s="12">
        <f t="shared" si="121"/>
        <v>10.783765580930737</v>
      </c>
      <c r="G195" s="12">
        <f t="shared" si="121"/>
        <v>9.7080782411870228</v>
      </c>
      <c r="H195" s="12">
        <f t="shared" si="121"/>
        <v>53.551301396907917</v>
      </c>
      <c r="I195" s="12">
        <f t="shared" si="121"/>
        <v>19.214465106172099</v>
      </c>
      <c r="J195" s="12">
        <f t="shared" si="121"/>
        <v>4.7509524172014048</v>
      </c>
      <c r="K195" s="12">
        <f t="shared" si="121"/>
        <v>3.6259627410527706</v>
      </c>
      <c r="L195" s="12">
        <f t="shared" si="121"/>
        <v>0</v>
      </c>
      <c r="M195" s="7">
        <f t="shared" si="110"/>
        <v>432.2515113842648</v>
      </c>
      <c r="N195" s="2">
        <f t="shared" si="113"/>
        <v>5221.6843001397847</v>
      </c>
    </row>
    <row r="196" spans="1:14" ht="15" x14ac:dyDescent="0.35">
      <c r="C196" s="15">
        <f t="shared" ref="C196:M196" si="122">SUM(C184:C195)</f>
        <v>1110.4181407292217</v>
      </c>
      <c r="D196" s="15">
        <f t="shared" si="122"/>
        <v>0</v>
      </c>
      <c r="E196" s="15">
        <f t="shared" si="122"/>
        <v>2748.6780178759677</v>
      </c>
      <c r="F196" s="15">
        <f t="shared" si="122"/>
        <v>113.73306662055266</v>
      </c>
      <c r="G196" s="15">
        <f t="shared" si="122"/>
        <v>114.54123590099414</v>
      </c>
      <c r="H196" s="15">
        <f t="shared" si="122"/>
        <v>814.06598644518965</v>
      </c>
      <c r="I196" s="15">
        <f t="shared" si="122"/>
        <v>229.31118987655836</v>
      </c>
      <c r="J196" s="15">
        <f t="shared" si="122"/>
        <v>53.030613551305102</v>
      </c>
      <c r="K196" s="15">
        <f t="shared" si="122"/>
        <v>37.906049139995474</v>
      </c>
      <c r="L196" s="15">
        <f t="shared" si="122"/>
        <v>0</v>
      </c>
      <c r="M196" s="8">
        <f t="shared" si="122"/>
        <v>5221.6843001397847</v>
      </c>
      <c r="N196" s="8"/>
    </row>
    <row r="197" spans="1:14" x14ac:dyDescent="0.2"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</row>
    <row r="198" spans="1:14" x14ac:dyDescent="0.2"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</row>
    <row r="199" spans="1:14" x14ac:dyDescent="0.2"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</row>
    <row r="200" spans="1:14" x14ac:dyDescent="0.2"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</row>
    <row r="201" spans="1:14" x14ac:dyDescent="0.2">
      <c r="C201" s="322" t="s">
        <v>34</v>
      </c>
      <c r="D201" s="322"/>
      <c r="E201" s="322"/>
      <c r="F201" s="322"/>
      <c r="G201" s="322"/>
      <c r="H201" s="322"/>
      <c r="I201" s="322"/>
      <c r="J201" s="322"/>
      <c r="K201" s="322"/>
      <c r="L201" s="322"/>
    </row>
    <row r="202" spans="1:14" x14ac:dyDescent="0.2">
      <c r="C202" s="24" t="s">
        <v>35</v>
      </c>
      <c r="D202" s="24" t="s">
        <v>36</v>
      </c>
      <c r="E202" s="24"/>
      <c r="F202" s="24" t="s">
        <v>37</v>
      </c>
      <c r="G202" s="24" t="s">
        <v>38</v>
      </c>
      <c r="H202" s="24"/>
      <c r="I202" s="24"/>
      <c r="J202" s="24" t="s">
        <v>0</v>
      </c>
      <c r="K202" s="24" t="s">
        <v>0</v>
      </c>
      <c r="L202" s="24" t="s">
        <v>39</v>
      </c>
    </row>
    <row r="203" spans="1:14" x14ac:dyDescent="0.2">
      <c r="C203" s="25" t="s">
        <v>40</v>
      </c>
      <c r="D203" s="25" t="s">
        <v>41</v>
      </c>
      <c r="E203" s="25" t="s">
        <v>19</v>
      </c>
      <c r="F203" s="25" t="s">
        <v>17</v>
      </c>
      <c r="G203" s="25" t="s">
        <v>18</v>
      </c>
      <c r="H203" s="25" t="s">
        <v>11</v>
      </c>
      <c r="I203" s="25" t="s">
        <v>1</v>
      </c>
      <c r="J203" s="25" t="s">
        <v>42</v>
      </c>
      <c r="K203" s="25" t="s">
        <v>43</v>
      </c>
      <c r="L203" s="25" t="s">
        <v>44</v>
      </c>
      <c r="M203" s="30" t="s">
        <v>3</v>
      </c>
    </row>
    <row r="204" spans="1:14" x14ac:dyDescent="0.2">
      <c r="A204" s="3" t="s">
        <v>52</v>
      </c>
    </row>
    <row r="205" spans="1:14" x14ac:dyDescent="0.2">
      <c r="A205" t="s">
        <v>198</v>
      </c>
      <c r="C205" s="9">
        <f t="shared" ref="C205:L205" si="123">+C136*C73</f>
        <v>29.363149516980737</v>
      </c>
      <c r="D205" s="9">
        <f t="shared" si="123"/>
        <v>0</v>
      </c>
      <c r="E205" s="9">
        <f t="shared" si="123"/>
        <v>234.56887191294149</v>
      </c>
      <c r="F205" s="9">
        <f t="shared" si="123"/>
        <v>91.422655239514597</v>
      </c>
      <c r="G205" s="9">
        <f t="shared" si="123"/>
        <v>11.106700494336245</v>
      </c>
      <c r="H205" s="9">
        <f t="shared" si="123"/>
        <v>-52.386658913443753</v>
      </c>
      <c r="I205" s="9">
        <f t="shared" si="123"/>
        <v>22.336680636574702</v>
      </c>
      <c r="J205" s="9">
        <f t="shared" si="123"/>
        <v>39.123999086774027</v>
      </c>
      <c r="K205" s="9">
        <f t="shared" si="123"/>
        <v>2.5993174689590983</v>
      </c>
      <c r="L205" s="9">
        <f t="shared" si="123"/>
        <v>-0.13255908923271459</v>
      </c>
      <c r="M205" s="9">
        <f t="shared" ref="M205" si="124">SUM(C205:L205)</f>
        <v>378.00215635340442</v>
      </c>
    </row>
    <row r="206" spans="1:14" x14ac:dyDescent="0.2">
      <c r="A206" t="s">
        <v>164</v>
      </c>
      <c r="C206" s="9">
        <f t="shared" ref="C206:L206" si="125">+C137*C74</f>
        <v>28.254799904593323</v>
      </c>
      <c r="D206" s="9">
        <f t="shared" si="125"/>
        <v>0</v>
      </c>
      <c r="E206" s="9">
        <f t="shared" si="125"/>
        <v>203.35816609332872</v>
      </c>
      <c r="F206" s="9">
        <f t="shared" si="125"/>
        <v>106.42560852808117</v>
      </c>
      <c r="G206" s="9">
        <f t="shared" si="125"/>
        <v>11.446589520377822</v>
      </c>
      <c r="H206" s="9">
        <f t="shared" si="125"/>
        <v>-60.516980280188925</v>
      </c>
      <c r="I206" s="9">
        <f t="shared" si="125"/>
        <v>13.168706016638097</v>
      </c>
      <c r="J206" s="9">
        <f t="shared" si="125"/>
        <v>44.114663931572508</v>
      </c>
      <c r="K206" s="9">
        <f t="shared" si="125"/>
        <v>2.6627914780479274</v>
      </c>
      <c r="L206" s="9">
        <f t="shared" si="125"/>
        <v>-0.14447838376771036</v>
      </c>
      <c r="M206" s="9">
        <f t="shared" ref="M206:M216" si="126">SUM(C206:L206)</f>
        <v>348.76986680868299</v>
      </c>
      <c r="N206" s="158">
        <f>+M206+M205</f>
        <v>726.77202316208741</v>
      </c>
    </row>
    <row r="207" spans="1:14" x14ac:dyDescent="0.2">
      <c r="A207" t="s">
        <v>165</v>
      </c>
      <c r="C207" s="9">
        <f t="shared" ref="C207:L207" si="127">+C138*C75</f>
        <v>48.137892202783249</v>
      </c>
      <c r="D207" s="9">
        <f t="shared" si="127"/>
        <v>0</v>
      </c>
      <c r="E207" s="9">
        <f t="shared" si="127"/>
        <v>198.29486446900785</v>
      </c>
      <c r="F207" s="9">
        <f t="shared" si="127"/>
        <v>101.14467412486276</v>
      </c>
      <c r="G207" s="9">
        <f t="shared" si="127"/>
        <v>11.751417008344516</v>
      </c>
      <c r="H207" s="9">
        <f t="shared" si="127"/>
        <v>-54.475672296767108</v>
      </c>
      <c r="I207" s="9">
        <f t="shared" si="127"/>
        <v>9.68527837362101</v>
      </c>
      <c r="J207" s="9">
        <f t="shared" si="127"/>
        <v>42.677930891092558</v>
      </c>
      <c r="K207" s="9">
        <f t="shared" si="127"/>
        <v>2.2654694470102306</v>
      </c>
      <c r="L207" s="9">
        <f t="shared" si="127"/>
        <v>0</v>
      </c>
      <c r="M207" s="9">
        <f t="shared" si="126"/>
        <v>359.48185421995504</v>
      </c>
      <c r="N207" s="158">
        <f>+M207+N206</f>
        <v>1086.2538773820424</v>
      </c>
    </row>
    <row r="208" spans="1:14" x14ac:dyDescent="0.2">
      <c r="A208" t="s">
        <v>166</v>
      </c>
      <c r="C208" s="9">
        <f t="shared" ref="C208:L208" si="128">+C139*C76</f>
        <v>67.284357975496391</v>
      </c>
      <c r="D208" s="9">
        <f t="shared" si="128"/>
        <v>0</v>
      </c>
      <c r="E208" s="9">
        <f t="shared" si="128"/>
        <v>240.96988141841322</v>
      </c>
      <c r="F208" s="9">
        <f t="shared" si="128"/>
        <v>104.78390926370946</v>
      </c>
      <c r="G208" s="9">
        <f t="shared" si="128"/>
        <v>15.090391129254654</v>
      </c>
      <c r="H208" s="9">
        <f t="shared" si="128"/>
        <v>-54.392411186180276</v>
      </c>
      <c r="I208" s="9">
        <f t="shared" si="128"/>
        <v>5.7248871740072502</v>
      </c>
      <c r="J208" s="9">
        <f t="shared" si="128"/>
        <v>60.891467065868277</v>
      </c>
      <c r="K208" s="9">
        <f t="shared" si="128"/>
        <v>3.8041876772770258</v>
      </c>
      <c r="L208" s="9">
        <f t="shared" si="128"/>
        <v>0</v>
      </c>
      <c r="M208" s="9">
        <f t="shared" si="126"/>
        <v>444.15667051784601</v>
      </c>
      <c r="N208" s="158">
        <f t="shared" ref="N208:N216" si="129">+M208+N207</f>
        <v>1530.4105478998886</v>
      </c>
    </row>
    <row r="209" spans="1:14" x14ac:dyDescent="0.2">
      <c r="A209" t="s">
        <v>167</v>
      </c>
      <c r="C209" s="9">
        <f t="shared" ref="C209:L209" si="130">+C140*C77</f>
        <v>71.321565065500678</v>
      </c>
      <c r="D209" s="9">
        <f t="shared" si="130"/>
        <v>0</v>
      </c>
      <c r="E209" s="9">
        <f t="shared" si="130"/>
        <v>255.29040375286738</v>
      </c>
      <c r="F209" s="9">
        <f t="shared" si="130"/>
        <v>91.245182316092595</v>
      </c>
      <c r="G209" s="9">
        <f t="shared" si="130"/>
        <v>14.390407360417395</v>
      </c>
      <c r="H209" s="9">
        <f t="shared" si="130"/>
        <v>-47.137078392411439</v>
      </c>
      <c r="I209" s="9">
        <f t="shared" si="130"/>
        <v>5.4996732795510344</v>
      </c>
      <c r="J209" s="9">
        <f t="shared" si="130"/>
        <v>73.289763703963516</v>
      </c>
      <c r="K209" s="9">
        <f t="shared" si="130"/>
        <v>9.6918261960715526</v>
      </c>
      <c r="L209" s="9">
        <f t="shared" si="130"/>
        <v>0</v>
      </c>
      <c r="M209" s="9">
        <f t="shared" si="126"/>
        <v>473.59174328205262</v>
      </c>
      <c r="N209" s="158">
        <f t="shared" si="129"/>
        <v>2004.0022911819412</v>
      </c>
    </row>
    <row r="210" spans="1:14" x14ac:dyDescent="0.2">
      <c r="A210" t="s">
        <v>168</v>
      </c>
      <c r="C210" s="9">
        <f t="shared" ref="C210:L210" si="131">+C141*C78</f>
        <v>81.829402543588301</v>
      </c>
      <c r="D210" s="9">
        <f t="shared" si="131"/>
        <v>0</v>
      </c>
      <c r="E210" s="9">
        <f t="shared" si="131"/>
        <v>279.14235177333933</v>
      </c>
      <c r="F210" s="9">
        <f t="shared" si="131"/>
        <v>110.50271583723254</v>
      </c>
      <c r="G210" s="9">
        <f t="shared" si="131"/>
        <v>18.304964042357707</v>
      </c>
      <c r="H210" s="9">
        <f t="shared" si="131"/>
        <v>-56.686787829590259</v>
      </c>
      <c r="I210" s="9">
        <f t="shared" si="131"/>
        <v>8.2149728347643673</v>
      </c>
      <c r="J210" s="9">
        <f t="shared" si="131"/>
        <v>75.025890364983923</v>
      </c>
      <c r="K210" s="9">
        <f t="shared" si="131"/>
        <v>11.870534708432384</v>
      </c>
      <c r="L210" s="9">
        <f t="shared" si="131"/>
        <v>0</v>
      </c>
      <c r="M210" s="9">
        <f t="shared" si="126"/>
        <v>528.20404427510834</v>
      </c>
      <c r="N210" s="158">
        <f t="shared" si="129"/>
        <v>2532.2063354570496</v>
      </c>
    </row>
    <row r="211" spans="1:14" x14ac:dyDescent="0.2">
      <c r="A211" t="s">
        <v>7</v>
      </c>
      <c r="C211" s="9">
        <f t="shared" ref="C211:L211" si="132">+C142*C79</f>
        <v>92.595161418108034</v>
      </c>
      <c r="D211" s="9">
        <f t="shared" si="132"/>
        <v>0</v>
      </c>
      <c r="E211" s="9">
        <f t="shared" si="132"/>
        <v>334.39009384750807</v>
      </c>
      <c r="F211" s="9">
        <f t="shared" si="132"/>
        <v>135.14117062540049</v>
      </c>
      <c r="G211" s="9">
        <f t="shared" si="132"/>
        <v>23.700564737875617</v>
      </c>
      <c r="H211" s="9">
        <f t="shared" si="132"/>
        <v>-63.777065723777625</v>
      </c>
      <c r="I211" s="9">
        <f t="shared" si="132"/>
        <v>8.9457325689247185</v>
      </c>
      <c r="J211" s="9">
        <f t="shared" si="132"/>
        <v>71.212190451261648</v>
      </c>
      <c r="K211" s="9">
        <f t="shared" si="132"/>
        <v>12.577642288765572</v>
      </c>
      <c r="L211" s="9">
        <f t="shared" si="132"/>
        <v>0</v>
      </c>
      <c r="M211" s="9">
        <f t="shared" si="126"/>
        <v>614.78549021406673</v>
      </c>
      <c r="N211" s="158">
        <f t="shared" si="129"/>
        <v>3146.9918256711162</v>
      </c>
    </row>
    <row r="212" spans="1:14" x14ac:dyDescent="0.2">
      <c r="A212" t="s">
        <v>199</v>
      </c>
      <c r="C212" s="9">
        <f t="shared" ref="C212:L212" si="133">+C143*C80</f>
        <v>75.575364278850344</v>
      </c>
      <c r="D212" s="9">
        <f t="shared" si="133"/>
        <v>0</v>
      </c>
      <c r="E212" s="9">
        <f t="shared" si="133"/>
        <v>389.50213123064606</v>
      </c>
      <c r="F212" s="9">
        <f t="shared" si="133"/>
        <v>120.77725517492908</v>
      </c>
      <c r="G212" s="9">
        <f t="shared" si="133"/>
        <v>33.342172796638188</v>
      </c>
      <c r="H212" s="9">
        <f t="shared" si="133"/>
        <v>-53.997110625084836</v>
      </c>
      <c r="I212" s="9">
        <f t="shared" si="133"/>
        <v>11.526710574396631</v>
      </c>
      <c r="J212" s="9">
        <f t="shared" si="133"/>
        <v>70.555215681497856</v>
      </c>
      <c r="K212" s="9">
        <f t="shared" si="133"/>
        <v>9.9873685465207345</v>
      </c>
      <c r="L212" s="9">
        <f t="shared" si="133"/>
        <v>0</v>
      </c>
      <c r="M212" s="9">
        <f t="shared" si="126"/>
        <v>657.2691076583942</v>
      </c>
      <c r="N212" s="158">
        <f t="shared" si="129"/>
        <v>3804.2609333295104</v>
      </c>
    </row>
    <row r="213" spans="1:14" x14ac:dyDescent="0.2">
      <c r="A213" t="s">
        <v>10</v>
      </c>
      <c r="C213" s="9">
        <f t="shared" ref="C213:L213" si="134">+C144*C81</f>
        <v>61.750504851685861</v>
      </c>
      <c r="D213" s="9">
        <f t="shared" si="134"/>
        <v>0</v>
      </c>
      <c r="E213" s="9">
        <f t="shared" si="134"/>
        <v>247.97125034805353</v>
      </c>
      <c r="F213" s="9">
        <f t="shared" si="134"/>
        <v>94.68935057732034</v>
      </c>
      <c r="G213" s="9">
        <f t="shared" si="134"/>
        <v>20.19889909684715</v>
      </c>
      <c r="H213" s="9">
        <f t="shared" si="134"/>
        <v>-53.551278658689881</v>
      </c>
      <c r="I213" s="9">
        <f t="shared" si="134"/>
        <v>12.919935859085934</v>
      </c>
      <c r="J213" s="9">
        <f t="shared" si="134"/>
        <v>43.544471353379549</v>
      </c>
      <c r="K213" s="9">
        <f t="shared" si="134"/>
        <v>15.715977570483089</v>
      </c>
      <c r="L213" s="9">
        <f t="shared" si="134"/>
        <v>0</v>
      </c>
      <c r="M213" s="9">
        <f t="shared" si="126"/>
        <v>443.23911099816553</v>
      </c>
      <c r="N213" s="158">
        <f t="shared" si="129"/>
        <v>4247.5000443276758</v>
      </c>
    </row>
    <row r="214" spans="1:14" x14ac:dyDescent="0.2">
      <c r="A214" t="s">
        <v>8</v>
      </c>
      <c r="C214" s="9">
        <f t="shared" ref="C214:L214" si="135">+C145*C82</f>
        <v>88.145455939400236</v>
      </c>
      <c r="D214" s="9">
        <f t="shared" si="135"/>
        <v>0</v>
      </c>
      <c r="E214" s="9">
        <f t="shared" si="135"/>
        <v>286.45880298036735</v>
      </c>
      <c r="F214" s="9">
        <f t="shared" si="135"/>
        <v>145.2562941375117</v>
      </c>
      <c r="G214" s="9">
        <f t="shared" si="135"/>
        <v>30.695486786588155</v>
      </c>
      <c r="H214" s="9">
        <f t="shared" si="135"/>
        <v>-57.505783900269805</v>
      </c>
      <c r="I214" s="9">
        <f t="shared" si="135"/>
        <v>16.909473586178276</v>
      </c>
      <c r="J214" s="9">
        <f t="shared" si="135"/>
        <v>93.862130813531195</v>
      </c>
      <c r="K214" s="9">
        <f t="shared" si="135"/>
        <v>12.7304606827851</v>
      </c>
      <c r="L214" s="9">
        <f t="shared" si="135"/>
        <v>0</v>
      </c>
      <c r="M214" s="9">
        <f t="shared" si="126"/>
        <v>616.55232102609216</v>
      </c>
      <c r="N214" s="158">
        <f t="shared" si="129"/>
        <v>4864.0523653537675</v>
      </c>
    </row>
    <row r="215" spans="1:14" x14ac:dyDescent="0.2">
      <c r="A215" t="s">
        <v>9</v>
      </c>
      <c r="C215" s="9">
        <f t="shared" ref="C215:L215" si="136">+C146*C83</f>
        <v>85.106508165053341</v>
      </c>
      <c r="D215" s="9">
        <f t="shared" si="136"/>
        <v>0</v>
      </c>
      <c r="E215" s="9">
        <f t="shared" si="136"/>
        <v>326.75358747722919</v>
      </c>
      <c r="F215" s="9">
        <f t="shared" si="136"/>
        <v>158.45427103241798</v>
      </c>
      <c r="G215" s="9">
        <f t="shared" si="136"/>
        <v>25.452371082374167</v>
      </c>
      <c r="H215" s="9">
        <f t="shared" si="136"/>
        <v>-58.340752105627821</v>
      </c>
      <c r="I215" s="9">
        <f t="shared" si="136"/>
        <v>35.418577752478818</v>
      </c>
      <c r="J215" s="9">
        <f t="shared" si="136"/>
        <v>78.330569718007297</v>
      </c>
      <c r="K215" s="9">
        <f t="shared" si="136"/>
        <v>15.45386778478511</v>
      </c>
      <c r="L215" s="9">
        <f t="shared" si="136"/>
        <v>0</v>
      </c>
      <c r="M215" s="9">
        <f t="shared" si="126"/>
        <v>666.62900090671792</v>
      </c>
      <c r="N215" s="158">
        <f t="shared" si="129"/>
        <v>5530.6813662604854</v>
      </c>
    </row>
    <row r="216" spans="1:14" ht="15" x14ac:dyDescent="0.35">
      <c r="A216" t="s">
        <v>2</v>
      </c>
      <c r="C216" s="10">
        <f t="shared" ref="C216:L216" si="137">+C147*C84</f>
        <v>73.092210377871311</v>
      </c>
      <c r="D216" s="10">
        <f t="shared" si="137"/>
        <v>0</v>
      </c>
      <c r="E216" s="10">
        <f t="shared" si="137"/>
        <v>320.89758846600131</v>
      </c>
      <c r="F216" s="10">
        <f t="shared" si="137"/>
        <v>158.0129745694345</v>
      </c>
      <c r="G216" s="10">
        <f t="shared" si="137"/>
        <v>28.523951811464642</v>
      </c>
      <c r="H216" s="10">
        <f t="shared" si="137"/>
        <v>-55.39357438341888</v>
      </c>
      <c r="I216" s="10">
        <f t="shared" si="137"/>
        <v>49.234207636251675</v>
      </c>
      <c r="J216" s="10">
        <f t="shared" si="137"/>
        <v>84.150179205583498</v>
      </c>
      <c r="K216" s="10">
        <f t="shared" si="137"/>
        <v>24.16019082418147</v>
      </c>
      <c r="L216" s="10">
        <f t="shared" si="137"/>
        <v>0</v>
      </c>
      <c r="M216" s="10">
        <f t="shared" si="126"/>
        <v>682.67772850736935</v>
      </c>
      <c r="N216" s="158">
        <f t="shared" si="129"/>
        <v>6213.3590947678549</v>
      </c>
    </row>
    <row r="217" spans="1:14" ht="15" x14ac:dyDescent="0.35">
      <c r="C217" s="11">
        <f t="shared" ref="C217:M217" si="138">SUM(C205:C216)</f>
        <v>802.45637223991173</v>
      </c>
      <c r="D217" s="11">
        <f t="shared" si="138"/>
        <v>0</v>
      </c>
      <c r="E217" s="11">
        <f t="shared" si="138"/>
        <v>3317.5979937697039</v>
      </c>
      <c r="F217" s="11">
        <f t="shared" si="138"/>
        <v>1417.856061426507</v>
      </c>
      <c r="G217" s="11">
        <f t="shared" si="138"/>
        <v>244.00391586687624</v>
      </c>
      <c r="H217" s="11">
        <f t="shared" si="138"/>
        <v>-668.16115429545061</v>
      </c>
      <c r="I217" s="11">
        <f t="shared" si="138"/>
        <v>199.58483629247252</v>
      </c>
      <c r="J217" s="11">
        <f t="shared" si="138"/>
        <v>776.77847226751589</v>
      </c>
      <c r="K217" s="11">
        <f t="shared" si="138"/>
        <v>123.51963467331929</v>
      </c>
      <c r="L217" s="11">
        <f t="shared" si="138"/>
        <v>-0.27703747300042492</v>
      </c>
      <c r="M217" s="11">
        <f t="shared" si="138"/>
        <v>6213.3590947678549</v>
      </c>
    </row>
    <row r="218" spans="1:14" ht="15" x14ac:dyDescent="0.35"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1:14" x14ac:dyDescent="0.2">
      <c r="A219" t="s">
        <v>200</v>
      </c>
      <c r="C219" s="9">
        <f>+C151*C85</f>
        <v>123.38226480333323</v>
      </c>
      <c r="D219" s="9">
        <f t="shared" ref="D219:L219" si="139">+D151*D85</f>
        <v>0</v>
      </c>
      <c r="E219" s="9">
        <f t="shared" si="139"/>
        <v>429.71670824260855</v>
      </c>
      <c r="F219" s="9">
        <f t="shared" si="139"/>
        <v>213.67026927495607</v>
      </c>
      <c r="G219" s="9">
        <f t="shared" si="139"/>
        <v>29.023766796963137</v>
      </c>
      <c r="H219" s="9">
        <f t="shared" si="139"/>
        <v>-53.460214737091576</v>
      </c>
      <c r="I219" s="9">
        <f t="shared" si="139"/>
        <v>109.47333623242868</v>
      </c>
      <c r="J219" s="9">
        <f t="shared" si="139"/>
        <v>113.32668813090342</v>
      </c>
      <c r="K219" s="9">
        <f t="shared" si="139"/>
        <v>40.922303759372817</v>
      </c>
      <c r="L219" s="9">
        <f t="shared" si="139"/>
        <v>0</v>
      </c>
      <c r="M219" s="9">
        <f t="shared" ref="M219:M230" si="140">SUM(C219:L219)</f>
        <v>1006.0551225034743</v>
      </c>
      <c r="N219" s="158">
        <f>+M219+N216</f>
        <v>7219.4142172713291</v>
      </c>
    </row>
    <row r="220" spans="1:14" x14ac:dyDescent="0.2">
      <c r="A220" t="s">
        <v>164</v>
      </c>
      <c r="C220" s="9">
        <f t="shared" ref="C220:L220" si="141">+C152*C86</f>
        <v>134.53689167336805</v>
      </c>
      <c r="D220" s="9">
        <f t="shared" si="141"/>
        <v>0</v>
      </c>
      <c r="E220" s="9">
        <f t="shared" si="141"/>
        <v>455.03771541236677</v>
      </c>
      <c r="F220" s="9">
        <f t="shared" si="141"/>
        <v>215.26776191480084</v>
      </c>
      <c r="G220" s="9">
        <f t="shared" si="141"/>
        <v>28.347679934098082</v>
      </c>
      <c r="H220" s="9">
        <f t="shared" si="141"/>
        <v>-54.583756522388057</v>
      </c>
      <c r="I220" s="9">
        <f t="shared" si="141"/>
        <v>99.525430986140748</v>
      </c>
      <c r="J220" s="9">
        <f t="shared" si="141"/>
        <v>107.073134834968</v>
      </c>
      <c r="K220" s="9">
        <f t="shared" si="141"/>
        <v>45.199148622601278</v>
      </c>
      <c r="L220" s="9">
        <f t="shared" si="141"/>
        <v>0</v>
      </c>
      <c r="M220" s="9">
        <f t="shared" si="140"/>
        <v>1030.4040068559557</v>
      </c>
      <c r="N220" s="158">
        <f>+M220+N219</f>
        <v>8249.8182241272843</v>
      </c>
    </row>
    <row r="221" spans="1:14" x14ac:dyDescent="0.2">
      <c r="A221" t="s">
        <v>165</v>
      </c>
      <c r="C221" s="9">
        <f t="shared" ref="C221:L221" si="142">+C153*C87</f>
        <v>134.1078200422225</v>
      </c>
      <c r="D221" s="9">
        <f t="shared" si="142"/>
        <v>0</v>
      </c>
      <c r="E221" s="9">
        <f t="shared" si="142"/>
        <v>486.56496955395232</v>
      </c>
      <c r="F221" s="9">
        <f t="shared" si="142"/>
        <v>243.98087215289652</v>
      </c>
      <c r="G221" s="9">
        <f t="shared" si="142"/>
        <v>27.760948171314034</v>
      </c>
      <c r="H221" s="9">
        <f t="shared" si="142"/>
        <v>-55.035478251730098</v>
      </c>
      <c r="I221" s="9">
        <f t="shared" si="142"/>
        <v>110.26495065323407</v>
      </c>
      <c r="J221" s="9">
        <f t="shared" si="142"/>
        <v>139.55826045807751</v>
      </c>
      <c r="K221" s="9">
        <f t="shared" si="142"/>
        <v>47.887638392477584</v>
      </c>
      <c r="L221" s="9">
        <f t="shared" si="142"/>
        <v>0</v>
      </c>
      <c r="M221" s="9">
        <f t="shared" si="140"/>
        <v>1135.0899811724446</v>
      </c>
      <c r="N221" s="158">
        <f t="shared" ref="N221:N230" si="143">+M221+N220</f>
        <v>9384.9082052997292</v>
      </c>
    </row>
    <row r="222" spans="1:14" x14ac:dyDescent="0.2">
      <c r="A222" t="s">
        <v>166</v>
      </c>
      <c r="C222" s="9">
        <f t="shared" ref="C222:L222" si="144">+C154*C88</f>
        <v>148.68142544622566</v>
      </c>
      <c r="D222" s="9">
        <f t="shared" si="144"/>
        <v>0</v>
      </c>
      <c r="E222" s="9">
        <f t="shared" si="144"/>
        <v>543.12201930991228</v>
      </c>
      <c r="F222" s="9">
        <f t="shared" si="144"/>
        <v>238.08425628130135</v>
      </c>
      <c r="G222" s="9">
        <f t="shared" si="144"/>
        <v>26.441283859396588</v>
      </c>
      <c r="H222" s="9">
        <f t="shared" si="144"/>
        <v>-48.756414610698194</v>
      </c>
      <c r="I222" s="9">
        <f t="shared" si="144"/>
        <v>94.150990899550237</v>
      </c>
      <c r="J222" s="9">
        <f t="shared" si="144"/>
        <v>110.83035285928732</v>
      </c>
      <c r="K222" s="9">
        <f t="shared" si="144"/>
        <v>45.494593677958541</v>
      </c>
      <c r="L222" s="9">
        <f t="shared" si="144"/>
        <v>0</v>
      </c>
      <c r="M222" s="9">
        <f t="shared" si="140"/>
        <v>1158.0485077229337</v>
      </c>
      <c r="N222" s="158">
        <f t="shared" si="143"/>
        <v>10542.956713022662</v>
      </c>
    </row>
    <row r="223" spans="1:14" x14ac:dyDescent="0.2">
      <c r="A223" t="s">
        <v>167</v>
      </c>
      <c r="C223" s="9">
        <f t="shared" ref="C223:L223" si="145">+C155*C89</f>
        <v>138.0643382837639</v>
      </c>
      <c r="D223" s="9">
        <f t="shared" si="145"/>
        <v>0</v>
      </c>
      <c r="E223" s="9">
        <f t="shared" si="145"/>
        <v>533.20499435263662</v>
      </c>
      <c r="F223" s="9">
        <f t="shared" si="145"/>
        <v>223.51735644015184</v>
      </c>
      <c r="G223" s="9">
        <f t="shared" si="145"/>
        <v>32.449628829445082</v>
      </c>
      <c r="H223" s="9">
        <f t="shared" si="145"/>
        <v>-47.540917105569839</v>
      </c>
      <c r="I223" s="9">
        <f t="shared" si="145"/>
        <v>66.172323458157535</v>
      </c>
      <c r="J223" s="9">
        <f t="shared" si="145"/>
        <v>127.6699644597315</v>
      </c>
      <c r="K223" s="9">
        <f t="shared" si="145"/>
        <v>46.270531267233274</v>
      </c>
      <c r="L223" s="9">
        <f t="shared" si="145"/>
        <v>0</v>
      </c>
      <c r="M223" s="9">
        <f t="shared" si="140"/>
        <v>1119.8082199855498</v>
      </c>
      <c r="N223" s="158">
        <f t="shared" si="143"/>
        <v>11662.764933008213</v>
      </c>
    </row>
    <row r="224" spans="1:14" x14ac:dyDescent="0.2">
      <c r="A224" t="s">
        <v>168</v>
      </c>
      <c r="C224" s="9">
        <f t="shared" ref="C224:L224" si="146">+C156*C90</f>
        <v>135.36634187438122</v>
      </c>
      <c r="D224" s="9">
        <f t="shared" si="146"/>
        <v>0</v>
      </c>
      <c r="E224" s="9">
        <f t="shared" si="146"/>
        <v>522.25346856738599</v>
      </c>
      <c r="F224" s="9">
        <f t="shared" si="146"/>
        <v>172.66668104690223</v>
      </c>
      <c r="G224" s="9">
        <f t="shared" si="146"/>
        <v>34.42417658355123</v>
      </c>
      <c r="H224" s="9">
        <f t="shared" si="146"/>
        <v>-40.137118684502219</v>
      </c>
      <c r="I224" s="9">
        <f t="shared" si="146"/>
        <v>58.11328977532272</v>
      </c>
      <c r="J224" s="9">
        <f t="shared" si="146"/>
        <v>88.732310237293973</v>
      </c>
      <c r="K224" s="9">
        <f t="shared" si="146"/>
        <v>25.164662583551372</v>
      </c>
      <c r="L224" s="9">
        <f t="shared" si="146"/>
        <v>0</v>
      </c>
      <c r="M224" s="9">
        <f t="shared" si="140"/>
        <v>996.58381198388656</v>
      </c>
      <c r="N224" s="158">
        <f t="shared" si="143"/>
        <v>12659.348744992099</v>
      </c>
    </row>
    <row r="225" spans="1:14" x14ac:dyDescent="0.2">
      <c r="A225" t="s">
        <v>7</v>
      </c>
      <c r="C225" s="9">
        <f t="shared" ref="C225:L225" si="147">+C157*C91</f>
        <v>123.69463120022121</v>
      </c>
      <c r="D225" s="9">
        <f t="shared" si="147"/>
        <v>0</v>
      </c>
      <c r="E225" s="9">
        <f t="shared" si="147"/>
        <v>416.23442283505784</v>
      </c>
      <c r="F225" s="9">
        <f t="shared" si="147"/>
        <v>171.89731932911374</v>
      </c>
      <c r="G225" s="9">
        <f t="shared" si="147"/>
        <v>34.143398309076495</v>
      </c>
      <c r="H225" s="9">
        <f t="shared" si="147"/>
        <v>-49.556113892714393</v>
      </c>
      <c r="I225" s="9">
        <f t="shared" si="147"/>
        <v>68.176368999330194</v>
      </c>
      <c r="J225" s="9">
        <f t="shared" si="147"/>
        <v>62.724876195929411</v>
      </c>
      <c r="K225" s="9">
        <f t="shared" si="147"/>
        <v>18.882880772419636</v>
      </c>
      <c r="L225" s="9">
        <f t="shared" si="147"/>
        <v>0</v>
      </c>
      <c r="M225" s="9">
        <f t="shared" si="140"/>
        <v>846.19778374843406</v>
      </c>
      <c r="N225" s="158">
        <f t="shared" si="143"/>
        <v>13505.546528740533</v>
      </c>
    </row>
    <row r="226" spans="1:14" x14ac:dyDescent="0.2">
      <c r="A226" t="s">
        <v>201</v>
      </c>
      <c r="C226" s="9">
        <f t="shared" ref="C226:L226" si="148">+C158*C92</f>
        <v>114.30283520973212</v>
      </c>
      <c r="D226" s="9">
        <f t="shared" si="148"/>
        <v>0</v>
      </c>
      <c r="E226" s="9">
        <f t="shared" si="148"/>
        <v>386.5234981428793</v>
      </c>
      <c r="F226" s="9">
        <f t="shared" si="148"/>
        <v>215.1165235318727</v>
      </c>
      <c r="G226" s="9">
        <f t="shared" si="148"/>
        <v>36.513145746605979</v>
      </c>
      <c r="H226" s="9">
        <f t="shared" si="148"/>
        <v>-58.683710719426948</v>
      </c>
      <c r="I226" s="9">
        <f t="shared" si="148"/>
        <v>63.376090581885279</v>
      </c>
      <c r="J226" s="9">
        <f t="shared" si="148"/>
        <v>55.322034359348933</v>
      </c>
      <c r="K226" s="9">
        <f t="shared" si="148"/>
        <v>12.884073030381453</v>
      </c>
      <c r="L226" s="9">
        <f t="shared" si="148"/>
        <v>0</v>
      </c>
      <c r="M226" s="9">
        <f t="shared" si="140"/>
        <v>825.35448988327892</v>
      </c>
      <c r="N226" s="158">
        <f t="shared" si="143"/>
        <v>14330.901018623812</v>
      </c>
    </row>
    <row r="227" spans="1:14" x14ac:dyDescent="0.2">
      <c r="A227" t="s">
        <v>10</v>
      </c>
      <c r="C227" s="9">
        <f t="shared" ref="C227:L227" si="149">+C159*C93</f>
        <v>113.77111517188052</v>
      </c>
      <c r="D227" s="9">
        <f t="shared" si="149"/>
        <v>0</v>
      </c>
      <c r="E227" s="9">
        <f t="shared" si="149"/>
        <v>414.25581358784945</v>
      </c>
      <c r="F227" s="9">
        <f t="shared" si="149"/>
        <v>230.33301044033414</v>
      </c>
      <c r="G227" s="9">
        <f t="shared" si="149"/>
        <v>23.50808090497457</v>
      </c>
      <c r="H227" s="9">
        <f t="shared" si="149"/>
        <v>-59.723060267550125</v>
      </c>
      <c r="I227" s="9">
        <f t="shared" si="149"/>
        <v>46.079807597289609</v>
      </c>
      <c r="J227" s="9">
        <f t="shared" si="149"/>
        <v>47.244452239720374</v>
      </c>
      <c r="K227" s="9">
        <f t="shared" si="149"/>
        <v>9.9917973563222819</v>
      </c>
      <c r="L227" s="9">
        <f t="shared" si="149"/>
        <v>0</v>
      </c>
      <c r="M227" s="9">
        <f t="shared" si="140"/>
        <v>825.46101703082093</v>
      </c>
      <c r="N227" s="158">
        <f t="shared" si="143"/>
        <v>15156.362035654633</v>
      </c>
    </row>
    <row r="228" spans="1:14" x14ac:dyDescent="0.2">
      <c r="A228" t="s">
        <v>8</v>
      </c>
      <c r="C228" s="9">
        <f t="shared" ref="C228:L228" si="150">+C160*C94</f>
        <v>123.08936318494094</v>
      </c>
      <c r="D228" s="9">
        <f t="shared" si="150"/>
        <v>0</v>
      </c>
      <c r="E228" s="9">
        <f t="shared" si="150"/>
        <v>408.1092263423227</v>
      </c>
      <c r="F228" s="9">
        <f t="shared" si="150"/>
        <v>288.96363286594476</v>
      </c>
      <c r="G228" s="9">
        <f t="shared" si="150"/>
        <v>33.376240957268756</v>
      </c>
      <c r="H228" s="9">
        <f t="shared" si="150"/>
        <v>-54.161008707859565</v>
      </c>
      <c r="I228" s="9">
        <f t="shared" si="150"/>
        <v>69.890951071680703</v>
      </c>
      <c r="J228" s="9">
        <f t="shared" si="150"/>
        <v>54.384964086623143</v>
      </c>
      <c r="K228" s="9">
        <f t="shared" si="150"/>
        <v>19.608496780505671</v>
      </c>
      <c r="L228" s="9">
        <f t="shared" si="150"/>
        <v>0</v>
      </c>
      <c r="M228" s="9">
        <f t="shared" si="140"/>
        <v>943.26186658142706</v>
      </c>
      <c r="N228" s="158">
        <f t="shared" si="143"/>
        <v>16099.623902236061</v>
      </c>
    </row>
    <row r="229" spans="1:14" x14ac:dyDescent="0.2">
      <c r="A229" t="s">
        <v>9</v>
      </c>
      <c r="C229" s="9">
        <f t="shared" ref="C229:L229" si="151">+C161*C95</f>
        <v>111.09994357395398</v>
      </c>
      <c r="D229" s="9">
        <f t="shared" si="151"/>
        <v>0</v>
      </c>
      <c r="E229" s="9">
        <f t="shared" si="151"/>
        <v>436.69164214093234</v>
      </c>
      <c r="F229" s="9">
        <f t="shared" si="151"/>
        <v>240.72434143177327</v>
      </c>
      <c r="G229" s="9">
        <f t="shared" si="151"/>
        <v>35.1186184776993</v>
      </c>
      <c r="H229" s="9">
        <f t="shared" si="151"/>
        <v>-47.304245849321319</v>
      </c>
      <c r="I229" s="9">
        <f t="shared" si="151"/>
        <v>93.022272315011151</v>
      </c>
      <c r="J229" s="9">
        <f t="shared" si="151"/>
        <v>55.136796429286953</v>
      </c>
      <c r="K229" s="9">
        <f t="shared" si="151"/>
        <v>18.063712085990232</v>
      </c>
      <c r="L229" s="9">
        <f t="shared" si="151"/>
        <v>0</v>
      </c>
      <c r="M229" s="9">
        <f t="shared" si="140"/>
        <v>942.55308060532593</v>
      </c>
      <c r="N229" s="158">
        <f t="shared" si="143"/>
        <v>17042.176982841385</v>
      </c>
    </row>
    <row r="230" spans="1:14" ht="15" x14ac:dyDescent="0.35">
      <c r="A230" t="s">
        <v>2</v>
      </c>
      <c r="C230" s="10">
        <f t="shared" ref="C230:L230" si="152">+C162*C96</f>
        <v>110.14399952442199</v>
      </c>
      <c r="D230" s="10">
        <f t="shared" si="152"/>
        <v>0</v>
      </c>
      <c r="E230" s="10">
        <f t="shared" si="152"/>
        <v>433.9057725344403</v>
      </c>
      <c r="F230" s="10">
        <f t="shared" si="152"/>
        <v>260.352840482933</v>
      </c>
      <c r="G230" s="10">
        <f t="shared" si="152"/>
        <v>32.312401077131632</v>
      </c>
      <c r="H230" s="10">
        <f t="shared" si="152"/>
        <v>-42.870897393013713</v>
      </c>
      <c r="I230" s="10">
        <f t="shared" si="152"/>
        <v>165.28725021539486</v>
      </c>
      <c r="J230" s="10">
        <f t="shared" si="152"/>
        <v>70.216813221283815</v>
      </c>
      <c r="K230" s="10">
        <f t="shared" si="152"/>
        <v>23.817778572754136</v>
      </c>
      <c r="L230" s="10">
        <f t="shared" si="152"/>
        <v>0</v>
      </c>
      <c r="M230" s="10">
        <f t="shared" si="140"/>
        <v>1053.1659582353461</v>
      </c>
      <c r="N230" s="158">
        <f t="shared" si="143"/>
        <v>18095.342941076731</v>
      </c>
    </row>
    <row r="231" spans="1:14" ht="15" x14ac:dyDescent="0.35">
      <c r="C231" s="11">
        <f t="shared" ref="C231:M231" si="153">SUM(C219:C230)</f>
        <v>1510.2409699884456</v>
      </c>
      <c r="D231" s="11">
        <f t="shared" si="153"/>
        <v>0</v>
      </c>
      <c r="E231" s="11">
        <f t="shared" si="153"/>
        <v>5465.6202510223438</v>
      </c>
      <c r="F231" s="11">
        <f t="shared" si="153"/>
        <v>2714.5748651929807</v>
      </c>
      <c r="G231" s="11">
        <f t="shared" si="153"/>
        <v>373.41936964752495</v>
      </c>
      <c r="H231" s="11">
        <f t="shared" si="153"/>
        <v>-611.812936741866</v>
      </c>
      <c r="I231" s="11">
        <f t="shared" si="153"/>
        <v>1043.5330627854257</v>
      </c>
      <c r="J231" s="11">
        <f t="shared" si="153"/>
        <v>1032.220647512454</v>
      </c>
      <c r="K231" s="11">
        <f t="shared" si="153"/>
        <v>354.18761690156833</v>
      </c>
      <c r="L231" s="11">
        <f t="shared" si="153"/>
        <v>0</v>
      </c>
      <c r="M231" s="11">
        <f t="shared" si="153"/>
        <v>11881.983846308876</v>
      </c>
    </row>
    <row r="232" spans="1:14" ht="15" x14ac:dyDescent="0.35"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4" ht="15" x14ac:dyDescent="0.35"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1:14" x14ac:dyDescent="0.2">
      <c r="A234" s="3" t="s">
        <v>53</v>
      </c>
    </row>
    <row r="235" spans="1:14" x14ac:dyDescent="0.2">
      <c r="A235" t="s">
        <v>198</v>
      </c>
      <c r="C235" s="9">
        <f t="shared" ref="C235:L235" si="154">+C168*C73</f>
        <v>2145.6849628519631</v>
      </c>
      <c r="D235" s="9">
        <f t="shared" si="154"/>
        <v>0</v>
      </c>
      <c r="E235" s="9">
        <f t="shared" si="154"/>
        <v>17140.903121638279</v>
      </c>
      <c r="F235" s="9">
        <f t="shared" si="154"/>
        <v>6680.6258810208255</v>
      </c>
      <c r="G235" s="9">
        <f t="shared" si="154"/>
        <v>811.6118546416817</v>
      </c>
      <c r="H235" s="9">
        <f t="shared" si="154"/>
        <v>-3828.1065939342411</v>
      </c>
      <c r="I235" s="9">
        <f t="shared" si="154"/>
        <v>1632.2322554059961</v>
      </c>
      <c r="J235" s="9">
        <f t="shared" si="154"/>
        <v>2858.9500073409317</v>
      </c>
      <c r="K235" s="9">
        <f t="shared" si="154"/>
        <v>189.94271726875186</v>
      </c>
      <c r="L235" s="9">
        <f t="shared" si="154"/>
        <v>-9.6866327057831807</v>
      </c>
      <c r="M235" s="9">
        <f t="shared" ref="M235" si="155">SUM(C235:L235)</f>
        <v>27622.157573528402</v>
      </c>
    </row>
    <row r="236" spans="1:14" x14ac:dyDescent="0.2">
      <c r="A236" t="s">
        <v>164</v>
      </c>
      <c r="C236" s="9">
        <f t="shared" ref="C236:L236" si="156">+C169*C74</f>
        <v>2064.6933411763935</v>
      </c>
      <c r="D236" s="9">
        <f t="shared" si="156"/>
        <v>0</v>
      </c>
      <c r="E236" s="9">
        <f t="shared" si="156"/>
        <v>14860.209692671762</v>
      </c>
      <c r="F236" s="9">
        <f t="shared" si="156"/>
        <v>7776.9528009594133</v>
      </c>
      <c r="G236" s="9">
        <f t="shared" si="156"/>
        <v>836.44893050760902</v>
      </c>
      <c r="H236" s="9">
        <f t="shared" si="156"/>
        <v>-4422.2222997338058</v>
      </c>
      <c r="I236" s="9">
        <f t="shared" si="156"/>
        <v>962.29099891951728</v>
      </c>
      <c r="J236" s="9">
        <f t="shared" si="156"/>
        <v>3223.6382198886131</v>
      </c>
      <c r="K236" s="9">
        <f t="shared" si="156"/>
        <v>194.58102171068745</v>
      </c>
      <c r="L236" s="9">
        <f t="shared" si="156"/>
        <v>-10.557624117544167</v>
      </c>
      <c r="M236" s="9">
        <f t="shared" ref="M236:M246" si="157">SUM(C236:L236)</f>
        <v>25486.035081982649</v>
      </c>
      <c r="N236" s="158">
        <f>+M236+M235</f>
        <v>53108.192655511055</v>
      </c>
    </row>
    <row r="237" spans="1:14" x14ac:dyDescent="0.2">
      <c r="A237" t="s">
        <v>165</v>
      </c>
      <c r="C237" s="9">
        <f t="shared" ref="C237:L237" si="158">+C170*C75</f>
        <v>3517.6319005959754</v>
      </c>
      <c r="D237" s="9">
        <f t="shared" si="158"/>
        <v>0</v>
      </c>
      <c r="E237" s="9">
        <f t="shared" si="158"/>
        <v>14490.21361471676</v>
      </c>
      <c r="F237" s="9">
        <f t="shared" si="158"/>
        <v>7391.0534091983045</v>
      </c>
      <c r="G237" s="9">
        <f t="shared" si="158"/>
        <v>858.72391694310102</v>
      </c>
      <c r="H237" s="9">
        <f t="shared" si="158"/>
        <v>-3980.7593126489446</v>
      </c>
      <c r="I237" s="9">
        <f t="shared" si="158"/>
        <v>707.74274930200932</v>
      </c>
      <c r="J237" s="9">
        <f t="shared" si="158"/>
        <v>3118.6502832639117</v>
      </c>
      <c r="K237" s="9">
        <f t="shared" si="158"/>
        <v>165.5470821833772</v>
      </c>
      <c r="L237" s="9">
        <f t="shared" si="158"/>
        <v>0</v>
      </c>
      <c r="M237" s="9">
        <f t="shared" si="157"/>
        <v>26268.803643554496</v>
      </c>
      <c r="N237" s="158">
        <f>+M237+N236</f>
        <v>79376.996299065548</v>
      </c>
    </row>
    <row r="238" spans="1:14" x14ac:dyDescent="0.2">
      <c r="A238" t="s">
        <v>166</v>
      </c>
      <c r="C238" s="9">
        <f t="shared" ref="C238:L238" si="159">+C171*C76</f>
        <v>4916.7421587279405</v>
      </c>
      <c r="D238" s="9">
        <f t="shared" si="159"/>
        <v>0</v>
      </c>
      <c r="E238" s="9">
        <f t="shared" si="159"/>
        <v>17608.650964389974</v>
      </c>
      <c r="F238" s="9">
        <f t="shared" si="159"/>
        <v>7656.9871473073626</v>
      </c>
      <c r="G238" s="9">
        <f t="shared" si="159"/>
        <v>1102.7163591859046</v>
      </c>
      <c r="H238" s="9">
        <f t="shared" si="159"/>
        <v>-3974.6750840864333</v>
      </c>
      <c r="I238" s="9">
        <f t="shared" si="159"/>
        <v>418.34082941912237</v>
      </c>
      <c r="J238" s="9">
        <f t="shared" si="159"/>
        <v>4449.5875748503004</v>
      </c>
      <c r="K238" s="9">
        <f t="shared" si="159"/>
        <v>277.98749212102121</v>
      </c>
      <c r="L238" s="9">
        <f t="shared" si="159"/>
        <v>0</v>
      </c>
      <c r="M238" s="9">
        <f t="shared" si="157"/>
        <v>32456.337441915195</v>
      </c>
      <c r="N238" s="158">
        <f t="shared" ref="N238:N246" si="160">+M238+N237</f>
        <v>111833.33374098074</v>
      </c>
    </row>
    <row r="239" spans="1:14" x14ac:dyDescent="0.2">
      <c r="A239" t="s">
        <v>167</v>
      </c>
      <c r="C239" s="9">
        <f t="shared" ref="C239:L239" si="161">+C172*C77</f>
        <v>5211.7573286752904</v>
      </c>
      <c r="D239" s="9">
        <f t="shared" si="161"/>
        <v>0</v>
      </c>
      <c r="E239" s="9">
        <f t="shared" si="161"/>
        <v>18655.109874237311</v>
      </c>
      <c r="F239" s="9">
        <f t="shared" si="161"/>
        <v>6667.6572114685432</v>
      </c>
      <c r="G239" s="9">
        <f t="shared" si="161"/>
        <v>1051.5656934112415</v>
      </c>
      <c r="H239" s="9">
        <f t="shared" si="161"/>
        <v>-3444.4983580825096</v>
      </c>
      <c r="I239" s="9">
        <f t="shared" si="161"/>
        <v>401.88353261311818</v>
      </c>
      <c r="J239" s="9">
        <f t="shared" si="161"/>
        <v>5355.5816217748143</v>
      </c>
      <c r="K239" s="9">
        <f t="shared" si="161"/>
        <v>708.22122536478435</v>
      </c>
      <c r="L239" s="9">
        <f t="shared" si="161"/>
        <v>0</v>
      </c>
      <c r="M239" s="9">
        <f t="shared" si="157"/>
        <v>34607.278129462597</v>
      </c>
      <c r="N239" s="158">
        <f t="shared" si="160"/>
        <v>146440.61187044333</v>
      </c>
    </row>
    <row r="240" spans="1:14" x14ac:dyDescent="0.2">
      <c r="A240" t="s">
        <v>168</v>
      </c>
      <c r="C240" s="9">
        <f t="shared" ref="C240:L240" si="162">+C173*C78</f>
        <v>5979.6078229073964</v>
      </c>
      <c r="D240" s="9">
        <f t="shared" si="162"/>
        <v>0</v>
      </c>
      <c r="E240" s="9">
        <f t="shared" si="162"/>
        <v>20398.068890696242</v>
      </c>
      <c r="F240" s="9">
        <f t="shared" si="162"/>
        <v>8074.8836424762894</v>
      </c>
      <c r="G240" s="9">
        <f t="shared" si="162"/>
        <v>1337.6182983545095</v>
      </c>
      <c r="H240" s="9">
        <f t="shared" si="162"/>
        <v>-4142.3345328807991</v>
      </c>
      <c r="I240" s="9">
        <f t="shared" si="162"/>
        <v>600.30153344407756</v>
      </c>
      <c r="J240" s="9">
        <f t="shared" si="162"/>
        <v>5482.4474700041956</v>
      </c>
      <c r="K240" s="9">
        <f t="shared" si="162"/>
        <v>867.42833258285543</v>
      </c>
      <c r="L240" s="9">
        <f t="shared" si="162"/>
        <v>0</v>
      </c>
      <c r="M240" s="9">
        <f t="shared" si="157"/>
        <v>38598.021457584771</v>
      </c>
      <c r="N240" s="158">
        <f t="shared" si="160"/>
        <v>185038.63332802811</v>
      </c>
    </row>
    <row r="241" spans="1:16" x14ac:dyDescent="0.2">
      <c r="A241" t="s">
        <v>7</v>
      </c>
      <c r="C241" s="9">
        <f t="shared" ref="C241:L241" si="163">+C174*C79</f>
        <v>6766.3056843676723</v>
      </c>
      <c r="D241" s="9">
        <f t="shared" si="163"/>
        <v>0</v>
      </c>
      <c r="E241" s="9">
        <f t="shared" si="163"/>
        <v>24435.246487449389</v>
      </c>
      <c r="F241" s="9">
        <f t="shared" si="163"/>
        <v>9875.3159127375984</v>
      </c>
      <c r="G241" s="9">
        <f t="shared" si="163"/>
        <v>1731.8968232529105</v>
      </c>
      <c r="H241" s="9">
        <f t="shared" si="163"/>
        <v>-4660.4500249264156</v>
      </c>
      <c r="I241" s="9">
        <f t="shared" si="163"/>
        <v>653.70112438846195</v>
      </c>
      <c r="J241" s="9">
        <f t="shared" si="163"/>
        <v>5203.7648800125644</v>
      </c>
      <c r="K241" s="9">
        <f t="shared" si="163"/>
        <v>919.09956428646205</v>
      </c>
      <c r="L241" s="9">
        <f t="shared" si="163"/>
        <v>0</v>
      </c>
      <c r="M241" s="9">
        <f t="shared" si="157"/>
        <v>44924.880451568642</v>
      </c>
      <c r="N241" s="158">
        <f t="shared" si="160"/>
        <v>229963.51377959675</v>
      </c>
    </row>
    <row r="242" spans="1:16" x14ac:dyDescent="0.2">
      <c r="A242" t="s">
        <v>199</v>
      </c>
      <c r="C242" s="9">
        <f t="shared" ref="C242:L242" si="164">+C175*C80</f>
        <v>5522.5997674878417</v>
      </c>
      <c r="D242" s="9">
        <f t="shared" si="164"/>
        <v>0</v>
      </c>
      <c r="E242" s="9">
        <f t="shared" si="164"/>
        <v>28462.507589557954</v>
      </c>
      <c r="F242" s="9">
        <f t="shared" si="164"/>
        <v>8825.6860911161148</v>
      </c>
      <c r="G242" s="9">
        <f t="shared" si="164"/>
        <v>2436.4484047321166</v>
      </c>
      <c r="H242" s="9">
        <f t="shared" si="164"/>
        <v>-3945.7888616034215</v>
      </c>
      <c r="I242" s="9">
        <f t="shared" si="164"/>
        <v>842.30370234387237</v>
      </c>
      <c r="J242" s="9">
        <f t="shared" si="164"/>
        <v>5155.7570570220469</v>
      </c>
      <c r="K242" s="9">
        <f t="shared" si="164"/>
        <v>729.81770897353363</v>
      </c>
      <c r="L242" s="9">
        <f t="shared" si="164"/>
        <v>0</v>
      </c>
      <c r="M242" s="9">
        <f t="shared" si="157"/>
        <v>48029.331459630055</v>
      </c>
      <c r="N242" s="158">
        <f t="shared" si="160"/>
        <v>277992.84523922682</v>
      </c>
    </row>
    <row r="243" spans="1:16" x14ac:dyDescent="0.2">
      <c r="A243" t="s">
        <v>10</v>
      </c>
      <c r="C243" s="9">
        <f t="shared" ref="C243:L243" si="165">+C176*C81</f>
        <v>4512.3609656435628</v>
      </c>
      <c r="D243" s="9">
        <f t="shared" si="165"/>
        <v>0</v>
      </c>
      <c r="E243" s="9">
        <f t="shared" si="165"/>
        <v>18120.269516174434</v>
      </c>
      <c r="F243" s="9">
        <f t="shared" si="165"/>
        <v>6919.336618113075</v>
      </c>
      <c r="G243" s="9">
        <f t="shared" si="165"/>
        <v>1476.0158488177565</v>
      </c>
      <c r="H243" s="9">
        <f t="shared" si="165"/>
        <v>-3913.2101034664865</v>
      </c>
      <c r="I243" s="9">
        <f t="shared" si="165"/>
        <v>944.11234999913131</v>
      </c>
      <c r="J243" s="9">
        <f t="shared" si="165"/>
        <v>3181.9719251932529</v>
      </c>
      <c r="K243" s="9">
        <f t="shared" si="165"/>
        <v>1148.4305091319679</v>
      </c>
      <c r="L243" s="9">
        <f t="shared" si="165"/>
        <v>0</v>
      </c>
      <c r="M243" s="9">
        <f t="shared" si="157"/>
        <v>32389.28762960669</v>
      </c>
      <c r="N243" s="158">
        <f t="shared" si="160"/>
        <v>310382.13286883349</v>
      </c>
    </row>
    <row r="244" spans="1:16" x14ac:dyDescent="0.2">
      <c r="A244" t="s">
        <v>8</v>
      </c>
      <c r="C244" s="9">
        <f t="shared" ref="C244:L244" si="166">+C177*C82</f>
        <v>6441.147576608766</v>
      </c>
      <c r="D244" s="9">
        <f t="shared" si="166"/>
        <v>0</v>
      </c>
      <c r="E244" s="9">
        <f t="shared" si="166"/>
        <v>20932.711788157958</v>
      </c>
      <c r="F244" s="9">
        <f t="shared" si="166"/>
        <v>10614.469197530021</v>
      </c>
      <c r="G244" s="9">
        <f t="shared" si="166"/>
        <v>2243.044275182905</v>
      </c>
      <c r="H244" s="9">
        <f t="shared" si="166"/>
        <v>-4202.181912416012</v>
      </c>
      <c r="I244" s="9">
        <f t="shared" si="166"/>
        <v>1235.6441253899902</v>
      </c>
      <c r="J244" s="9">
        <f t="shared" si="166"/>
        <v>6858.8882998184108</v>
      </c>
      <c r="K244" s="9">
        <f t="shared" si="166"/>
        <v>930.26662693092612</v>
      </c>
      <c r="L244" s="9">
        <f t="shared" si="166"/>
        <v>0</v>
      </c>
      <c r="M244" s="9">
        <f t="shared" si="157"/>
        <v>45053.989977202968</v>
      </c>
      <c r="N244" s="158">
        <f t="shared" si="160"/>
        <v>355436.12284603645</v>
      </c>
    </row>
    <row r="245" spans="1:16" x14ac:dyDescent="0.2">
      <c r="A245" t="s">
        <v>9</v>
      </c>
      <c r="C245" s="9">
        <f t="shared" ref="C245:L245" si="167">+C178*C83</f>
        <v>6219.0792818388973</v>
      </c>
      <c r="D245" s="9">
        <f t="shared" si="167"/>
        <v>0</v>
      </c>
      <c r="E245" s="9">
        <f t="shared" si="167"/>
        <v>23877.215855280487</v>
      </c>
      <c r="F245" s="9">
        <f t="shared" si="167"/>
        <v>11578.89913877632</v>
      </c>
      <c r="G245" s="9">
        <f t="shared" si="167"/>
        <v>1859.9084498342306</v>
      </c>
      <c r="H245" s="9">
        <f t="shared" si="167"/>
        <v>-4263.1964409038401</v>
      </c>
      <c r="I245" s="9">
        <f t="shared" si="167"/>
        <v>2588.1797742829895</v>
      </c>
      <c r="J245" s="9">
        <f t="shared" si="167"/>
        <v>5723.9338538380898</v>
      </c>
      <c r="K245" s="9">
        <f t="shared" si="167"/>
        <v>1129.2770792363342</v>
      </c>
      <c r="L245" s="9">
        <f t="shared" si="167"/>
        <v>0</v>
      </c>
      <c r="M245" s="9">
        <f t="shared" si="157"/>
        <v>48713.296992183503</v>
      </c>
      <c r="N245" s="158">
        <f t="shared" si="160"/>
        <v>404149.41983821994</v>
      </c>
    </row>
    <row r="246" spans="1:16" ht="15" x14ac:dyDescent="0.35">
      <c r="A246" t="s">
        <v>2</v>
      </c>
      <c r="C246" s="10">
        <f t="shared" ref="C246:L246" si="168">+C179*C84</f>
        <v>5341.1455953903742</v>
      </c>
      <c r="D246" s="10">
        <f t="shared" si="168"/>
        <v>0</v>
      </c>
      <c r="E246" s="10">
        <f t="shared" si="168"/>
        <v>23449.294149756315</v>
      </c>
      <c r="F246" s="10">
        <f t="shared" si="168"/>
        <v>11546.65180835164</v>
      </c>
      <c r="G246" s="10">
        <f t="shared" si="168"/>
        <v>2084.361367556287</v>
      </c>
      <c r="H246" s="10">
        <f t="shared" si="168"/>
        <v>-4047.8341577216834</v>
      </c>
      <c r="I246" s="10">
        <f t="shared" si="168"/>
        <v>3597.7441357897978</v>
      </c>
      <c r="J246" s="10">
        <f t="shared" si="168"/>
        <v>6149.1964286154171</v>
      </c>
      <c r="K246" s="10">
        <f t="shared" si="168"/>
        <v>1765.4835739300011</v>
      </c>
      <c r="L246" s="10">
        <f t="shared" si="168"/>
        <v>0</v>
      </c>
      <c r="M246" s="10">
        <f t="shared" si="157"/>
        <v>49886.042901668152</v>
      </c>
      <c r="N246" s="158">
        <f t="shared" si="160"/>
        <v>454035.46273988811</v>
      </c>
    </row>
    <row r="247" spans="1:16" ht="15" x14ac:dyDescent="0.35">
      <c r="C247" s="11">
        <f t="shared" ref="C247:M247" si="169">SUM(C235:C246)</f>
        <v>58638.756386272071</v>
      </c>
      <c r="D247" s="11">
        <f t="shared" si="169"/>
        <v>0</v>
      </c>
      <c r="E247" s="11">
        <f t="shared" si="169"/>
        <v>242430.40154472686</v>
      </c>
      <c r="F247" s="11">
        <f t="shared" si="169"/>
        <v>103608.51885905552</v>
      </c>
      <c r="G247" s="11">
        <f t="shared" si="169"/>
        <v>17830.360222420255</v>
      </c>
      <c r="H247" s="11">
        <f t="shared" si="169"/>
        <v>-48825.257682404597</v>
      </c>
      <c r="I247" s="11">
        <f t="shared" si="169"/>
        <v>14584.477111298085</v>
      </c>
      <c r="J247" s="11">
        <f t="shared" si="169"/>
        <v>56762.36762162255</v>
      </c>
      <c r="K247" s="11">
        <f t="shared" si="169"/>
        <v>9026.0829337207033</v>
      </c>
      <c r="L247" s="11">
        <f t="shared" si="169"/>
        <v>-20.244256823327348</v>
      </c>
      <c r="M247" s="11">
        <f t="shared" si="169"/>
        <v>454035.46273988811</v>
      </c>
      <c r="N247" s="11"/>
      <c r="P247" s="63"/>
    </row>
    <row r="248" spans="1:16" ht="15" x14ac:dyDescent="0.35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P248" s="63"/>
    </row>
    <row r="249" spans="1:16" x14ac:dyDescent="0.2">
      <c r="A249" t="s">
        <v>200</v>
      </c>
      <c r="C249" s="9">
        <f>+C184*C85</f>
        <v>9016.0447576657953</v>
      </c>
      <c r="D249" s="9">
        <f t="shared" ref="D249:L249" si="170">+D184*D85</f>
        <v>0</v>
      </c>
      <c r="E249" s="9">
        <f t="shared" si="170"/>
        <v>31401.150568987658</v>
      </c>
      <c r="F249" s="9">
        <f t="shared" si="170"/>
        <v>15613.757084425493</v>
      </c>
      <c r="G249" s="9">
        <f t="shared" si="170"/>
        <v>2120.8848848299358</v>
      </c>
      <c r="H249" s="9">
        <f t="shared" si="170"/>
        <v>-3906.5556917141366</v>
      </c>
      <c r="I249" s="9">
        <f t="shared" si="170"/>
        <v>7999.6626809845111</v>
      </c>
      <c r="J249" s="9">
        <f t="shared" si="170"/>
        <v>8281.2428030471274</v>
      </c>
      <c r="K249" s="9">
        <f t="shared" si="170"/>
        <v>2990.3594561941691</v>
      </c>
      <c r="L249" s="9">
        <f t="shared" si="170"/>
        <v>0</v>
      </c>
      <c r="M249" s="9">
        <f t="shared" ref="M249:M260" si="171">SUM(C249:L249)</f>
        <v>73516.546544420562</v>
      </c>
      <c r="N249" s="158">
        <f>+M249+N246</f>
        <v>527552.00928430865</v>
      </c>
      <c r="P249" s="63"/>
    </row>
    <row r="250" spans="1:16" x14ac:dyDescent="0.2">
      <c r="A250" t="s">
        <v>164</v>
      </c>
      <c r="C250" s="9">
        <f t="shared" ref="C250:L250" si="172">+C185*C86</f>
        <v>9831.1587878353766</v>
      </c>
      <c r="D250" s="9">
        <f t="shared" si="172"/>
        <v>0</v>
      </c>
      <c r="E250" s="9">
        <f t="shared" si="172"/>
        <v>33251.459722540727</v>
      </c>
      <c r="F250" s="9">
        <f t="shared" si="172"/>
        <v>15730.492379922298</v>
      </c>
      <c r="G250" s="9">
        <f t="shared" si="172"/>
        <v>2071.4804633324266</v>
      </c>
      <c r="H250" s="9">
        <f t="shared" si="172"/>
        <v>-3988.6574673582095</v>
      </c>
      <c r="I250" s="9">
        <f t="shared" si="172"/>
        <v>7272.7287161353952</v>
      </c>
      <c r="J250" s="9">
        <f t="shared" si="172"/>
        <v>7824.2701862737731</v>
      </c>
      <c r="K250" s="9">
        <f t="shared" si="172"/>
        <v>3302.8859345330493</v>
      </c>
      <c r="L250" s="9">
        <f t="shared" si="172"/>
        <v>0</v>
      </c>
      <c r="M250" s="9">
        <f t="shared" si="171"/>
        <v>75295.818723214819</v>
      </c>
      <c r="N250" s="158">
        <f>+M250+N249</f>
        <v>602847.82800752344</v>
      </c>
      <c r="P250" s="63"/>
    </row>
    <row r="251" spans="1:16" x14ac:dyDescent="0.2">
      <c r="A251" t="s">
        <v>165</v>
      </c>
      <c r="C251" s="9">
        <f t="shared" ref="C251:L251" si="173">+C186*C87</f>
        <v>9799.8047756779633</v>
      </c>
      <c r="D251" s="9">
        <f t="shared" si="173"/>
        <v>0</v>
      </c>
      <c r="E251" s="9">
        <f t="shared" si="173"/>
        <v>35555.284627035107</v>
      </c>
      <c r="F251" s="9">
        <f t="shared" si="173"/>
        <v>17828.676324357955</v>
      </c>
      <c r="G251" s="9">
        <f t="shared" si="173"/>
        <v>2028.6055830371331</v>
      </c>
      <c r="H251" s="9">
        <f t="shared" si="173"/>
        <v>-4021.666614469018</v>
      </c>
      <c r="I251" s="9">
        <f t="shared" si="173"/>
        <v>8057.5091718085496</v>
      </c>
      <c r="J251" s="9">
        <f t="shared" si="173"/>
        <v>10198.09066236248</v>
      </c>
      <c r="K251" s="9">
        <f t="shared" si="173"/>
        <v>3499.3448351243806</v>
      </c>
      <c r="L251" s="9">
        <f t="shared" si="173"/>
        <v>0</v>
      </c>
      <c r="M251" s="9">
        <f t="shared" si="171"/>
        <v>82945.64936493455</v>
      </c>
      <c r="N251" s="158">
        <f t="shared" ref="N251:N260" si="174">+M251+N250</f>
        <v>685793.47737245797</v>
      </c>
      <c r="P251" s="63"/>
    </row>
    <row r="252" spans="1:16" x14ac:dyDescent="0.2">
      <c r="A252" t="s">
        <v>166</v>
      </c>
      <c r="C252" s="9">
        <f t="shared" ref="C252:L252" si="175">+C187*C88</f>
        <v>10864.757496496417</v>
      </c>
      <c r="D252" s="9">
        <f t="shared" si="175"/>
        <v>0</v>
      </c>
      <c r="E252" s="9">
        <f t="shared" si="175"/>
        <v>39688.138670313216</v>
      </c>
      <c r="F252" s="9">
        <f t="shared" si="175"/>
        <v>17397.786579370648</v>
      </c>
      <c r="G252" s="9">
        <f t="shared" si="175"/>
        <v>1932.1723353551654</v>
      </c>
      <c r="H252" s="9">
        <f t="shared" si="175"/>
        <v>-3562.8298528484274</v>
      </c>
      <c r="I252" s="9">
        <f t="shared" si="175"/>
        <v>6879.996483141209</v>
      </c>
      <c r="J252" s="9">
        <f t="shared" si="175"/>
        <v>8098.825414495328</v>
      </c>
      <c r="K252" s="9">
        <f t="shared" si="175"/>
        <v>3324.475308393045</v>
      </c>
      <c r="L252" s="9">
        <f t="shared" si="175"/>
        <v>0</v>
      </c>
      <c r="M252" s="9">
        <f t="shared" si="171"/>
        <v>84623.322434716581</v>
      </c>
      <c r="N252" s="158">
        <f t="shared" si="174"/>
        <v>770416.7998071746</v>
      </c>
      <c r="P252" s="63"/>
    </row>
    <row r="253" spans="1:16" x14ac:dyDescent="0.2">
      <c r="A253" t="s">
        <v>167</v>
      </c>
      <c r="C253" s="9">
        <f t="shared" ref="C253:L253" si="176">+C188*C89</f>
        <v>10088.923682735785</v>
      </c>
      <c r="D253" s="9">
        <f t="shared" si="176"/>
        <v>0</v>
      </c>
      <c r="E253" s="9">
        <f t="shared" si="176"/>
        <v>38963.461253990819</v>
      </c>
      <c r="F253" s="9">
        <f t="shared" si="176"/>
        <v>16333.323861348874</v>
      </c>
      <c r="G253" s="9">
        <f t="shared" si="176"/>
        <v>2371.2265807590793</v>
      </c>
      <c r="H253" s="9">
        <f t="shared" si="176"/>
        <v>-3474.0084981218256</v>
      </c>
      <c r="I253" s="9">
        <f t="shared" si="176"/>
        <v>4835.4812660349926</v>
      </c>
      <c r="J253" s="9">
        <f t="shared" si="176"/>
        <v>9329.3644399648238</v>
      </c>
      <c r="K253" s="9">
        <f t="shared" si="176"/>
        <v>3381.1762292685648</v>
      </c>
      <c r="L253" s="9">
        <f t="shared" si="176"/>
        <v>0</v>
      </c>
      <c r="M253" s="9">
        <f t="shared" si="171"/>
        <v>81828.948815981115</v>
      </c>
      <c r="N253" s="158">
        <f t="shared" si="174"/>
        <v>852245.74862315576</v>
      </c>
      <c r="P253" s="63"/>
    </row>
    <row r="254" spans="1:16" x14ac:dyDescent="0.2">
      <c r="A254" t="s">
        <v>168</v>
      </c>
      <c r="C254" s="9">
        <f t="shared" ref="C254:L254" si="177">+C189*C90</f>
        <v>9891.7700932649695</v>
      </c>
      <c r="D254" s="9">
        <f t="shared" si="177"/>
        <v>0</v>
      </c>
      <c r="E254" s="9">
        <f t="shared" si="177"/>
        <v>38163.18864753528</v>
      </c>
      <c r="F254" s="9">
        <f t="shared" si="177"/>
        <v>12617.457840945857</v>
      </c>
      <c r="G254" s="9">
        <f t="shared" si="177"/>
        <v>2515.5148296054285</v>
      </c>
      <c r="H254" s="9">
        <f t="shared" si="177"/>
        <v>-2932.9827838712181</v>
      </c>
      <c r="I254" s="9">
        <f t="shared" si="177"/>
        <v>4246.5748417300638</v>
      </c>
      <c r="J254" s="9">
        <f t="shared" si="177"/>
        <v>6484.0314110437412</v>
      </c>
      <c r="K254" s="9">
        <f t="shared" si="177"/>
        <v>1838.8844176795135</v>
      </c>
      <c r="L254" s="9">
        <f t="shared" si="177"/>
        <v>0</v>
      </c>
      <c r="M254" s="9">
        <f t="shared" si="171"/>
        <v>72824.439297933626</v>
      </c>
      <c r="N254" s="158">
        <f t="shared" si="174"/>
        <v>925070.18792108935</v>
      </c>
      <c r="P254" s="63"/>
    </row>
    <row r="255" spans="1:16" x14ac:dyDescent="0.2">
      <c r="A255" t="s">
        <v>7</v>
      </c>
      <c r="C255" s="9">
        <f t="shared" ref="C255:L255" si="178">+C190*C91</f>
        <v>9038.8706428902387</v>
      </c>
      <c r="D255" s="9">
        <f t="shared" si="178"/>
        <v>0</v>
      </c>
      <c r="E255" s="9">
        <f t="shared" si="178"/>
        <v>30415.945046428486</v>
      </c>
      <c r="F255" s="9">
        <f t="shared" si="178"/>
        <v>12561.237445790424</v>
      </c>
      <c r="G255" s="9">
        <f t="shared" si="178"/>
        <v>2494.9972171780719</v>
      </c>
      <c r="H255" s="9">
        <f t="shared" si="178"/>
        <v>-3621.2671374194629</v>
      </c>
      <c r="I255" s="9">
        <f t="shared" si="178"/>
        <v>4981.9250383584622</v>
      </c>
      <c r="J255" s="9">
        <f t="shared" si="178"/>
        <v>4583.5622494284717</v>
      </c>
      <c r="K255" s="9">
        <f t="shared" si="178"/>
        <v>1379.8490282957014</v>
      </c>
      <c r="L255" s="9">
        <f t="shared" si="178"/>
        <v>0</v>
      </c>
      <c r="M255" s="9">
        <f t="shared" si="171"/>
        <v>61835.119530950382</v>
      </c>
      <c r="N255" s="158">
        <f t="shared" si="174"/>
        <v>986905.30745203979</v>
      </c>
      <c r="P255" s="63"/>
    </row>
    <row r="256" spans="1:16" x14ac:dyDescent="0.2">
      <c r="A256" t="s">
        <v>201</v>
      </c>
      <c r="C256" s="9">
        <f t="shared" ref="C256:L256" si="179">+C191*C92</f>
        <v>8352.5738469926473</v>
      </c>
      <c r="D256" s="9">
        <f t="shared" si="179"/>
        <v>0</v>
      </c>
      <c r="E256" s="9">
        <f t="shared" si="179"/>
        <v>28244.846734662995</v>
      </c>
      <c r="F256" s="9">
        <f t="shared" si="179"/>
        <v>15719.440775125364</v>
      </c>
      <c r="G256" s="9">
        <f t="shared" si="179"/>
        <v>2668.1643169649478</v>
      </c>
      <c r="H256" s="9">
        <f t="shared" si="179"/>
        <v>-4288.2578240529392</v>
      </c>
      <c r="I256" s="9">
        <f t="shared" si="179"/>
        <v>4631.1491377059128</v>
      </c>
      <c r="J256" s="9">
        <f t="shared" si="179"/>
        <v>4042.6064367035347</v>
      </c>
      <c r="K256" s="9">
        <f t="shared" si="179"/>
        <v>941.4917069978743</v>
      </c>
      <c r="L256" s="9">
        <f t="shared" si="179"/>
        <v>0</v>
      </c>
      <c r="M256" s="9">
        <f t="shared" si="171"/>
        <v>60312.015131100343</v>
      </c>
      <c r="N256" s="158">
        <f t="shared" si="174"/>
        <v>1047217.3225831401</v>
      </c>
      <c r="P256" s="63"/>
    </row>
    <row r="257" spans="1:16" x14ac:dyDescent="0.2">
      <c r="A257" t="s">
        <v>10</v>
      </c>
      <c r="C257" s="9">
        <f t="shared" ref="C257:L257" si="180">+C192*C93</f>
        <v>8313.7188975600093</v>
      </c>
      <c r="D257" s="9">
        <f t="shared" si="180"/>
        <v>0</v>
      </c>
      <c r="E257" s="9">
        <f t="shared" si="180"/>
        <v>30271.360007734333</v>
      </c>
      <c r="F257" s="9">
        <f t="shared" si="180"/>
        <v>16831.371466621455</v>
      </c>
      <c r="G257" s="9">
        <f t="shared" si="180"/>
        <v>1717.8312453894382</v>
      </c>
      <c r="H257" s="9">
        <f t="shared" si="180"/>
        <v>-4364.2073299213471</v>
      </c>
      <c r="I257" s="9">
        <f t="shared" si="180"/>
        <v>3367.2392736834222</v>
      </c>
      <c r="J257" s="9">
        <f t="shared" si="180"/>
        <v>3452.3446025543817</v>
      </c>
      <c r="K257" s="9">
        <f t="shared" si="180"/>
        <v>730.14134014903186</v>
      </c>
      <c r="L257" s="9">
        <f t="shared" si="180"/>
        <v>0</v>
      </c>
      <c r="M257" s="9">
        <f t="shared" si="171"/>
        <v>60319.79950377073</v>
      </c>
      <c r="N257" s="158">
        <f t="shared" si="174"/>
        <v>1107537.1220869108</v>
      </c>
      <c r="P257" s="63"/>
    </row>
    <row r="258" spans="1:16" x14ac:dyDescent="0.2">
      <c r="A258" t="s">
        <v>8</v>
      </c>
      <c r="C258" s="9">
        <f t="shared" ref="C258:L258" si="181">+C193*C94</f>
        <v>8994.6412431069803</v>
      </c>
      <c r="D258" s="9">
        <f t="shared" si="181"/>
        <v>0</v>
      </c>
      <c r="E258" s="9">
        <f t="shared" si="181"/>
        <v>29822.203836051955</v>
      </c>
      <c r="F258" s="9">
        <f t="shared" si="181"/>
        <v>21115.749912759587</v>
      </c>
      <c r="G258" s="9">
        <f t="shared" si="181"/>
        <v>2438.9379040256022</v>
      </c>
      <c r="H258" s="9">
        <f t="shared" si="181"/>
        <v>-3957.7655622447005</v>
      </c>
      <c r="I258" s="9">
        <f t="shared" si="181"/>
        <v>5107.2165357194817</v>
      </c>
      <c r="J258" s="9">
        <f t="shared" si="181"/>
        <v>3974.1308941817579</v>
      </c>
      <c r="K258" s="9">
        <f t="shared" si="181"/>
        <v>1432.8727462199142</v>
      </c>
      <c r="L258" s="9">
        <f t="shared" si="181"/>
        <v>0</v>
      </c>
      <c r="M258" s="9">
        <f t="shared" si="171"/>
        <v>68927.987509820581</v>
      </c>
      <c r="N258" s="158">
        <f t="shared" si="174"/>
        <v>1176465.1095967314</v>
      </c>
      <c r="P258" s="63"/>
    </row>
    <row r="259" spans="1:16" x14ac:dyDescent="0.2">
      <c r="A259" t="s">
        <v>9</v>
      </c>
      <c r="C259" s="9">
        <f t="shared" ref="C259:L259" si="182">+C194*C95</f>
        <v>8118.5255063485629</v>
      </c>
      <c r="D259" s="9">
        <f t="shared" si="182"/>
        <v>0</v>
      </c>
      <c r="E259" s="9">
        <f t="shared" si="182"/>
        <v>31910.83740533554</v>
      </c>
      <c r="F259" s="9">
        <f t="shared" si="182"/>
        <v>17590.7083572181</v>
      </c>
      <c r="G259" s="9">
        <f t="shared" si="182"/>
        <v>2566.2605280185458</v>
      </c>
      <c r="H259" s="9">
        <f t="shared" si="182"/>
        <v>-3456.7139652115175</v>
      </c>
      <c r="I259" s="9">
        <f t="shared" si="182"/>
        <v>6797.5164176858152</v>
      </c>
      <c r="J259" s="9">
        <f t="shared" si="182"/>
        <v>4029.070346480858</v>
      </c>
      <c r="K259" s="9">
        <f t="shared" si="182"/>
        <v>1319.9890350243973</v>
      </c>
      <c r="L259" s="9">
        <f t="shared" si="182"/>
        <v>0</v>
      </c>
      <c r="M259" s="9">
        <f t="shared" si="171"/>
        <v>68876.193630900307</v>
      </c>
      <c r="N259" s="158">
        <f t="shared" si="174"/>
        <v>1245341.3032276316</v>
      </c>
      <c r="P259" s="63"/>
    </row>
    <row r="260" spans="1:16" ht="15" x14ac:dyDescent="0.35">
      <c r="A260" t="s">
        <v>2</v>
      </c>
      <c r="C260" s="10">
        <f t="shared" ref="C260:L260" si="183">+C195*C96</f>
        <v>8048.6707800623917</v>
      </c>
      <c r="D260" s="10">
        <f t="shared" si="183"/>
        <v>0</v>
      </c>
      <c r="E260" s="10">
        <f t="shared" si="183"/>
        <v>31707.262563350028</v>
      </c>
      <c r="F260" s="10">
        <f t="shared" si="183"/>
        <v>19025.042750845434</v>
      </c>
      <c r="G260" s="10">
        <f t="shared" si="183"/>
        <v>2361.1987898215075</v>
      </c>
      <c r="H260" s="10">
        <f t="shared" si="183"/>
        <v>-3132.7511317191133</v>
      </c>
      <c r="I260" s="10">
        <f t="shared" si="183"/>
        <v>12078.212765739781</v>
      </c>
      <c r="J260" s="10">
        <f t="shared" si="183"/>
        <v>5131.0286105775176</v>
      </c>
      <c r="K260" s="10">
        <f t="shared" si="183"/>
        <v>1740.4621157053298</v>
      </c>
      <c r="L260" s="10">
        <f t="shared" si="183"/>
        <v>0</v>
      </c>
      <c r="M260" s="10">
        <f t="shared" si="171"/>
        <v>76959.127244382878</v>
      </c>
      <c r="N260" s="158">
        <f t="shared" si="174"/>
        <v>1322300.4304720145</v>
      </c>
      <c r="P260" s="63"/>
    </row>
    <row r="261" spans="1:16" ht="15" x14ac:dyDescent="0.35">
      <c r="C261" s="11">
        <f t="shared" ref="C261:M261" si="184">SUM(C249:C260)</f>
        <v>110359.46051063715</v>
      </c>
      <c r="D261" s="11">
        <f t="shared" si="184"/>
        <v>0</v>
      </c>
      <c r="E261" s="11">
        <f t="shared" si="184"/>
        <v>399395.13908396621</v>
      </c>
      <c r="F261" s="11">
        <f t="shared" si="184"/>
        <v>198365.04477873148</v>
      </c>
      <c r="G261" s="11">
        <f t="shared" si="184"/>
        <v>27287.274678317284</v>
      </c>
      <c r="H261" s="11">
        <f t="shared" si="184"/>
        <v>-44707.663858951913</v>
      </c>
      <c r="I261" s="11">
        <f t="shared" si="184"/>
        <v>76255.212328727604</v>
      </c>
      <c r="J261" s="11">
        <f t="shared" si="184"/>
        <v>75428.568057113793</v>
      </c>
      <c r="K261" s="11">
        <f t="shared" si="184"/>
        <v>25881.93215358497</v>
      </c>
      <c r="L261" s="11">
        <f t="shared" si="184"/>
        <v>0</v>
      </c>
      <c r="M261" s="11">
        <f t="shared" si="184"/>
        <v>868264.96773212659</v>
      </c>
      <c r="N261" s="11"/>
      <c r="P261" s="63"/>
    </row>
    <row r="262" spans="1:16" ht="15" x14ac:dyDescent="0.35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P262" s="63"/>
    </row>
    <row r="263" spans="1:16" ht="15" x14ac:dyDescent="0.35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6" ht="15" x14ac:dyDescent="0.35">
      <c r="A264" s="128" t="s">
        <v>98</v>
      </c>
      <c r="B264" s="129"/>
      <c r="C264" s="81">
        <f t="shared" ref="C264:M264" si="185">+C247/C180</f>
        <v>52.193505505996697</v>
      </c>
      <c r="D264" s="81" t="e">
        <f t="shared" si="185"/>
        <v>#DIV/0!</v>
      </c>
      <c r="E264" s="81">
        <f t="shared" si="185"/>
        <v>98.828029089187737</v>
      </c>
      <c r="F264" s="81">
        <f t="shared" si="185"/>
        <v>1008.0629955489653</v>
      </c>
      <c r="G264" s="81">
        <f t="shared" si="185"/>
        <v>137.65870310665616</v>
      </c>
      <c r="H264" s="81">
        <f t="shared" si="185"/>
        <v>-53.339999999999989</v>
      </c>
      <c r="I264" s="81">
        <f t="shared" si="185"/>
        <v>66.624900385539988</v>
      </c>
      <c r="J264" s="81">
        <f t="shared" si="185"/>
        <v>1137.0099269560674</v>
      </c>
      <c r="K264" s="81">
        <f t="shared" si="185"/>
        <v>245.64620386882501</v>
      </c>
      <c r="L264" s="81">
        <f t="shared" si="185"/>
        <v>-197.5</v>
      </c>
      <c r="M264" s="81">
        <f t="shared" si="185"/>
        <v>90.267670392870414</v>
      </c>
    </row>
    <row r="265" spans="1:16" x14ac:dyDescent="0.2">
      <c r="A265" s="129"/>
      <c r="B265" s="129"/>
    </row>
    <row r="266" spans="1:16" x14ac:dyDescent="0.2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30"/>
    </row>
  </sheetData>
  <mergeCells count="3">
    <mergeCell ref="C41:L41"/>
    <mergeCell ref="C100:L100"/>
    <mergeCell ref="C201:L201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58"/>
  <sheetViews>
    <sheetView zoomScaleNormal="100" workbookViewId="0">
      <pane xSplit="1" ySplit="2" topLeftCell="I38" activePane="bottomRight" state="frozen"/>
      <selection pane="topRight" activeCell="B1" sqref="B1"/>
      <selection pane="bottomLeft" activeCell="A6" sqref="A6"/>
      <selection pane="bottomRight" activeCell="X60" sqref="X60"/>
    </sheetView>
  </sheetViews>
  <sheetFormatPr defaultRowHeight="12.75" x14ac:dyDescent="0.2"/>
  <cols>
    <col min="1" max="1" width="16.85546875" style="84" customWidth="1"/>
    <col min="2" max="2" width="9.140625" style="84" bestFit="1" customWidth="1"/>
    <col min="3" max="3" width="7" style="84" bestFit="1" customWidth="1"/>
    <col min="4" max="4" width="9" style="84" bestFit="1" customWidth="1"/>
    <col min="5" max="5" width="6.7109375" style="84" bestFit="1" customWidth="1"/>
    <col min="6" max="6" width="9" style="84" bestFit="1" customWidth="1"/>
    <col min="7" max="7" width="6.7109375" style="84" bestFit="1" customWidth="1"/>
    <col min="8" max="8" width="9" style="84" bestFit="1" customWidth="1"/>
    <col min="9" max="9" width="6.7109375" style="84" bestFit="1" customWidth="1"/>
    <col min="10" max="10" width="9.5703125" style="84" bestFit="1" customWidth="1"/>
    <col min="11" max="11" width="6.7109375" style="84" bestFit="1" customWidth="1"/>
    <col min="12" max="12" width="9.5703125" style="84" bestFit="1" customWidth="1"/>
    <col min="13" max="13" width="6.7109375" style="84" bestFit="1" customWidth="1"/>
    <col min="14" max="14" width="9" style="84" bestFit="1" customWidth="1"/>
    <col min="15" max="15" width="6.7109375" style="84" customWidth="1"/>
    <col min="16" max="16" width="9" style="84" bestFit="1" customWidth="1"/>
    <col min="17" max="17" width="6.7109375" style="84" customWidth="1"/>
    <col min="18" max="18" width="9" style="84" bestFit="1" customWidth="1"/>
    <col min="19" max="19" width="6.7109375" style="84" customWidth="1"/>
    <col min="20" max="20" width="9" style="84" bestFit="1" customWidth="1"/>
    <col min="21" max="21" width="6.7109375" style="84" customWidth="1"/>
    <col min="22" max="22" width="9" style="84" bestFit="1" customWidth="1"/>
    <col min="23" max="23" width="6.7109375" style="84" customWidth="1"/>
    <col min="24" max="24" width="9" style="84" bestFit="1" customWidth="1"/>
    <col min="25" max="25" width="6.7109375" style="84" customWidth="1"/>
    <col min="26" max="26" width="10" bestFit="1" customWidth="1"/>
    <col min="27" max="27" width="6.7109375" bestFit="1" customWidth="1"/>
    <col min="29" max="29" width="10" style="84" bestFit="1" customWidth="1"/>
    <col min="30" max="172" width="9.140625" style="84"/>
    <col min="173" max="173" width="18.42578125" style="84" customWidth="1"/>
    <col min="174" max="183" width="9.140625" style="84"/>
    <col min="184" max="184" width="10.28515625" style="84" bestFit="1" customWidth="1"/>
    <col min="185" max="428" width="9.140625" style="84"/>
    <col min="429" max="429" width="18.42578125" style="84" customWidth="1"/>
    <col min="430" max="439" width="9.140625" style="84"/>
    <col min="440" max="440" width="10.28515625" style="84" bestFit="1" customWidth="1"/>
    <col min="441" max="684" width="9.140625" style="84"/>
    <col min="685" max="685" width="18.42578125" style="84" customWidth="1"/>
    <col min="686" max="695" width="9.140625" style="84"/>
    <col min="696" max="696" width="10.28515625" style="84" bestFit="1" customWidth="1"/>
    <col min="697" max="940" width="9.140625" style="84"/>
    <col min="941" max="941" width="18.42578125" style="84" customWidth="1"/>
    <col min="942" max="951" width="9.140625" style="84"/>
    <col min="952" max="952" width="10.28515625" style="84" bestFit="1" customWidth="1"/>
    <col min="953" max="1196" width="9.140625" style="84"/>
    <col min="1197" max="1197" width="18.42578125" style="84" customWidth="1"/>
    <col min="1198" max="1207" width="9.140625" style="84"/>
    <col min="1208" max="1208" width="10.28515625" style="84" bestFit="1" customWidth="1"/>
    <col min="1209" max="1452" width="9.140625" style="84"/>
    <col min="1453" max="1453" width="18.42578125" style="84" customWidth="1"/>
    <col min="1454" max="1463" width="9.140625" style="84"/>
    <col min="1464" max="1464" width="10.28515625" style="84" bestFit="1" customWidth="1"/>
    <col min="1465" max="1708" width="9.140625" style="84"/>
    <col min="1709" max="1709" width="18.42578125" style="84" customWidth="1"/>
    <col min="1710" max="1719" width="9.140625" style="84"/>
    <col min="1720" max="1720" width="10.28515625" style="84" bestFit="1" customWidth="1"/>
    <col min="1721" max="1964" width="9.140625" style="84"/>
    <col min="1965" max="1965" width="18.42578125" style="84" customWidth="1"/>
    <col min="1966" max="1975" width="9.140625" style="84"/>
    <col min="1976" max="1976" width="10.28515625" style="84" bestFit="1" customWidth="1"/>
    <col min="1977" max="2220" width="9.140625" style="84"/>
    <col min="2221" max="2221" width="18.42578125" style="84" customWidth="1"/>
    <col min="2222" max="2231" width="9.140625" style="84"/>
    <col min="2232" max="2232" width="10.28515625" style="84" bestFit="1" customWidth="1"/>
    <col min="2233" max="2476" width="9.140625" style="84"/>
    <col min="2477" max="2477" width="18.42578125" style="84" customWidth="1"/>
    <col min="2478" max="2487" width="9.140625" style="84"/>
    <col min="2488" max="2488" width="10.28515625" style="84" bestFit="1" customWidth="1"/>
    <col min="2489" max="2732" width="9.140625" style="84"/>
    <col min="2733" max="2733" width="18.42578125" style="84" customWidth="1"/>
    <col min="2734" max="2743" width="9.140625" style="84"/>
    <col min="2744" max="2744" width="10.28515625" style="84" bestFit="1" customWidth="1"/>
    <col min="2745" max="2988" width="9.140625" style="84"/>
    <col min="2989" max="2989" width="18.42578125" style="84" customWidth="1"/>
    <col min="2990" max="2999" width="9.140625" style="84"/>
    <col min="3000" max="3000" width="10.28515625" style="84" bestFit="1" customWidth="1"/>
    <col min="3001" max="3244" width="9.140625" style="84"/>
    <col min="3245" max="3245" width="18.42578125" style="84" customWidth="1"/>
    <col min="3246" max="3255" width="9.140625" style="84"/>
    <col min="3256" max="3256" width="10.28515625" style="84" bestFit="1" customWidth="1"/>
    <col min="3257" max="3500" width="9.140625" style="84"/>
    <col min="3501" max="3501" width="18.42578125" style="84" customWidth="1"/>
    <col min="3502" max="3511" width="9.140625" style="84"/>
    <col min="3512" max="3512" width="10.28515625" style="84" bestFit="1" customWidth="1"/>
    <col min="3513" max="3756" width="9.140625" style="84"/>
    <col min="3757" max="3757" width="18.42578125" style="84" customWidth="1"/>
    <col min="3758" max="3767" width="9.140625" style="84"/>
    <col min="3768" max="3768" width="10.28515625" style="84" bestFit="1" customWidth="1"/>
    <col min="3769" max="4012" width="9.140625" style="84"/>
    <col min="4013" max="4013" width="18.42578125" style="84" customWidth="1"/>
    <col min="4014" max="4023" width="9.140625" style="84"/>
    <col min="4024" max="4024" width="10.28515625" style="84" bestFit="1" customWidth="1"/>
    <col min="4025" max="4268" width="9.140625" style="84"/>
    <col min="4269" max="4269" width="18.42578125" style="84" customWidth="1"/>
    <col min="4270" max="4279" width="9.140625" style="84"/>
    <col min="4280" max="4280" width="10.28515625" style="84" bestFit="1" customWidth="1"/>
    <col min="4281" max="4524" width="9.140625" style="84"/>
    <col min="4525" max="4525" width="18.42578125" style="84" customWidth="1"/>
    <col min="4526" max="4535" width="9.140625" style="84"/>
    <col min="4536" max="4536" width="10.28515625" style="84" bestFit="1" customWidth="1"/>
    <col min="4537" max="4780" width="9.140625" style="84"/>
    <col min="4781" max="4781" width="18.42578125" style="84" customWidth="1"/>
    <col min="4782" max="4791" width="9.140625" style="84"/>
    <col min="4792" max="4792" width="10.28515625" style="84" bestFit="1" customWidth="1"/>
    <col min="4793" max="5036" width="9.140625" style="84"/>
    <col min="5037" max="5037" width="18.42578125" style="84" customWidth="1"/>
    <col min="5038" max="5047" width="9.140625" style="84"/>
    <col min="5048" max="5048" width="10.28515625" style="84" bestFit="1" customWidth="1"/>
    <col min="5049" max="5292" width="9.140625" style="84"/>
    <col min="5293" max="5293" width="18.42578125" style="84" customWidth="1"/>
    <col min="5294" max="5303" width="9.140625" style="84"/>
    <col min="5304" max="5304" width="10.28515625" style="84" bestFit="1" customWidth="1"/>
    <col min="5305" max="5548" width="9.140625" style="84"/>
    <col min="5549" max="5549" width="18.42578125" style="84" customWidth="1"/>
    <col min="5550" max="5559" width="9.140625" style="84"/>
    <col min="5560" max="5560" width="10.28515625" style="84" bestFit="1" customWidth="1"/>
    <col min="5561" max="5804" width="9.140625" style="84"/>
    <col min="5805" max="5805" width="18.42578125" style="84" customWidth="1"/>
    <col min="5806" max="5815" width="9.140625" style="84"/>
    <col min="5816" max="5816" width="10.28515625" style="84" bestFit="1" customWidth="1"/>
    <col min="5817" max="6060" width="9.140625" style="84"/>
    <col min="6061" max="6061" width="18.42578125" style="84" customWidth="1"/>
    <col min="6062" max="6071" width="9.140625" style="84"/>
    <col min="6072" max="6072" width="10.28515625" style="84" bestFit="1" customWidth="1"/>
    <col min="6073" max="6316" width="9.140625" style="84"/>
    <col min="6317" max="6317" width="18.42578125" style="84" customWidth="1"/>
    <col min="6318" max="6327" width="9.140625" style="84"/>
    <col min="6328" max="6328" width="10.28515625" style="84" bestFit="1" customWidth="1"/>
    <col min="6329" max="6572" width="9.140625" style="84"/>
    <col min="6573" max="6573" width="18.42578125" style="84" customWidth="1"/>
    <col min="6574" max="6583" width="9.140625" style="84"/>
    <col min="6584" max="6584" width="10.28515625" style="84" bestFit="1" customWidth="1"/>
    <col min="6585" max="6828" width="9.140625" style="84"/>
    <col min="6829" max="6829" width="18.42578125" style="84" customWidth="1"/>
    <col min="6830" max="6839" width="9.140625" style="84"/>
    <col min="6840" max="6840" width="10.28515625" style="84" bestFit="1" customWidth="1"/>
    <col min="6841" max="7084" width="9.140625" style="84"/>
    <col min="7085" max="7085" width="18.42578125" style="84" customWidth="1"/>
    <col min="7086" max="7095" width="9.140625" style="84"/>
    <col min="7096" max="7096" width="10.28515625" style="84" bestFit="1" customWidth="1"/>
    <col min="7097" max="7340" width="9.140625" style="84"/>
    <col min="7341" max="7341" width="18.42578125" style="84" customWidth="1"/>
    <col min="7342" max="7351" width="9.140625" style="84"/>
    <col min="7352" max="7352" width="10.28515625" style="84" bestFit="1" customWidth="1"/>
    <col min="7353" max="7596" width="9.140625" style="84"/>
    <col min="7597" max="7597" width="18.42578125" style="84" customWidth="1"/>
    <col min="7598" max="7607" width="9.140625" style="84"/>
    <col min="7608" max="7608" width="10.28515625" style="84" bestFit="1" customWidth="1"/>
    <col min="7609" max="7852" width="9.140625" style="84"/>
    <col min="7853" max="7853" width="18.42578125" style="84" customWidth="1"/>
    <col min="7854" max="7863" width="9.140625" style="84"/>
    <col min="7864" max="7864" width="10.28515625" style="84" bestFit="1" customWidth="1"/>
    <col min="7865" max="8108" width="9.140625" style="84"/>
    <col min="8109" max="8109" width="18.42578125" style="84" customWidth="1"/>
    <col min="8110" max="8119" width="9.140625" style="84"/>
    <col min="8120" max="8120" width="10.28515625" style="84" bestFit="1" customWidth="1"/>
    <col min="8121" max="8364" width="9.140625" style="84"/>
    <col min="8365" max="8365" width="18.42578125" style="84" customWidth="1"/>
    <col min="8366" max="8375" width="9.140625" style="84"/>
    <col min="8376" max="8376" width="10.28515625" style="84" bestFit="1" customWidth="1"/>
    <col min="8377" max="8620" width="9.140625" style="84"/>
    <col min="8621" max="8621" width="18.42578125" style="84" customWidth="1"/>
    <col min="8622" max="8631" width="9.140625" style="84"/>
    <col min="8632" max="8632" width="10.28515625" style="84" bestFit="1" customWidth="1"/>
    <col min="8633" max="8876" width="9.140625" style="84"/>
    <col min="8877" max="8877" width="18.42578125" style="84" customWidth="1"/>
    <col min="8878" max="8887" width="9.140625" style="84"/>
    <col min="8888" max="8888" width="10.28515625" style="84" bestFit="1" customWidth="1"/>
    <col min="8889" max="9132" width="9.140625" style="84"/>
    <col min="9133" max="9133" width="18.42578125" style="84" customWidth="1"/>
    <col min="9134" max="9143" width="9.140625" style="84"/>
    <col min="9144" max="9144" width="10.28515625" style="84" bestFit="1" customWidth="1"/>
    <col min="9145" max="9388" width="9.140625" style="84"/>
    <col min="9389" max="9389" width="18.42578125" style="84" customWidth="1"/>
    <col min="9390" max="9399" width="9.140625" style="84"/>
    <col min="9400" max="9400" width="10.28515625" style="84" bestFit="1" customWidth="1"/>
    <col min="9401" max="9644" width="9.140625" style="84"/>
    <col min="9645" max="9645" width="18.42578125" style="84" customWidth="1"/>
    <col min="9646" max="9655" width="9.140625" style="84"/>
    <col min="9656" max="9656" width="10.28515625" style="84" bestFit="1" customWidth="1"/>
    <col min="9657" max="9900" width="9.140625" style="84"/>
    <col min="9901" max="9901" width="18.42578125" style="84" customWidth="1"/>
    <col min="9902" max="9911" width="9.140625" style="84"/>
    <col min="9912" max="9912" width="10.28515625" style="84" bestFit="1" customWidth="1"/>
    <col min="9913" max="10156" width="9.140625" style="84"/>
    <col min="10157" max="10157" width="18.42578125" style="84" customWidth="1"/>
    <col min="10158" max="10167" width="9.140625" style="84"/>
    <col min="10168" max="10168" width="10.28515625" style="84" bestFit="1" customWidth="1"/>
    <col min="10169" max="10412" width="9.140625" style="84"/>
    <col min="10413" max="10413" width="18.42578125" style="84" customWidth="1"/>
    <col min="10414" max="10423" width="9.140625" style="84"/>
    <col min="10424" max="10424" width="10.28515625" style="84" bestFit="1" customWidth="1"/>
    <col min="10425" max="10668" width="9.140625" style="84"/>
    <col min="10669" max="10669" width="18.42578125" style="84" customWidth="1"/>
    <col min="10670" max="10679" width="9.140625" style="84"/>
    <col min="10680" max="10680" width="10.28515625" style="84" bestFit="1" customWidth="1"/>
    <col min="10681" max="10924" width="9.140625" style="84"/>
    <col min="10925" max="10925" width="18.42578125" style="84" customWidth="1"/>
    <col min="10926" max="10935" width="9.140625" style="84"/>
    <col min="10936" max="10936" width="10.28515625" style="84" bestFit="1" customWidth="1"/>
    <col min="10937" max="11180" width="9.140625" style="84"/>
    <col min="11181" max="11181" width="18.42578125" style="84" customWidth="1"/>
    <col min="11182" max="11191" width="9.140625" style="84"/>
    <col min="11192" max="11192" width="10.28515625" style="84" bestFit="1" customWidth="1"/>
    <col min="11193" max="11436" width="9.140625" style="84"/>
    <col min="11437" max="11437" width="18.42578125" style="84" customWidth="1"/>
    <col min="11438" max="11447" width="9.140625" style="84"/>
    <col min="11448" max="11448" width="10.28515625" style="84" bestFit="1" customWidth="1"/>
    <col min="11449" max="11692" width="9.140625" style="84"/>
    <col min="11693" max="11693" width="18.42578125" style="84" customWidth="1"/>
    <col min="11694" max="11703" width="9.140625" style="84"/>
    <col min="11704" max="11704" width="10.28515625" style="84" bestFit="1" customWidth="1"/>
    <col min="11705" max="11948" width="9.140625" style="84"/>
    <col min="11949" max="11949" width="18.42578125" style="84" customWidth="1"/>
    <col min="11950" max="11959" width="9.140625" style="84"/>
    <col min="11960" max="11960" width="10.28515625" style="84" bestFit="1" customWidth="1"/>
    <col min="11961" max="12204" width="9.140625" style="84"/>
    <col min="12205" max="12205" width="18.42578125" style="84" customWidth="1"/>
    <col min="12206" max="12215" width="9.140625" style="84"/>
    <col min="12216" max="12216" width="10.28515625" style="84" bestFit="1" customWidth="1"/>
    <col min="12217" max="12460" width="9.140625" style="84"/>
    <col min="12461" max="12461" width="18.42578125" style="84" customWidth="1"/>
    <col min="12462" max="12471" width="9.140625" style="84"/>
    <col min="12472" max="12472" width="10.28515625" style="84" bestFit="1" customWidth="1"/>
    <col min="12473" max="12716" width="9.140625" style="84"/>
    <col min="12717" max="12717" width="18.42578125" style="84" customWidth="1"/>
    <col min="12718" max="12727" width="9.140625" style="84"/>
    <col min="12728" max="12728" width="10.28515625" style="84" bestFit="1" customWidth="1"/>
    <col min="12729" max="12972" width="9.140625" style="84"/>
    <col min="12973" max="12973" width="18.42578125" style="84" customWidth="1"/>
    <col min="12974" max="12983" width="9.140625" style="84"/>
    <col min="12984" max="12984" width="10.28515625" style="84" bestFit="1" customWidth="1"/>
    <col min="12985" max="13228" width="9.140625" style="84"/>
    <col min="13229" max="13229" width="18.42578125" style="84" customWidth="1"/>
    <col min="13230" max="13239" width="9.140625" style="84"/>
    <col min="13240" max="13240" width="10.28515625" style="84" bestFit="1" customWidth="1"/>
    <col min="13241" max="13484" width="9.140625" style="84"/>
    <col min="13485" max="13485" width="18.42578125" style="84" customWidth="1"/>
    <col min="13486" max="13495" width="9.140625" style="84"/>
    <col min="13496" max="13496" width="10.28515625" style="84" bestFit="1" customWidth="1"/>
    <col min="13497" max="13740" width="9.140625" style="84"/>
    <col min="13741" max="13741" width="18.42578125" style="84" customWidth="1"/>
    <col min="13742" max="13751" width="9.140625" style="84"/>
    <col min="13752" max="13752" width="10.28515625" style="84" bestFit="1" customWidth="1"/>
    <col min="13753" max="13996" width="9.140625" style="84"/>
    <col min="13997" max="13997" width="18.42578125" style="84" customWidth="1"/>
    <col min="13998" max="14007" width="9.140625" style="84"/>
    <col min="14008" max="14008" width="10.28515625" style="84" bestFit="1" customWidth="1"/>
    <col min="14009" max="14252" width="9.140625" style="84"/>
    <col min="14253" max="14253" width="18.42578125" style="84" customWidth="1"/>
    <col min="14254" max="14263" width="9.140625" style="84"/>
    <col min="14264" max="14264" width="10.28515625" style="84" bestFit="1" customWidth="1"/>
    <col min="14265" max="14508" width="9.140625" style="84"/>
    <col min="14509" max="14509" width="18.42578125" style="84" customWidth="1"/>
    <col min="14510" max="14519" width="9.140625" style="84"/>
    <col min="14520" max="14520" width="10.28515625" style="84" bestFit="1" customWidth="1"/>
    <col min="14521" max="14764" width="9.140625" style="84"/>
    <col min="14765" max="14765" width="18.42578125" style="84" customWidth="1"/>
    <col min="14766" max="14775" width="9.140625" style="84"/>
    <col min="14776" max="14776" width="10.28515625" style="84" bestFit="1" customWidth="1"/>
    <col min="14777" max="15020" width="9.140625" style="84"/>
    <col min="15021" max="15021" width="18.42578125" style="84" customWidth="1"/>
    <col min="15022" max="15031" width="9.140625" style="84"/>
    <col min="15032" max="15032" width="10.28515625" style="84" bestFit="1" customWidth="1"/>
    <col min="15033" max="15276" width="9.140625" style="84"/>
    <col min="15277" max="15277" width="18.42578125" style="84" customWidth="1"/>
    <col min="15278" max="15287" width="9.140625" style="84"/>
    <col min="15288" max="15288" width="10.28515625" style="84" bestFit="1" customWidth="1"/>
    <col min="15289" max="15532" width="9.140625" style="84"/>
    <col min="15533" max="15533" width="18.42578125" style="84" customWidth="1"/>
    <col min="15534" max="15543" width="9.140625" style="84"/>
    <col min="15544" max="15544" width="10.28515625" style="84" bestFit="1" customWidth="1"/>
    <col min="15545" max="15788" width="9.140625" style="84"/>
    <col min="15789" max="15789" width="18.42578125" style="84" customWidth="1"/>
    <col min="15790" max="15799" width="9.140625" style="84"/>
    <col min="15800" max="15800" width="10.28515625" style="84" bestFit="1" customWidth="1"/>
    <col min="15801" max="16044" width="9.140625" style="84"/>
    <col min="16045" max="16045" width="18.42578125" style="84" customWidth="1"/>
    <col min="16046" max="16055" width="9.140625" style="84"/>
    <col min="16056" max="16056" width="10.28515625" style="84" bestFit="1" customWidth="1"/>
    <col min="16057" max="16384" width="9.140625" style="84"/>
  </cols>
  <sheetData>
    <row r="1" spans="1:53" ht="12" x14ac:dyDescent="0.2">
      <c r="A1" s="83" t="s">
        <v>64</v>
      </c>
      <c r="Z1" s="84"/>
      <c r="AA1" s="84"/>
      <c r="AB1" s="84"/>
    </row>
    <row r="2" spans="1:53" s="85" customFormat="1" ht="12" hidden="1" x14ac:dyDescent="0.2"/>
    <row r="3" spans="1:53" ht="12" hidden="1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A3" s="84"/>
      <c r="AB3" s="84"/>
    </row>
    <row r="4" spans="1:53" hidden="1" x14ac:dyDescent="0.2">
      <c r="A4" s="85"/>
      <c r="B4" s="323">
        <v>43070</v>
      </c>
      <c r="C4" s="323"/>
      <c r="D4" s="323">
        <v>43101</v>
      </c>
      <c r="E4" s="323"/>
      <c r="F4" s="323">
        <v>43132</v>
      </c>
      <c r="G4" s="323"/>
      <c r="H4" s="323">
        <v>43160</v>
      </c>
      <c r="I4" s="323"/>
      <c r="J4" s="323">
        <v>43191</v>
      </c>
      <c r="K4" s="323"/>
      <c r="L4" s="323">
        <v>43221</v>
      </c>
      <c r="M4" s="323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323" t="s">
        <v>3</v>
      </c>
      <c r="AA4" s="323"/>
    </row>
    <row r="5" spans="1:53" hidden="1" x14ac:dyDescent="0.2">
      <c r="A5" s="85"/>
      <c r="B5" s="87" t="s">
        <v>12</v>
      </c>
      <c r="C5" s="87" t="s">
        <v>4</v>
      </c>
      <c r="D5" s="87" t="s">
        <v>12</v>
      </c>
      <c r="E5" s="87" t="s">
        <v>4</v>
      </c>
      <c r="F5" s="87" t="s">
        <v>12</v>
      </c>
      <c r="G5" s="87" t="s">
        <v>4</v>
      </c>
      <c r="H5" s="87" t="s">
        <v>12</v>
      </c>
      <c r="I5" s="87" t="s">
        <v>4</v>
      </c>
      <c r="J5" s="87" t="s">
        <v>12</v>
      </c>
      <c r="K5" s="87" t="s">
        <v>4</v>
      </c>
      <c r="L5" s="87" t="s">
        <v>12</v>
      </c>
      <c r="M5" s="87" t="s">
        <v>4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 t="s">
        <v>12</v>
      </c>
      <c r="AA5" s="87" t="s">
        <v>4</v>
      </c>
    </row>
    <row r="6" spans="1:53" hidden="1" x14ac:dyDescent="0.2">
      <c r="A6" s="85" t="s">
        <v>35</v>
      </c>
      <c r="B6" s="88">
        <v>464.47</v>
      </c>
      <c r="C6" s="89">
        <f>+B6/B$16</f>
        <v>0.42682411321448271</v>
      </c>
      <c r="D6" s="137">
        <v>429.16</v>
      </c>
      <c r="E6" s="89">
        <f>+D6/D$16</f>
        <v>0.38245463943250274</v>
      </c>
      <c r="F6" s="137">
        <v>324.49</v>
      </c>
      <c r="G6" s="89">
        <f>+F6/F$16</f>
        <v>0.38597138133244524</v>
      </c>
      <c r="H6" s="137">
        <v>325.77</v>
      </c>
      <c r="I6" s="89">
        <f>+H6/H$16</f>
        <v>0.34665602553870706</v>
      </c>
      <c r="J6" s="137">
        <v>299.68</v>
      </c>
      <c r="K6" s="89">
        <f>+J6/J$16</f>
        <v>0.33496523819104462</v>
      </c>
      <c r="L6" s="137">
        <v>319.27</v>
      </c>
      <c r="M6" s="89">
        <f>+L6/L$16</f>
        <v>0.33040121700075542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8" t="e">
        <f>+#REF!+#REF!+#REF!+#REF!+#REF!+#REF!+B6+D6+F6+H6+J6+L6</f>
        <v>#REF!</v>
      </c>
      <c r="AA6" s="89" t="e">
        <f>+Z6/Z$16</f>
        <v>#REF!</v>
      </c>
      <c r="AC6" s="137" t="e">
        <f>+Z6/7*12</f>
        <v>#REF!</v>
      </c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121"/>
      <c r="AO6" s="88"/>
      <c r="AP6" s="89"/>
      <c r="AQ6" s="88"/>
      <c r="AR6" s="89"/>
      <c r="AS6" s="88"/>
      <c r="AT6" s="89"/>
      <c r="AU6" s="88"/>
      <c r="AV6" s="89"/>
      <c r="AW6" s="88"/>
      <c r="AX6" s="89"/>
      <c r="AY6" s="88"/>
      <c r="AZ6" s="89"/>
      <c r="BA6" s="88"/>
    </row>
    <row r="7" spans="1:53" hidden="1" x14ac:dyDescent="0.2">
      <c r="A7" s="85" t="s">
        <v>65</v>
      </c>
      <c r="B7" s="88">
        <v>0</v>
      </c>
      <c r="C7" s="89">
        <f t="shared" ref="C7:E7" si="0">+B7/B$16</f>
        <v>0</v>
      </c>
      <c r="D7" s="137">
        <v>0</v>
      </c>
      <c r="E7" s="89">
        <f t="shared" si="0"/>
        <v>0</v>
      </c>
      <c r="F7" s="137">
        <v>0</v>
      </c>
      <c r="G7" s="89">
        <f t="shared" ref="G7" si="1">+F7/F$16</f>
        <v>0</v>
      </c>
      <c r="H7" s="137">
        <v>0</v>
      </c>
      <c r="I7" s="89">
        <f t="shared" ref="I7" si="2">+H7/H$16</f>
        <v>0</v>
      </c>
      <c r="J7" s="137">
        <v>0</v>
      </c>
      <c r="K7" s="89">
        <f t="shared" ref="K7" si="3">+J7/J$16</f>
        <v>0</v>
      </c>
      <c r="L7" s="137">
        <v>0</v>
      </c>
      <c r="M7" s="89">
        <f t="shared" ref="M7" si="4">+L7/L$16</f>
        <v>0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8" t="e">
        <f>+#REF!+#REF!+#REF!+#REF!+#REF!+#REF!+B7+D7+F7+H7+J7+L7</f>
        <v>#REF!</v>
      </c>
      <c r="AA7" s="89" t="e">
        <f t="shared" ref="AA7" si="5">+Z7/Z$16</f>
        <v>#REF!</v>
      </c>
      <c r="AC7" s="137" t="e">
        <f t="shared" ref="AC7:AC15" si="6">+Z7/7*12</f>
        <v>#REF!</v>
      </c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121"/>
      <c r="AO7" s="88"/>
      <c r="AP7" s="89"/>
      <c r="AQ7" s="88"/>
      <c r="AR7" s="89"/>
      <c r="AS7" s="88"/>
      <c r="AT7" s="89"/>
      <c r="AU7" s="88"/>
      <c r="AV7" s="89"/>
      <c r="AW7" s="88"/>
      <c r="AX7" s="89"/>
      <c r="AY7" s="88"/>
      <c r="AZ7" s="89"/>
      <c r="BA7" s="88"/>
    </row>
    <row r="8" spans="1:53" hidden="1" x14ac:dyDescent="0.2">
      <c r="A8" s="85" t="s">
        <v>19</v>
      </c>
      <c r="B8" s="88">
        <v>375.59</v>
      </c>
      <c r="C8" s="89">
        <f t="shared" ref="C8:E8" si="7">+B8/B$16</f>
        <v>0.34514795074434851</v>
      </c>
      <c r="D8" s="137">
        <v>415.2</v>
      </c>
      <c r="E8" s="89">
        <f t="shared" si="7"/>
        <v>0.37001390225644309</v>
      </c>
      <c r="F8" s="137">
        <v>281.02</v>
      </c>
      <c r="G8" s="89">
        <f t="shared" ref="G8" si="8">+F8/F$16</f>
        <v>0.33426508546347733</v>
      </c>
      <c r="H8" s="137">
        <v>354.22</v>
      </c>
      <c r="I8" s="89">
        <f t="shared" ref="I8" si="9">+H8/H$16</f>
        <v>0.37693003458366592</v>
      </c>
      <c r="J8" s="137">
        <v>354.01</v>
      </c>
      <c r="K8" s="89">
        <f t="shared" ref="K8" si="10">+J8/J$16</f>
        <v>0.39569221827286338</v>
      </c>
      <c r="L8" s="137">
        <v>400</v>
      </c>
      <c r="M8" s="89">
        <f t="shared" ref="M8" si="11">+L8/L$16</f>
        <v>0.41394583518746569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8" t="e">
        <f>+#REF!+#REF!+#REF!+#REF!+#REF!+#REF!+B8+D8+F8+H8+J8+L8</f>
        <v>#REF!</v>
      </c>
      <c r="AA8" s="89" t="e">
        <f t="shared" ref="AA8" si="12">+Z8/Z$16</f>
        <v>#REF!</v>
      </c>
      <c r="AC8" s="137" t="e">
        <f t="shared" si="6"/>
        <v>#REF!</v>
      </c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121"/>
      <c r="AO8" s="88"/>
      <c r="AP8" s="89"/>
      <c r="AQ8" s="88"/>
      <c r="AR8" s="89"/>
      <c r="AS8" s="88"/>
      <c r="AT8" s="89"/>
      <c r="AU8" s="88"/>
      <c r="AV8" s="89"/>
      <c r="AW8" s="88"/>
      <c r="AX8" s="89"/>
      <c r="AY8" s="88"/>
      <c r="AZ8" s="89"/>
      <c r="BA8" s="88"/>
    </row>
    <row r="9" spans="1:53" hidden="1" x14ac:dyDescent="0.2">
      <c r="A9" s="85" t="s">
        <v>17</v>
      </c>
      <c r="B9" s="88">
        <v>13.48</v>
      </c>
      <c r="C9" s="89">
        <f t="shared" ref="C9:E9" si="13">+B9/B$16</f>
        <v>1.2387428781473996E-2</v>
      </c>
      <c r="D9" s="137">
        <v>13.71</v>
      </c>
      <c r="E9" s="89">
        <f t="shared" si="13"/>
        <v>1.2217944604855095E-2</v>
      </c>
      <c r="F9" s="137">
        <v>10.28</v>
      </c>
      <c r="G9" s="89">
        <f t="shared" ref="G9" si="14">+F9/F$16</f>
        <v>1.2227759869634E-2</v>
      </c>
      <c r="H9" s="137">
        <v>12.41</v>
      </c>
      <c r="I9" s="89">
        <f t="shared" ref="I9" si="15">+H9/H$16</f>
        <v>1.3205639797818568E-2</v>
      </c>
      <c r="J9" s="137">
        <v>12.7</v>
      </c>
      <c r="K9" s="89">
        <f t="shared" ref="K9" si="16">+J9/J$16</f>
        <v>1.4195336775981934E-2</v>
      </c>
      <c r="L9" s="137">
        <v>14.34</v>
      </c>
      <c r="M9" s="89">
        <f t="shared" ref="M9" si="17">+L9/L$16</f>
        <v>1.4839958191470645E-2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8" t="e">
        <f>+#REF!+#REF!+#REF!+#REF!+#REF!+#REF!+B9+D9+F9+H9+J9+L9</f>
        <v>#REF!</v>
      </c>
      <c r="AA9" s="89" t="e">
        <f t="shared" ref="AA9" si="18">+Z9/Z$16</f>
        <v>#REF!</v>
      </c>
      <c r="AC9" s="137" t="e">
        <f t="shared" si="6"/>
        <v>#REF!</v>
      </c>
      <c r="AD9" s="89"/>
      <c r="AE9" s="88"/>
      <c r="AF9" s="89"/>
      <c r="AG9" s="88"/>
      <c r="AH9" s="89"/>
      <c r="AI9" s="88"/>
      <c r="AJ9" s="89"/>
      <c r="AK9" s="88"/>
      <c r="AL9" s="89"/>
      <c r="AM9" s="88"/>
      <c r="AN9" s="121"/>
      <c r="AO9" s="88"/>
      <c r="AP9" s="89"/>
      <c r="AQ9" s="88"/>
      <c r="AR9" s="89"/>
      <c r="AS9" s="122"/>
      <c r="AT9" s="89"/>
      <c r="AU9" s="122"/>
      <c r="AV9" s="89"/>
      <c r="AW9" s="88"/>
      <c r="AX9" s="89"/>
      <c r="AY9" s="88"/>
      <c r="AZ9" s="89"/>
      <c r="BA9" s="88"/>
    </row>
    <row r="10" spans="1:53" hidden="1" x14ac:dyDescent="0.2">
      <c r="A10" s="85" t="s">
        <v>11</v>
      </c>
      <c r="B10" s="88">
        <v>154.78</v>
      </c>
      <c r="C10" s="89">
        <f t="shared" ref="C10:E10" si="19">+B10/B$16</f>
        <v>0.14223488329351225</v>
      </c>
      <c r="D10" s="137">
        <v>166.16</v>
      </c>
      <c r="E10" s="89">
        <f t="shared" si="19"/>
        <v>0.14807685452536268</v>
      </c>
      <c r="F10" s="137">
        <v>159.09</v>
      </c>
      <c r="G10" s="89">
        <f t="shared" ref="G10" si="20">+F10/F$16</f>
        <v>0.18923291027821723</v>
      </c>
      <c r="H10" s="137">
        <v>172.66</v>
      </c>
      <c r="I10" s="89">
        <f t="shared" ref="I10" si="21">+H10/H$16</f>
        <v>0.18372971534982707</v>
      </c>
      <c r="J10" s="137">
        <v>153.04</v>
      </c>
      <c r="K10" s="89">
        <f t="shared" ref="K10" si="22">+J10/J$16</f>
        <v>0.17105939686584845</v>
      </c>
      <c r="L10" s="137">
        <v>154.36000000000001</v>
      </c>
      <c r="M10" s="89">
        <f t="shared" ref="M10" si="23">+L10/L$16</f>
        <v>0.15974169779884304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8" t="e">
        <f>+#REF!+#REF!+#REF!+#REF!+#REF!+#REF!+B10+D10+F10+H10+J10+L10</f>
        <v>#REF!</v>
      </c>
      <c r="AA10" s="89" t="e">
        <f t="shared" ref="AA10" si="24">+Z10/Z$16</f>
        <v>#REF!</v>
      </c>
      <c r="AC10" s="137" t="e">
        <f t="shared" si="6"/>
        <v>#REF!</v>
      </c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121"/>
      <c r="AO10" s="88"/>
      <c r="AP10" s="89"/>
      <c r="AQ10" s="88"/>
      <c r="AR10" s="89"/>
      <c r="AS10" s="122"/>
      <c r="AT10" s="89"/>
      <c r="AU10" s="122"/>
      <c r="AV10" s="89"/>
      <c r="AW10" s="88"/>
      <c r="AX10" s="89"/>
      <c r="AY10" s="88"/>
      <c r="AZ10" s="89"/>
      <c r="BA10" s="88"/>
    </row>
    <row r="11" spans="1:53" hidden="1" x14ac:dyDescent="0.2">
      <c r="A11" s="85" t="s">
        <v>96</v>
      </c>
      <c r="B11" s="88">
        <v>28.96</v>
      </c>
      <c r="C11" s="89">
        <f t="shared" ref="C11:E11" si="25">+B11/B$16</f>
        <v>2.6612755008270542E-2</v>
      </c>
      <c r="D11" s="137">
        <v>30.9</v>
      </c>
      <c r="E11" s="89">
        <f t="shared" si="25"/>
        <v>2.7537161800876907E-2</v>
      </c>
      <c r="F11" s="137">
        <v>22.92</v>
      </c>
      <c r="G11" s="89">
        <f t="shared" ref="G11" si="26">+F11/F$16</f>
        <v>2.7262670837744293E-2</v>
      </c>
      <c r="H11" s="137">
        <v>23.83</v>
      </c>
      <c r="I11" s="89">
        <f t="shared" ref="I11" si="27">+H11/H$16</f>
        <v>2.5357807927640329E-2</v>
      </c>
      <c r="J11" s="137">
        <v>24.01</v>
      </c>
      <c r="K11" s="89">
        <f t="shared" ref="K11" si="28">+J11/J$16</f>
        <v>2.6837010707978448E-2</v>
      </c>
      <c r="L11" s="137">
        <v>24.89</v>
      </c>
      <c r="M11" s="89">
        <f t="shared" ref="M11" si="29">+L11/L$16</f>
        <v>2.5757779594540054E-2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8" t="e">
        <f>+#REF!+#REF!+#REF!+#REF!+#REF!+#REF!+B11+D11+F11+H11+J11+L11</f>
        <v>#REF!</v>
      </c>
      <c r="AA11" s="89" t="e">
        <f t="shared" ref="AA11" si="30">+Z11/Z$16</f>
        <v>#REF!</v>
      </c>
      <c r="AC11" s="137" t="e">
        <f t="shared" si="6"/>
        <v>#REF!</v>
      </c>
      <c r="AD11" s="89"/>
      <c r="AE11" s="88"/>
      <c r="AF11" s="89"/>
      <c r="AG11" s="88"/>
      <c r="AH11" s="89"/>
      <c r="AI11" s="88"/>
      <c r="AJ11" s="89"/>
      <c r="AK11" s="88"/>
      <c r="AL11" s="89"/>
      <c r="AM11" s="88"/>
      <c r="AN11" s="121"/>
      <c r="AO11" s="88"/>
      <c r="AP11" s="89"/>
      <c r="AQ11" s="88"/>
      <c r="AR11" s="89"/>
      <c r="AS11" s="122"/>
      <c r="AT11" s="89"/>
      <c r="AU11" s="122"/>
      <c r="AV11" s="89"/>
      <c r="AW11" s="88"/>
      <c r="AX11" s="89"/>
      <c r="AY11" s="88"/>
      <c r="AZ11" s="89"/>
      <c r="BA11" s="88"/>
    </row>
    <row r="12" spans="1:53" hidden="1" x14ac:dyDescent="0.2">
      <c r="A12" s="85" t="s">
        <v>1</v>
      </c>
      <c r="B12" s="88">
        <v>33.950000000000003</v>
      </c>
      <c r="C12" s="89">
        <f t="shared" ref="C12:E12" si="31">+B12/B$16</f>
        <v>3.1198309134350313E-2</v>
      </c>
      <c r="D12" s="137">
        <v>46.94</v>
      </c>
      <c r="E12" s="89">
        <f t="shared" si="31"/>
        <v>4.1831533169357997E-2</v>
      </c>
      <c r="F12" s="137">
        <v>25.65</v>
      </c>
      <c r="G12" s="89">
        <f t="shared" ref="G12" si="32">+F12/F$16</f>
        <v>3.0509926133863045E-2</v>
      </c>
      <c r="H12" s="137">
        <v>30.53</v>
      </c>
      <c r="I12" s="89">
        <f t="shared" ref="I12" si="33">+H12/H$16</f>
        <v>3.2487363660548017E-2</v>
      </c>
      <c r="J12" s="137">
        <v>32.119999999999997</v>
      </c>
      <c r="K12" s="89">
        <f t="shared" ref="K12" si="34">+J12/J$16</f>
        <v>3.5901906869648802E-2</v>
      </c>
      <c r="L12" s="137">
        <v>35.21</v>
      </c>
      <c r="M12" s="89">
        <f t="shared" ref="M12" si="35">+L12/L$16</f>
        <v>3.6437582142376669E-2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8" t="e">
        <f>+#REF!+#REF!+#REF!+#REF!+#REF!+#REF!+B12+D12+F12+H12+J12+L12</f>
        <v>#REF!</v>
      </c>
      <c r="AA12" s="89" t="e">
        <f t="shared" ref="AA12" si="36">+Z12/Z$16</f>
        <v>#REF!</v>
      </c>
      <c r="AC12" s="137" t="e">
        <f t="shared" si="6"/>
        <v>#REF!</v>
      </c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121"/>
      <c r="AO12" s="88"/>
      <c r="AP12" s="89"/>
      <c r="AQ12" s="88"/>
      <c r="AR12" s="89"/>
      <c r="AS12" s="122"/>
      <c r="AT12" s="89"/>
      <c r="AU12" s="122"/>
      <c r="AV12" s="89"/>
      <c r="AW12" s="88"/>
      <c r="AX12" s="89"/>
      <c r="AY12" s="88"/>
      <c r="AZ12" s="89"/>
      <c r="BA12" s="88"/>
    </row>
    <row r="13" spans="1:53" hidden="1" x14ac:dyDescent="0.2">
      <c r="A13" s="85" t="s">
        <v>66</v>
      </c>
      <c r="B13" s="88">
        <v>9.36</v>
      </c>
      <c r="C13" s="89">
        <f t="shared" ref="C13:E13" si="37">+B13/B$16</f>
        <v>8.6013600441095395E-3</v>
      </c>
      <c r="D13" s="137">
        <v>10.220000000000001</v>
      </c>
      <c r="E13" s="89">
        <f t="shared" si="37"/>
        <v>9.1077603108401951E-3</v>
      </c>
      <c r="F13" s="137">
        <v>8.02</v>
      </c>
      <c r="G13" s="89">
        <f t="shared" ref="G13" si="38">+F13/F$16</f>
        <v>9.5395558516016225E-3</v>
      </c>
      <c r="H13" s="137">
        <v>9.7799999999999994</v>
      </c>
      <c r="I13" s="89">
        <f t="shared" ref="I13" si="39">+H13/H$16</f>
        <v>1.0407023144453312E-2</v>
      </c>
      <c r="J13" s="137">
        <v>8.9600000000000009</v>
      </c>
      <c r="K13" s="89">
        <f t="shared" ref="K13" si="40">+J13/J$16</f>
        <v>1.001497775691324E-2</v>
      </c>
      <c r="L13" s="137">
        <v>9.52</v>
      </c>
      <c r="M13" s="89">
        <f t="shared" ref="M13" si="41">+L13/L$16</f>
        <v>9.8519108774616834E-3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8" t="e">
        <f>+#REF!+#REF!+#REF!+#REF!+#REF!+#REF!+B13+D13+F13+H13+J13+L13</f>
        <v>#REF!</v>
      </c>
      <c r="AA13" s="89" t="e">
        <f t="shared" ref="AA13" si="42">+Z13/Z$16</f>
        <v>#REF!</v>
      </c>
      <c r="AC13" s="137" t="e">
        <f t="shared" si="6"/>
        <v>#REF!</v>
      </c>
      <c r="AD13" s="89"/>
      <c r="AE13" s="88"/>
      <c r="AF13" s="89"/>
      <c r="AG13" s="88"/>
      <c r="AH13" s="89"/>
      <c r="AI13" s="88"/>
      <c r="AJ13" s="89"/>
      <c r="AK13" s="88"/>
      <c r="AL13" s="89"/>
      <c r="AM13" s="88"/>
      <c r="AN13" s="121"/>
      <c r="AO13" s="88"/>
      <c r="AP13" s="89"/>
      <c r="AQ13" s="88"/>
      <c r="AR13" s="89"/>
      <c r="AS13" s="122"/>
      <c r="AT13" s="89"/>
      <c r="AU13" s="122"/>
      <c r="AV13" s="89"/>
      <c r="AW13" s="88"/>
      <c r="AX13" s="89"/>
      <c r="AY13" s="88"/>
      <c r="AZ13" s="89"/>
      <c r="BA13" s="88"/>
    </row>
    <row r="14" spans="1:53" hidden="1" x14ac:dyDescent="0.2">
      <c r="A14" s="85" t="s">
        <v>67</v>
      </c>
      <c r="B14" s="88">
        <v>7.61</v>
      </c>
      <c r="C14" s="89">
        <f t="shared" ref="C14:E14" si="43">+B14/B$16</f>
        <v>6.9931997794523077E-3</v>
      </c>
      <c r="D14" s="137">
        <v>7.76</v>
      </c>
      <c r="E14" s="89">
        <f t="shared" si="43"/>
        <v>6.9154814101878579E-3</v>
      </c>
      <c r="F14" s="137">
        <v>6.32</v>
      </c>
      <c r="G14" s="89">
        <f t="shared" ref="G14" si="44">+F14/F$16</f>
        <v>7.5174554840551451E-3</v>
      </c>
      <c r="H14" s="137">
        <v>7.47</v>
      </c>
      <c r="I14" s="89">
        <f t="shared" ref="I14" si="45">+H14/H$16</f>
        <v>7.9489225857940944E-3</v>
      </c>
      <c r="J14" s="137">
        <v>7.9</v>
      </c>
      <c r="K14" s="89">
        <f t="shared" ref="K14" si="46">+J14/J$16</f>
        <v>8.8301701204927009E-3</v>
      </c>
      <c r="L14" s="137">
        <v>8.49</v>
      </c>
      <c r="M14" s="89">
        <f t="shared" ref="M14" si="47">+L14/L$16</f>
        <v>8.7860003518539596E-3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8" t="e">
        <f>+#REF!+#REF!+#REF!+#REF!+#REF!+#REF!+B14+D14+F14+H14+J14+L14</f>
        <v>#REF!</v>
      </c>
      <c r="AA14" s="89" t="e">
        <f t="shared" ref="AA14" si="48">+Z14/Z$16</f>
        <v>#REF!</v>
      </c>
      <c r="AC14" s="137" t="e">
        <f t="shared" si="6"/>
        <v>#REF!</v>
      </c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121"/>
      <c r="AO14" s="88"/>
      <c r="AP14" s="89"/>
      <c r="AQ14" s="88"/>
      <c r="AR14" s="89"/>
      <c r="AS14" s="122"/>
      <c r="AT14" s="89"/>
      <c r="AU14" s="122"/>
      <c r="AV14" s="89"/>
      <c r="AW14" s="88"/>
      <c r="AX14" s="89"/>
      <c r="AY14" s="88"/>
      <c r="AZ14" s="89"/>
      <c r="BA14" s="88"/>
    </row>
    <row r="15" spans="1:53" ht="15" hidden="1" x14ac:dyDescent="0.35">
      <c r="A15" s="85" t="s">
        <v>68</v>
      </c>
      <c r="B15" s="88">
        <v>0</v>
      </c>
      <c r="C15" s="89">
        <f t="shared" ref="C15:E15" si="49">+B15/B$16</f>
        <v>0</v>
      </c>
      <c r="D15" s="137">
        <v>2.0699999999999998</v>
      </c>
      <c r="E15" s="89">
        <f t="shared" si="49"/>
        <v>1.8447224895733073E-3</v>
      </c>
      <c r="F15" s="137">
        <v>2.92</v>
      </c>
      <c r="G15" s="89">
        <f t="shared" ref="G15" si="50">+F15/F$16</f>
        <v>3.4732547489621868E-3</v>
      </c>
      <c r="H15" s="137">
        <v>3.08</v>
      </c>
      <c r="I15" s="89">
        <f t="shared" ref="I15" si="51">+H15/H$16</f>
        <v>3.277467411545624E-3</v>
      </c>
      <c r="J15" s="137">
        <v>2.2400000000000002</v>
      </c>
      <c r="K15" s="89">
        <f t="shared" ref="K15" si="52">+J15/J$16</f>
        <v>2.50374443922831E-3</v>
      </c>
      <c r="L15" s="137">
        <v>0.23</v>
      </c>
      <c r="M15" s="89">
        <f t="shared" ref="M15" si="53">+L15/L$16</f>
        <v>2.3801885523279278E-4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8" t="e">
        <f>+#REF!+#REF!+#REF!+#REF!+#REF!+#REF!+B15+D15+F15+H15+J15+L15</f>
        <v>#REF!</v>
      </c>
      <c r="AA15" s="89" t="e">
        <f t="shared" ref="AA15" si="54">+Z15/Z$16</f>
        <v>#REF!</v>
      </c>
      <c r="AC15" s="148" t="e">
        <f t="shared" si="6"/>
        <v>#REF!</v>
      </c>
      <c r="AD15" s="89"/>
      <c r="AE15" s="88"/>
      <c r="AF15" s="89"/>
      <c r="AG15" s="88"/>
      <c r="AH15" s="89"/>
      <c r="AI15" s="88"/>
      <c r="AJ15" s="89"/>
      <c r="AK15" s="88"/>
      <c r="AL15" s="89"/>
      <c r="AM15" s="88"/>
      <c r="AN15" s="121"/>
      <c r="AO15" s="88"/>
      <c r="AP15" s="89"/>
      <c r="AQ15" s="88"/>
      <c r="AR15" s="89"/>
      <c r="AS15" s="122"/>
      <c r="AT15" s="89"/>
      <c r="AU15" s="122"/>
      <c r="AV15" s="89"/>
      <c r="AW15" s="88"/>
      <c r="AX15" s="89"/>
      <c r="AY15" s="88"/>
      <c r="AZ15" s="89"/>
      <c r="BA15" s="88"/>
    </row>
    <row r="16" spans="1:53" s="123" customFormat="1" ht="13.5" hidden="1" thickBot="1" x14ac:dyDescent="0.25">
      <c r="A16" s="90"/>
      <c r="B16" s="91">
        <f t="shared" ref="B16:AA16" si="55">SUM(B6:B15)</f>
        <v>1088.1999999999998</v>
      </c>
      <c r="C16" s="102">
        <f t="shared" si="55"/>
        <v>1.0000000000000002</v>
      </c>
      <c r="D16" s="91">
        <f t="shared" si="55"/>
        <v>1122.1200000000001</v>
      </c>
      <c r="E16" s="102">
        <f t="shared" si="55"/>
        <v>0.99999999999999989</v>
      </c>
      <c r="F16" s="91">
        <f t="shared" si="55"/>
        <v>840.70999999999992</v>
      </c>
      <c r="G16" s="102">
        <f t="shared" si="55"/>
        <v>1</v>
      </c>
      <c r="H16" s="91">
        <f t="shared" si="55"/>
        <v>939.75</v>
      </c>
      <c r="I16" s="102">
        <f t="shared" si="55"/>
        <v>0.99999999999999989</v>
      </c>
      <c r="J16" s="91">
        <f t="shared" si="55"/>
        <v>894.66000000000008</v>
      </c>
      <c r="K16" s="102">
        <f t="shared" si="55"/>
        <v>0.99999999999999989</v>
      </c>
      <c r="L16" s="91">
        <f t="shared" si="55"/>
        <v>966.31000000000006</v>
      </c>
      <c r="M16" s="102">
        <f t="shared" si="55"/>
        <v>1.0000000000000002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91" t="e">
        <f t="shared" si="55"/>
        <v>#REF!</v>
      </c>
      <c r="AA16" s="102" t="e">
        <f t="shared" si="55"/>
        <v>#REF!</v>
      </c>
      <c r="AB16" s="1"/>
      <c r="AC16" s="138" t="e">
        <f>SUM(AC6:AC15)</f>
        <v>#REF!</v>
      </c>
    </row>
    <row r="17" spans="1:29" hidden="1" x14ac:dyDescent="0.2"/>
    <row r="18" spans="1:29" ht="15" hidden="1" x14ac:dyDescent="0.35">
      <c r="A18" s="85" t="s">
        <v>69</v>
      </c>
      <c r="B18" s="126">
        <v>153.16999999999999</v>
      </c>
      <c r="C18" s="127">
        <f>+B18/B20</f>
        <v>0.12338786985346835</v>
      </c>
      <c r="D18" s="136">
        <v>166.01</v>
      </c>
      <c r="E18" s="127">
        <f>+D18/D20</f>
        <v>0.12887674380691388</v>
      </c>
      <c r="F18" s="136">
        <v>98.34</v>
      </c>
      <c r="G18" s="127">
        <f>+F18/F20</f>
        <v>0.10472285820776317</v>
      </c>
      <c r="H18" s="136">
        <v>153.34</v>
      </c>
      <c r="I18" s="127">
        <f>+H18/H20</f>
        <v>0.14028122112543343</v>
      </c>
      <c r="J18" s="136">
        <v>165.76</v>
      </c>
      <c r="K18" s="127">
        <f>+J18/J20</f>
        <v>0.15631542219120723</v>
      </c>
      <c r="L18" s="148">
        <f>169.25+9.98+1.26</f>
        <v>180.48999999999998</v>
      </c>
      <c r="M18" s="127">
        <f>+L18/L20</f>
        <v>0.15738576909661667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6" t="e">
        <f>+L18+J18+H18+F18+D18+B18+#REF!+#REF!+#REF!+#REF!+#REF!+#REF!</f>
        <v>#REF!</v>
      </c>
      <c r="AA18" s="127" t="e">
        <f>+Z18/Z20</f>
        <v>#REF!</v>
      </c>
      <c r="AC18" s="137" t="e">
        <f t="shared" ref="AC18" si="56">+Z18/7*12</f>
        <v>#REF!</v>
      </c>
    </row>
    <row r="19" spans="1:29" hidden="1" x14ac:dyDescent="0.2"/>
    <row r="20" spans="1:29" ht="15" hidden="1" x14ac:dyDescent="0.35">
      <c r="A20" s="86" t="s">
        <v>94</v>
      </c>
      <c r="B20" s="125">
        <f t="shared" ref="B20" si="57">+B18+B16</f>
        <v>1241.3699999999999</v>
      </c>
      <c r="C20" s="125"/>
      <c r="D20" s="125">
        <f t="shared" ref="D20" si="58">+D18+D16</f>
        <v>1288.1300000000001</v>
      </c>
      <c r="E20" s="125"/>
      <c r="F20" s="125">
        <f t="shared" ref="F20" si="59">+F18+F16</f>
        <v>939.05</v>
      </c>
      <c r="G20" s="125"/>
      <c r="H20" s="125">
        <f t="shared" ref="H20" si="60">+H18+H16</f>
        <v>1093.0899999999999</v>
      </c>
      <c r="I20" s="125"/>
      <c r="J20" s="125">
        <f t="shared" ref="J20" si="61">+J18+J16</f>
        <v>1060.42</v>
      </c>
      <c r="K20" s="125"/>
      <c r="L20" s="125">
        <f t="shared" ref="L20" si="62">+L18+L16</f>
        <v>1146.8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 t="e">
        <f t="shared" ref="Z20" si="63">+Z18+Z16</f>
        <v>#REF!</v>
      </c>
    </row>
    <row r="21" spans="1:29" hidden="1" x14ac:dyDescent="0.2"/>
    <row r="23" spans="1:29" x14ac:dyDescent="0.2">
      <c r="A23" s="85"/>
      <c r="B23" s="323">
        <v>43983</v>
      </c>
      <c r="C23" s="323"/>
      <c r="D23" s="323">
        <v>44013</v>
      </c>
      <c r="E23" s="323"/>
      <c r="F23" s="323">
        <v>44044</v>
      </c>
      <c r="G23" s="323"/>
      <c r="H23" s="323">
        <v>44075</v>
      </c>
      <c r="I23" s="323"/>
      <c r="J23" s="323">
        <v>44105</v>
      </c>
      <c r="K23" s="323"/>
      <c r="L23" s="323">
        <v>44136</v>
      </c>
      <c r="M23" s="323"/>
      <c r="N23" s="323">
        <v>44166</v>
      </c>
      <c r="O23" s="323"/>
      <c r="P23" s="323">
        <v>44197</v>
      </c>
      <c r="Q23" s="323"/>
      <c r="R23" s="323">
        <v>44228</v>
      </c>
      <c r="S23" s="323"/>
      <c r="T23" s="323">
        <v>44256</v>
      </c>
      <c r="U23" s="323"/>
      <c r="V23" s="323">
        <v>44287</v>
      </c>
      <c r="W23" s="323"/>
      <c r="X23" s="323">
        <v>44317</v>
      </c>
      <c r="Y23" s="323"/>
      <c r="Z23" s="323" t="s">
        <v>3</v>
      </c>
      <c r="AA23" s="323"/>
    </row>
    <row r="24" spans="1:29" x14ac:dyDescent="0.2">
      <c r="A24" s="85"/>
      <c r="B24" s="87" t="s">
        <v>12</v>
      </c>
      <c r="C24" s="87" t="s">
        <v>4</v>
      </c>
      <c r="D24" s="87" t="s">
        <v>12</v>
      </c>
      <c r="E24" s="87" t="s">
        <v>4</v>
      </c>
      <c r="F24" s="87" t="s">
        <v>12</v>
      </c>
      <c r="G24" s="87" t="s">
        <v>4</v>
      </c>
      <c r="H24" s="87" t="s">
        <v>12</v>
      </c>
      <c r="I24" s="87" t="s">
        <v>4</v>
      </c>
      <c r="J24" s="87" t="s">
        <v>12</v>
      </c>
      <c r="K24" s="87" t="s">
        <v>4</v>
      </c>
      <c r="L24" s="87" t="s">
        <v>12</v>
      </c>
      <c r="M24" s="87" t="s">
        <v>4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 t="s">
        <v>12</v>
      </c>
      <c r="AA24" s="87" t="s">
        <v>4</v>
      </c>
    </row>
    <row r="25" spans="1:29" x14ac:dyDescent="0.2">
      <c r="A25" s="85" t="s">
        <v>35</v>
      </c>
      <c r="B25" s="88">
        <v>223.62</v>
      </c>
      <c r="C25" s="89">
        <f>+B25/B$35</f>
        <v>0.23436075332487921</v>
      </c>
      <c r="D25" s="137">
        <v>205.72</v>
      </c>
      <c r="E25" s="89">
        <f>+D25/D$35</f>
        <v>0.20866848570298313</v>
      </c>
      <c r="F25" s="137">
        <v>182.89</v>
      </c>
      <c r="G25" s="89">
        <f>+F25/F$35</f>
        <v>0.21489419201710785</v>
      </c>
      <c r="H25" s="137">
        <v>209.07</v>
      </c>
      <c r="I25" s="89">
        <f>+H25/H$35</f>
        <v>0.22652855579513073</v>
      </c>
      <c r="J25" s="137">
        <v>211.99</v>
      </c>
      <c r="K25" s="89">
        <f>+J25/J$35</f>
        <v>0.23330728679440474</v>
      </c>
      <c r="L25" s="172">
        <v>246.61</v>
      </c>
      <c r="M25" s="89">
        <f>+L25/L$35</f>
        <v>0.25442071598060456</v>
      </c>
      <c r="N25" s="172">
        <v>262.26</v>
      </c>
      <c r="O25" s="89">
        <f>+N25/N$35</f>
        <v>0.24735675548219763</v>
      </c>
      <c r="P25" s="172">
        <v>207.85</v>
      </c>
      <c r="Q25" s="89">
        <f>+P25/P$35</f>
        <v>0.20175302362602163</v>
      </c>
      <c r="R25" s="172">
        <v>184.33</v>
      </c>
      <c r="S25" s="89">
        <f>+R25/R$35</f>
        <v>0.22289535418027037</v>
      </c>
      <c r="T25" s="172">
        <v>235.28</v>
      </c>
      <c r="U25" s="89">
        <f>+T25/T$35</f>
        <v>0.24317089556095295</v>
      </c>
      <c r="V25" s="172">
        <v>190.01</v>
      </c>
      <c r="W25" s="89">
        <f>+V25/V$35</f>
        <v>0.20272490611130078</v>
      </c>
      <c r="X25" s="172">
        <v>156.63999999999999</v>
      </c>
      <c r="Y25" s="89">
        <f>+X25/X$35</f>
        <v>0.18399013331767197</v>
      </c>
      <c r="Z25" s="88">
        <f>+B25+D25+F25+H25+J25+L25+N25+P25+R25+T25+V25+X25</f>
        <v>2516.27</v>
      </c>
      <c r="AA25" s="89">
        <f>+Z25/Z$35</f>
        <v>0.22335872035222276</v>
      </c>
    </row>
    <row r="26" spans="1:29" x14ac:dyDescent="0.2">
      <c r="A26" s="85" t="s">
        <v>65</v>
      </c>
      <c r="B26" s="88">
        <v>0</v>
      </c>
      <c r="C26" s="89">
        <f t="shared" ref="C26" si="64">+B26/B$35</f>
        <v>0</v>
      </c>
      <c r="D26" s="137">
        <v>0</v>
      </c>
      <c r="E26" s="89">
        <f t="shared" ref="E26" si="65">+D26/D$35</f>
        <v>0</v>
      </c>
      <c r="F26" s="137">
        <v>0</v>
      </c>
      <c r="G26" s="89">
        <f t="shared" ref="G26" si="66">+F26/F$35</f>
        <v>0</v>
      </c>
      <c r="H26" s="137">
        <v>0</v>
      </c>
      <c r="I26" s="89">
        <f t="shared" ref="I26" si="67">+H26/H$35</f>
        <v>0</v>
      </c>
      <c r="J26" s="137">
        <v>0</v>
      </c>
      <c r="K26" s="89">
        <f t="shared" ref="K26" si="68">+J26/J$35</f>
        <v>0</v>
      </c>
      <c r="L26" s="172">
        <v>0</v>
      </c>
      <c r="M26" s="89">
        <f t="shared" ref="M26" si="69">+L26/L$35</f>
        <v>0</v>
      </c>
      <c r="N26" s="172">
        <v>0</v>
      </c>
      <c r="O26" s="89">
        <f t="shared" ref="O26:O34" si="70">+N26/N$35</f>
        <v>0</v>
      </c>
      <c r="P26" s="172">
        <v>0</v>
      </c>
      <c r="Q26" s="89">
        <f t="shared" ref="Q26:Q34" si="71">+P26/P$35</f>
        <v>0</v>
      </c>
      <c r="R26" s="172">
        <v>0</v>
      </c>
      <c r="S26" s="89">
        <f t="shared" ref="S26:S34" si="72">+R26/R$35</f>
        <v>0</v>
      </c>
      <c r="T26" s="172">
        <v>0</v>
      </c>
      <c r="U26" s="89">
        <f t="shared" ref="U26:U34" si="73">+T26/T$35</f>
        <v>0</v>
      </c>
      <c r="V26" s="172">
        <v>0</v>
      </c>
      <c r="W26" s="89">
        <f t="shared" ref="W26:W34" si="74">+V26/V$35</f>
        <v>0</v>
      </c>
      <c r="X26" s="172">
        <f t="shared" ref="X26:X34" si="75">+V26</f>
        <v>0</v>
      </c>
      <c r="Y26" s="89">
        <f t="shared" ref="Y26:Y34" si="76">+X26/X$35</f>
        <v>0</v>
      </c>
      <c r="Z26" s="88">
        <f t="shared" ref="Z26:Z34" si="77">+B26+D26+F26+H26+J26+L26+N26+P26+R26+T26+V26+X26</f>
        <v>0</v>
      </c>
      <c r="AA26" s="89">
        <f t="shared" ref="AA26" si="78">+Z26/Z$35</f>
        <v>0</v>
      </c>
    </row>
    <row r="27" spans="1:29" x14ac:dyDescent="0.2">
      <c r="A27" s="85" t="s">
        <v>19</v>
      </c>
      <c r="B27" s="88">
        <v>465.81</v>
      </c>
      <c r="C27" s="89">
        <f t="shared" ref="C27" si="79">+B27/B$35</f>
        <v>0.48818344739407021</v>
      </c>
      <c r="D27" s="137">
        <v>479.91</v>
      </c>
      <c r="E27" s="89">
        <f t="shared" ref="E27" si="80">+D27/D$35</f>
        <v>0.48678831894671709</v>
      </c>
      <c r="F27" s="137">
        <v>398.68</v>
      </c>
      <c r="G27" s="89">
        <f t="shared" ref="G27" si="81">+F27/F$35</f>
        <v>0.46844560376937266</v>
      </c>
      <c r="H27" s="137">
        <v>439.09</v>
      </c>
      <c r="I27" s="89">
        <f t="shared" ref="I27" si="82">+H27/H$35</f>
        <v>0.47575655791880206</v>
      </c>
      <c r="J27" s="137">
        <v>449.47</v>
      </c>
      <c r="K27" s="89">
        <f t="shared" ref="K27" si="83">+J27/J$35</f>
        <v>0.49466779657286242</v>
      </c>
      <c r="L27" s="172">
        <v>449.73</v>
      </c>
      <c r="M27" s="89">
        <f t="shared" ref="M27" si="84">+L27/L$35</f>
        <v>0.46397400185701021</v>
      </c>
      <c r="N27" s="172">
        <v>499.49</v>
      </c>
      <c r="O27" s="89">
        <f t="shared" si="70"/>
        <v>0.47110587125677916</v>
      </c>
      <c r="P27" s="172">
        <v>559.23</v>
      </c>
      <c r="Q27" s="89">
        <f t="shared" si="71"/>
        <v>0.54282580419716175</v>
      </c>
      <c r="R27" s="172">
        <v>397.89</v>
      </c>
      <c r="S27" s="89">
        <f t="shared" si="72"/>
        <v>0.48113618225350058</v>
      </c>
      <c r="T27" s="172">
        <v>453.69</v>
      </c>
      <c r="U27" s="89">
        <f t="shared" si="73"/>
        <v>0.46890599968993851</v>
      </c>
      <c r="V27" s="172">
        <v>473.19</v>
      </c>
      <c r="W27" s="89">
        <f t="shared" si="74"/>
        <v>0.50485447251621718</v>
      </c>
      <c r="X27" s="172">
        <v>427.9</v>
      </c>
      <c r="Y27" s="89">
        <f t="shared" si="76"/>
        <v>0.50261349621189888</v>
      </c>
      <c r="Z27" s="88">
        <f t="shared" si="77"/>
        <v>5494.079999999999</v>
      </c>
      <c r="AA27" s="89">
        <f t="shared" ref="AA27" si="85">+Z27/Z$35</f>
        <v>0.48768640818065623</v>
      </c>
    </row>
    <row r="28" spans="1:29" x14ac:dyDescent="0.2">
      <c r="A28" s="85" t="s">
        <v>17</v>
      </c>
      <c r="B28" s="88">
        <v>20.39</v>
      </c>
      <c r="C28" s="89">
        <f t="shared" ref="C28" si="86">+B28/B$35</f>
        <v>2.1369357661632622E-2</v>
      </c>
      <c r="D28" s="137">
        <v>21.72</v>
      </c>
      <c r="E28" s="89">
        <f t="shared" ref="E28" si="87">+D28/D$35</f>
        <v>2.2031302301520481E-2</v>
      </c>
      <c r="F28" s="137">
        <v>18.350000000000001</v>
      </c>
      <c r="G28" s="89">
        <f t="shared" ref="G28" si="88">+F28/F$35</f>
        <v>2.1561093682070806E-2</v>
      </c>
      <c r="H28" s="137">
        <v>20.3</v>
      </c>
      <c r="I28" s="89">
        <f t="shared" ref="I28" si="89">+H28/H$35</f>
        <v>2.1995167564170633E-2</v>
      </c>
      <c r="J28" s="137">
        <v>17.97</v>
      </c>
      <c r="K28" s="89">
        <f t="shared" ref="K28" si="90">+J28/J$35</f>
        <v>1.9777026952664999E-2</v>
      </c>
      <c r="L28" s="172">
        <v>18.510000000000002</v>
      </c>
      <c r="M28" s="89">
        <f t="shared" ref="M28" si="91">+L28/L$35</f>
        <v>1.909625502940266E-2</v>
      </c>
      <c r="N28" s="172">
        <v>21.42</v>
      </c>
      <c r="O28" s="89">
        <f t="shared" si="70"/>
        <v>2.0202782362650325E-2</v>
      </c>
      <c r="P28" s="172">
        <v>18.72</v>
      </c>
      <c r="Q28" s="89">
        <f t="shared" si="71"/>
        <v>1.8170876123546426E-2</v>
      </c>
      <c r="R28" s="172">
        <v>14.77</v>
      </c>
      <c r="S28" s="89">
        <f t="shared" si="72"/>
        <v>1.786016590485864E-2</v>
      </c>
      <c r="T28" s="172">
        <v>19.68</v>
      </c>
      <c r="U28" s="89">
        <f t="shared" si="73"/>
        <v>2.034003410676451E-2</v>
      </c>
      <c r="V28" s="172">
        <v>19.850000000000001</v>
      </c>
      <c r="W28" s="89">
        <f t="shared" si="74"/>
        <v>2.1178303175145102E-2</v>
      </c>
      <c r="X28" s="172">
        <v>18.53</v>
      </c>
      <c r="Y28" s="89">
        <f t="shared" si="76"/>
        <v>2.17654313737006E-2</v>
      </c>
      <c r="Z28" s="88">
        <f t="shared" si="77"/>
        <v>230.21000000000004</v>
      </c>
      <c r="AA28" s="89">
        <f t="shared" ref="AA28" si="92">+Z28/Z$35</f>
        <v>2.0434774889930417E-2</v>
      </c>
    </row>
    <row r="29" spans="1:29" x14ac:dyDescent="0.2">
      <c r="A29" s="85" t="s">
        <v>11</v>
      </c>
      <c r="B29" s="88">
        <v>160.96</v>
      </c>
      <c r="C29" s="89">
        <f t="shared" ref="C29" si="93">+B29/B$35</f>
        <v>0.16869111374283408</v>
      </c>
      <c r="D29" s="137">
        <v>186.11</v>
      </c>
      <c r="E29" s="89">
        <f t="shared" ref="E29" si="94">+D29/D$35</f>
        <v>0.18877742501546857</v>
      </c>
      <c r="F29" s="137">
        <v>167.43</v>
      </c>
      <c r="G29" s="89">
        <f t="shared" ref="G29" si="95">+F29/F$35</f>
        <v>0.19672882371602807</v>
      </c>
      <c r="H29" s="137">
        <v>166.73</v>
      </c>
      <c r="I29" s="89">
        <f t="shared" ref="I29" si="96">+H29/H$35</f>
        <v>0.18065292058986054</v>
      </c>
      <c r="J29" s="137">
        <v>144.22999999999999</v>
      </c>
      <c r="K29" s="89">
        <f t="shared" ref="K29" si="97">+J29/J$35</f>
        <v>0.15873347787328174</v>
      </c>
      <c r="L29" s="172">
        <v>173.72</v>
      </c>
      <c r="M29" s="89">
        <f t="shared" ref="M29" si="98">+L29/L$35</f>
        <v>0.17922211905498811</v>
      </c>
      <c r="N29" s="172">
        <v>195.64</v>
      </c>
      <c r="O29" s="89">
        <f t="shared" si="70"/>
        <v>0.18452251827399202</v>
      </c>
      <c r="P29" s="172">
        <v>165.46</v>
      </c>
      <c r="Q29" s="89">
        <f t="shared" si="71"/>
        <v>0.16060647240395257</v>
      </c>
      <c r="R29" s="172">
        <v>164.38</v>
      </c>
      <c r="S29" s="89">
        <f t="shared" si="72"/>
        <v>0.19877143340830489</v>
      </c>
      <c r="T29" s="172">
        <v>176.69</v>
      </c>
      <c r="U29" s="89">
        <f t="shared" si="73"/>
        <v>0.18261588548395433</v>
      </c>
      <c r="V29" s="172">
        <v>178.92</v>
      </c>
      <c r="W29" s="89">
        <f t="shared" si="74"/>
        <v>0.19089279617616933</v>
      </c>
      <c r="X29" s="172">
        <v>170.01</v>
      </c>
      <c r="Y29" s="89">
        <f t="shared" si="76"/>
        <v>0.19969460268984557</v>
      </c>
      <c r="Z29" s="88">
        <f t="shared" si="77"/>
        <v>2050.2800000000007</v>
      </c>
      <c r="AA29" s="89">
        <f t="shared" ref="AA29" si="99">+Z29/Z$35</f>
        <v>0.18199474506462163</v>
      </c>
    </row>
    <row r="30" spans="1:29" x14ac:dyDescent="0.2">
      <c r="A30" s="85" t="s">
        <v>96</v>
      </c>
      <c r="B30" s="88">
        <v>23.6</v>
      </c>
      <c r="C30" s="89">
        <f t="shared" ref="C30" si="100">+B30/B$35</f>
        <v>2.4733538048775375E-2</v>
      </c>
      <c r="D30" s="137">
        <v>23.95</v>
      </c>
      <c r="E30" s="89">
        <f t="shared" ref="E30" si="101">+D30/D$35</f>
        <v>2.4293263817744729E-2</v>
      </c>
      <c r="F30" s="137">
        <v>21.86</v>
      </c>
      <c r="G30" s="89">
        <f t="shared" ref="G30" si="102">+F30/F$35</f>
        <v>2.5685313781475084E-2</v>
      </c>
      <c r="H30" s="137">
        <v>24.77</v>
      </c>
      <c r="I30" s="89">
        <f t="shared" ref="I30" si="103">+H30/H$35</f>
        <v>2.6838438451453523E-2</v>
      </c>
      <c r="J30" s="137">
        <v>22.22</v>
      </c>
      <c r="K30" s="89">
        <f t="shared" ref="K30" si="104">+J30/J$35</f>
        <v>2.4454398379978644E-2</v>
      </c>
      <c r="L30" s="172">
        <v>27.02</v>
      </c>
      <c r="M30" s="89">
        <f t="shared" ref="M30" si="105">+L30/L$35</f>
        <v>2.7875786650159908E-2</v>
      </c>
      <c r="N30" s="172">
        <v>28.14</v>
      </c>
      <c r="O30" s="89">
        <f t="shared" si="70"/>
        <v>2.6540910162697485E-2</v>
      </c>
      <c r="P30" s="172">
        <v>26.15</v>
      </c>
      <c r="Q30" s="89">
        <f t="shared" si="71"/>
        <v>2.538292791830871E-2</v>
      </c>
      <c r="R30" s="172">
        <v>20.63</v>
      </c>
      <c r="S30" s="89">
        <f t="shared" si="72"/>
        <v>2.4946189750659018E-2</v>
      </c>
      <c r="T30" s="172">
        <v>25.19</v>
      </c>
      <c r="U30" s="89">
        <f t="shared" si="73"/>
        <v>2.60348302413312E-2</v>
      </c>
      <c r="V30" s="172">
        <v>23.18</v>
      </c>
      <c r="W30" s="89">
        <f t="shared" si="74"/>
        <v>2.4731136906794127E-2</v>
      </c>
      <c r="X30" s="172">
        <v>23.39</v>
      </c>
      <c r="Y30" s="89">
        <f t="shared" si="76"/>
        <v>2.7474011863510901E-2</v>
      </c>
      <c r="Z30" s="88">
        <f t="shared" si="77"/>
        <v>290.09999999999997</v>
      </c>
      <c r="AA30" s="89">
        <f t="shared" ref="AA30" si="106">+Z30/Z$35</f>
        <v>2.5750958670643379E-2</v>
      </c>
    </row>
    <row r="31" spans="1:29" x14ac:dyDescent="0.2">
      <c r="A31" s="85" t="s">
        <v>1</v>
      </c>
      <c r="B31" s="88">
        <v>43.42</v>
      </c>
      <c r="C31" s="89">
        <f t="shared" ref="C31" si="107">+B31/B$35</f>
        <v>4.5505517884653679E-2</v>
      </c>
      <c r="D31" s="137">
        <v>51.08</v>
      </c>
      <c r="E31" s="89">
        <f t="shared" ref="E31" si="108">+D31/D$35</f>
        <v>5.1812105044275608E-2</v>
      </c>
      <c r="F31" s="137">
        <v>46.7</v>
      </c>
      <c r="G31" s="89">
        <f t="shared" ref="G31" si="109">+F31/F$35</f>
        <v>5.4872102177259213E-2</v>
      </c>
      <c r="H31" s="137">
        <v>46.27</v>
      </c>
      <c r="I31" s="89">
        <f t="shared" ref="I31" si="110">+H31/H$35</f>
        <v>5.0133812965230305E-2</v>
      </c>
      <c r="J31" s="137">
        <v>44.88</v>
      </c>
      <c r="K31" s="89">
        <f t="shared" ref="K31" si="111">+J31/J$35</f>
        <v>4.9393042272432117E-2</v>
      </c>
      <c r="L31" s="172">
        <v>36.56</v>
      </c>
      <c r="M31" s="89">
        <f t="shared" ref="M31" si="112">+L31/L$35</f>
        <v>3.7717940782007631E-2</v>
      </c>
      <c r="N31" s="172">
        <v>36.24</v>
      </c>
      <c r="O31" s="89">
        <f t="shared" si="70"/>
        <v>3.4180617778825757E-2</v>
      </c>
      <c r="P31" s="172">
        <v>37.68</v>
      </c>
      <c r="Q31" s="89">
        <f t="shared" si="71"/>
        <v>3.6574712197394728E-2</v>
      </c>
      <c r="R31" s="172">
        <v>30.22</v>
      </c>
      <c r="S31" s="89">
        <f t="shared" si="72"/>
        <v>3.6542600788410838E-2</v>
      </c>
      <c r="T31" s="172">
        <v>39.590000000000003</v>
      </c>
      <c r="U31" s="89">
        <f t="shared" si="73"/>
        <v>4.091778202676865E-2</v>
      </c>
      <c r="V31" s="172">
        <v>37.380000000000003</v>
      </c>
      <c r="W31" s="89">
        <f t="shared" si="74"/>
        <v>3.9881358825537727E-2</v>
      </c>
      <c r="X31" s="172">
        <v>40.299999999999997</v>
      </c>
      <c r="Y31" s="89">
        <f t="shared" si="76"/>
        <v>4.7336583073941396E-2</v>
      </c>
      <c r="Z31" s="88">
        <f t="shared" si="77"/>
        <v>490.32</v>
      </c>
      <c r="AA31" s="89">
        <f t="shared" ref="AA31" si="113">+Z31/Z$35</f>
        <v>4.3523647209203251E-2</v>
      </c>
    </row>
    <row r="32" spans="1:29" x14ac:dyDescent="0.2">
      <c r="A32" s="85" t="s">
        <v>66</v>
      </c>
      <c r="B32" s="88">
        <v>9.16</v>
      </c>
      <c r="C32" s="89">
        <f t="shared" ref="C32" si="114">+B32/B$35</f>
        <v>9.599966462999255E-3</v>
      </c>
      <c r="D32" s="137">
        <v>9.98</v>
      </c>
      <c r="E32" s="89">
        <f t="shared" ref="E32" si="115">+D32/D$35</f>
        <v>1.0123038534492377E-2</v>
      </c>
      <c r="F32" s="137">
        <v>8.9700000000000006</v>
      </c>
      <c r="G32" s="89">
        <f t="shared" ref="G32" si="116">+F32/F$35</f>
        <v>1.0539673587366492E-2</v>
      </c>
      <c r="H32" s="137">
        <v>10.48</v>
      </c>
      <c r="I32" s="89">
        <f t="shared" ref="I32" si="117">+H32/H$35</f>
        <v>1.1355140693227007E-2</v>
      </c>
      <c r="J32" s="137">
        <v>10.68</v>
      </c>
      <c r="K32" s="89">
        <f t="shared" ref="K32" si="118">+J32/J$35</f>
        <v>1.1753959257343471E-2</v>
      </c>
      <c r="L32" s="172">
        <v>10.220000000000001</v>
      </c>
      <c r="M32" s="89">
        <f t="shared" ref="M32" si="119">+L32/L$35</f>
        <v>1.0543691323635614E-2</v>
      </c>
      <c r="N32" s="172">
        <v>9.7100000000000009</v>
      </c>
      <c r="O32" s="89">
        <f t="shared" si="70"/>
        <v>9.1582174015562394E-3</v>
      </c>
      <c r="P32" s="172">
        <v>9.3000000000000007</v>
      </c>
      <c r="Q32" s="89">
        <f t="shared" si="71"/>
        <v>9.0271980741977453E-3</v>
      </c>
      <c r="R32" s="172">
        <v>5.57</v>
      </c>
      <c r="S32" s="89">
        <f t="shared" si="72"/>
        <v>6.7353503107693046E-3</v>
      </c>
      <c r="T32" s="172">
        <v>10.91</v>
      </c>
      <c r="U32" s="89">
        <f t="shared" si="73"/>
        <v>1.1275903054105732E-2</v>
      </c>
      <c r="V32" s="172">
        <v>8.43</v>
      </c>
      <c r="W32" s="89">
        <f t="shared" si="74"/>
        <v>8.9941106179583473E-3</v>
      </c>
      <c r="X32" s="172">
        <v>8.4</v>
      </c>
      <c r="Y32" s="89">
        <f t="shared" si="76"/>
        <v>9.8666823280671896E-3</v>
      </c>
      <c r="Z32" s="88">
        <f t="shared" si="77"/>
        <v>111.81</v>
      </c>
      <c r="AA32" s="89">
        <f t="shared" ref="AA32" si="120">+Z32/Z$35</f>
        <v>9.924904132935666E-3</v>
      </c>
    </row>
    <row r="33" spans="1:27" x14ac:dyDescent="0.2">
      <c r="A33" s="85" t="s">
        <v>67</v>
      </c>
      <c r="B33" s="88">
        <v>7.1</v>
      </c>
      <c r="C33" s="89">
        <f t="shared" ref="C33" si="121">+B33/B$35</f>
        <v>7.4410220400976754E-3</v>
      </c>
      <c r="D33" s="137">
        <v>7.28</v>
      </c>
      <c r="E33" s="89">
        <f t="shared" ref="E33" si="122">+D33/D$35</f>
        <v>7.3843407345796095E-3</v>
      </c>
      <c r="F33" s="137">
        <v>6.19</v>
      </c>
      <c r="G33" s="89">
        <f t="shared" ref="G33" si="123">+F33/F$35</f>
        <v>7.2731972693197977E-3</v>
      </c>
      <c r="H33" s="137">
        <v>6.22</v>
      </c>
      <c r="I33" s="89">
        <f t="shared" ref="I33" si="124">+H33/H$35</f>
        <v>6.7394060221251887E-3</v>
      </c>
      <c r="J33" s="137">
        <v>7.19</v>
      </c>
      <c r="K33" s="89">
        <f t="shared" ref="K33" si="125">+J33/J$35</f>
        <v>7.9130118970317954E-3</v>
      </c>
      <c r="L33" s="172">
        <v>6.93</v>
      </c>
      <c r="M33" s="89">
        <f t="shared" ref="M33" si="126">+L33/L$35</f>
        <v>7.1494893221912712E-3</v>
      </c>
      <c r="N33" s="172">
        <v>7.35</v>
      </c>
      <c r="O33" s="89">
        <f t="shared" si="70"/>
        <v>6.9323272813015813E-3</v>
      </c>
      <c r="P33" s="172">
        <v>5.83</v>
      </c>
      <c r="Q33" s="89">
        <f t="shared" si="71"/>
        <v>5.6589854594164355E-3</v>
      </c>
      <c r="R33" s="172">
        <v>9.19</v>
      </c>
      <c r="S33" s="89">
        <f t="shared" si="72"/>
        <v>1.1112723403226193E-2</v>
      </c>
      <c r="T33" s="172">
        <v>6.52</v>
      </c>
      <c r="U33" s="89">
        <f t="shared" si="73"/>
        <v>6.7386698361841767E-3</v>
      </c>
      <c r="V33" s="172">
        <v>6.32</v>
      </c>
      <c r="W33" s="89">
        <f t="shared" si="74"/>
        <v>6.742915670877433E-3</v>
      </c>
      <c r="X33" s="172">
        <v>6.18</v>
      </c>
      <c r="Y33" s="89">
        <f t="shared" si="76"/>
        <v>7.2590591413637176E-3</v>
      </c>
      <c r="Z33" s="88">
        <f t="shared" si="77"/>
        <v>82.300000000000011</v>
      </c>
      <c r="AA33" s="89">
        <f t="shared" ref="AA33" si="127">+Z33/Z$35</f>
        <v>7.3054253657151005E-3</v>
      </c>
    </row>
    <row r="34" spans="1:27" x14ac:dyDescent="0.2">
      <c r="A34" s="85" t="s">
        <v>68</v>
      </c>
      <c r="B34" s="88">
        <v>0.11</v>
      </c>
      <c r="C34" s="89">
        <f t="shared" ref="C34" si="128">+B34/B$35</f>
        <v>1.1528344005785132E-4</v>
      </c>
      <c r="D34" s="137">
        <v>0.12</v>
      </c>
      <c r="E34" s="89">
        <f t="shared" ref="E34" si="129">+D34/D$35</f>
        <v>1.217199022183452E-4</v>
      </c>
      <c r="F34" s="137">
        <v>0</v>
      </c>
      <c r="G34" s="89">
        <f t="shared" ref="G34" si="130">+F34/F$35</f>
        <v>0</v>
      </c>
      <c r="H34" s="137">
        <v>0</v>
      </c>
      <c r="I34" s="89">
        <f t="shared" ref="I34" si="131">+H34/H$35</f>
        <v>0</v>
      </c>
      <c r="J34" s="137">
        <v>0</v>
      </c>
      <c r="K34" s="89">
        <f t="shared" ref="K34" si="132">+J34/J$35</f>
        <v>0</v>
      </c>
      <c r="L34" s="172">
        <v>0</v>
      </c>
      <c r="M34" s="89">
        <f t="shared" ref="M34" si="133">+L34/L$35</f>
        <v>0</v>
      </c>
      <c r="N34" s="172">
        <v>0</v>
      </c>
      <c r="O34" s="89">
        <f t="shared" si="70"/>
        <v>0</v>
      </c>
      <c r="P34" s="172">
        <v>0</v>
      </c>
      <c r="Q34" s="89">
        <f t="shared" si="71"/>
        <v>0</v>
      </c>
      <c r="R34" s="172">
        <v>0</v>
      </c>
      <c r="S34" s="89">
        <f t="shared" si="72"/>
        <v>0</v>
      </c>
      <c r="T34" s="172">
        <v>0</v>
      </c>
      <c r="U34" s="89">
        <f t="shared" si="73"/>
        <v>0</v>
      </c>
      <c r="V34" s="172">
        <v>0</v>
      </c>
      <c r="W34" s="89">
        <f t="shared" si="74"/>
        <v>0</v>
      </c>
      <c r="X34" s="172">
        <f t="shared" si="75"/>
        <v>0</v>
      </c>
      <c r="Y34" s="89">
        <f t="shared" si="76"/>
        <v>0</v>
      </c>
      <c r="Z34" s="88">
        <f t="shared" si="77"/>
        <v>0.22999999999999998</v>
      </c>
      <c r="AA34" s="89">
        <f t="shared" ref="AA34" si="134">+Z34/Z$35</f>
        <v>2.0416134071864795E-5</v>
      </c>
    </row>
    <row r="35" spans="1:27" ht="13.5" thickBot="1" x14ac:dyDescent="0.25">
      <c r="A35" s="90"/>
      <c r="B35" s="91">
        <f t="shared" ref="B35:AA35" si="135">SUM(B25:B34)</f>
        <v>954.17000000000007</v>
      </c>
      <c r="C35" s="102">
        <f t="shared" si="135"/>
        <v>0.99999999999999989</v>
      </c>
      <c r="D35" s="91">
        <f t="shared" si="135"/>
        <v>985.87000000000012</v>
      </c>
      <c r="E35" s="102">
        <f t="shared" si="135"/>
        <v>1</v>
      </c>
      <c r="F35" s="91">
        <f t="shared" si="135"/>
        <v>851.07</v>
      </c>
      <c r="G35" s="102">
        <f t="shared" si="135"/>
        <v>1</v>
      </c>
      <c r="H35" s="91">
        <f t="shared" si="135"/>
        <v>922.93</v>
      </c>
      <c r="I35" s="102">
        <f t="shared" si="135"/>
        <v>0.99999999999999989</v>
      </c>
      <c r="J35" s="91">
        <f t="shared" si="135"/>
        <v>908.63000000000011</v>
      </c>
      <c r="K35" s="102">
        <f t="shared" si="135"/>
        <v>0.99999999999999989</v>
      </c>
      <c r="L35" s="91">
        <f t="shared" si="135"/>
        <v>969.30000000000007</v>
      </c>
      <c r="M35" s="102">
        <f t="shared" si="135"/>
        <v>1</v>
      </c>
      <c r="N35" s="91">
        <f t="shared" si="135"/>
        <v>1060.2499999999998</v>
      </c>
      <c r="O35" s="102">
        <f t="shared" si="135"/>
        <v>1</v>
      </c>
      <c r="P35" s="91">
        <f t="shared" si="135"/>
        <v>1030.22</v>
      </c>
      <c r="Q35" s="102">
        <f t="shared" si="135"/>
        <v>1</v>
      </c>
      <c r="R35" s="91">
        <f t="shared" si="135"/>
        <v>826.98000000000013</v>
      </c>
      <c r="S35" s="102">
        <f t="shared" si="135"/>
        <v>0.99999999999999978</v>
      </c>
      <c r="T35" s="91">
        <f t="shared" si="135"/>
        <v>967.55</v>
      </c>
      <c r="U35" s="102">
        <f t="shared" si="135"/>
        <v>1.0000000000000002</v>
      </c>
      <c r="V35" s="91">
        <f t="shared" si="135"/>
        <v>937.28</v>
      </c>
      <c r="W35" s="102">
        <f t="shared" si="135"/>
        <v>1</v>
      </c>
      <c r="X35" s="279">
        <f t="shared" si="135"/>
        <v>851.3499999999998</v>
      </c>
      <c r="Y35" s="102">
        <f t="shared" si="135"/>
        <v>1.0000000000000002</v>
      </c>
      <c r="Z35" s="91">
        <f t="shared" si="135"/>
        <v>11265.599999999997</v>
      </c>
      <c r="AA35" s="102">
        <f t="shared" si="135"/>
        <v>1.0000000000000002</v>
      </c>
    </row>
    <row r="36" spans="1:27" ht="13.5" thickTop="1" x14ac:dyDescent="0.2">
      <c r="X36" s="249"/>
    </row>
    <row r="37" spans="1:27" ht="15" x14ac:dyDescent="0.35">
      <c r="A37" s="85" t="s">
        <v>69</v>
      </c>
      <c r="B37" s="126">
        <f>186.41+4.12+0.92</f>
        <v>191.45</v>
      </c>
      <c r="C37" s="127"/>
      <c r="D37" s="148">
        <f>182.83+5.4+0.12</f>
        <v>188.35000000000002</v>
      </c>
      <c r="E37" s="127"/>
      <c r="F37" s="136">
        <f>175.16+3.4+1.34</f>
        <v>179.9</v>
      </c>
      <c r="G37" s="127"/>
      <c r="H37" s="136">
        <f>163.11+3.93+1.2</f>
        <v>168.24</v>
      </c>
      <c r="I37" s="127"/>
      <c r="J37" s="136">
        <f>175.28+4.14+1.31</f>
        <v>180.73</v>
      </c>
      <c r="K37" s="127"/>
      <c r="L37" s="179">
        <f>160.76+3.86+1.48</f>
        <v>166.1</v>
      </c>
      <c r="M37" s="127"/>
      <c r="N37" s="245">
        <f>180.95+2.74+1.37</f>
        <v>185.06</v>
      </c>
      <c r="O37" s="127"/>
      <c r="P37" s="245">
        <f>206.98+0.37+1.74</f>
        <v>209.09</v>
      </c>
      <c r="Q37" s="127"/>
      <c r="R37" s="245">
        <f>1.56+149.43</f>
        <v>150.99</v>
      </c>
      <c r="S37" s="127"/>
      <c r="T37" s="245">
        <f>154.31+2.81</f>
        <v>157.12</v>
      </c>
      <c r="U37" s="127"/>
      <c r="V37" s="245">
        <f>3.66+168.28</f>
        <v>171.94</v>
      </c>
      <c r="W37" s="127"/>
      <c r="X37" s="278">
        <f>157.55+3.75</f>
        <v>161.30000000000001</v>
      </c>
      <c r="Y37" s="127"/>
      <c r="Z37" s="126">
        <f t="shared" ref="Z37" si="136">+B37+D37+F37+H37+J37+L37+N37+P37+R37+T37+V37+X37</f>
        <v>2110.27</v>
      </c>
      <c r="AA37" s="127"/>
    </row>
    <row r="38" spans="1:27" x14ac:dyDescent="0.2">
      <c r="X38" s="249"/>
    </row>
    <row r="39" spans="1:27" ht="15" x14ac:dyDescent="0.35">
      <c r="A39" s="86" t="s">
        <v>94</v>
      </c>
      <c r="B39" s="125">
        <f t="shared" ref="B39" si="137">+B37+B35</f>
        <v>1145.6200000000001</v>
      </c>
      <c r="C39" s="125"/>
      <c r="D39" s="125">
        <f t="shared" ref="D39" si="138">+D37+D35</f>
        <v>1174.2200000000003</v>
      </c>
      <c r="E39" s="125"/>
      <c r="F39" s="125">
        <f t="shared" ref="F39" si="139">+F37+F35</f>
        <v>1030.97</v>
      </c>
      <c r="G39" s="125"/>
      <c r="H39" s="125">
        <f t="shared" ref="H39" si="140">+H37+H35</f>
        <v>1091.17</v>
      </c>
      <c r="I39" s="125"/>
      <c r="J39" s="125">
        <f t="shared" ref="J39" si="141">+J37+J35</f>
        <v>1089.3600000000001</v>
      </c>
      <c r="K39" s="125"/>
      <c r="L39" s="125">
        <f t="shared" ref="L39" si="142">+L37+L35</f>
        <v>1135.4000000000001</v>
      </c>
      <c r="M39" s="125"/>
      <c r="N39" s="125">
        <f t="shared" ref="N39" si="143">+N37+N35</f>
        <v>1245.3099999999997</v>
      </c>
      <c r="O39" s="125"/>
      <c r="P39" s="125">
        <f t="shared" ref="P39" si="144">+P37+P35</f>
        <v>1239.31</v>
      </c>
      <c r="Q39" s="125"/>
      <c r="R39" s="125">
        <f t="shared" ref="R39" si="145">+R37+R35</f>
        <v>977.97000000000014</v>
      </c>
      <c r="S39" s="125"/>
      <c r="T39" s="125">
        <f t="shared" ref="T39" si="146">+T37+T35</f>
        <v>1124.67</v>
      </c>
      <c r="U39" s="125"/>
      <c r="V39" s="125">
        <f t="shared" ref="V39" si="147">+V37+V35</f>
        <v>1109.22</v>
      </c>
      <c r="W39" s="125"/>
      <c r="X39" s="125">
        <f t="shared" ref="X39" si="148">+X37+X35</f>
        <v>1012.6499999999999</v>
      </c>
      <c r="Y39" s="125"/>
      <c r="Z39" s="125">
        <f t="shared" ref="Z39" si="149">+Z37+Z35</f>
        <v>13375.869999999997</v>
      </c>
    </row>
    <row r="42" spans="1:27" x14ac:dyDescent="0.2">
      <c r="A42" s="85"/>
      <c r="B42" s="323">
        <v>44348</v>
      </c>
      <c r="C42" s="323"/>
      <c r="D42" s="323">
        <v>44378</v>
      </c>
      <c r="E42" s="323"/>
      <c r="F42" s="323">
        <v>44409</v>
      </c>
      <c r="G42" s="323"/>
      <c r="H42" s="323">
        <v>44440</v>
      </c>
      <c r="I42" s="323"/>
      <c r="J42" s="323">
        <v>44470</v>
      </c>
      <c r="K42" s="323"/>
      <c r="L42" s="323">
        <v>44501</v>
      </c>
      <c r="M42" s="323"/>
      <c r="N42" s="323">
        <v>44531</v>
      </c>
      <c r="O42" s="323"/>
      <c r="P42" s="323">
        <v>44562</v>
      </c>
      <c r="Q42" s="323"/>
      <c r="R42" s="323">
        <v>44593</v>
      </c>
      <c r="S42" s="323"/>
      <c r="T42" s="323">
        <v>44621</v>
      </c>
      <c r="U42" s="323"/>
      <c r="V42" s="323">
        <v>44652</v>
      </c>
      <c r="W42" s="323"/>
      <c r="X42" s="323">
        <v>44682</v>
      </c>
      <c r="Y42" s="323"/>
      <c r="Z42" s="323" t="s">
        <v>3</v>
      </c>
      <c r="AA42" s="323"/>
    </row>
    <row r="43" spans="1:27" x14ac:dyDescent="0.2">
      <c r="A43" s="85"/>
      <c r="B43" s="87" t="s">
        <v>12</v>
      </c>
      <c r="C43" s="87" t="s">
        <v>4</v>
      </c>
      <c r="D43" s="87" t="s">
        <v>12</v>
      </c>
      <c r="E43" s="87" t="s">
        <v>4</v>
      </c>
      <c r="F43" s="87" t="s">
        <v>12</v>
      </c>
      <c r="G43" s="87" t="s">
        <v>4</v>
      </c>
      <c r="H43" s="87" t="s">
        <v>12</v>
      </c>
      <c r="I43" s="87" t="s">
        <v>4</v>
      </c>
      <c r="J43" s="87" t="s">
        <v>12</v>
      </c>
      <c r="K43" s="87" t="s">
        <v>4</v>
      </c>
      <c r="L43" s="87" t="s">
        <v>12</v>
      </c>
      <c r="M43" s="87" t="s">
        <v>4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 t="s">
        <v>12</v>
      </c>
      <c r="AA43" s="87" t="s">
        <v>4</v>
      </c>
    </row>
    <row r="44" spans="1:27" x14ac:dyDescent="0.2">
      <c r="A44" s="85" t="s">
        <v>35</v>
      </c>
      <c r="B44" s="88">
        <v>216.23</v>
      </c>
      <c r="C44" s="89">
        <f>+B44/B$54</f>
        <v>0.2072836381763104</v>
      </c>
      <c r="D44" s="137">
        <v>201.16</v>
      </c>
      <c r="E44" s="89">
        <f>+D44/D$54</f>
        <v>0.20769834386486599</v>
      </c>
      <c r="F44" s="137">
        <v>188.99</v>
      </c>
      <c r="G44" s="89">
        <f>+F44/F$54</f>
        <v>0.19532638802761584</v>
      </c>
      <c r="H44" s="88">
        <v>216.45</v>
      </c>
      <c r="I44" s="89">
        <f>+H44/H$54</f>
        <v>0.20537027373215042</v>
      </c>
      <c r="J44" s="88">
        <v>180.97</v>
      </c>
      <c r="K44" s="89">
        <f>+J44/J$54</f>
        <v>0.19852344281357642</v>
      </c>
      <c r="L44" s="88">
        <v>213.32</v>
      </c>
      <c r="M44" s="89">
        <f>+L44/L$54</f>
        <v>0.21281775010974097</v>
      </c>
      <c r="N44" s="88">
        <v>244.98</v>
      </c>
      <c r="O44" s="89">
        <f>+N44/N$54</f>
        <v>0.22577345240399238</v>
      </c>
      <c r="P44" s="88">
        <v>213.15</v>
      </c>
      <c r="Q44" s="89">
        <f>+P44/P$54</f>
        <v>0.20935440464380781</v>
      </c>
      <c r="R44" s="88">
        <v>185.17</v>
      </c>
      <c r="S44" s="89">
        <f>+R44/R$54</f>
        <v>0.21523636828585041</v>
      </c>
      <c r="T44" s="88">
        <v>235.66</v>
      </c>
      <c r="U44" s="89">
        <f>+T44/T$54</f>
        <v>0.24397718213912267</v>
      </c>
      <c r="V44" s="172">
        <v>194.57</v>
      </c>
      <c r="W44" s="89">
        <f>+V44/V$54</f>
        <v>0.21967190904677497</v>
      </c>
      <c r="X44" s="172">
        <v>203.74</v>
      </c>
      <c r="Y44" s="89">
        <f>+X44/X$54</f>
        <v>0.21125869702719799</v>
      </c>
      <c r="Z44" s="88">
        <f>+B44+D44+F44+H44+J44+L44+N44+P44+R44+T44+V44+X44</f>
        <v>2494.3900000000003</v>
      </c>
      <c r="AA44" s="89">
        <f>+Z44/Z$35</f>
        <v>0.22141652464138625</v>
      </c>
    </row>
    <row r="45" spans="1:27" x14ac:dyDescent="0.2">
      <c r="A45" s="85" t="s">
        <v>65</v>
      </c>
      <c r="B45" s="88">
        <v>0</v>
      </c>
      <c r="C45" s="89">
        <f t="shared" ref="C45:E53" si="150">+B45/B$54</f>
        <v>0</v>
      </c>
      <c r="D45" s="137">
        <v>0</v>
      </c>
      <c r="E45" s="89">
        <f t="shared" si="150"/>
        <v>0</v>
      </c>
      <c r="F45" s="137">
        <v>0</v>
      </c>
      <c r="G45" s="89">
        <f t="shared" ref="G45" si="151">+F45/F$54</f>
        <v>0</v>
      </c>
      <c r="H45" s="88">
        <v>0</v>
      </c>
      <c r="I45" s="89">
        <f t="shared" ref="I45" si="152">+H45/H$54</f>
        <v>0</v>
      </c>
      <c r="J45" s="88">
        <v>0</v>
      </c>
      <c r="K45" s="89">
        <f t="shared" ref="K45" si="153">+J45/J$54</f>
        <v>0</v>
      </c>
      <c r="L45" s="88">
        <v>0</v>
      </c>
      <c r="M45" s="89">
        <f t="shared" ref="M45" si="154">+L45/L$54</f>
        <v>0</v>
      </c>
      <c r="N45" s="88">
        <v>0</v>
      </c>
      <c r="O45" s="89">
        <f t="shared" ref="O45" si="155">+N45/N$54</f>
        <v>0</v>
      </c>
      <c r="P45" s="88">
        <v>0</v>
      </c>
      <c r="Q45" s="89">
        <f t="shared" ref="Q45" si="156">+P45/P$54</f>
        <v>0</v>
      </c>
      <c r="R45" s="88">
        <v>0</v>
      </c>
      <c r="S45" s="89">
        <f t="shared" ref="S45" si="157">+R45/R$54</f>
        <v>0</v>
      </c>
      <c r="T45" s="88">
        <v>0</v>
      </c>
      <c r="U45" s="89">
        <f t="shared" ref="U45" si="158">+T45/T$54</f>
        <v>0</v>
      </c>
      <c r="V45" s="172"/>
      <c r="W45" s="89">
        <f t="shared" ref="W45" si="159">+V45/V$54</f>
        <v>0</v>
      </c>
      <c r="X45" s="172">
        <f t="shared" ref="X45:X53" si="160">+V45</f>
        <v>0</v>
      </c>
      <c r="Y45" s="89">
        <f t="shared" ref="Y45" si="161">+X45/X$54</f>
        <v>0</v>
      </c>
      <c r="Z45" s="88">
        <f t="shared" ref="Z45:Z53" si="162">+B45+D45+F45+H45+J45+L45+N45+P45+R45+T45+V45+X45</f>
        <v>0</v>
      </c>
      <c r="AA45" s="89">
        <f t="shared" ref="AA45:AA53" si="163">+Z45/Z$35</f>
        <v>0</v>
      </c>
    </row>
    <row r="46" spans="1:27" x14ac:dyDescent="0.2">
      <c r="A46" s="85" t="s">
        <v>19</v>
      </c>
      <c r="B46" s="88">
        <v>534.20000000000005</v>
      </c>
      <c r="C46" s="89">
        <f t="shared" si="150"/>
        <v>0.51209785651290307</v>
      </c>
      <c r="D46" s="137">
        <v>487.46</v>
      </c>
      <c r="E46" s="89">
        <f t="shared" si="150"/>
        <v>0.50330401024243177</v>
      </c>
      <c r="F46" s="137">
        <v>489.77</v>
      </c>
      <c r="G46" s="89">
        <f t="shared" ref="G46" si="164">+F46/F$54</f>
        <v>0.50619083054280856</v>
      </c>
      <c r="H46" s="88">
        <v>560.99</v>
      </c>
      <c r="I46" s="89">
        <f t="shared" ref="I46" si="165">+H46/H$54</f>
        <v>0.53227382703164272</v>
      </c>
      <c r="J46" s="88">
        <v>490.57</v>
      </c>
      <c r="K46" s="89">
        <f t="shared" ref="K46" si="166">+J46/J$54</f>
        <v>0.53815353561947388</v>
      </c>
      <c r="L46" s="88">
        <v>561.89</v>
      </c>
      <c r="M46" s="89">
        <f t="shared" ref="M46" si="167">+L46/L$54</f>
        <v>0.56056706173430693</v>
      </c>
      <c r="N46" s="88">
        <v>555.29</v>
      </c>
      <c r="O46" s="89">
        <f t="shared" ref="O46" si="168">+N46/N$54</f>
        <v>0.51175500198143897</v>
      </c>
      <c r="P46" s="88">
        <v>521.79</v>
      </c>
      <c r="Q46" s="89">
        <f t="shared" ref="Q46" si="169">+P46/P$54</f>
        <v>0.51249840393662893</v>
      </c>
      <c r="R46" s="88">
        <v>454.71</v>
      </c>
      <c r="S46" s="89">
        <f t="shared" ref="S46" si="170">+R46/R$54</f>
        <v>0.52854203717264703</v>
      </c>
      <c r="T46" s="88">
        <v>484.66</v>
      </c>
      <c r="U46" s="89">
        <f t="shared" ref="U46" si="171">+T46/T$54</f>
        <v>0.50176517480924721</v>
      </c>
      <c r="V46" s="172">
        <v>493.5</v>
      </c>
      <c r="W46" s="89">
        <f t="shared" ref="W46" si="172">+V46/V$54</f>
        <v>0.55716753412439457</v>
      </c>
      <c r="X46" s="172">
        <v>533.91</v>
      </c>
      <c r="Y46" s="89">
        <f t="shared" ref="Y46" si="173">+X46/X$54</f>
        <v>0.55361308986841695</v>
      </c>
      <c r="Z46" s="88">
        <f t="shared" si="162"/>
        <v>6168.74</v>
      </c>
      <c r="AA46" s="89">
        <f t="shared" si="163"/>
        <v>0.54757314301945759</v>
      </c>
    </row>
    <row r="47" spans="1:27" x14ac:dyDescent="0.2">
      <c r="A47" s="85" t="s">
        <v>17</v>
      </c>
      <c r="B47" s="88">
        <v>24.39</v>
      </c>
      <c r="C47" s="89">
        <f t="shared" si="150"/>
        <v>2.338088116875647E-2</v>
      </c>
      <c r="D47" s="137">
        <v>23.76</v>
      </c>
      <c r="E47" s="89">
        <f t="shared" si="150"/>
        <v>2.4532276050055757E-2</v>
      </c>
      <c r="F47" s="137">
        <v>24.98</v>
      </c>
      <c r="G47" s="89">
        <f t="shared" ref="G47" si="174">+F47/F$54</f>
        <v>2.5817520360494436E-2</v>
      </c>
      <c r="H47" s="88">
        <v>23.78</v>
      </c>
      <c r="I47" s="89">
        <f t="shared" ref="I47" si="175">+H47/H$54</f>
        <v>2.256274016793965E-2</v>
      </c>
      <c r="J47" s="88">
        <v>19.579999999999998</v>
      </c>
      <c r="K47" s="89">
        <f t="shared" ref="K47" si="176">+J47/J$54</f>
        <v>2.1479189977840669E-2</v>
      </c>
      <c r="L47" s="88">
        <v>19.87</v>
      </c>
      <c r="M47" s="89">
        <f t="shared" ref="M47" si="177">+L47/L$54</f>
        <v>1.9823217207390557E-2</v>
      </c>
      <c r="N47" s="88">
        <v>20.420000000000002</v>
      </c>
      <c r="O47" s="89">
        <f t="shared" ref="O47" si="178">+N47/N$54</f>
        <v>1.8819062364640073E-2</v>
      </c>
      <c r="P47" s="88">
        <v>20.059999999999999</v>
      </c>
      <c r="Q47" s="89">
        <f t="shared" ref="Q47" si="179">+P47/P$54</f>
        <v>1.9702788445483389E-2</v>
      </c>
      <c r="R47" s="122">
        <v>16.95</v>
      </c>
      <c r="S47" s="89">
        <f t="shared" ref="S47" si="180">+R47/R$54</f>
        <v>1.9702200369634198E-2</v>
      </c>
      <c r="T47" s="122">
        <v>20.75</v>
      </c>
      <c r="U47" s="89">
        <f t="shared" ref="U47" si="181">+T47/T$54</f>
        <v>2.1482332722510378E-2</v>
      </c>
      <c r="V47" s="172">
        <v>16.82</v>
      </c>
      <c r="W47" s="89">
        <f t="shared" ref="W47" si="182">+V47/V$54</f>
        <v>1.8989985661544716E-2</v>
      </c>
      <c r="X47" s="172">
        <v>24.06</v>
      </c>
      <c r="Y47" s="89">
        <f t="shared" ref="Y47" si="183">+X47/X$54</f>
        <v>2.4947895604566523E-2</v>
      </c>
      <c r="Z47" s="88">
        <f t="shared" si="162"/>
        <v>255.42000000000002</v>
      </c>
      <c r="AA47" s="89">
        <f t="shared" si="163"/>
        <v>2.2672560715807422E-2</v>
      </c>
    </row>
    <row r="48" spans="1:27" x14ac:dyDescent="0.2">
      <c r="A48" s="85" t="s">
        <v>11</v>
      </c>
      <c r="B48" s="88">
        <v>166.59</v>
      </c>
      <c r="C48" s="89">
        <f t="shared" si="150"/>
        <v>0.159697457724606</v>
      </c>
      <c r="D48" s="137">
        <v>169.85</v>
      </c>
      <c r="E48" s="89">
        <f t="shared" si="150"/>
        <v>0.1753706686490728</v>
      </c>
      <c r="F48" s="137">
        <v>171.47</v>
      </c>
      <c r="G48" s="89">
        <f t="shared" ref="G48" si="184">+F48/F$54</f>
        <v>0.17721898383562773</v>
      </c>
      <c r="H48" s="88">
        <v>165.47</v>
      </c>
      <c r="I48" s="89">
        <f t="shared" ref="I48" si="185">+H48/H$54</f>
        <v>0.15699985767825794</v>
      </c>
      <c r="J48" s="88">
        <v>139.55000000000001</v>
      </c>
      <c r="K48" s="89">
        <f t="shared" ref="K48" si="186">+J48/J$54</f>
        <v>0.15308585094012594</v>
      </c>
      <c r="L48" s="88">
        <v>129.55000000000001</v>
      </c>
      <c r="M48" s="89">
        <f t="shared" ref="M48" si="187">+L48/L$54</f>
        <v>0.12924498184285085</v>
      </c>
      <c r="N48" s="88">
        <v>173.15</v>
      </c>
      <c r="O48" s="89">
        <f t="shared" ref="O48" si="188">+N48/N$54</f>
        <v>0.15957495829762136</v>
      </c>
      <c r="P48" s="88">
        <v>172.66</v>
      </c>
      <c r="Q48" s="89">
        <f t="shared" ref="Q48" si="189">+P48/P$54</f>
        <v>0.16958541640065611</v>
      </c>
      <c r="R48" s="122">
        <v>148.47999999999999</v>
      </c>
      <c r="S48" s="89">
        <f t="shared" ref="S48" si="190">+R48/R$54</f>
        <v>0.17258895049458914</v>
      </c>
      <c r="T48" s="122">
        <v>151.18</v>
      </c>
      <c r="U48" s="89">
        <f t="shared" ref="U48" si="191">+T48/T$54</f>
        <v>0.15651561739706596</v>
      </c>
      <c r="V48" s="172">
        <v>121.08</v>
      </c>
      <c r="W48" s="89">
        <f t="shared" ref="W48" si="192">+V48/V$54</f>
        <v>0.13670080046966909</v>
      </c>
      <c r="X48" s="172">
        <v>119.48</v>
      </c>
      <c r="Y48" s="89">
        <f t="shared" ref="Y48" si="193">+X48/X$54</f>
        <v>0.1238892172416296</v>
      </c>
      <c r="Z48" s="88">
        <f t="shared" si="162"/>
        <v>1828.5100000000002</v>
      </c>
      <c r="AA48" s="89">
        <f t="shared" si="163"/>
        <v>0.16230915352932829</v>
      </c>
    </row>
    <row r="49" spans="1:27" x14ac:dyDescent="0.2">
      <c r="A49" s="85" t="s">
        <v>96</v>
      </c>
      <c r="B49" s="88">
        <v>24.76</v>
      </c>
      <c r="C49" s="89">
        <f t="shared" si="150"/>
        <v>2.3735572683001648E-2</v>
      </c>
      <c r="D49" s="137">
        <v>19.149999999999999</v>
      </c>
      <c r="E49" s="89">
        <f t="shared" si="150"/>
        <v>1.9772436294552512E-2</v>
      </c>
      <c r="F49" s="137">
        <v>20.010000000000002</v>
      </c>
      <c r="G49" s="89">
        <f t="shared" ref="G49" si="194">+F49/F$54</f>
        <v>2.0680888006945303E-2</v>
      </c>
      <c r="H49" s="88">
        <v>21.94</v>
      </c>
      <c r="I49" s="89">
        <f t="shared" ref="I49" si="195">+H49/H$54</f>
        <v>2.0816926799184017E-2</v>
      </c>
      <c r="J49" s="88">
        <v>21.62</v>
      </c>
      <c r="K49" s="89">
        <f t="shared" ref="K49" si="196">+J49/J$54</f>
        <v>2.3717062682375657E-2</v>
      </c>
      <c r="L49" s="88">
        <v>23.35</v>
      </c>
      <c r="M49" s="89">
        <f t="shared" ref="M49" si="197">+L49/L$54</f>
        <v>2.3295023743964242E-2</v>
      </c>
      <c r="N49" s="88">
        <v>25.14</v>
      </c>
      <c r="O49" s="89">
        <f t="shared" ref="O49" si="198">+N49/N$54</f>
        <v>2.3169012137465788E-2</v>
      </c>
      <c r="P49" s="88">
        <v>28.21</v>
      </c>
      <c r="Q49" s="89">
        <f t="shared" ref="Q49" si="199">+P49/P$54</f>
        <v>2.7707660121988355E-2</v>
      </c>
      <c r="R49" s="122">
        <v>15.56</v>
      </c>
      <c r="S49" s="89">
        <f t="shared" ref="S49" si="200">+R49/R$54</f>
        <v>1.8086503702153874E-2</v>
      </c>
      <c r="T49" s="122">
        <v>19.5</v>
      </c>
      <c r="U49" s="89">
        <f t="shared" ref="U49" si="201">+T49/T$54</f>
        <v>2.0188216293443487E-2</v>
      </c>
      <c r="V49" s="172">
        <v>17.239999999999998</v>
      </c>
      <c r="W49" s="89">
        <f t="shared" ref="W49" si="202">+V49/V$54</f>
        <v>1.9464170796969729E-2</v>
      </c>
      <c r="X49" s="172">
        <v>21.66</v>
      </c>
      <c r="Y49" s="89">
        <f t="shared" ref="Y49" si="203">+X49/X$54</f>
        <v>2.2459327464460138E-2</v>
      </c>
      <c r="Z49" s="88">
        <f t="shared" si="162"/>
        <v>258.14000000000004</v>
      </c>
      <c r="AA49" s="89">
        <f t="shared" si="163"/>
        <v>2.2914003692657302E-2</v>
      </c>
    </row>
    <row r="50" spans="1:27" x14ac:dyDescent="0.2">
      <c r="A50" s="85" t="s">
        <v>1</v>
      </c>
      <c r="B50" s="88">
        <v>58.72</v>
      </c>
      <c r="C50" s="89">
        <f t="shared" si="150"/>
        <v>5.6290501936423938E-2</v>
      </c>
      <c r="D50" s="137">
        <v>51.25</v>
      </c>
      <c r="E50" s="89">
        <f t="shared" si="150"/>
        <v>5.2915789038946025E-2</v>
      </c>
      <c r="F50" s="137">
        <v>53.69</v>
      </c>
      <c r="G50" s="89">
        <f t="shared" ref="G50" si="204">+F50/F$54</f>
        <v>5.5490098805242041E-2</v>
      </c>
      <c r="H50" s="88">
        <v>47.92</v>
      </c>
      <c r="I50" s="89">
        <f t="shared" ref="I50" si="205">+H50/H$54</f>
        <v>4.5467052516722797E-2</v>
      </c>
      <c r="J50" s="88">
        <v>42.49</v>
      </c>
      <c r="K50" s="89">
        <f t="shared" ref="K50" si="206">+J50/J$54</f>
        <v>4.661137804690757E-2</v>
      </c>
      <c r="L50" s="88">
        <v>39.39</v>
      </c>
      <c r="M50" s="89">
        <f t="shared" ref="M50" si="207">+L50/L$54</f>
        <v>3.9297258470010768E-2</v>
      </c>
      <c r="N50" s="88">
        <v>48.1</v>
      </c>
      <c r="O50" s="89">
        <f t="shared" ref="O50" si="208">+N50/N$54</f>
        <v>4.4328937303584101E-2</v>
      </c>
      <c r="P50" s="88">
        <v>44.75</v>
      </c>
      <c r="Q50" s="89">
        <f t="shared" ref="Q50" si="209">+P50/P$54</f>
        <v>4.3953129757496594E-2</v>
      </c>
      <c r="R50" s="122">
        <v>26.07</v>
      </c>
      <c r="S50" s="89">
        <f t="shared" ref="S50" si="210">+R50/R$54</f>
        <v>3.03030303030303E-2</v>
      </c>
      <c r="T50" s="122">
        <v>35.119999999999997</v>
      </c>
      <c r="U50" s="89">
        <f t="shared" ref="U50" si="211">+T50/T$54</f>
        <v>3.6359495191063344E-2</v>
      </c>
      <c r="V50" s="172">
        <v>27.04</v>
      </c>
      <c r="W50" s="89">
        <f t="shared" ref="W50" si="212">+V50/V$54</f>
        <v>3.052849062355345E-2</v>
      </c>
      <c r="X50" s="172">
        <v>42.87</v>
      </c>
      <c r="Y50" s="89">
        <f t="shared" ref="Y50" si="213">+X50/X$54</f>
        <v>4.4452048402650324E-2</v>
      </c>
      <c r="Z50" s="88">
        <f t="shared" si="162"/>
        <v>517.41</v>
      </c>
      <c r="AA50" s="89">
        <f t="shared" si="163"/>
        <v>4.5928312739667673E-2</v>
      </c>
    </row>
    <row r="51" spans="1:27" x14ac:dyDescent="0.2">
      <c r="A51" s="85" t="s">
        <v>66</v>
      </c>
      <c r="B51" s="88">
        <v>10.3</v>
      </c>
      <c r="C51" s="89">
        <f t="shared" si="150"/>
        <v>9.873844856014417E-3</v>
      </c>
      <c r="D51" s="137">
        <v>8.7899999999999991</v>
      </c>
      <c r="E51" s="89">
        <f t="shared" si="150"/>
        <v>9.0757031346797162E-3</v>
      </c>
      <c r="F51" s="137">
        <v>11.19</v>
      </c>
      <c r="G51" s="89">
        <f t="shared" ref="G51" si="214">+F51/F$54</f>
        <v>1.1565174252759516E-2</v>
      </c>
      <c r="H51" s="88">
        <v>9.68</v>
      </c>
      <c r="I51" s="89">
        <f t="shared" ref="I51" si="215">+H51/H$54</f>
        <v>9.1844964182361561E-3</v>
      </c>
      <c r="J51" s="88">
        <v>9.74</v>
      </c>
      <c r="K51" s="89">
        <f t="shared" ref="K51" si="216">+J51/J$54</f>
        <v>1.0684745167730754E-2</v>
      </c>
      <c r="L51" s="88">
        <v>8.9499999999999993</v>
      </c>
      <c r="M51" s="89">
        <f t="shared" ref="M51" si="217">+L51/L$54</f>
        <v>8.9289277305558863E-3</v>
      </c>
      <c r="N51" s="88">
        <v>10.46</v>
      </c>
      <c r="O51" s="89">
        <f t="shared" ref="O51" si="218">+N51/N$54</f>
        <v>9.6399310643552963E-3</v>
      </c>
      <c r="P51" s="88">
        <v>10.58</v>
      </c>
      <c r="Q51" s="89">
        <f t="shared" ref="Q51" si="219">+P51/P$54</f>
        <v>1.0391600286800312E-2</v>
      </c>
      <c r="R51" s="122">
        <v>8.18</v>
      </c>
      <c r="S51" s="89">
        <f t="shared" ref="S51" si="220">+R51/R$54</f>
        <v>9.5082005323662393E-3</v>
      </c>
      <c r="T51" s="122">
        <v>10.83</v>
      </c>
      <c r="U51" s="89">
        <f t="shared" ref="U51" si="221">+T51/T$54</f>
        <v>1.1212224741435536E-2</v>
      </c>
      <c r="V51" s="172">
        <v>9.6</v>
      </c>
      <c r="W51" s="89">
        <f t="shared" ref="W51" si="222">+V51/V$54</f>
        <v>1.0838517381143237E-2</v>
      </c>
      <c r="X51" s="172">
        <v>10.6</v>
      </c>
      <c r="Y51" s="89">
        <f t="shared" ref="Y51" si="223">+X51/X$54</f>
        <v>1.0991175952136539E-2</v>
      </c>
      <c r="Z51" s="88">
        <f t="shared" si="162"/>
        <v>118.89999999999999</v>
      </c>
      <c r="AA51" s="89">
        <f t="shared" si="163"/>
        <v>1.0554253657150976E-2</v>
      </c>
    </row>
    <row r="52" spans="1:27" x14ac:dyDescent="0.2">
      <c r="A52" s="85" t="s">
        <v>67</v>
      </c>
      <c r="B52" s="88">
        <v>7.97</v>
      </c>
      <c r="C52" s="89">
        <f t="shared" si="150"/>
        <v>7.6402469419839707E-3</v>
      </c>
      <c r="D52" s="137">
        <v>7.1</v>
      </c>
      <c r="E52" s="89">
        <f t="shared" si="150"/>
        <v>7.3307727253954487E-3</v>
      </c>
      <c r="F52" s="137">
        <v>7.46</v>
      </c>
      <c r="G52" s="89">
        <f t="shared" ref="G52" si="224">+F52/F$54</f>
        <v>7.7101161685063447E-3</v>
      </c>
      <c r="H52" s="88">
        <v>7.72</v>
      </c>
      <c r="I52" s="89">
        <f t="shared" ref="I52" si="225">+H52/H$54</f>
        <v>7.3248256558660256E-3</v>
      </c>
      <c r="J52" s="88">
        <v>7.06</v>
      </c>
      <c r="K52" s="89">
        <f t="shared" ref="K52" si="226">+J52/J$54</f>
        <v>7.7447947519691078E-3</v>
      </c>
      <c r="L52" s="88">
        <v>6.04</v>
      </c>
      <c r="M52" s="89">
        <f t="shared" ref="M52" si="227">+L52/L$54</f>
        <v>6.025779161179615E-3</v>
      </c>
      <c r="N52" s="88">
        <v>7.53</v>
      </c>
      <c r="O52" s="89">
        <f t="shared" ref="O52" si="228">+N52/N$54</f>
        <v>6.939644446902044E-3</v>
      </c>
      <c r="P52" s="88">
        <v>6.93</v>
      </c>
      <c r="Q52" s="89">
        <f t="shared" ref="Q52" si="229">+P52/P$54</f>
        <v>6.8065964071385779E-3</v>
      </c>
      <c r="R52" s="122">
        <v>5.19</v>
      </c>
      <c r="S52" s="89">
        <f t="shared" ref="S52" si="230">+R52/R$54</f>
        <v>6.0327091397287024E-3</v>
      </c>
      <c r="T52" s="122">
        <v>8.2100000000000009</v>
      </c>
      <c r="U52" s="89">
        <f t="shared" ref="U52" si="231">+T52/T$54</f>
        <v>8.499756706111335E-3</v>
      </c>
      <c r="V52" s="172">
        <v>5.88</v>
      </c>
      <c r="W52" s="89">
        <f t="shared" ref="W52" si="232">+V52/V$54</f>
        <v>6.6385918959502325E-3</v>
      </c>
      <c r="X52" s="172">
        <v>8.09</v>
      </c>
      <c r="Y52" s="89">
        <f t="shared" ref="Y52" si="233">+X52/X$54</f>
        <v>8.3885484389419444E-3</v>
      </c>
      <c r="Z52" s="88">
        <f t="shared" si="162"/>
        <v>85.18</v>
      </c>
      <c r="AA52" s="89">
        <f t="shared" si="163"/>
        <v>7.5610708706149721E-3</v>
      </c>
    </row>
    <row r="53" spans="1:27" x14ac:dyDescent="0.2">
      <c r="A53" s="85" t="s">
        <v>68</v>
      </c>
      <c r="B53" s="88">
        <v>0</v>
      </c>
      <c r="C53" s="89">
        <f t="shared" si="150"/>
        <v>0</v>
      </c>
      <c r="D53" s="137">
        <v>0</v>
      </c>
      <c r="E53" s="89">
        <f t="shared" si="150"/>
        <v>0</v>
      </c>
      <c r="F53" s="137">
        <v>0</v>
      </c>
      <c r="G53" s="89">
        <f t="shared" ref="G53" si="234">+F53/F$54</f>
        <v>0</v>
      </c>
      <c r="H53" s="88">
        <v>0</v>
      </c>
      <c r="I53" s="89">
        <f t="shared" ref="I53" si="235">+H53/H$54</f>
        <v>0</v>
      </c>
      <c r="J53" s="88">
        <v>0</v>
      </c>
      <c r="K53" s="89">
        <f t="shared" ref="K53" si="236">+J53/J$54</f>
        <v>0</v>
      </c>
      <c r="L53" s="88">
        <v>0</v>
      </c>
      <c r="M53" s="89">
        <f t="shared" ref="M53" si="237">+L53/L$54</f>
        <v>0</v>
      </c>
      <c r="N53" s="88">
        <v>0</v>
      </c>
      <c r="O53" s="89">
        <f t="shared" ref="O53" si="238">+N53/N$54</f>
        <v>0</v>
      </c>
      <c r="P53" s="88">
        <v>0</v>
      </c>
      <c r="Q53" s="89">
        <f t="shared" ref="Q53" si="239">+P53/P$54</f>
        <v>0</v>
      </c>
      <c r="R53" s="122">
        <v>0</v>
      </c>
      <c r="S53" s="89">
        <f t="shared" ref="S53" si="240">+R53/R$54</f>
        <v>0</v>
      </c>
      <c r="T53" s="122">
        <v>0</v>
      </c>
      <c r="U53" s="89">
        <f t="shared" ref="U53" si="241">+T53/T$54</f>
        <v>0</v>
      </c>
      <c r="V53" s="172">
        <v>0</v>
      </c>
      <c r="W53" s="89">
        <f t="shared" ref="W53" si="242">+V53/V$54</f>
        <v>0</v>
      </c>
      <c r="X53" s="172">
        <f t="shared" si="160"/>
        <v>0</v>
      </c>
      <c r="Y53" s="89">
        <f t="shared" ref="Y53" si="243">+X53/X$54</f>
        <v>0</v>
      </c>
      <c r="Z53" s="88">
        <f t="shared" si="162"/>
        <v>0</v>
      </c>
      <c r="AA53" s="89">
        <f t="shared" si="163"/>
        <v>0</v>
      </c>
    </row>
    <row r="54" spans="1:27" ht="13.5" thickBot="1" x14ac:dyDescent="0.25">
      <c r="A54" s="90"/>
      <c r="B54" s="91">
        <f t="shared" ref="B54:AA54" si="244">SUM(B44:B53)</f>
        <v>1043.1600000000001</v>
      </c>
      <c r="C54" s="102">
        <f t="shared" si="244"/>
        <v>0.99999999999999978</v>
      </c>
      <c r="D54" s="91">
        <f t="shared" si="244"/>
        <v>968.52</v>
      </c>
      <c r="E54" s="102">
        <f t="shared" si="244"/>
        <v>1</v>
      </c>
      <c r="F54" s="91">
        <f t="shared" si="244"/>
        <v>967.56000000000017</v>
      </c>
      <c r="G54" s="102">
        <f t="shared" si="244"/>
        <v>0.99999999999999978</v>
      </c>
      <c r="H54" s="91">
        <f t="shared" si="244"/>
        <v>1053.9500000000003</v>
      </c>
      <c r="I54" s="102">
        <f t="shared" si="244"/>
        <v>0.99999999999999978</v>
      </c>
      <c r="J54" s="91">
        <f t="shared" si="244"/>
        <v>911.58</v>
      </c>
      <c r="K54" s="102">
        <f t="shared" si="244"/>
        <v>1</v>
      </c>
      <c r="L54" s="91">
        <f t="shared" si="244"/>
        <v>1002.3600000000001</v>
      </c>
      <c r="M54" s="102">
        <f t="shared" si="244"/>
        <v>0.99999999999999967</v>
      </c>
      <c r="N54" s="91">
        <f t="shared" si="244"/>
        <v>1085.07</v>
      </c>
      <c r="O54" s="102">
        <f t="shared" si="244"/>
        <v>1</v>
      </c>
      <c r="P54" s="91">
        <f t="shared" si="244"/>
        <v>1018.1299999999999</v>
      </c>
      <c r="Q54" s="102">
        <f t="shared" si="244"/>
        <v>1</v>
      </c>
      <c r="R54" s="91">
        <f t="shared" si="244"/>
        <v>860.31000000000006</v>
      </c>
      <c r="S54" s="102">
        <f t="shared" si="244"/>
        <v>1</v>
      </c>
      <c r="T54" s="91">
        <f t="shared" si="244"/>
        <v>965.91000000000008</v>
      </c>
      <c r="U54" s="102">
        <f t="shared" si="244"/>
        <v>1</v>
      </c>
      <c r="V54" s="91">
        <f t="shared" si="244"/>
        <v>885.73</v>
      </c>
      <c r="W54" s="102">
        <f t="shared" si="244"/>
        <v>1</v>
      </c>
      <c r="X54" s="279">
        <f t="shared" si="244"/>
        <v>964.41</v>
      </c>
      <c r="Y54" s="102">
        <f t="shared" si="244"/>
        <v>1</v>
      </c>
      <c r="Z54" s="91">
        <f t="shared" si="244"/>
        <v>11726.69</v>
      </c>
      <c r="AA54" s="102">
        <f t="shared" si="244"/>
        <v>1.0409290228660706</v>
      </c>
    </row>
    <row r="55" spans="1:27" ht="13.5" thickTop="1" x14ac:dyDescent="0.2">
      <c r="X55" s="249"/>
    </row>
    <row r="56" spans="1:27" ht="15" x14ac:dyDescent="0.35">
      <c r="A56" s="85" t="s">
        <v>69</v>
      </c>
      <c r="B56" s="126">
        <f>3.8+178.96</f>
        <v>182.76000000000002</v>
      </c>
      <c r="C56" s="127"/>
      <c r="D56" s="148">
        <f>3.49+154.29</f>
        <v>157.78</v>
      </c>
      <c r="E56" s="127"/>
      <c r="F56" s="136">
        <f>3.96+158.81</f>
        <v>162.77000000000001</v>
      </c>
      <c r="G56" s="127"/>
      <c r="H56" s="136">
        <f>3.8+168.17</f>
        <v>171.97</v>
      </c>
      <c r="I56" s="127"/>
      <c r="J56" s="136">
        <f>2.68+156.03</f>
        <v>158.71</v>
      </c>
      <c r="K56" s="127"/>
      <c r="L56" s="179">
        <f>2.56+157.21</f>
        <v>159.77000000000001</v>
      </c>
      <c r="M56" s="127"/>
      <c r="N56" s="245">
        <f>2.42+188.46</f>
        <v>190.88</v>
      </c>
      <c r="O56" s="127"/>
      <c r="P56" s="245">
        <f>2.35+195.45</f>
        <v>197.79999999999998</v>
      </c>
      <c r="Q56" s="127"/>
      <c r="R56" s="245">
        <f>1.5+135.4</f>
        <v>136.9</v>
      </c>
      <c r="S56" s="127"/>
      <c r="T56" s="245">
        <f>1.48+171.8</f>
        <v>173.28</v>
      </c>
      <c r="U56" s="127"/>
      <c r="V56" s="245">
        <f>144.31+2.17</f>
        <v>146.47999999999999</v>
      </c>
      <c r="W56" s="127"/>
      <c r="X56" s="278">
        <f>172.95+2.74</f>
        <v>175.69</v>
      </c>
      <c r="Y56" s="127"/>
      <c r="Z56" s="126">
        <f t="shared" ref="Z56" si="245">+B56+D56+F56+H56+J56+L56+N56+P56+R56+T56+V56+X56</f>
        <v>2014.7900000000002</v>
      </c>
      <c r="AA56" s="127"/>
    </row>
    <row r="57" spans="1:27" x14ac:dyDescent="0.2">
      <c r="X57" s="249"/>
    </row>
    <row r="58" spans="1:27" ht="15" x14ac:dyDescent="0.35">
      <c r="A58" s="86" t="s">
        <v>94</v>
      </c>
      <c r="B58" s="125">
        <f t="shared" ref="B58" si="246">+B56+B54</f>
        <v>1225.92</v>
      </c>
      <c r="C58" s="125"/>
      <c r="D58" s="125">
        <f t="shared" ref="D58" si="247">+D56+D54</f>
        <v>1126.3</v>
      </c>
      <c r="E58" s="125"/>
      <c r="F58" s="125">
        <f t="shared" ref="F58" si="248">+F56+F54</f>
        <v>1130.3300000000002</v>
      </c>
      <c r="G58" s="125"/>
      <c r="H58" s="125">
        <f t="shared" ref="H58" si="249">+H56+H54</f>
        <v>1225.9200000000003</v>
      </c>
      <c r="I58" s="125"/>
      <c r="J58" s="125">
        <f t="shared" ref="J58" si="250">+J56+J54</f>
        <v>1070.29</v>
      </c>
      <c r="K58" s="125"/>
      <c r="L58" s="125">
        <f t="shared" ref="L58" si="251">+L56+L54</f>
        <v>1162.1300000000001</v>
      </c>
      <c r="M58" s="125"/>
      <c r="N58" s="125">
        <f t="shared" ref="N58" si="252">+N56+N54</f>
        <v>1275.9499999999998</v>
      </c>
      <c r="O58" s="125"/>
      <c r="P58" s="125">
        <f t="shared" ref="P58" si="253">+P56+P54</f>
        <v>1215.9299999999998</v>
      </c>
      <c r="Q58" s="125"/>
      <c r="R58" s="125">
        <f t="shared" ref="R58" si="254">+R56+R54</f>
        <v>997.21</v>
      </c>
      <c r="S58" s="125"/>
      <c r="T58" s="125">
        <f t="shared" ref="T58" si="255">+T56+T54</f>
        <v>1139.19</v>
      </c>
      <c r="U58" s="125"/>
      <c r="V58" s="125">
        <f t="shared" ref="V58" si="256">+V56+V54</f>
        <v>1032.21</v>
      </c>
      <c r="W58" s="125"/>
      <c r="X58" s="125">
        <f t="shared" ref="X58" si="257">+X56+X54</f>
        <v>1140.0999999999999</v>
      </c>
      <c r="Y58" s="125"/>
      <c r="Z58" s="125">
        <f t="shared" ref="Z58" si="258">+Z56+Z54</f>
        <v>13741.480000000001</v>
      </c>
    </row>
  </sheetData>
  <mergeCells count="33">
    <mergeCell ref="V42:W42"/>
    <mergeCell ref="X42:Y42"/>
    <mergeCell ref="B23:C23"/>
    <mergeCell ref="Z42:AA42"/>
    <mergeCell ref="L42:M42"/>
    <mergeCell ref="N42:O42"/>
    <mergeCell ref="P42:Q42"/>
    <mergeCell ref="R42:S42"/>
    <mergeCell ref="T42:U42"/>
    <mergeCell ref="B42:C42"/>
    <mergeCell ref="D42:E42"/>
    <mergeCell ref="F42:G42"/>
    <mergeCell ref="H42:I42"/>
    <mergeCell ref="J42:K42"/>
    <mergeCell ref="Z23:AA23"/>
    <mergeCell ref="D23:E23"/>
    <mergeCell ref="Z4:AA4"/>
    <mergeCell ref="D4:E4"/>
    <mergeCell ref="F4:G4"/>
    <mergeCell ref="H4:I4"/>
    <mergeCell ref="B4:C4"/>
    <mergeCell ref="J4:K4"/>
    <mergeCell ref="L4:M4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</mergeCells>
  <pageMargins left="0.2" right="0.2" top="0.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32"/>
  <sheetViews>
    <sheetView topLeftCell="A16" workbookViewId="0">
      <selection activeCell="J22" sqref="J22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11" style="85" bestFit="1" customWidth="1"/>
    <col min="7" max="7" width="8.140625" style="85" bestFit="1" customWidth="1"/>
    <col min="8" max="8" width="11" style="85" bestFit="1" customWidth="1"/>
    <col min="9" max="9" width="11.7109375" style="85" bestFit="1" customWidth="1"/>
    <col min="10" max="10" width="12.140625" style="85" bestFit="1" customWidth="1"/>
    <col min="11" max="11" width="11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2" spans="1:11" x14ac:dyDescent="0.2">
      <c r="A2" s="92" t="s">
        <v>70</v>
      </c>
      <c r="C2" s="93"/>
      <c r="D2" s="93"/>
      <c r="E2" s="94"/>
      <c r="F2" s="93"/>
      <c r="G2" s="93"/>
      <c r="H2" s="93"/>
      <c r="J2" s="94"/>
      <c r="K2" s="94"/>
    </row>
    <row r="3" spans="1:11" x14ac:dyDescent="0.2">
      <c r="A3" s="86"/>
      <c r="C3" s="93"/>
      <c r="D3" s="93"/>
      <c r="E3" s="93"/>
      <c r="F3" s="93"/>
      <c r="G3" s="93"/>
      <c r="H3" s="93"/>
      <c r="J3" s="93"/>
      <c r="K3" s="93"/>
    </row>
    <row r="4" spans="1:11" x14ac:dyDescent="0.2">
      <c r="A4" s="93"/>
      <c r="B4" s="95" t="s">
        <v>71</v>
      </c>
      <c r="C4" s="95" t="s">
        <v>72</v>
      </c>
      <c r="D4" s="95" t="s">
        <v>19</v>
      </c>
      <c r="E4" s="95" t="s">
        <v>73</v>
      </c>
      <c r="F4" s="95" t="s">
        <v>18</v>
      </c>
      <c r="G4" s="95" t="s">
        <v>11</v>
      </c>
      <c r="H4" s="95" t="s">
        <v>1</v>
      </c>
      <c r="I4" s="95" t="s">
        <v>74</v>
      </c>
      <c r="J4" s="95" t="s">
        <v>75</v>
      </c>
      <c r="K4" s="96" t="s">
        <v>76</v>
      </c>
    </row>
    <row r="5" spans="1:11" x14ac:dyDescent="0.2">
      <c r="A5" s="97">
        <v>43983</v>
      </c>
      <c r="B5" s="98">
        <v>21.52</v>
      </c>
      <c r="C5" s="98"/>
      <c r="D5" s="98">
        <v>82.53</v>
      </c>
      <c r="E5" s="98">
        <v>734.83</v>
      </c>
      <c r="F5" s="98">
        <v>77.13</v>
      </c>
      <c r="G5" s="98">
        <v>-53.34</v>
      </c>
      <c r="H5" s="98">
        <v>84.31</v>
      </c>
      <c r="I5" s="98">
        <v>700</v>
      </c>
      <c r="J5" s="98">
        <v>60</v>
      </c>
      <c r="K5" s="98">
        <v>-197.5</v>
      </c>
    </row>
    <row r="6" spans="1:11" x14ac:dyDescent="0.2">
      <c r="A6" s="97">
        <v>44013</v>
      </c>
      <c r="B6" s="98">
        <v>22.53</v>
      </c>
      <c r="C6" s="98"/>
      <c r="D6" s="98">
        <v>69.510000000000005</v>
      </c>
      <c r="E6" s="98">
        <v>803.77</v>
      </c>
      <c r="F6" s="98">
        <v>78.400000000000006</v>
      </c>
      <c r="G6" s="98">
        <v>-53.34</v>
      </c>
      <c r="H6" s="98">
        <v>42.29</v>
      </c>
      <c r="I6" s="98">
        <v>725.1</v>
      </c>
      <c r="J6" s="98">
        <v>60</v>
      </c>
      <c r="K6" s="98">
        <v>-197.5</v>
      </c>
    </row>
    <row r="7" spans="1:11" x14ac:dyDescent="0.2">
      <c r="A7" s="97">
        <v>44044</v>
      </c>
      <c r="B7" s="98">
        <v>43.15</v>
      </c>
      <c r="C7" s="98"/>
      <c r="D7" s="98">
        <v>81.540000000000006</v>
      </c>
      <c r="E7" s="98">
        <v>903.63</v>
      </c>
      <c r="F7" s="98">
        <v>88.13</v>
      </c>
      <c r="G7" s="98">
        <v>-53.34</v>
      </c>
      <c r="H7" s="98">
        <v>34</v>
      </c>
      <c r="I7" s="98">
        <v>780</v>
      </c>
      <c r="J7" s="98">
        <v>60</v>
      </c>
      <c r="K7" s="98">
        <v>-197.5</v>
      </c>
    </row>
    <row r="8" spans="1:11" x14ac:dyDescent="0.2">
      <c r="A8" s="97">
        <v>44075</v>
      </c>
      <c r="B8" s="98">
        <v>52.62</v>
      </c>
      <c r="C8" s="98"/>
      <c r="D8" s="98">
        <v>89.73</v>
      </c>
      <c r="E8" s="98">
        <v>843.97</v>
      </c>
      <c r="F8" s="98">
        <v>99.61</v>
      </c>
      <c r="G8" s="98">
        <v>-53.34</v>
      </c>
      <c r="H8" s="98">
        <v>20.23</v>
      </c>
      <c r="I8" s="98">
        <v>950</v>
      </c>
      <c r="J8" s="98">
        <v>100</v>
      </c>
      <c r="K8" s="98">
        <v>-197.5</v>
      </c>
    </row>
    <row r="9" spans="1:11" x14ac:dyDescent="0.2">
      <c r="A9" s="97">
        <v>44105</v>
      </c>
      <c r="B9" s="98">
        <v>54.91</v>
      </c>
      <c r="C9" s="98"/>
      <c r="D9" s="98">
        <v>92.7</v>
      </c>
      <c r="E9" s="98">
        <v>828.72</v>
      </c>
      <c r="F9" s="98">
        <v>105.7</v>
      </c>
      <c r="G9" s="98">
        <v>-53.34</v>
      </c>
      <c r="H9" s="98">
        <v>20</v>
      </c>
      <c r="I9" s="98">
        <v>1120</v>
      </c>
      <c r="J9" s="98">
        <v>220</v>
      </c>
      <c r="K9" s="98">
        <v>-197.5</v>
      </c>
    </row>
    <row r="10" spans="1:11" x14ac:dyDescent="0.2">
      <c r="A10" s="97">
        <v>44136</v>
      </c>
      <c r="B10" s="98">
        <v>54.24</v>
      </c>
      <c r="C10" s="98"/>
      <c r="D10" s="98">
        <v>101.46</v>
      </c>
      <c r="E10" s="98">
        <v>975.86</v>
      </c>
      <c r="F10" s="98">
        <v>110.74</v>
      </c>
      <c r="G10" s="98">
        <v>-53.34</v>
      </c>
      <c r="H10" s="98">
        <v>36.729999999999997</v>
      </c>
      <c r="I10" s="98">
        <v>1200</v>
      </c>
      <c r="J10" s="98">
        <v>280</v>
      </c>
      <c r="K10" s="98">
        <v>-197.5</v>
      </c>
    </row>
    <row r="11" spans="1:11" ht="11.25" customHeight="1" x14ac:dyDescent="0.2">
      <c r="A11" s="97">
        <v>44166</v>
      </c>
      <c r="B11" s="98">
        <v>57.77</v>
      </c>
      <c r="C11" s="98"/>
      <c r="D11" s="98">
        <v>109.54</v>
      </c>
      <c r="E11" s="98">
        <v>1032.32</v>
      </c>
      <c r="F11" s="98">
        <v>137.81</v>
      </c>
      <c r="G11" s="98">
        <v>-53.34</v>
      </c>
      <c r="H11" s="98">
        <v>40.39</v>
      </c>
      <c r="I11" s="98">
        <v>1200</v>
      </c>
      <c r="J11" s="98">
        <v>280</v>
      </c>
      <c r="K11" s="98">
        <v>-197.5</v>
      </c>
    </row>
    <row r="12" spans="1:11" ht="11.25" customHeight="1" x14ac:dyDescent="0.2">
      <c r="A12" s="97">
        <v>44197</v>
      </c>
      <c r="B12" s="98">
        <v>59.43</v>
      </c>
      <c r="C12" s="98"/>
      <c r="D12" s="98">
        <v>113.84</v>
      </c>
      <c r="E12" s="98">
        <v>1054.52</v>
      </c>
      <c r="F12" s="98">
        <v>208.4</v>
      </c>
      <c r="G12" s="98">
        <v>-53.34</v>
      </c>
      <c r="H12" s="98">
        <v>50</v>
      </c>
      <c r="I12" s="98">
        <v>1240</v>
      </c>
      <c r="J12" s="98">
        <v>280</v>
      </c>
      <c r="K12" s="98">
        <v>-197.5</v>
      </c>
    </row>
    <row r="13" spans="1:11" ht="11.25" customHeight="1" x14ac:dyDescent="0.2">
      <c r="A13" s="97">
        <v>44228</v>
      </c>
      <c r="B13" s="98">
        <v>54.85</v>
      </c>
      <c r="C13" s="98"/>
      <c r="D13" s="98">
        <v>102.04</v>
      </c>
      <c r="E13" s="98">
        <v>1049.67</v>
      </c>
      <c r="F13" s="98">
        <v>160.31</v>
      </c>
      <c r="G13" s="98">
        <v>-53.34</v>
      </c>
      <c r="H13" s="98">
        <v>70</v>
      </c>
      <c r="I13" s="98">
        <v>1280</v>
      </c>
      <c r="J13" s="98">
        <v>280</v>
      </c>
      <c r="K13" s="98">
        <v>-197.5</v>
      </c>
    </row>
    <row r="14" spans="1:11" ht="11.25" customHeight="1" x14ac:dyDescent="0.2">
      <c r="A14" s="97">
        <v>44256</v>
      </c>
      <c r="B14" s="98">
        <v>61.4</v>
      </c>
      <c r="C14" s="98"/>
      <c r="D14" s="98">
        <v>103.48</v>
      </c>
      <c r="E14" s="98">
        <v>1209.6600000000001</v>
      </c>
      <c r="F14" s="98">
        <v>199.71</v>
      </c>
      <c r="G14" s="98">
        <v>-53.34</v>
      </c>
      <c r="H14" s="98">
        <v>70</v>
      </c>
      <c r="I14" s="98">
        <v>1410</v>
      </c>
      <c r="J14" s="98">
        <v>320</v>
      </c>
      <c r="K14" s="98">
        <v>-197.5</v>
      </c>
    </row>
    <row r="15" spans="1:11" ht="11.25" customHeight="1" x14ac:dyDescent="0.2">
      <c r="A15" s="97">
        <v>44287</v>
      </c>
      <c r="B15" s="98">
        <v>73.27</v>
      </c>
      <c r="C15" s="98"/>
      <c r="D15" s="98">
        <v>112.96</v>
      </c>
      <c r="E15" s="98">
        <v>1305.82</v>
      </c>
      <c r="F15" s="98">
        <v>179.62</v>
      </c>
      <c r="G15" s="98">
        <v>-53.34</v>
      </c>
      <c r="H15" s="98">
        <v>155</v>
      </c>
      <c r="I15" s="98">
        <v>1520</v>
      </c>
      <c r="J15" s="98">
        <v>400</v>
      </c>
      <c r="K15" s="98">
        <v>-197.5</v>
      </c>
    </row>
    <row r="16" spans="1:11" ht="14.25" x14ac:dyDescent="0.35">
      <c r="A16" s="97">
        <v>44317</v>
      </c>
      <c r="B16" s="277">
        <v>76.39</v>
      </c>
      <c r="C16" s="277">
        <f t="shared" ref="C16:K16" si="0">+C15</f>
        <v>0</v>
      </c>
      <c r="D16" s="277">
        <v>122.77</v>
      </c>
      <c r="E16" s="277">
        <v>1396</v>
      </c>
      <c r="F16" s="277">
        <v>199.64</v>
      </c>
      <c r="G16" s="277">
        <f t="shared" si="0"/>
        <v>-53.34</v>
      </c>
      <c r="H16" s="277">
        <v>200</v>
      </c>
      <c r="I16" s="277">
        <v>1640</v>
      </c>
      <c r="J16" s="277">
        <v>640</v>
      </c>
      <c r="K16" s="277">
        <f t="shared" si="0"/>
        <v>-197.5</v>
      </c>
    </row>
    <row r="17" spans="1:13" x14ac:dyDescent="0.2">
      <c r="A17" s="90" t="s">
        <v>129</v>
      </c>
      <c r="B17" s="154">
        <f t="shared" ref="B17:K17" si="1">AVERAGE(B5:B15)</f>
        <v>50.517272727272733</v>
      </c>
      <c r="C17" s="154" t="e">
        <f t="shared" si="1"/>
        <v>#DIV/0!</v>
      </c>
      <c r="D17" s="154">
        <f t="shared" si="1"/>
        <v>96.302727272727267</v>
      </c>
      <c r="E17" s="154">
        <f t="shared" si="1"/>
        <v>976.61545454545444</v>
      </c>
      <c r="F17" s="154">
        <f t="shared" si="1"/>
        <v>131.41454545454545</v>
      </c>
      <c r="G17" s="154">
        <f t="shared" si="1"/>
        <v>-53.340000000000025</v>
      </c>
      <c r="H17" s="154">
        <f t="shared" si="1"/>
        <v>56.631818181818183</v>
      </c>
      <c r="I17" s="154">
        <f t="shared" si="1"/>
        <v>1102.2818181818182</v>
      </c>
      <c r="J17" s="154">
        <f t="shared" si="1"/>
        <v>212.72727272727272</v>
      </c>
      <c r="K17" s="154">
        <f t="shared" si="1"/>
        <v>-197.5</v>
      </c>
    </row>
    <row r="19" spans="1:13" x14ac:dyDescent="0.2">
      <c r="A19" s="97"/>
      <c r="B19" s="243"/>
      <c r="C19" s="98"/>
      <c r="D19" s="243"/>
      <c r="E19" s="243"/>
      <c r="F19" s="243"/>
      <c r="G19" s="98"/>
      <c r="H19" s="243"/>
      <c r="I19" s="243"/>
      <c r="J19" s="243"/>
      <c r="K19" s="243"/>
      <c r="L19" s="243"/>
      <c r="M19" s="243"/>
    </row>
    <row r="20" spans="1:13" ht="12.75" customHeight="1" x14ac:dyDescent="0.2">
      <c r="A20" s="97">
        <v>44348</v>
      </c>
      <c r="B20" s="98">
        <v>93.35</v>
      </c>
      <c r="C20" s="98">
        <v>0</v>
      </c>
      <c r="D20" s="98">
        <v>131.6</v>
      </c>
      <c r="E20" s="98">
        <v>1433.21</v>
      </c>
      <c r="F20" s="98">
        <v>191.77</v>
      </c>
      <c r="G20" s="98">
        <v>-52.5</v>
      </c>
      <c r="H20" s="98">
        <v>305</v>
      </c>
      <c r="I20" s="98">
        <v>1800</v>
      </c>
      <c r="J20" s="98">
        <v>840</v>
      </c>
      <c r="K20" s="98">
        <v>-197.5</v>
      </c>
    </row>
    <row r="21" spans="1:13" ht="12.75" customHeight="1" x14ac:dyDescent="0.2">
      <c r="A21" s="97">
        <v>44378</v>
      </c>
      <c r="B21" s="98">
        <v>109.26</v>
      </c>
      <c r="C21" s="98">
        <v>0</v>
      </c>
      <c r="D21" s="98">
        <v>152.5</v>
      </c>
      <c r="E21" s="98">
        <v>1480.11</v>
      </c>
      <c r="F21" s="98">
        <v>241.83</v>
      </c>
      <c r="G21" s="98">
        <v>-52.5</v>
      </c>
      <c r="H21" s="98">
        <v>317.25</v>
      </c>
      <c r="I21" s="98">
        <v>1990</v>
      </c>
      <c r="J21" s="98">
        <v>1040</v>
      </c>
      <c r="K21" s="98">
        <v>-197.5</v>
      </c>
    </row>
    <row r="22" spans="1:13" x14ac:dyDescent="0.2">
      <c r="A22" s="97">
        <v>44409</v>
      </c>
      <c r="B22" s="98">
        <v>116.07</v>
      </c>
      <c r="C22" s="98">
        <v>0</v>
      </c>
      <c r="D22" s="98">
        <v>162.5</v>
      </c>
      <c r="E22" s="98">
        <v>1597.6</v>
      </c>
      <c r="F22" s="98">
        <v>226.93</v>
      </c>
      <c r="G22" s="98">
        <v>-52.5</v>
      </c>
      <c r="H22" s="98">
        <v>335.93</v>
      </c>
      <c r="I22" s="98">
        <v>2040</v>
      </c>
      <c r="J22" s="98">
        <v>1050</v>
      </c>
      <c r="K22" s="98">
        <v>-197.5</v>
      </c>
    </row>
    <row r="23" spans="1:13" x14ac:dyDescent="0.2">
      <c r="A23" s="97">
        <v>44440</v>
      </c>
      <c r="B23" s="98">
        <v>122.39</v>
      </c>
      <c r="C23" s="98">
        <v>0</v>
      </c>
      <c r="D23" s="98">
        <v>172.5</v>
      </c>
      <c r="E23" s="98">
        <v>1783.88</v>
      </c>
      <c r="F23" s="98">
        <v>214.73</v>
      </c>
      <c r="G23" s="98">
        <v>-52.5</v>
      </c>
      <c r="H23" s="98">
        <v>350.07</v>
      </c>
      <c r="I23" s="98">
        <v>2040</v>
      </c>
      <c r="J23" s="98">
        <v>1050</v>
      </c>
      <c r="K23" s="98">
        <v>-197.5</v>
      </c>
    </row>
    <row r="24" spans="1:13" x14ac:dyDescent="0.2">
      <c r="A24" s="97">
        <v>44470</v>
      </c>
      <c r="B24" s="98">
        <v>117.57</v>
      </c>
      <c r="C24" s="98">
        <v>0</v>
      </c>
      <c r="D24" s="98">
        <v>167.5</v>
      </c>
      <c r="E24" s="98">
        <v>1759.22</v>
      </c>
      <c r="F24" s="98">
        <v>231.3</v>
      </c>
      <c r="G24" s="98">
        <v>-52.5</v>
      </c>
      <c r="H24" s="98">
        <v>240</v>
      </c>
      <c r="I24" s="98">
        <v>2020</v>
      </c>
      <c r="J24" s="98">
        <v>1010</v>
      </c>
      <c r="K24" s="98">
        <v>-197.5</v>
      </c>
    </row>
    <row r="25" spans="1:13" x14ac:dyDescent="0.2">
      <c r="A25" s="97">
        <v>44501</v>
      </c>
      <c r="B25" s="98">
        <v>107.53</v>
      </c>
      <c r="C25" s="98">
        <v>0</v>
      </c>
      <c r="D25" s="98">
        <v>157.5</v>
      </c>
      <c r="E25" s="98">
        <v>1472.52</v>
      </c>
      <c r="F25" s="98">
        <v>249.82</v>
      </c>
      <c r="G25" s="98">
        <v>-52.5</v>
      </c>
      <c r="H25" s="98">
        <v>250</v>
      </c>
      <c r="I25" s="98">
        <v>1680</v>
      </c>
      <c r="J25" s="98">
        <v>706</v>
      </c>
      <c r="K25" s="98">
        <v>-197.5</v>
      </c>
    </row>
    <row r="26" spans="1:13" x14ac:dyDescent="0.2">
      <c r="A26" s="97">
        <v>44531</v>
      </c>
      <c r="B26" s="98">
        <v>92.62</v>
      </c>
      <c r="C26" s="98">
        <v>0</v>
      </c>
      <c r="D26" s="98">
        <v>137.5</v>
      </c>
      <c r="E26" s="98">
        <v>1544.18</v>
      </c>
      <c r="F26" s="98">
        <v>249.13</v>
      </c>
      <c r="G26" s="98">
        <v>-52.5</v>
      </c>
      <c r="H26" s="98">
        <v>260</v>
      </c>
      <c r="I26" s="98">
        <v>1100</v>
      </c>
      <c r="J26" s="98">
        <v>460</v>
      </c>
      <c r="K26" s="98">
        <v>-197.5</v>
      </c>
    </row>
    <row r="27" spans="1:13" x14ac:dyDescent="0.2">
      <c r="A27" s="97">
        <v>44562</v>
      </c>
      <c r="B27" s="98">
        <v>92.3</v>
      </c>
      <c r="C27" s="98">
        <v>0</v>
      </c>
      <c r="D27" s="98">
        <v>127.5</v>
      </c>
      <c r="E27" s="98">
        <v>1845.75</v>
      </c>
      <c r="F27" s="98">
        <v>222.78</v>
      </c>
      <c r="G27" s="98">
        <v>-58.5</v>
      </c>
      <c r="H27" s="98">
        <v>243.76</v>
      </c>
      <c r="I27" s="98">
        <v>900</v>
      </c>
      <c r="J27" s="98">
        <v>320</v>
      </c>
      <c r="K27" s="98">
        <v>-205</v>
      </c>
    </row>
    <row r="28" spans="1:13" x14ac:dyDescent="0.2">
      <c r="A28" s="97">
        <v>44593</v>
      </c>
      <c r="B28" s="98">
        <v>89.36</v>
      </c>
      <c r="C28" s="98">
        <v>0</v>
      </c>
      <c r="D28" s="98">
        <v>132.5</v>
      </c>
      <c r="E28" s="98">
        <v>1976.37</v>
      </c>
      <c r="F28" s="98">
        <v>219.73</v>
      </c>
      <c r="G28" s="98">
        <v>-58.5</v>
      </c>
      <c r="H28" s="98">
        <v>257.07</v>
      </c>
      <c r="I28" s="98">
        <v>840</v>
      </c>
      <c r="J28" s="98">
        <v>280</v>
      </c>
      <c r="K28" s="98">
        <v>-205</v>
      </c>
    </row>
    <row r="29" spans="1:13" x14ac:dyDescent="0.2">
      <c r="A29" s="97">
        <v>44621</v>
      </c>
      <c r="B29" s="98">
        <v>85.29</v>
      </c>
      <c r="C29" s="98">
        <v>0</v>
      </c>
      <c r="D29" s="98">
        <v>137.5</v>
      </c>
      <c r="E29" s="98">
        <v>2273.9899999999998</v>
      </c>
      <c r="F29" s="98">
        <v>279.49</v>
      </c>
      <c r="G29" s="98">
        <v>-58.5</v>
      </c>
      <c r="H29" s="98">
        <v>324.95999999999998</v>
      </c>
      <c r="I29" s="98">
        <v>820</v>
      </c>
      <c r="J29" s="98">
        <v>390</v>
      </c>
      <c r="K29" s="98">
        <v>-205</v>
      </c>
    </row>
    <row r="30" spans="1:13" x14ac:dyDescent="0.2">
      <c r="A30" s="97">
        <v>44652</v>
      </c>
      <c r="B30" s="98">
        <v>85.5</v>
      </c>
      <c r="C30" s="98">
        <v>0</v>
      </c>
      <c r="D30" s="98">
        <v>132.5</v>
      </c>
      <c r="E30" s="98">
        <v>2143</v>
      </c>
      <c r="F30" s="98">
        <v>305.02</v>
      </c>
      <c r="G30" s="98">
        <v>-58.5</v>
      </c>
      <c r="H30" s="98">
        <v>515.12</v>
      </c>
      <c r="I30" s="98">
        <v>860</v>
      </c>
      <c r="J30" s="98">
        <v>460</v>
      </c>
      <c r="K30" s="98">
        <v>-205</v>
      </c>
    </row>
    <row r="31" spans="1:13" ht="14.25" x14ac:dyDescent="0.35">
      <c r="A31" s="97">
        <v>44682</v>
      </c>
      <c r="B31" s="277">
        <v>88.14</v>
      </c>
      <c r="C31" s="277">
        <f t="shared" ref="C31:K31" si="2">+C30</f>
        <v>0</v>
      </c>
      <c r="D31" s="277">
        <f t="shared" si="2"/>
        <v>132.5</v>
      </c>
      <c r="E31" s="277">
        <v>1764.23</v>
      </c>
      <c r="F31" s="277">
        <v>243.22</v>
      </c>
      <c r="G31" s="277">
        <f t="shared" si="2"/>
        <v>-58.5</v>
      </c>
      <c r="H31" s="277">
        <v>628.6</v>
      </c>
      <c r="I31" s="277">
        <v>1080</v>
      </c>
      <c r="J31" s="277">
        <v>480</v>
      </c>
      <c r="K31" s="277">
        <f t="shared" si="2"/>
        <v>-205</v>
      </c>
    </row>
    <row r="32" spans="1:13" x14ac:dyDescent="0.2">
      <c r="A32" s="90" t="s">
        <v>129</v>
      </c>
      <c r="B32" s="154">
        <f t="shared" ref="B32:K32" si="3">AVERAGE(B20:B30)</f>
        <v>101.02181818181818</v>
      </c>
      <c r="C32" s="154">
        <f t="shared" si="3"/>
        <v>0</v>
      </c>
      <c r="D32" s="154">
        <f t="shared" si="3"/>
        <v>146.5090909090909</v>
      </c>
      <c r="E32" s="154">
        <f t="shared" si="3"/>
        <v>1755.439090909091</v>
      </c>
      <c r="F32" s="154">
        <f t="shared" si="3"/>
        <v>239.32090909090903</v>
      </c>
      <c r="G32" s="154">
        <f t="shared" si="3"/>
        <v>-54.68181818181818</v>
      </c>
      <c r="H32" s="154">
        <f t="shared" si="3"/>
        <v>309.0145454545455</v>
      </c>
      <c r="I32" s="154">
        <f t="shared" si="3"/>
        <v>1462.7272727272727</v>
      </c>
      <c r="J32" s="154">
        <f t="shared" si="3"/>
        <v>691.4545454545455</v>
      </c>
      <c r="K32" s="154">
        <f t="shared" si="3"/>
        <v>-200.22727272727272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64"/>
  <sheetViews>
    <sheetView topLeftCell="A46" workbookViewId="0">
      <selection activeCell="N65" sqref="N65"/>
    </sheetView>
  </sheetViews>
  <sheetFormatPr defaultRowHeight="12.75" x14ac:dyDescent="0.2"/>
  <cols>
    <col min="1" max="1" width="38.85546875" bestFit="1" customWidth="1"/>
    <col min="2" max="2" width="4.7109375" customWidth="1"/>
    <col min="3" max="6" width="10.28515625" bestFit="1" customWidth="1"/>
    <col min="7" max="12" width="10.28515625" customWidth="1"/>
    <col min="13" max="14" width="10.28515625" bestFit="1" customWidth="1"/>
    <col min="15" max="15" width="3.7109375" customWidth="1"/>
    <col min="16" max="16" width="11.28515625" bestFit="1" customWidth="1"/>
  </cols>
  <sheetData>
    <row r="1" spans="1:19" ht="23.25" x14ac:dyDescent="0.35">
      <c r="A1" s="22" t="s">
        <v>31</v>
      </c>
    </row>
    <row r="2" spans="1:19" x14ac:dyDescent="0.2">
      <c r="A2" s="1" t="s">
        <v>93</v>
      </c>
    </row>
    <row r="4" spans="1:19" x14ac:dyDescent="0.2">
      <c r="A4" s="3"/>
      <c r="B4" s="3"/>
      <c r="C4" s="106">
        <v>43983</v>
      </c>
      <c r="D4" s="106">
        <v>44013</v>
      </c>
      <c r="E4" s="106">
        <v>44044</v>
      </c>
      <c r="F4" s="106">
        <v>44075</v>
      </c>
      <c r="G4" s="106">
        <v>44105</v>
      </c>
      <c r="H4" s="106">
        <v>44136</v>
      </c>
      <c r="I4" s="106">
        <v>44166</v>
      </c>
      <c r="J4" s="106">
        <v>44197</v>
      </c>
      <c r="K4" s="106">
        <v>44228</v>
      </c>
      <c r="L4" s="106">
        <v>44256</v>
      </c>
      <c r="M4" s="106">
        <v>44287</v>
      </c>
      <c r="N4" s="106">
        <v>44317</v>
      </c>
      <c r="O4" s="107"/>
      <c r="P4" s="101" t="s">
        <v>129</v>
      </c>
    </row>
    <row r="5" spans="1:19" x14ac:dyDescent="0.2">
      <c r="A5" s="3" t="s">
        <v>87</v>
      </c>
      <c r="B5" s="1"/>
      <c r="N5" s="63"/>
    </row>
    <row r="6" spans="1:19" x14ac:dyDescent="0.2">
      <c r="A6" s="105" t="s">
        <v>80</v>
      </c>
      <c r="B6" s="104"/>
      <c r="C6" s="75">
        <v>804</v>
      </c>
      <c r="D6" s="147">
        <v>815</v>
      </c>
      <c r="E6" s="147">
        <v>817</v>
      </c>
      <c r="F6" s="147">
        <v>805</v>
      </c>
      <c r="G6" s="147">
        <v>810</v>
      </c>
      <c r="H6" s="147">
        <v>813</v>
      </c>
      <c r="I6" s="147">
        <v>813</v>
      </c>
      <c r="J6" s="147">
        <v>822</v>
      </c>
      <c r="K6" s="147">
        <v>831</v>
      </c>
      <c r="L6" s="147">
        <v>837</v>
      </c>
      <c r="M6" s="147">
        <v>848</v>
      </c>
      <c r="N6" s="147">
        <v>847</v>
      </c>
      <c r="O6" s="103"/>
      <c r="P6" s="103"/>
    </row>
    <row r="7" spans="1:19" x14ac:dyDescent="0.2">
      <c r="A7" s="105" t="s">
        <v>79</v>
      </c>
      <c r="B7" s="104"/>
      <c r="C7" s="75">
        <v>1482</v>
      </c>
      <c r="D7" s="147">
        <v>1484</v>
      </c>
      <c r="E7" s="147">
        <v>1482</v>
      </c>
      <c r="F7" s="147">
        <v>1484</v>
      </c>
      <c r="G7" s="147">
        <v>1480</v>
      </c>
      <c r="H7" s="147">
        <v>1487</v>
      </c>
      <c r="I7" s="147">
        <v>1492</v>
      </c>
      <c r="J7" s="147">
        <v>1496</v>
      </c>
      <c r="K7" s="147">
        <v>1495</v>
      </c>
      <c r="L7" s="147">
        <v>1462</v>
      </c>
      <c r="M7" s="147">
        <v>1471</v>
      </c>
      <c r="N7" s="147">
        <v>1487</v>
      </c>
      <c r="O7" s="103"/>
      <c r="P7" s="103"/>
    </row>
    <row r="8" spans="1:19" x14ac:dyDescent="0.2">
      <c r="A8" s="105" t="s">
        <v>81</v>
      </c>
      <c r="B8" s="104"/>
      <c r="C8" s="75">
        <v>3690</v>
      </c>
      <c r="D8" s="147">
        <v>3718</v>
      </c>
      <c r="E8" s="147">
        <v>3743</v>
      </c>
      <c r="F8" s="147">
        <v>3727</v>
      </c>
      <c r="G8" s="147">
        <v>3714</v>
      </c>
      <c r="H8" s="147">
        <v>3730</v>
      </c>
      <c r="I8" s="147">
        <v>3743</v>
      </c>
      <c r="J8" s="147">
        <v>3762</v>
      </c>
      <c r="K8" s="147">
        <v>3779</v>
      </c>
      <c r="L8" s="147">
        <v>3817</v>
      </c>
      <c r="M8" s="147">
        <v>3852</v>
      </c>
      <c r="N8" s="147">
        <v>3884</v>
      </c>
      <c r="O8" s="103"/>
      <c r="P8" s="103"/>
    </row>
    <row r="9" spans="1:19" ht="15" x14ac:dyDescent="0.35">
      <c r="A9" s="105" t="s">
        <v>82</v>
      </c>
      <c r="B9" s="104"/>
      <c r="C9" s="108">
        <v>25229</v>
      </c>
      <c r="D9" s="108">
        <v>25337</v>
      </c>
      <c r="E9" s="108">
        <v>25411</v>
      </c>
      <c r="F9" s="108">
        <v>25223</v>
      </c>
      <c r="G9" s="108">
        <v>25137</v>
      </c>
      <c r="H9" s="108">
        <v>25254</v>
      </c>
      <c r="I9" s="108">
        <v>25315</v>
      </c>
      <c r="J9" s="108">
        <v>25344</v>
      </c>
      <c r="K9" s="108">
        <v>25418</v>
      </c>
      <c r="L9" s="108">
        <v>25572</v>
      </c>
      <c r="M9" s="108">
        <v>25671</v>
      </c>
      <c r="N9" s="108">
        <v>25789</v>
      </c>
      <c r="O9" s="103"/>
      <c r="P9" s="103"/>
    </row>
    <row r="10" spans="1:19" ht="15" x14ac:dyDescent="0.35">
      <c r="A10" s="104" t="s">
        <v>86</v>
      </c>
      <c r="B10" s="104"/>
      <c r="C10" s="112">
        <f t="shared" ref="C10:N10" si="0">SUM(C6:C9)</f>
        <v>31205</v>
      </c>
      <c r="D10" s="112">
        <f t="shared" si="0"/>
        <v>31354</v>
      </c>
      <c r="E10" s="112">
        <f t="shared" si="0"/>
        <v>31453</v>
      </c>
      <c r="F10" s="112">
        <f t="shared" si="0"/>
        <v>31239</v>
      </c>
      <c r="G10" s="112">
        <f t="shared" si="0"/>
        <v>31141</v>
      </c>
      <c r="H10" s="112">
        <f t="shared" si="0"/>
        <v>31284</v>
      </c>
      <c r="I10" s="112">
        <f t="shared" si="0"/>
        <v>31363</v>
      </c>
      <c r="J10" s="112">
        <f t="shared" si="0"/>
        <v>31424</v>
      </c>
      <c r="K10" s="112">
        <f t="shared" si="0"/>
        <v>31523</v>
      </c>
      <c r="L10" s="112">
        <f t="shared" si="0"/>
        <v>31688</v>
      </c>
      <c r="M10" s="112">
        <f t="shared" si="0"/>
        <v>31842</v>
      </c>
      <c r="N10" s="112">
        <f t="shared" si="0"/>
        <v>32007</v>
      </c>
      <c r="O10" s="103"/>
      <c r="P10" s="103"/>
    </row>
    <row r="11" spans="1:19" x14ac:dyDescent="0.2">
      <c r="A11" s="104"/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/>
      <c r="P11" s="103"/>
    </row>
    <row r="12" spans="1:19" x14ac:dyDescent="0.2">
      <c r="A12" s="104" t="s">
        <v>85</v>
      </c>
      <c r="B12" s="110"/>
      <c r="C12" s="111">
        <f>25734+2</f>
        <v>25736</v>
      </c>
      <c r="D12" s="111">
        <f>2+25814</f>
        <v>25816</v>
      </c>
      <c r="E12" s="111">
        <f>25924+2</f>
        <v>25926</v>
      </c>
      <c r="F12" s="111">
        <f>25873+2</f>
        <v>25875</v>
      </c>
      <c r="G12" s="111">
        <f>25877+2</f>
        <v>25879</v>
      </c>
      <c r="H12" s="111">
        <f>25922+2</f>
        <v>25924</v>
      </c>
      <c r="I12" s="111">
        <f>25941+2</f>
        <v>25943</v>
      </c>
      <c r="J12" s="111">
        <f>26043+2</f>
        <v>26045</v>
      </c>
      <c r="K12" s="111">
        <f>2+26042</f>
        <v>26044</v>
      </c>
      <c r="L12" s="111">
        <f>2+26132</f>
        <v>26134</v>
      </c>
      <c r="M12" s="111">
        <f>2+26349</f>
        <v>26351</v>
      </c>
      <c r="N12" s="111">
        <f>2+26449</f>
        <v>26451</v>
      </c>
      <c r="O12" s="110"/>
      <c r="P12" s="111">
        <f>AVERAGE(C12:N12)</f>
        <v>26010.333333333332</v>
      </c>
      <c r="Q12" s="6"/>
    </row>
    <row r="13" spans="1:19" x14ac:dyDescent="0.2">
      <c r="N13" s="63"/>
      <c r="R13" s="13"/>
      <c r="S13" s="6"/>
    </row>
    <row r="14" spans="1:19" ht="15" x14ac:dyDescent="0.35">
      <c r="C14" s="14">
        <f t="shared" ref="C14:N14" si="1">+C12+C10</f>
        <v>56941</v>
      </c>
      <c r="D14" s="14">
        <f t="shared" si="1"/>
        <v>57170</v>
      </c>
      <c r="E14" s="14">
        <f t="shared" si="1"/>
        <v>57379</v>
      </c>
      <c r="F14" s="14">
        <f t="shared" si="1"/>
        <v>57114</v>
      </c>
      <c r="G14" s="14">
        <f t="shared" si="1"/>
        <v>57020</v>
      </c>
      <c r="H14" s="14">
        <f t="shared" si="1"/>
        <v>57208</v>
      </c>
      <c r="I14" s="14">
        <f t="shared" si="1"/>
        <v>57306</v>
      </c>
      <c r="J14" s="14">
        <f t="shared" si="1"/>
        <v>57469</v>
      </c>
      <c r="K14" s="14">
        <f t="shared" si="1"/>
        <v>57567</v>
      </c>
      <c r="L14" s="14">
        <f t="shared" si="1"/>
        <v>57822</v>
      </c>
      <c r="M14" s="14">
        <f t="shared" si="1"/>
        <v>58193</v>
      </c>
      <c r="N14" s="14">
        <f t="shared" si="1"/>
        <v>58458</v>
      </c>
    </row>
    <row r="16" spans="1:19" x14ac:dyDescent="0.2">
      <c r="A16" s="1" t="s">
        <v>88</v>
      </c>
      <c r="C16" s="100">
        <f t="shared" ref="C16:F16" si="2">+C12/C14</f>
        <v>0.4519766073655187</v>
      </c>
      <c r="D16" s="100">
        <f t="shared" si="2"/>
        <v>0.45156550638446735</v>
      </c>
      <c r="E16" s="100">
        <f t="shared" si="2"/>
        <v>0.45183778037261019</v>
      </c>
      <c r="F16" s="100">
        <f t="shared" si="2"/>
        <v>0.45304128584935394</v>
      </c>
      <c r="G16" s="100">
        <f t="shared" ref="G16:N16" si="3">+G12/G14</f>
        <v>0.45385829533497019</v>
      </c>
      <c r="H16" s="100">
        <f t="shared" si="3"/>
        <v>0.45315340511816526</v>
      </c>
      <c r="I16" s="100">
        <f t="shared" si="3"/>
        <v>0.45271001291313301</v>
      </c>
      <c r="J16" s="100">
        <f t="shared" si="3"/>
        <v>0.4532008561137309</v>
      </c>
      <c r="K16" s="100">
        <f t="shared" si="3"/>
        <v>0.4524119721368145</v>
      </c>
      <c r="L16" s="100">
        <f t="shared" si="3"/>
        <v>0.45197329736086611</v>
      </c>
      <c r="M16" s="100">
        <f t="shared" si="3"/>
        <v>0.4528207860051896</v>
      </c>
      <c r="N16" s="100">
        <f t="shared" si="3"/>
        <v>0.4524787026583188</v>
      </c>
    </row>
    <row r="18" spans="1:29" x14ac:dyDescent="0.2">
      <c r="A18" s="1" t="s">
        <v>89</v>
      </c>
      <c r="C18" s="114">
        <f t="shared" ref="C18:F18" si="4">1-C16</f>
        <v>0.5480233926344813</v>
      </c>
      <c r="D18" s="114">
        <f t="shared" si="4"/>
        <v>0.54843449361553265</v>
      </c>
      <c r="E18" s="114">
        <f t="shared" si="4"/>
        <v>0.54816221962738987</v>
      </c>
      <c r="F18" s="114">
        <f t="shared" si="4"/>
        <v>0.54695871415064601</v>
      </c>
      <c r="G18" s="114">
        <f t="shared" ref="G18:N18" si="5">1-G16</f>
        <v>0.54614170466502987</v>
      </c>
      <c r="H18" s="114">
        <f t="shared" si="5"/>
        <v>0.54684659488183474</v>
      </c>
      <c r="I18" s="114">
        <f t="shared" si="5"/>
        <v>0.54728998708686705</v>
      </c>
      <c r="J18" s="114">
        <f t="shared" si="5"/>
        <v>0.54679914388626916</v>
      </c>
      <c r="K18" s="114">
        <f t="shared" si="5"/>
        <v>0.5475880278631855</v>
      </c>
      <c r="L18" s="114">
        <f t="shared" si="5"/>
        <v>0.54802670263913389</v>
      </c>
      <c r="M18" s="114">
        <f t="shared" si="5"/>
        <v>0.5471792139948104</v>
      </c>
      <c r="N18" s="114">
        <f t="shared" si="5"/>
        <v>0.5475212973416812</v>
      </c>
    </row>
    <row r="20" spans="1:29" x14ac:dyDescent="0.2"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" t="s">
        <v>92</v>
      </c>
      <c r="B21" s="1"/>
      <c r="C21" s="120">
        <f>SUM(C28:C32)</f>
        <v>-443.69000000000005</v>
      </c>
      <c r="D21" s="120">
        <f t="shared" ref="D21:N21" si="6">SUM(D28:D32)</f>
        <v>-448.21000000000004</v>
      </c>
      <c r="E21" s="120">
        <f t="shared" si="6"/>
        <v>-98.789999999999992</v>
      </c>
      <c r="F21" s="120">
        <f t="shared" si="6"/>
        <v>-99.47</v>
      </c>
      <c r="G21" s="120">
        <f t="shared" si="6"/>
        <v>-99.39</v>
      </c>
      <c r="H21" s="120">
        <f t="shared" si="6"/>
        <v>-99.39</v>
      </c>
      <c r="I21" s="120">
        <f t="shared" si="6"/>
        <v>-98.58</v>
      </c>
      <c r="J21" s="120">
        <f t="shared" si="6"/>
        <v>-99.92</v>
      </c>
      <c r="K21" s="120">
        <f t="shared" si="6"/>
        <v>-102.67</v>
      </c>
      <c r="L21" s="120">
        <f t="shared" si="6"/>
        <v>-101.28</v>
      </c>
      <c r="M21" s="120">
        <f t="shared" si="6"/>
        <v>-90.17</v>
      </c>
      <c r="N21" s="120">
        <f t="shared" si="6"/>
        <v>-90.17</v>
      </c>
      <c r="O21" s="120"/>
      <c r="P21" s="120">
        <f>SUM(C21:N21)</f>
        <v>-1871.7300000000005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90</v>
      </c>
      <c r="C23" s="115">
        <v>0.21</v>
      </c>
      <c r="D23" s="115">
        <v>0.21</v>
      </c>
      <c r="E23" s="115">
        <v>0.04</v>
      </c>
      <c r="F23" s="115">
        <v>0.04</v>
      </c>
      <c r="G23" s="115">
        <v>0.04</v>
      </c>
      <c r="H23" s="115">
        <v>0.04</v>
      </c>
      <c r="I23" s="115">
        <v>0.04</v>
      </c>
      <c r="J23" s="115">
        <v>0.04</v>
      </c>
      <c r="K23" s="115">
        <v>0.04</v>
      </c>
      <c r="L23" s="115">
        <v>0.04</v>
      </c>
      <c r="M23" s="115">
        <v>0.04</v>
      </c>
      <c r="N23" s="115">
        <v>0.04</v>
      </c>
      <c r="O23" s="115"/>
      <c r="P23" s="115"/>
    </row>
    <row r="25" spans="1:29" ht="15" x14ac:dyDescent="0.35">
      <c r="A25" s="1" t="s">
        <v>91</v>
      </c>
      <c r="B25" s="116"/>
      <c r="C25" s="117">
        <f t="shared" ref="C25:N25" si="7">-(C21)/C23</f>
        <v>2112.8095238095243</v>
      </c>
      <c r="D25" s="117">
        <f t="shared" si="7"/>
        <v>2134.3333333333335</v>
      </c>
      <c r="E25" s="117">
        <f t="shared" si="7"/>
        <v>2469.7499999999995</v>
      </c>
      <c r="F25" s="117">
        <f t="shared" si="7"/>
        <v>2486.75</v>
      </c>
      <c r="G25" s="117">
        <f t="shared" si="7"/>
        <v>2484.75</v>
      </c>
      <c r="H25" s="117">
        <f t="shared" si="7"/>
        <v>2484.75</v>
      </c>
      <c r="I25" s="117">
        <f t="shared" si="7"/>
        <v>2464.5</v>
      </c>
      <c r="J25" s="117">
        <f t="shared" si="7"/>
        <v>2498</v>
      </c>
      <c r="K25" s="117">
        <f t="shared" si="7"/>
        <v>2566.75</v>
      </c>
      <c r="L25" s="117">
        <f t="shared" si="7"/>
        <v>2532</v>
      </c>
      <c r="M25" s="117">
        <f t="shared" si="7"/>
        <v>2254.25</v>
      </c>
      <c r="N25" s="117">
        <f t="shared" si="7"/>
        <v>2254.25</v>
      </c>
      <c r="O25" s="118"/>
      <c r="P25" s="14">
        <f>SUM(C25:O25)</f>
        <v>28742.892857142855</v>
      </c>
    </row>
    <row r="28" spans="1:29" x14ac:dyDescent="0.2">
      <c r="A28" s="17" t="s">
        <v>170</v>
      </c>
      <c r="B28" t="s">
        <v>169</v>
      </c>
      <c r="C28">
        <v>-15.47</v>
      </c>
      <c r="D28">
        <v>-15.47</v>
      </c>
      <c r="E28">
        <v>-2.89</v>
      </c>
      <c r="F28">
        <v>-2.89</v>
      </c>
      <c r="G28">
        <v>-2.89</v>
      </c>
      <c r="H28">
        <v>-2.89</v>
      </c>
      <c r="I28">
        <v>-2.89</v>
      </c>
      <c r="J28">
        <v>-2.89</v>
      </c>
      <c r="K28">
        <v>-2.89</v>
      </c>
      <c r="L28">
        <v>-2.89</v>
      </c>
      <c r="M28">
        <v>-3.06</v>
      </c>
      <c r="N28" s="63">
        <f>+M28</f>
        <v>-3.06</v>
      </c>
    </row>
    <row r="29" spans="1:29" x14ac:dyDescent="0.2">
      <c r="A29" s="17" t="s">
        <v>183</v>
      </c>
      <c r="B29" t="s">
        <v>169</v>
      </c>
      <c r="C29">
        <v>-14.56</v>
      </c>
      <c r="D29">
        <v>-14.56</v>
      </c>
      <c r="E29">
        <v>-2.72</v>
      </c>
      <c r="F29">
        <v>-2.72</v>
      </c>
      <c r="G29">
        <v>-2.72</v>
      </c>
      <c r="H29">
        <v>-2.72</v>
      </c>
      <c r="I29">
        <v>-2.72</v>
      </c>
      <c r="J29">
        <v>-2.72</v>
      </c>
      <c r="K29">
        <v>-2.72</v>
      </c>
      <c r="L29">
        <v>-2.72</v>
      </c>
      <c r="M29">
        <v>-2.72</v>
      </c>
      <c r="N29" s="63">
        <f t="shared" ref="N29:N32" si="8">+M29</f>
        <v>-2.72</v>
      </c>
    </row>
    <row r="30" spans="1:29" x14ac:dyDescent="0.2">
      <c r="A30" s="17" t="s">
        <v>171</v>
      </c>
      <c r="B30" t="s">
        <v>169</v>
      </c>
      <c r="C30">
        <v>-1.82</v>
      </c>
      <c r="D30">
        <v>-1.82</v>
      </c>
      <c r="E30">
        <v>-0.34</v>
      </c>
      <c r="F30">
        <v>-0.34</v>
      </c>
      <c r="G30">
        <v>-0.34</v>
      </c>
      <c r="H30">
        <v>-0.34</v>
      </c>
      <c r="I30">
        <v>-0.34</v>
      </c>
      <c r="J30">
        <v>-0.34</v>
      </c>
      <c r="K30">
        <v>-0.34</v>
      </c>
      <c r="L30">
        <v>-0.34</v>
      </c>
      <c r="M30">
        <v>-0.34</v>
      </c>
      <c r="N30" s="63">
        <f t="shared" si="8"/>
        <v>-0.34</v>
      </c>
    </row>
    <row r="31" spans="1:29" x14ac:dyDescent="0.2">
      <c r="A31" s="17" t="s">
        <v>172</v>
      </c>
      <c r="B31" t="s">
        <v>169</v>
      </c>
      <c r="C31">
        <v>-13.68</v>
      </c>
      <c r="D31">
        <v>-16.38</v>
      </c>
      <c r="E31">
        <v>-16.38</v>
      </c>
      <c r="F31">
        <v>-16.38</v>
      </c>
      <c r="G31">
        <v>-16.38</v>
      </c>
      <c r="H31">
        <v>-16.38</v>
      </c>
      <c r="I31">
        <v>-16.38</v>
      </c>
      <c r="J31">
        <v>-16.38</v>
      </c>
      <c r="K31">
        <v>-16.38</v>
      </c>
      <c r="L31">
        <v>-16.38</v>
      </c>
      <c r="M31">
        <v>-4.08</v>
      </c>
      <c r="N31" s="63">
        <f t="shared" si="8"/>
        <v>-4.08</v>
      </c>
    </row>
    <row r="32" spans="1:29" x14ac:dyDescent="0.2">
      <c r="A32" s="17" t="s">
        <v>173</v>
      </c>
      <c r="B32" t="s">
        <v>169</v>
      </c>
      <c r="C32">
        <v>-398.16</v>
      </c>
      <c r="D32">
        <v>-399.98</v>
      </c>
      <c r="E32">
        <v>-76.459999999999994</v>
      </c>
      <c r="F32">
        <v>-77.14</v>
      </c>
      <c r="G32">
        <v>-77.06</v>
      </c>
      <c r="H32">
        <v>-77.06</v>
      </c>
      <c r="I32">
        <v>-76.25</v>
      </c>
      <c r="J32">
        <v>-77.59</v>
      </c>
      <c r="K32">
        <v>-80.34</v>
      </c>
      <c r="L32">
        <v>-78.95</v>
      </c>
      <c r="M32">
        <v>-79.97</v>
      </c>
      <c r="N32" s="63">
        <f t="shared" si="8"/>
        <v>-79.97</v>
      </c>
    </row>
    <row r="35" spans="1:16" x14ac:dyDescent="0.2">
      <c r="A35" s="3"/>
      <c r="B35" s="3"/>
      <c r="C35" s="106">
        <v>44348</v>
      </c>
      <c r="D35" s="106">
        <v>44378</v>
      </c>
      <c r="E35" s="106">
        <v>44409</v>
      </c>
      <c r="F35" s="106">
        <v>44440</v>
      </c>
      <c r="G35" s="106">
        <v>44470</v>
      </c>
      <c r="H35" s="106">
        <v>44501</v>
      </c>
      <c r="I35" s="106">
        <v>44531</v>
      </c>
      <c r="J35" s="106">
        <v>44562</v>
      </c>
      <c r="K35" s="106">
        <v>44593</v>
      </c>
      <c r="L35" s="106">
        <v>44621</v>
      </c>
      <c r="M35" s="106">
        <v>44652</v>
      </c>
      <c r="N35" s="106">
        <v>44682</v>
      </c>
      <c r="O35" s="106"/>
      <c r="P35" s="101" t="s">
        <v>129</v>
      </c>
    </row>
    <row r="36" spans="1:16" x14ac:dyDescent="0.2">
      <c r="A36" s="3" t="s">
        <v>87</v>
      </c>
      <c r="B36" s="1"/>
      <c r="N36" s="63"/>
    </row>
    <row r="37" spans="1:16" x14ac:dyDescent="0.2">
      <c r="A37" s="105" t="s">
        <v>80</v>
      </c>
      <c r="B37" s="104"/>
      <c r="C37" s="75">
        <v>835</v>
      </c>
      <c r="D37" s="147">
        <v>844</v>
      </c>
      <c r="E37" s="147">
        <v>847</v>
      </c>
      <c r="F37" s="147">
        <v>852</v>
      </c>
      <c r="G37" s="147">
        <v>867</v>
      </c>
      <c r="H37" s="147">
        <v>875</v>
      </c>
      <c r="I37" s="147">
        <v>877</v>
      </c>
      <c r="J37" s="147">
        <v>878</v>
      </c>
      <c r="K37" s="147">
        <v>893</v>
      </c>
      <c r="L37" s="147">
        <v>899</v>
      </c>
      <c r="M37" s="147">
        <v>896</v>
      </c>
      <c r="N37" s="147">
        <v>900</v>
      </c>
      <c r="O37" s="103"/>
      <c r="P37" s="103"/>
    </row>
    <row r="38" spans="1:16" x14ac:dyDescent="0.2">
      <c r="A38" s="105" t="s">
        <v>79</v>
      </c>
      <c r="B38" s="104"/>
      <c r="C38" s="75">
        <v>1484</v>
      </c>
      <c r="D38" s="147">
        <v>1483</v>
      </c>
      <c r="E38" s="147">
        <v>1485</v>
      </c>
      <c r="F38" s="147">
        <v>1489</v>
      </c>
      <c r="G38" s="147">
        <v>1482</v>
      </c>
      <c r="H38" s="147">
        <v>1477</v>
      </c>
      <c r="I38" s="147">
        <v>1483</v>
      </c>
      <c r="J38" s="147">
        <v>1476</v>
      </c>
      <c r="K38" s="147">
        <v>1481</v>
      </c>
      <c r="L38" s="147">
        <v>1489</v>
      </c>
      <c r="M38" s="147">
        <v>1497</v>
      </c>
      <c r="N38" s="147">
        <v>1501</v>
      </c>
      <c r="O38" s="103"/>
      <c r="P38" s="103"/>
    </row>
    <row r="39" spans="1:16" x14ac:dyDescent="0.2">
      <c r="A39" s="105" t="s">
        <v>81</v>
      </c>
      <c r="B39" s="104"/>
      <c r="C39" s="75">
        <v>3906</v>
      </c>
      <c r="D39" s="147">
        <v>3916</v>
      </c>
      <c r="E39" s="147">
        <v>3915</v>
      </c>
      <c r="F39" s="147">
        <v>3915</v>
      </c>
      <c r="G39" s="147">
        <v>3895</v>
      </c>
      <c r="H39" s="147">
        <v>3886</v>
      </c>
      <c r="I39" s="147">
        <v>3896</v>
      </c>
      <c r="J39" s="147">
        <v>3896</v>
      </c>
      <c r="K39" s="147">
        <v>3918</v>
      </c>
      <c r="L39" s="147">
        <v>3942</v>
      </c>
      <c r="M39" s="147">
        <v>3963</v>
      </c>
      <c r="N39" s="147">
        <v>3997</v>
      </c>
      <c r="O39" s="103"/>
      <c r="P39" s="103"/>
    </row>
    <row r="40" spans="1:16" ht="15" x14ac:dyDescent="0.35">
      <c r="A40" s="105" t="s">
        <v>82</v>
      </c>
      <c r="B40" s="104"/>
      <c r="C40" s="108">
        <v>25813</v>
      </c>
      <c r="D40" s="108">
        <v>25800</v>
      </c>
      <c r="E40" s="108">
        <v>25931</v>
      </c>
      <c r="F40" s="108">
        <v>25941</v>
      </c>
      <c r="G40" s="108">
        <v>25823</v>
      </c>
      <c r="H40" s="108">
        <v>25815</v>
      </c>
      <c r="I40" s="108">
        <v>25849</v>
      </c>
      <c r="J40" s="108">
        <v>25769</v>
      </c>
      <c r="K40" s="108">
        <v>25947</v>
      </c>
      <c r="L40" s="108">
        <v>26038</v>
      </c>
      <c r="M40" s="108">
        <v>25999</v>
      </c>
      <c r="N40" s="108">
        <v>26156</v>
      </c>
      <c r="O40" s="103"/>
      <c r="P40" s="103"/>
    </row>
    <row r="41" spans="1:16" ht="15" x14ac:dyDescent="0.35">
      <c r="A41" s="104" t="s">
        <v>86</v>
      </c>
      <c r="B41" s="104"/>
      <c r="C41" s="112">
        <f t="shared" ref="C41:N41" si="9">SUM(C37:C40)</f>
        <v>32038</v>
      </c>
      <c r="D41" s="112">
        <f t="shared" si="9"/>
        <v>32043</v>
      </c>
      <c r="E41" s="112">
        <f t="shared" si="9"/>
        <v>32178</v>
      </c>
      <c r="F41" s="112">
        <f t="shared" si="9"/>
        <v>32197</v>
      </c>
      <c r="G41" s="112">
        <f t="shared" si="9"/>
        <v>32067</v>
      </c>
      <c r="H41" s="112">
        <f t="shared" si="9"/>
        <v>32053</v>
      </c>
      <c r="I41" s="112">
        <f t="shared" si="9"/>
        <v>32105</v>
      </c>
      <c r="J41" s="112">
        <f t="shared" si="9"/>
        <v>32019</v>
      </c>
      <c r="K41" s="112">
        <f t="shared" si="9"/>
        <v>32239</v>
      </c>
      <c r="L41" s="112">
        <f t="shared" si="9"/>
        <v>32368</v>
      </c>
      <c r="M41" s="112">
        <f t="shared" si="9"/>
        <v>32355</v>
      </c>
      <c r="N41" s="112">
        <f t="shared" si="9"/>
        <v>32554</v>
      </c>
      <c r="O41" s="103"/>
      <c r="P41" s="103"/>
    </row>
    <row r="42" spans="1:16" x14ac:dyDescent="0.2">
      <c r="A42" s="104"/>
      <c r="B42" s="104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3"/>
      <c r="P42" s="103"/>
    </row>
    <row r="43" spans="1:16" x14ac:dyDescent="0.2">
      <c r="A43" s="104" t="s">
        <v>85</v>
      </c>
      <c r="B43" s="110"/>
      <c r="C43" s="111">
        <f>2+26507</f>
        <v>26509</v>
      </c>
      <c r="D43" s="111">
        <f>26580+2</f>
        <v>26582</v>
      </c>
      <c r="E43" s="111">
        <f>26631+2</f>
        <v>26633</v>
      </c>
      <c r="F43" s="111">
        <f>2+26640</f>
        <v>26642</v>
      </c>
      <c r="G43" s="111">
        <f>26584+2</f>
        <v>26586</v>
      </c>
      <c r="H43" s="111">
        <f>26566+3</f>
        <v>26569</v>
      </c>
      <c r="I43" s="111">
        <f>3+26522</f>
        <v>26525</v>
      </c>
      <c r="J43" s="111">
        <f>26525+3</f>
        <v>26528</v>
      </c>
      <c r="K43" s="111">
        <f>26595+3</f>
        <v>26598</v>
      </c>
      <c r="L43" s="111">
        <f>26714+3</f>
        <v>26717</v>
      </c>
      <c r="M43" s="111">
        <f>3+26825</f>
        <v>26828</v>
      </c>
      <c r="N43" s="111">
        <f>3+26903</f>
        <v>26906</v>
      </c>
      <c r="O43" s="110"/>
      <c r="P43" s="111">
        <f>AVERAGE(C43:N43)</f>
        <v>26635.25</v>
      </c>
    </row>
    <row r="44" spans="1:16" x14ac:dyDescent="0.2">
      <c r="N44" s="63"/>
    </row>
    <row r="45" spans="1:16" ht="15" x14ac:dyDescent="0.35">
      <c r="C45" s="14">
        <f t="shared" ref="C45:N45" si="10">+C43+C41</f>
        <v>58547</v>
      </c>
      <c r="D45" s="14">
        <f t="shared" si="10"/>
        <v>58625</v>
      </c>
      <c r="E45" s="14">
        <f t="shared" si="10"/>
        <v>58811</v>
      </c>
      <c r="F45" s="14">
        <f t="shared" si="10"/>
        <v>58839</v>
      </c>
      <c r="G45" s="14">
        <f t="shared" si="10"/>
        <v>58653</v>
      </c>
      <c r="H45" s="14">
        <f t="shared" si="10"/>
        <v>58622</v>
      </c>
      <c r="I45" s="14">
        <f t="shared" si="10"/>
        <v>58630</v>
      </c>
      <c r="J45" s="14">
        <f t="shared" si="10"/>
        <v>58547</v>
      </c>
      <c r="K45" s="14">
        <f t="shared" si="10"/>
        <v>58837</v>
      </c>
      <c r="L45" s="14">
        <f t="shared" si="10"/>
        <v>59085</v>
      </c>
      <c r="M45" s="14">
        <f t="shared" si="10"/>
        <v>59183</v>
      </c>
      <c r="N45" s="14">
        <f t="shared" si="10"/>
        <v>59460</v>
      </c>
    </row>
    <row r="47" spans="1:16" x14ac:dyDescent="0.2">
      <c r="A47" s="1" t="s">
        <v>88</v>
      </c>
      <c r="C47" s="100">
        <f t="shared" ref="C47:N47" si="11">+C43/C45</f>
        <v>0.45278152595350746</v>
      </c>
      <c r="D47" s="100">
        <f t="shared" si="11"/>
        <v>0.45342430703624731</v>
      </c>
      <c r="E47" s="100">
        <f t="shared" si="11"/>
        <v>0.45285745863869004</v>
      </c>
      <c r="F47" s="100">
        <f t="shared" si="11"/>
        <v>0.45279491493737145</v>
      </c>
      <c r="G47" s="100">
        <f t="shared" si="11"/>
        <v>0.45327604726100967</v>
      </c>
      <c r="H47" s="100">
        <f t="shared" si="11"/>
        <v>0.45322575142437993</v>
      </c>
      <c r="I47" s="100">
        <f t="shared" si="11"/>
        <v>0.45241344021831825</v>
      </c>
      <c r="J47" s="100">
        <f t="shared" si="11"/>
        <v>0.45310605154832867</v>
      </c>
      <c r="K47" s="100">
        <f t="shared" si="11"/>
        <v>0.45206247769260838</v>
      </c>
      <c r="L47" s="100">
        <f t="shared" si="11"/>
        <v>0.45217906406025216</v>
      </c>
      <c r="M47" s="100">
        <f t="shared" si="11"/>
        <v>0.45330584796309753</v>
      </c>
      <c r="N47" s="100">
        <f t="shared" si="11"/>
        <v>0.45250588631012445</v>
      </c>
    </row>
    <row r="49" spans="1:16" x14ac:dyDescent="0.2">
      <c r="A49" s="1" t="s">
        <v>89</v>
      </c>
      <c r="C49" s="114">
        <f t="shared" ref="C49:N49" si="12">1-C47</f>
        <v>0.54721847404649249</v>
      </c>
      <c r="D49" s="114">
        <f t="shared" si="12"/>
        <v>0.54657569296375264</v>
      </c>
      <c r="E49" s="114">
        <f t="shared" si="12"/>
        <v>0.54714254136131002</v>
      </c>
      <c r="F49" s="114">
        <f t="shared" si="12"/>
        <v>0.54720508506262855</v>
      </c>
      <c r="G49" s="114">
        <f t="shared" si="12"/>
        <v>0.54672395273899033</v>
      </c>
      <c r="H49" s="114">
        <f t="shared" si="12"/>
        <v>0.54677424857562007</v>
      </c>
      <c r="I49" s="114">
        <f t="shared" si="12"/>
        <v>0.5475865597816818</v>
      </c>
      <c r="J49" s="114">
        <f t="shared" si="12"/>
        <v>0.54689394845167127</v>
      </c>
      <c r="K49" s="114">
        <f t="shared" si="12"/>
        <v>0.54793752230739168</v>
      </c>
      <c r="L49" s="114">
        <f t="shared" si="12"/>
        <v>0.5478209359397479</v>
      </c>
      <c r="M49" s="114">
        <f t="shared" si="12"/>
        <v>0.54669415203690241</v>
      </c>
      <c r="N49" s="114">
        <f t="shared" si="12"/>
        <v>0.54749411368987555</v>
      </c>
    </row>
    <row r="52" spans="1:16" x14ac:dyDescent="0.2">
      <c r="A52" s="1" t="s">
        <v>92</v>
      </c>
      <c r="B52" s="1"/>
      <c r="C52" s="120">
        <f>SUM(C59:C63)</f>
        <v>-90.17</v>
      </c>
      <c r="D52" s="120">
        <f t="shared" ref="D52:N52" si="13">SUM(D59:D63)</f>
        <v>-90</v>
      </c>
      <c r="E52" s="120">
        <f t="shared" si="13"/>
        <v>-338.38</v>
      </c>
      <c r="F52" s="120">
        <f t="shared" si="13"/>
        <v>-338.38</v>
      </c>
      <c r="G52" s="120">
        <f t="shared" si="13"/>
        <v>-337.79</v>
      </c>
      <c r="H52" s="120">
        <f t="shared" si="13"/>
        <v>-337.08</v>
      </c>
      <c r="I52" s="120">
        <f t="shared" si="13"/>
        <v>-337.08</v>
      </c>
      <c r="J52" s="120">
        <f t="shared" si="13"/>
        <v>-337.08</v>
      </c>
      <c r="K52" s="120">
        <f t="shared" si="13"/>
        <v>-337.08</v>
      </c>
      <c r="L52" s="120">
        <f t="shared" si="13"/>
        <v>-332.13</v>
      </c>
      <c r="M52" s="120">
        <f t="shared" si="13"/>
        <v>-332.13</v>
      </c>
      <c r="N52" s="120">
        <f t="shared" si="13"/>
        <v>-332.13</v>
      </c>
      <c r="O52" s="120"/>
      <c r="P52" s="120">
        <f>SUM(C52:N52)</f>
        <v>-3539.4300000000003</v>
      </c>
    </row>
    <row r="53" spans="1:16" x14ac:dyDescent="0.2">
      <c r="A53" s="6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13"/>
    </row>
    <row r="54" spans="1:16" ht="15" x14ac:dyDescent="0.35">
      <c r="A54" s="1" t="s">
        <v>90</v>
      </c>
      <c r="C54" s="115">
        <v>0.04</v>
      </c>
      <c r="D54" s="115">
        <v>0.04</v>
      </c>
      <c r="E54" s="115">
        <v>0.15</v>
      </c>
      <c r="F54" s="115">
        <v>0.15</v>
      </c>
      <c r="G54" s="115">
        <v>0.15</v>
      </c>
      <c r="H54" s="115">
        <v>0.15</v>
      </c>
      <c r="I54" s="115">
        <v>0.15</v>
      </c>
      <c r="J54" s="115">
        <v>0.15</v>
      </c>
      <c r="K54" s="115">
        <v>0.15</v>
      </c>
      <c r="L54" s="115">
        <v>0.15</v>
      </c>
      <c r="M54" s="115">
        <v>0.15</v>
      </c>
      <c r="N54" s="115">
        <v>0.15</v>
      </c>
      <c r="O54" s="115"/>
      <c r="P54" s="115"/>
    </row>
    <row r="56" spans="1:16" ht="15" x14ac:dyDescent="0.35">
      <c r="A56" s="1" t="s">
        <v>91</v>
      </c>
      <c r="B56" s="116"/>
      <c r="C56" s="117">
        <f t="shared" ref="C56:N56" si="14">-(C52)/C54</f>
        <v>2254.25</v>
      </c>
      <c r="D56" s="117">
        <f t="shared" si="14"/>
        <v>2250</v>
      </c>
      <c r="E56" s="117">
        <f t="shared" si="14"/>
        <v>2255.8666666666668</v>
      </c>
      <c r="F56" s="117">
        <f t="shared" si="14"/>
        <v>2255.8666666666668</v>
      </c>
      <c r="G56" s="117">
        <f t="shared" si="14"/>
        <v>2251.9333333333334</v>
      </c>
      <c r="H56" s="117">
        <f t="shared" si="14"/>
        <v>2247.1999999999998</v>
      </c>
      <c r="I56" s="117">
        <f t="shared" si="14"/>
        <v>2247.1999999999998</v>
      </c>
      <c r="J56" s="117">
        <f t="shared" si="14"/>
        <v>2247.1999999999998</v>
      </c>
      <c r="K56" s="117">
        <f t="shared" si="14"/>
        <v>2247.1999999999998</v>
      </c>
      <c r="L56" s="117">
        <f t="shared" si="14"/>
        <v>2214.2000000000003</v>
      </c>
      <c r="M56" s="117">
        <f t="shared" si="14"/>
        <v>2214.2000000000003</v>
      </c>
      <c r="N56" s="117">
        <f t="shared" si="14"/>
        <v>2214.2000000000003</v>
      </c>
      <c r="O56" s="118"/>
      <c r="P56" s="14">
        <f>SUM(C56:O56)</f>
        <v>26899.316666666673</v>
      </c>
    </row>
    <row r="59" spans="1:16" x14ac:dyDescent="0.2">
      <c r="A59" s="17" t="s">
        <v>170</v>
      </c>
      <c r="B59" t="s">
        <v>169</v>
      </c>
      <c r="C59">
        <v>-3.06</v>
      </c>
      <c r="D59">
        <v>-3.06</v>
      </c>
      <c r="E59">
        <v>-11.7</v>
      </c>
      <c r="F59">
        <v>-11.7</v>
      </c>
      <c r="G59">
        <v>-11.7</v>
      </c>
      <c r="H59">
        <v>-11.7</v>
      </c>
      <c r="I59">
        <v>-11.7</v>
      </c>
      <c r="J59" s="63">
        <v>-11.7</v>
      </c>
      <c r="K59" s="63">
        <v>-11.7</v>
      </c>
      <c r="L59" s="63">
        <v>-11.7</v>
      </c>
      <c r="M59" s="63">
        <f>+L59</f>
        <v>-11.7</v>
      </c>
      <c r="N59" s="63">
        <f>+M59</f>
        <v>-11.7</v>
      </c>
    </row>
    <row r="60" spans="1:16" x14ac:dyDescent="0.2">
      <c r="A60" s="17" t="s">
        <v>183</v>
      </c>
      <c r="B60" t="s">
        <v>169</v>
      </c>
      <c r="C60">
        <v>-2.72</v>
      </c>
      <c r="D60">
        <v>-2.72</v>
      </c>
      <c r="E60">
        <v>-10.4</v>
      </c>
      <c r="F60">
        <v>-10.4</v>
      </c>
      <c r="G60">
        <v>-10.4</v>
      </c>
      <c r="H60">
        <v>-10.4</v>
      </c>
      <c r="I60">
        <v>-10.4</v>
      </c>
      <c r="J60" s="63">
        <v>-10.4</v>
      </c>
      <c r="K60" s="63">
        <v>-10.4</v>
      </c>
      <c r="L60" s="63">
        <v>-10.4</v>
      </c>
      <c r="M60" s="63">
        <f t="shared" ref="M60:N60" si="15">+L60</f>
        <v>-10.4</v>
      </c>
      <c r="N60" s="63">
        <f t="shared" si="15"/>
        <v>-10.4</v>
      </c>
    </row>
    <row r="61" spans="1:16" x14ac:dyDescent="0.2">
      <c r="A61" s="17" t="s">
        <v>171</v>
      </c>
      <c r="B61" t="s">
        <v>169</v>
      </c>
      <c r="C61">
        <v>-0.34</v>
      </c>
      <c r="D61">
        <v>-0.34</v>
      </c>
      <c r="E61">
        <v>-1.3</v>
      </c>
      <c r="F61">
        <v>-1.3</v>
      </c>
      <c r="G61">
        <v>-0.71</v>
      </c>
      <c r="J61" s="286"/>
      <c r="K61" s="286"/>
      <c r="L61" s="286"/>
      <c r="M61" s="63">
        <f t="shared" ref="M61:N61" si="16">+L61</f>
        <v>0</v>
      </c>
      <c r="N61" s="63">
        <f t="shared" si="16"/>
        <v>0</v>
      </c>
    </row>
    <row r="62" spans="1:16" x14ac:dyDescent="0.2">
      <c r="A62" s="17" t="s">
        <v>172</v>
      </c>
      <c r="B62" t="s">
        <v>169</v>
      </c>
      <c r="C62">
        <v>-4.08</v>
      </c>
      <c r="D62">
        <v>-4.08</v>
      </c>
      <c r="E62">
        <v>-15.6</v>
      </c>
      <c r="F62">
        <v>-15.6</v>
      </c>
      <c r="G62">
        <v>-15.6</v>
      </c>
      <c r="H62">
        <v>-15.6</v>
      </c>
      <c r="I62">
        <v>-15.6</v>
      </c>
      <c r="J62" s="63">
        <v>-15.6</v>
      </c>
      <c r="K62" s="63">
        <v>-15.6</v>
      </c>
      <c r="L62" s="63">
        <v>-15.6</v>
      </c>
      <c r="M62" s="63">
        <f t="shared" ref="M62:N62" si="17">+L62</f>
        <v>-15.6</v>
      </c>
      <c r="N62" s="63">
        <f t="shared" si="17"/>
        <v>-15.6</v>
      </c>
    </row>
    <row r="63" spans="1:16" x14ac:dyDescent="0.2">
      <c r="A63" s="17" t="s">
        <v>173</v>
      </c>
      <c r="B63" t="s">
        <v>169</v>
      </c>
      <c r="C63">
        <v>-79.97</v>
      </c>
      <c r="D63">
        <v>-79.8</v>
      </c>
      <c r="E63">
        <v>-299.38</v>
      </c>
      <c r="F63">
        <v>-299.38</v>
      </c>
      <c r="G63">
        <v>-299.38</v>
      </c>
      <c r="H63">
        <v>-299.38</v>
      </c>
      <c r="I63">
        <v>-299.38</v>
      </c>
      <c r="J63" s="63">
        <v>-299.38</v>
      </c>
      <c r="K63" s="63">
        <v>-299.38</v>
      </c>
      <c r="L63" s="63">
        <v>-294.43</v>
      </c>
      <c r="M63" s="63">
        <f t="shared" ref="M63:N63" si="18">+L63</f>
        <v>-294.43</v>
      </c>
      <c r="N63" s="63">
        <f t="shared" si="18"/>
        <v>-294.43</v>
      </c>
    </row>
    <row r="64" spans="1:16" x14ac:dyDescent="0.2">
      <c r="M64" s="63"/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72C6-4FDC-4553-BACD-0BF8FB87639D}">
  <dimension ref="A1:D47"/>
  <sheetViews>
    <sheetView topLeftCell="A31" zoomScale="115" zoomScaleNormal="115" workbookViewId="0">
      <selection activeCell="D43" sqref="D43"/>
    </sheetView>
  </sheetViews>
  <sheetFormatPr defaultRowHeight="12.75" x14ac:dyDescent="0.2"/>
  <cols>
    <col min="1" max="1" width="61.42578125" bestFit="1" customWidth="1"/>
    <col min="4" max="4" width="10.28515625" bestFit="1" customWidth="1"/>
  </cols>
  <sheetData>
    <row r="1" spans="1:4" ht="23.25" x14ac:dyDescent="0.35">
      <c r="A1" s="140" t="s">
        <v>136</v>
      </c>
      <c r="B1" s="140"/>
      <c r="C1" s="141"/>
      <c r="D1" s="141"/>
    </row>
    <row r="2" spans="1:4" ht="15.75" x14ac:dyDescent="0.25">
      <c r="A2" s="142" t="s">
        <v>178</v>
      </c>
      <c r="B2" s="142"/>
      <c r="C2" s="143"/>
      <c r="D2" s="144"/>
    </row>
    <row r="3" spans="1:4" x14ac:dyDescent="0.2">
      <c r="A3" s="194"/>
      <c r="B3" s="194"/>
      <c r="C3" s="195"/>
      <c r="D3" s="196"/>
    </row>
    <row r="4" spans="1:4" ht="15" x14ac:dyDescent="0.35">
      <c r="A4" s="181"/>
      <c r="B4" s="181"/>
      <c r="C4" s="195"/>
      <c r="D4" s="197" t="s">
        <v>105</v>
      </c>
    </row>
    <row r="5" spans="1:4" x14ac:dyDescent="0.2">
      <c r="A5" s="198" t="s">
        <v>106</v>
      </c>
      <c r="B5" s="198"/>
      <c r="C5" s="195"/>
      <c r="D5" s="199"/>
    </row>
    <row r="6" spans="1:4" ht="15" x14ac:dyDescent="0.35">
      <c r="A6" s="181" t="s">
        <v>21</v>
      </c>
      <c r="B6" s="181"/>
      <c r="C6" s="195"/>
      <c r="D6" s="200">
        <v>25579</v>
      </c>
    </row>
    <row r="7" spans="1:4" x14ac:dyDescent="0.2">
      <c r="A7" s="181"/>
      <c r="B7" s="181"/>
      <c r="C7" s="195"/>
      <c r="D7" s="201"/>
    </row>
    <row r="8" spans="1:4" x14ac:dyDescent="0.2">
      <c r="A8" s="198" t="s">
        <v>107</v>
      </c>
      <c r="B8" s="198"/>
      <c r="C8" s="195"/>
      <c r="D8" s="201"/>
    </row>
    <row r="9" spans="1:4" ht="15" x14ac:dyDescent="0.35">
      <c r="A9" s="202" t="s">
        <v>133</v>
      </c>
      <c r="B9" s="202"/>
      <c r="C9" s="195"/>
      <c r="D9" s="203">
        <v>10415</v>
      </c>
    </row>
    <row r="10" spans="1:4" x14ac:dyDescent="0.2">
      <c r="A10" s="182"/>
      <c r="B10" s="182"/>
      <c r="C10" s="195"/>
      <c r="D10" s="201"/>
    </row>
    <row r="11" spans="1:4" x14ac:dyDescent="0.2">
      <c r="A11" s="198" t="s">
        <v>108</v>
      </c>
      <c r="B11" s="198"/>
      <c r="C11" s="195"/>
      <c r="D11" s="199"/>
    </row>
    <row r="12" spans="1:4" ht="34.5" customHeight="1" x14ac:dyDescent="0.35">
      <c r="A12" s="204" t="s">
        <v>177</v>
      </c>
      <c r="B12" s="204"/>
      <c r="C12" s="184"/>
      <c r="D12" s="205">
        <f>ROUND((+'Rebate Calculation'!F160+'Rebate Calculation'!F191)*2, -3)</f>
        <v>645000</v>
      </c>
    </row>
    <row r="13" spans="1:4" x14ac:dyDescent="0.2">
      <c r="A13" s="204"/>
      <c r="B13" s="204"/>
      <c r="C13" s="184"/>
      <c r="D13" s="206"/>
    </row>
    <row r="14" spans="1:4" x14ac:dyDescent="0.2">
      <c r="A14" s="198" t="s">
        <v>109</v>
      </c>
      <c r="B14" s="204"/>
      <c r="C14" s="184"/>
      <c r="D14" s="206"/>
    </row>
    <row r="15" spans="1:4" x14ac:dyDescent="0.2">
      <c r="A15" s="204" t="s">
        <v>110</v>
      </c>
      <c r="B15" s="204"/>
      <c r="C15" s="207">
        <v>0.5</v>
      </c>
      <c r="D15" s="208">
        <f>ROUND(+D12*C15,-2)</f>
        <v>322500</v>
      </c>
    </row>
    <row r="16" spans="1:4" x14ac:dyDescent="0.2">
      <c r="A16" s="209" t="s">
        <v>134</v>
      </c>
      <c r="B16" s="181"/>
      <c r="C16" s="210">
        <v>0.05</v>
      </c>
      <c r="D16" s="211">
        <f>-ROUND(+D28*C16,-2)</f>
        <v>-14700</v>
      </c>
    </row>
    <row r="17" spans="1:4" ht="15" x14ac:dyDescent="0.35">
      <c r="A17" s="209"/>
      <c r="B17" s="181"/>
      <c r="C17" s="195"/>
      <c r="D17" s="212">
        <f>+D15+D16</f>
        <v>307800</v>
      </c>
    </row>
    <row r="18" spans="1:4" x14ac:dyDescent="0.2">
      <c r="A18" s="198" t="s">
        <v>111</v>
      </c>
      <c r="B18" s="198"/>
      <c r="C18" s="195"/>
      <c r="D18" s="199"/>
    </row>
    <row r="19" spans="1:4" ht="15" x14ac:dyDescent="0.35">
      <c r="A19" s="213" t="s">
        <v>112</v>
      </c>
      <c r="B19" s="213"/>
      <c r="C19" s="195"/>
      <c r="D19" s="214">
        <f>+D46</f>
        <v>108800</v>
      </c>
    </row>
    <row r="20" spans="1:4" ht="15" x14ac:dyDescent="0.35">
      <c r="A20" s="213"/>
      <c r="B20" s="213"/>
      <c r="C20" s="215"/>
      <c r="D20" s="216"/>
    </row>
    <row r="21" spans="1:4" ht="15" x14ac:dyDescent="0.35">
      <c r="A21" s="217" t="s">
        <v>113</v>
      </c>
      <c r="B21" s="217"/>
      <c r="C21" s="183"/>
      <c r="D21" s="216"/>
    </row>
    <row r="22" spans="1:4" ht="15" x14ac:dyDescent="0.25">
      <c r="A22" s="270" t="s">
        <v>179</v>
      </c>
      <c r="B22" s="185"/>
      <c r="C22" s="218"/>
      <c r="D22" s="219">
        <v>115300</v>
      </c>
    </row>
    <row r="23" spans="1:4" ht="15" x14ac:dyDescent="0.25">
      <c r="A23" s="270" t="s">
        <v>180</v>
      </c>
      <c r="B23" s="185"/>
      <c r="C23" s="184"/>
      <c r="D23" s="219">
        <v>20000</v>
      </c>
    </row>
    <row r="24" spans="1:4" ht="15" x14ac:dyDescent="0.25">
      <c r="A24" s="270" t="s">
        <v>181</v>
      </c>
      <c r="B24" s="185"/>
      <c r="C24" s="220"/>
      <c r="D24" s="219">
        <v>35000</v>
      </c>
    </row>
    <row r="25" spans="1:4" ht="16.5" x14ac:dyDescent="0.35">
      <c r="A25" s="270" t="s">
        <v>182</v>
      </c>
      <c r="B25" s="185"/>
      <c r="C25" s="220"/>
      <c r="D25" s="221">
        <v>14000</v>
      </c>
    </row>
    <row r="26" spans="1:4" ht="19.5" customHeight="1" x14ac:dyDescent="0.35">
      <c r="A26" s="213" t="s">
        <v>114</v>
      </c>
      <c r="B26" s="213"/>
      <c r="C26" s="184"/>
      <c r="D26" s="214">
        <f>SUM(D22:D25)</f>
        <v>184300</v>
      </c>
    </row>
    <row r="27" spans="1:4" x14ac:dyDescent="0.2">
      <c r="A27" s="213"/>
      <c r="B27" s="213"/>
      <c r="C27" s="222"/>
      <c r="D27" s="223"/>
    </row>
    <row r="28" spans="1:4" ht="15" x14ac:dyDescent="0.35">
      <c r="A28" s="213" t="s">
        <v>115</v>
      </c>
      <c r="B28" s="213"/>
      <c r="C28" s="222"/>
      <c r="D28" s="224">
        <f>+D26+D19</f>
        <v>293100</v>
      </c>
    </row>
    <row r="29" spans="1:4" ht="15" x14ac:dyDescent="0.35">
      <c r="A29" s="213"/>
      <c r="B29" s="213"/>
      <c r="C29" s="222"/>
      <c r="D29" s="224"/>
    </row>
    <row r="30" spans="1:4" ht="15" x14ac:dyDescent="0.35">
      <c r="A30" s="213" t="s">
        <v>116</v>
      </c>
      <c r="B30" s="213"/>
      <c r="C30" s="222"/>
      <c r="D30" s="214">
        <f>ROUND(+D28*0.05,-2)</f>
        <v>14700</v>
      </c>
    </row>
    <row r="31" spans="1:4" x14ac:dyDescent="0.2">
      <c r="A31" s="213"/>
      <c r="B31" s="213"/>
      <c r="C31" s="222"/>
      <c r="D31" s="225"/>
    </row>
    <row r="32" spans="1:4" x14ac:dyDescent="0.2">
      <c r="A32" s="213" t="s">
        <v>117</v>
      </c>
      <c r="B32" s="213"/>
      <c r="C32" s="226"/>
      <c r="D32" s="225">
        <f>+D30+D28</f>
        <v>307800</v>
      </c>
    </row>
    <row r="33" spans="1:4" x14ac:dyDescent="0.2">
      <c r="A33" s="213"/>
      <c r="B33" s="213"/>
      <c r="C33" s="226"/>
      <c r="D33" s="225"/>
    </row>
    <row r="34" spans="1:4" ht="15" hidden="1" x14ac:dyDescent="0.25">
      <c r="A34" s="248" t="s">
        <v>174</v>
      </c>
      <c r="B34" s="194"/>
      <c r="C34" s="227"/>
      <c r="D34" s="247">
        <f>+D32-D17</f>
        <v>0</v>
      </c>
    </row>
    <row r="35" spans="1:4" ht="15" x14ac:dyDescent="0.25">
      <c r="A35" s="246"/>
      <c r="B35" s="194"/>
      <c r="C35" s="227"/>
      <c r="D35" s="228"/>
    </row>
    <row r="36" spans="1:4" x14ac:dyDescent="0.2">
      <c r="A36" s="213" t="s">
        <v>118</v>
      </c>
      <c r="B36" s="213"/>
      <c r="C36" s="227"/>
      <c r="D36" s="229">
        <f>+D9*2000/D6/24</f>
        <v>33.93082867456377</v>
      </c>
    </row>
    <row r="37" spans="1:4" x14ac:dyDescent="0.2">
      <c r="A37" s="63"/>
      <c r="B37" s="63"/>
      <c r="C37" s="227"/>
      <c r="D37" s="229"/>
    </row>
    <row r="38" spans="1:4" x14ac:dyDescent="0.2">
      <c r="A38" s="213" t="s">
        <v>119</v>
      </c>
      <c r="B38" s="213"/>
      <c r="C38" s="227"/>
      <c r="D38" s="230">
        <f>+D12/D9</f>
        <v>61.929908785405665</v>
      </c>
    </row>
    <row r="39" spans="1:4" ht="13.5" thickBot="1" x14ac:dyDescent="0.25">
      <c r="A39" s="185"/>
      <c r="B39" s="185"/>
      <c r="C39" s="184"/>
      <c r="D39" s="184"/>
    </row>
    <row r="40" spans="1:4" x14ac:dyDescent="0.2">
      <c r="A40" s="186"/>
      <c r="B40" s="187"/>
      <c r="C40" s="188"/>
      <c r="D40" s="189"/>
    </row>
    <row r="41" spans="1:4" ht="25.5" x14ac:dyDescent="0.2">
      <c r="A41" s="231" t="s">
        <v>120</v>
      </c>
      <c r="B41" s="232" t="s">
        <v>121</v>
      </c>
      <c r="C41" s="233" t="s">
        <v>122</v>
      </c>
      <c r="D41" s="234" t="s">
        <v>123</v>
      </c>
    </row>
    <row r="42" spans="1:4" x14ac:dyDescent="0.2">
      <c r="A42" s="145" t="s">
        <v>124</v>
      </c>
      <c r="B42" s="235">
        <v>50</v>
      </c>
      <c r="C42" s="236">
        <v>90</v>
      </c>
      <c r="D42" s="237">
        <f t="shared" ref="D42:D45" si="0">ROUND(B42*C42,-2)</f>
        <v>4500</v>
      </c>
    </row>
    <row r="43" spans="1:4" x14ac:dyDescent="0.2">
      <c r="A43" s="145" t="s">
        <v>125</v>
      </c>
      <c r="B43" s="235">
        <v>50</v>
      </c>
      <c r="C43" s="236">
        <v>150</v>
      </c>
      <c r="D43" s="237">
        <f t="shared" si="0"/>
        <v>7500</v>
      </c>
    </row>
    <row r="44" spans="1:4" x14ac:dyDescent="0.2">
      <c r="A44" s="145" t="s">
        <v>135</v>
      </c>
      <c r="B44" s="235">
        <v>980</v>
      </c>
      <c r="C44" s="236">
        <v>90</v>
      </c>
      <c r="D44" s="237">
        <f t="shared" si="0"/>
        <v>88200</v>
      </c>
    </row>
    <row r="45" spans="1:4" ht="15" x14ac:dyDescent="0.35">
      <c r="A45" s="145" t="s">
        <v>126</v>
      </c>
      <c r="B45" s="238">
        <v>96</v>
      </c>
      <c r="C45" s="236">
        <v>90</v>
      </c>
      <c r="D45" s="239">
        <f t="shared" si="0"/>
        <v>8600</v>
      </c>
    </row>
    <row r="46" spans="1:4" ht="15" x14ac:dyDescent="0.35">
      <c r="A46" s="240" t="s">
        <v>127</v>
      </c>
      <c r="B46" s="241">
        <f>SUM(B42:B45)</f>
        <v>1176</v>
      </c>
      <c r="C46" s="236"/>
      <c r="D46" s="242">
        <f>SUM(D42:D45)</f>
        <v>108800</v>
      </c>
    </row>
    <row r="47" spans="1:4" ht="13.5" thickBot="1" x14ac:dyDescent="0.25">
      <c r="A47" s="190"/>
      <c r="B47" s="191"/>
      <c r="C47" s="192"/>
      <c r="D47" s="19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6132-82EB-4B6F-AB1B-6EB1AF7A12AE}">
  <dimension ref="A1:J42"/>
  <sheetViews>
    <sheetView topLeftCell="A46" zoomScale="130" zoomScaleNormal="130" workbookViewId="0">
      <selection activeCell="A40" sqref="A40"/>
    </sheetView>
  </sheetViews>
  <sheetFormatPr defaultRowHeight="12.75" x14ac:dyDescent="0.2"/>
  <cols>
    <col min="1" max="1" width="72.5703125" bestFit="1" customWidth="1"/>
    <col min="4" max="4" width="12.28515625" bestFit="1" customWidth="1"/>
    <col min="5" max="5" width="5.28515625" customWidth="1"/>
    <col min="6" max="6" width="13.28515625" style="63" bestFit="1" customWidth="1"/>
    <col min="7" max="7" width="4.140625" customWidth="1"/>
    <col min="8" max="8" width="12.85546875" bestFit="1" customWidth="1"/>
    <col min="9" max="9" width="9.7109375" bestFit="1" customWidth="1"/>
    <col min="10" max="10" width="9.85546875" customWidth="1"/>
    <col min="11" max="11" width="9" bestFit="1" customWidth="1"/>
    <col min="12" max="12" width="12.42578125" bestFit="1" customWidth="1"/>
  </cols>
  <sheetData>
    <row r="1" spans="1:9" ht="23.25" x14ac:dyDescent="0.35">
      <c r="A1" s="287" t="s">
        <v>136</v>
      </c>
      <c r="B1" s="287"/>
    </row>
    <row r="2" spans="1:9" ht="15.75" x14ac:dyDescent="0.25">
      <c r="A2" s="142" t="s">
        <v>178</v>
      </c>
      <c r="B2" s="142"/>
      <c r="C2" s="143"/>
      <c r="D2" s="144"/>
    </row>
    <row r="3" spans="1:9" x14ac:dyDescent="0.2">
      <c r="A3" s="194"/>
      <c r="B3" s="194"/>
      <c r="C3" s="195"/>
      <c r="D3" s="196"/>
      <c r="E3" s="63"/>
      <c r="F3" s="4" t="s">
        <v>223</v>
      </c>
      <c r="H3" s="4"/>
      <c r="I3" s="4"/>
    </row>
    <row r="4" spans="1:9" ht="15" x14ac:dyDescent="0.35">
      <c r="A4" s="63"/>
      <c r="B4" s="63"/>
      <c r="C4" s="195"/>
      <c r="D4" s="197" t="s">
        <v>105</v>
      </c>
      <c r="E4" s="63"/>
      <c r="F4" s="101" t="s">
        <v>230</v>
      </c>
      <c r="H4" s="101" t="s">
        <v>224</v>
      </c>
      <c r="I4" s="101"/>
    </row>
    <row r="5" spans="1:9" x14ac:dyDescent="0.2">
      <c r="A5" s="289" t="s">
        <v>106</v>
      </c>
      <c r="B5" s="289"/>
      <c r="C5" s="195"/>
      <c r="D5" s="288"/>
      <c r="E5" s="63"/>
      <c r="H5" s="63"/>
      <c r="I5" s="63"/>
    </row>
    <row r="6" spans="1:9" ht="15" x14ac:dyDescent="0.35">
      <c r="A6" s="63" t="s">
        <v>21</v>
      </c>
      <c r="B6" s="63"/>
      <c r="C6" s="195"/>
      <c r="D6" s="310">
        <f>+'2020-2022 Budget'!D6</f>
        <v>25579</v>
      </c>
      <c r="E6" s="63"/>
      <c r="F6" s="157">
        <f>+'Res''l &amp; MF Customers'!P43</f>
        <v>26635.25</v>
      </c>
      <c r="H6" s="14">
        <f>+F6-D6</f>
        <v>1056.25</v>
      </c>
      <c r="I6" s="63"/>
    </row>
    <row r="7" spans="1:9" x14ac:dyDescent="0.2">
      <c r="A7" s="63"/>
      <c r="B7" s="63"/>
      <c r="C7" s="195"/>
      <c r="D7" s="201"/>
      <c r="E7" s="63"/>
      <c r="H7" s="63"/>
      <c r="I7" s="63"/>
    </row>
    <row r="8" spans="1:9" x14ac:dyDescent="0.2">
      <c r="A8" s="289" t="s">
        <v>107</v>
      </c>
      <c r="B8" s="289"/>
      <c r="C8" s="195"/>
      <c r="D8" s="201"/>
      <c r="E8" s="63"/>
      <c r="H8" s="63"/>
      <c r="I8" s="63"/>
    </row>
    <row r="9" spans="1:9" ht="15" x14ac:dyDescent="0.35">
      <c r="A9" s="300" t="s">
        <v>133</v>
      </c>
      <c r="B9" s="300"/>
      <c r="C9" s="195"/>
      <c r="D9" s="311">
        <f>+'2020-2022 Budget'!D9</f>
        <v>10415</v>
      </c>
      <c r="E9" s="63"/>
      <c r="F9" s="14">
        <f>+'24 Month Rev &amp; Ton summary'!F10</f>
        <v>10408.875490388566</v>
      </c>
      <c r="H9" s="14">
        <f>+F9-D9</f>
        <v>-6.1245096114344051</v>
      </c>
      <c r="I9" s="63"/>
    </row>
    <row r="10" spans="1:9" x14ac:dyDescent="0.2">
      <c r="A10" s="63"/>
      <c r="B10" s="63"/>
      <c r="C10" s="195"/>
      <c r="D10" s="201"/>
      <c r="E10" s="63"/>
      <c r="H10" s="63"/>
      <c r="I10" s="63"/>
    </row>
    <row r="11" spans="1:9" x14ac:dyDescent="0.2">
      <c r="A11" s="289" t="s">
        <v>108</v>
      </c>
      <c r="B11" s="289"/>
      <c r="C11" s="195"/>
      <c r="D11" s="288"/>
      <c r="E11" s="63"/>
      <c r="H11" s="63"/>
      <c r="I11" s="63"/>
    </row>
    <row r="12" spans="1:9" ht="20.25" customHeight="1" x14ac:dyDescent="0.35">
      <c r="A12" s="204" t="s">
        <v>229</v>
      </c>
      <c r="B12" s="204"/>
      <c r="C12" s="184"/>
      <c r="D12" s="205">
        <f>+'2020-2022 Budget'!D12</f>
        <v>645000</v>
      </c>
      <c r="E12" s="63"/>
      <c r="F12" s="11">
        <f>+'24 Month Rev &amp; Ton summary'!F12</f>
        <v>1340395.7734130914</v>
      </c>
      <c r="H12" s="11">
        <f>+F12-D12</f>
        <v>695395.77341309143</v>
      </c>
      <c r="I12" s="312"/>
    </row>
    <row r="13" spans="1:9" x14ac:dyDescent="0.2">
      <c r="A13" s="204"/>
      <c r="B13" s="204"/>
      <c r="C13" s="184"/>
      <c r="D13" s="206"/>
      <c r="E13" s="63"/>
      <c r="H13" s="63"/>
      <c r="I13" s="63"/>
    </row>
    <row r="14" spans="1:9" x14ac:dyDescent="0.2">
      <c r="A14" s="289" t="s">
        <v>109</v>
      </c>
      <c r="B14" s="204"/>
      <c r="C14" s="184"/>
      <c r="D14" s="206"/>
      <c r="E14" s="63"/>
      <c r="H14" s="63"/>
      <c r="I14" s="63"/>
    </row>
    <row r="15" spans="1:9" x14ac:dyDescent="0.2">
      <c r="A15" s="204" t="s">
        <v>110</v>
      </c>
      <c r="B15" s="204"/>
      <c r="C15" s="207">
        <v>0.5</v>
      </c>
      <c r="D15" s="208">
        <f>ROUND(+D12*C15,-2)</f>
        <v>322500</v>
      </c>
      <c r="E15" s="63"/>
      <c r="F15" s="313">
        <f>+F12*C15</f>
        <v>670197.88670654572</v>
      </c>
      <c r="H15" s="313">
        <f>+F15-D15</f>
        <v>347697.88670654572</v>
      </c>
      <c r="I15" s="313"/>
    </row>
    <row r="16" spans="1:9" ht="15" x14ac:dyDescent="0.35">
      <c r="A16" s="204" t="s">
        <v>134</v>
      </c>
      <c r="B16" s="63"/>
      <c r="C16" s="210">
        <v>0.05</v>
      </c>
      <c r="D16" s="211">
        <f>-ROUND(+D28*C16,-2)</f>
        <v>-14700</v>
      </c>
      <c r="E16" s="63"/>
      <c r="F16" s="10">
        <f>-ROUND(C16*F28,-2)</f>
        <v>-30500</v>
      </c>
      <c r="H16" s="10">
        <f>+F16-D16</f>
        <v>-15800</v>
      </c>
      <c r="I16" s="10"/>
    </row>
    <row r="17" spans="1:10" ht="15" x14ac:dyDescent="0.35">
      <c r="A17" s="204"/>
      <c r="B17" s="63"/>
      <c r="C17" s="195"/>
      <c r="D17" s="212">
        <f>+D15+D16</f>
        <v>307800</v>
      </c>
      <c r="E17" s="63"/>
      <c r="F17" s="212">
        <f>+F15+F16</f>
        <v>639697.88670654572</v>
      </c>
      <c r="H17" s="212">
        <f>+H15+H16</f>
        <v>331897.88670654572</v>
      </c>
      <c r="I17" s="212"/>
    </row>
    <row r="18" spans="1:10" x14ac:dyDescent="0.2">
      <c r="A18" s="289" t="s">
        <v>111</v>
      </c>
      <c r="B18" s="289"/>
      <c r="C18" s="195"/>
      <c r="D18" s="288"/>
      <c r="E18" s="63"/>
      <c r="H18" s="63"/>
      <c r="I18" s="63"/>
    </row>
    <row r="19" spans="1:10" ht="21.75" customHeight="1" x14ac:dyDescent="0.35">
      <c r="A19" s="213" t="s">
        <v>112</v>
      </c>
      <c r="B19" s="213"/>
      <c r="C19" s="195"/>
      <c r="D19" s="214">
        <f>+'2020-2022 Budget'!D19</f>
        <v>108800</v>
      </c>
      <c r="E19" s="314"/>
      <c r="F19" s="214">
        <v>137900</v>
      </c>
      <c r="H19" s="10">
        <f>+F19-D19</f>
        <v>29100</v>
      </c>
      <c r="I19" s="315"/>
    </row>
    <row r="20" spans="1:10" ht="15" x14ac:dyDescent="0.35">
      <c r="A20" s="213"/>
      <c r="B20" s="213"/>
      <c r="C20" s="215"/>
      <c r="D20" s="216"/>
      <c r="E20" s="63"/>
      <c r="F20" s="216"/>
      <c r="H20" s="63"/>
      <c r="I20" s="63"/>
    </row>
    <row r="21" spans="1:10" ht="15" x14ac:dyDescent="0.35">
      <c r="A21" s="289" t="s">
        <v>113</v>
      </c>
      <c r="B21" s="289"/>
      <c r="C21" s="63"/>
      <c r="D21" s="216"/>
      <c r="E21" s="63"/>
      <c r="F21" s="216"/>
      <c r="H21" s="63"/>
      <c r="I21" s="63"/>
    </row>
    <row r="22" spans="1:10" x14ac:dyDescent="0.2">
      <c r="A22" s="185" t="s">
        <v>225</v>
      </c>
      <c r="B22" s="185"/>
      <c r="C22" s="218"/>
      <c r="D22" s="219">
        <f>+'2020-2022 Budget'!D22</f>
        <v>115300</v>
      </c>
      <c r="E22" s="63"/>
      <c r="F22" s="219">
        <f>348851-11700</f>
        <v>337151</v>
      </c>
      <c r="H22" s="313">
        <f>+F22-D22</f>
        <v>221851</v>
      </c>
      <c r="I22" s="313"/>
    </row>
    <row r="23" spans="1:10" x14ac:dyDescent="0.2">
      <c r="A23" s="185" t="s">
        <v>226</v>
      </c>
      <c r="B23" s="185"/>
      <c r="C23" s="184"/>
      <c r="D23" s="219">
        <f>+'2020-2022 Budget'!D23</f>
        <v>20000</v>
      </c>
      <c r="E23" s="63"/>
      <c r="F23" s="219">
        <v>16000</v>
      </c>
      <c r="H23" s="313">
        <f t="shared" ref="H23:H25" si="0">+F23-D23</f>
        <v>-4000</v>
      </c>
      <c r="I23" s="313"/>
    </row>
    <row r="24" spans="1:10" x14ac:dyDescent="0.2">
      <c r="A24" s="185" t="s">
        <v>227</v>
      </c>
      <c r="B24" s="185"/>
      <c r="C24" s="195"/>
      <c r="D24" s="219">
        <f>+'2020-2022 Budget'!D24</f>
        <v>35000</v>
      </c>
      <c r="E24" s="63"/>
      <c r="F24" s="219">
        <v>94055</v>
      </c>
      <c r="H24" s="313">
        <f t="shared" si="0"/>
        <v>59055</v>
      </c>
      <c r="I24" s="313"/>
    </row>
    <row r="25" spans="1:10" ht="15" x14ac:dyDescent="0.35">
      <c r="A25" s="185" t="s">
        <v>228</v>
      </c>
      <c r="B25" s="185"/>
      <c r="C25" s="195"/>
      <c r="D25" s="221">
        <f>+'2020-2022 Budget'!D25</f>
        <v>14000</v>
      </c>
      <c r="E25" s="63"/>
      <c r="F25" s="221">
        <v>24000</v>
      </c>
      <c r="H25" s="10">
        <f t="shared" si="0"/>
        <v>10000</v>
      </c>
      <c r="I25" s="10"/>
    </row>
    <row r="26" spans="1:10" ht="15" x14ac:dyDescent="0.35">
      <c r="A26" s="213" t="s">
        <v>114</v>
      </c>
      <c r="B26" s="213"/>
      <c r="C26" s="184"/>
      <c r="D26" s="214">
        <f>SUM(D22:D25)</f>
        <v>184300</v>
      </c>
      <c r="E26" s="314"/>
      <c r="F26" s="214">
        <f>SUM(F22:F25)</f>
        <v>471206</v>
      </c>
      <c r="H26" s="214">
        <f>SUM(H22:H25)</f>
        <v>286906</v>
      </c>
      <c r="I26" s="214"/>
    </row>
    <row r="27" spans="1:10" x14ac:dyDescent="0.2">
      <c r="A27" s="213"/>
      <c r="B27" s="213"/>
      <c r="C27" s="222"/>
      <c r="D27" s="223"/>
      <c r="E27" s="63"/>
      <c r="F27" s="223"/>
      <c r="H27" s="63"/>
      <c r="I27" s="63"/>
    </row>
    <row r="28" spans="1:10" ht="15" x14ac:dyDescent="0.35">
      <c r="A28" s="213" t="s">
        <v>115</v>
      </c>
      <c r="B28" s="213"/>
      <c r="C28" s="222"/>
      <c r="D28" s="224">
        <f>+D26+D19</f>
        <v>293100</v>
      </c>
      <c r="E28" s="63"/>
      <c r="F28" s="224">
        <f>+F26+F19</f>
        <v>609106</v>
      </c>
      <c r="H28" s="224">
        <f>+H26+H19</f>
        <v>316006</v>
      </c>
      <c r="I28" s="224"/>
      <c r="J28" s="63"/>
    </row>
    <row r="29" spans="1:10" ht="15" x14ac:dyDescent="0.35">
      <c r="A29" s="213"/>
      <c r="B29" s="213"/>
      <c r="C29" s="222"/>
      <c r="D29" s="224"/>
      <c r="E29" s="63"/>
      <c r="H29" s="63"/>
      <c r="I29" s="63"/>
    </row>
    <row r="30" spans="1:10" ht="15" x14ac:dyDescent="0.35">
      <c r="A30" s="213" t="s">
        <v>116</v>
      </c>
      <c r="B30" s="213"/>
      <c r="C30" s="222"/>
      <c r="D30" s="214">
        <f>ROUND(+D28*0.05,-2)</f>
        <v>14700</v>
      </c>
      <c r="E30" s="214"/>
      <c r="F30" s="214">
        <f t="shared" ref="F30" si="1">ROUND(+F28*0.05,-2)</f>
        <v>30500</v>
      </c>
      <c r="H30" s="214">
        <f t="shared" ref="H30" si="2">ROUND(+H28*0.05,-2)</f>
        <v>15800</v>
      </c>
      <c r="I30" s="214"/>
    </row>
    <row r="31" spans="1:10" x14ac:dyDescent="0.2">
      <c r="A31" s="213"/>
      <c r="B31" s="213"/>
      <c r="C31" s="222"/>
      <c r="D31" s="225"/>
      <c r="E31" s="225"/>
      <c r="F31" s="225"/>
      <c r="H31" s="225"/>
      <c r="I31" s="225"/>
    </row>
    <row r="32" spans="1:10" x14ac:dyDescent="0.2">
      <c r="A32" s="213" t="s">
        <v>117</v>
      </c>
      <c r="B32" s="213"/>
      <c r="C32" s="226"/>
      <c r="D32" s="225">
        <f>+D30+D28</f>
        <v>307800</v>
      </c>
      <c r="E32" s="225"/>
      <c r="F32" s="225">
        <f t="shared" ref="F32" si="3">+F30+F28</f>
        <v>639606</v>
      </c>
      <c r="H32" s="225">
        <f t="shared" ref="H32" si="4">+H30+H28</f>
        <v>331806</v>
      </c>
      <c r="J32" s="225"/>
    </row>
    <row r="33" spans="1:10" x14ac:dyDescent="0.2">
      <c r="A33" s="213"/>
      <c r="B33" s="213"/>
      <c r="C33" s="226"/>
      <c r="D33" s="225"/>
      <c r="E33" s="225"/>
      <c r="F33" s="225"/>
      <c r="H33" s="225"/>
      <c r="J33" s="225"/>
    </row>
    <row r="34" spans="1:10" ht="15" x14ac:dyDescent="0.25">
      <c r="A34" s="248" t="s">
        <v>174</v>
      </c>
      <c r="B34" s="194"/>
      <c r="C34" s="227"/>
      <c r="D34" s="247">
        <f>+D32-D17</f>
        <v>0</v>
      </c>
      <c r="E34" s="1"/>
      <c r="F34" s="247">
        <f>+F32-F17</f>
        <v>-91.886706545716152</v>
      </c>
      <c r="G34" s="1"/>
      <c r="H34" s="247">
        <f>+H32-H17</f>
        <v>-91.886706545716152</v>
      </c>
      <c r="I34" s="63"/>
    </row>
    <row r="35" spans="1:10" ht="15" x14ac:dyDescent="0.25">
      <c r="A35" s="246"/>
      <c r="B35" s="194"/>
      <c r="C35" s="227"/>
      <c r="D35" s="228"/>
      <c r="E35" s="63"/>
      <c r="H35" s="63"/>
      <c r="I35" s="63"/>
    </row>
    <row r="36" spans="1:10" x14ac:dyDescent="0.2">
      <c r="A36" s="213" t="s">
        <v>118</v>
      </c>
      <c r="B36" s="213"/>
      <c r="C36" s="227"/>
      <c r="D36" s="229">
        <f>+D9*2000/D6/24</f>
        <v>33.93082867456377</v>
      </c>
      <c r="E36" s="229"/>
      <c r="F36" s="229">
        <f>+F9*2000/F6/24</f>
        <v>32.566102847381337</v>
      </c>
      <c r="H36" s="229">
        <f>+F36-D36</f>
        <v>-1.3647258271824327</v>
      </c>
      <c r="I36" s="63"/>
    </row>
    <row r="37" spans="1:10" x14ac:dyDescent="0.2">
      <c r="A37" s="63"/>
      <c r="B37" s="63"/>
      <c r="C37" s="227"/>
      <c r="D37" s="229"/>
      <c r="E37" s="229"/>
      <c r="F37" s="229"/>
      <c r="H37" s="229"/>
      <c r="I37" s="63"/>
    </row>
    <row r="38" spans="1:10" x14ac:dyDescent="0.2">
      <c r="A38" s="213" t="s">
        <v>119</v>
      </c>
      <c r="B38" s="213"/>
      <c r="C38" s="227"/>
      <c r="D38" s="230">
        <f>+D12/D9</f>
        <v>61.929908785405665</v>
      </c>
      <c r="E38" s="230"/>
      <c r="F38" s="230">
        <f>+F12/F9</f>
        <v>128.77431137021452</v>
      </c>
      <c r="H38" s="230">
        <f>+F38-D38</f>
        <v>66.844402584808847</v>
      </c>
      <c r="I38" s="63"/>
    </row>
    <row r="39" spans="1:10" x14ac:dyDescent="0.2">
      <c r="A39" s="185"/>
      <c r="B39" s="185"/>
      <c r="C39" s="184"/>
      <c r="D39" s="184"/>
      <c r="E39" s="63"/>
      <c r="G39" s="63"/>
      <c r="H39" s="63"/>
      <c r="I39" s="63"/>
    </row>
    <row r="40" spans="1:10" x14ac:dyDescent="0.2">
      <c r="A40" s="63"/>
      <c r="B40" s="63"/>
      <c r="C40" s="63"/>
      <c r="D40" s="63"/>
      <c r="E40" s="63"/>
      <c r="G40" s="63"/>
      <c r="H40" s="63"/>
      <c r="I40" s="63"/>
    </row>
    <row r="41" spans="1:10" x14ac:dyDescent="0.2">
      <c r="A41" s="63"/>
      <c r="B41" s="63"/>
      <c r="C41" s="63"/>
      <c r="D41" s="63"/>
      <c r="E41" s="63"/>
      <c r="G41" s="63"/>
      <c r="H41" s="63"/>
      <c r="I41" s="63"/>
    </row>
    <row r="42" spans="1:10" x14ac:dyDescent="0.2">
      <c r="A42" s="63"/>
      <c r="B42" s="63"/>
      <c r="C42" s="63"/>
      <c r="D42" s="63"/>
      <c r="E42" s="63"/>
      <c r="G42" s="63"/>
      <c r="H42" s="63"/>
      <c r="I42" s="6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3796-1C23-4F4D-959A-9ECBB1207F99}">
  <sheetPr>
    <tabColor rgb="FFFF0000"/>
  </sheetPr>
  <dimension ref="A1:D48"/>
  <sheetViews>
    <sheetView workbookViewId="0">
      <selection activeCell="A12" sqref="A12"/>
    </sheetView>
  </sheetViews>
  <sheetFormatPr defaultRowHeight="12.75" x14ac:dyDescent="0.2"/>
  <cols>
    <col min="1" max="1" width="61.42578125" bestFit="1" customWidth="1"/>
    <col min="4" max="4" width="12.28515625" bestFit="1" customWidth="1"/>
  </cols>
  <sheetData>
    <row r="1" spans="1:4" ht="23.25" x14ac:dyDescent="0.35">
      <c r="A1" s="140" t="s">
        <v>136</v>
      </c>
      <c r="B1" s="140"/>
      <c r="C1" s="141"/>
      <c r="D1" s="141"/>
    </row>
    <row r="2" spans="1:4" ht="15.75" x14ac:dyDescent="0.25">
      <c r="A2" s="142" t="s">
        <v>178</v>
      </c>
      <c r="B2" s="142"/>
      <c r="C2" s="143"/>
      <c r="D2" s="144"/>
    </row>
    <row r="3" spans="1:4" x14ac:dyDescent="0.2">
      <c r="A3" s="194"/>
      <c r="B3" s="194"/>
      <c r="C3" s="195"/>
      <c r="D3" s="196" t="s">
        <v>189</v>
      </c>
    </row>
    <row r="4" spans="1:4" ht="15" x14ac:dyDescent="0.35">
      <c r="A4" s="181"/>
      <c r="B4" s="181"/>
      <c r="C4" s="195"/>
      <c r="D4" s="197" t="s">
        <v>105</v>
      </c>
    </row>
    <row r="5" spans="1:4" x14ac:dyDescent="0.2">
      <c r="A5" s="198" t="s">
        <v>106</v>
      </c>
      <c r="B5" s="198"/>
      <c r="C5" s="195"/>
      <c r="D5" s="199"/>
    </row>
    <row r="6" spans="1:4" ht="15" x14ac:dyDescent="0.35">
      <c r="A6" s="181" t="s">
        <v>21</v>
      </c>
      <c r="B6" s="181"/>
      <c r="C6" s="195"/>
      <c r="D6" s="200">
        <v>25579</v>
      </c>
    </row>
    <row r="7" spans="1:4" x14ac:dyDescent="0.2">
      <c r="A7" s="181"/>
      <c r="B7" s="181"/>
      <c r="C7" s="195"/>
      <c r="D7" s="201"/>
    </row>
    <row r="8" spans="1:4" x14ac:dyDescent="0.2">
      <c r="A8" s="198" t="s">
        <v>107</v>
      </c>
      <c r="B8" s="198"/>
      <c r="C8" s="195"/>
      <c r="D8" s="201"/>
    </row>
    <row r="9" spans="1:4" ht="15" x14ac:dyDescent="0.35">
      <c r="A9" s="202" t="s">
        <v>133</v>
      </c>
      <c r="B9" s="202"/>
      <c r="C9" s="195"/>
      <c r="D9" s="203">
        <v>10415</v>
      </c>
    </row>
    <row r="10" spans="1:4" x14ac:dyDescent="0.2">
      <c r="A10" s="182"/>
      <c r="B10" s="182"/>
      <c r="C10" s="195"/>
      <c r="D10" s="201"/>
    </row>
    <row r="11" spans="1:4" x14ac:dyDescent="0.2">
      <c r="A11" s="198" t="s">
        <v>108</v>
      </c>
      <c r="B11" s="198"/>
      <c r="C11" s="195"/>
      <c r="D11" s="199"/>
    </row>
    <row r="12" spans="1:4" ht="34.5" customHeight="1" x14ac:dyDescent="0.35">
      <c r="A12" s="204" t="s">
        <v>177</v>
      </c>
      <c r="B12" s="204"/>
      <c r="C12" s="184"/>
      <c r="D12" s="205">
        <f>ROUND((+'Rebate Calculation'!F160+'Rebate Calculation'!F191)*2, -3)</f>
        <v>645000</v>
      </c>
    </row>
    <row r="13" spans="1:4" x14ac:dyDescent="0.2">
      <c r="A13" s="204"/>
      <c r="B13" s="204"/>
      <c r="C13" s="184"/>
      <c r="D13" s="206"/>
    </row>
    <row r="14" spans="1:4" x14ac:dyDescent="0.2">
      <c r="A14" s="198" t="s">
        <v>109</v>
      </c>
      <c r="B14" s="204"/>
      <c r="C14" s="184"/>
      <c r="D14" s="206"/>
    </row>
    <row r="15" spans="1:4" x14ac:dyDescent="0.2">
      <c r="A15" s="204" t="s">
        <v>110</v>
      </c>
      <c r="B15" s="204"/>
      <c r="C15" s="207">
        <v>0.5</v>
      </c>
      <c r="D15" s="208">
        <f>ROUND(+D12*C15,-2)</f>
        <v>322500</v>
      </c>
    </row>
    <row r="16" spans="1:4" x14ac:dyDescent="0.2">
      <c r="A16" s="209" t="s">
        <v>134</v>
      </c>
      <c r="B16" s="181"/>
      <c r="C16" s="210">
        <v>0.05</v>
      </c>
      <c r="D16" s="211">
        <f>-ROUND(+D25*C16,-2)</f>
        <v>-14700</v>
      </c>
    </row>
    <row r="17" spans="1:4" ht="15" x14ac:dyDescent="0.35">
      <c r="A17" s="209"/>
      <c r="B17" s="181"/>
      <c r="C17" s="195"/>
      <c r="D17" s="212">
        <f>+D15+D16</f>
        <v>307800</v>
      </c>
    </row>
    <row r="18" spans="1:4" x14ac:dyDescent="0.2">
      <c r="A18" s="198"/>
      <c r="B18" s="198"/>
      <c r="C18" s="195"/>
      <c r="D18" s="199"/>
    </row>
    <row r="19" spans="1:4" ht="15" x14ac:dyDescent="0.35">
      <c r="A19" s="213"/>
      <c r="B19" s="213"/>
      <c r="C19" s="215"/>
      <c r="D19" s="216"/>
    </row>
    <row r="20" spans="1:4" ht="15" x14ac:dyDescent="0.35">
      <c r="A20" s="217" t="s">
        <v>113</v>
      </c>
      <c r="B20" s="217"/>
      <c r="C20" s="183"/>
      <c r="D20" s="216"/>
    </row>
    <row r="21" spans="1:4" ht="15" x14ac:dyDescent="0.25">
      <c r="A21" s="270" t="s">
        <v>179</v>
      </c>
      <c r="B21" s="185"/>
      <c r="C21" s="218"/>
      <c r="D21" s="219">
        <v>203100</v>
      </c>
    </row>
    <row r="22" spans="1:4" ht="15" x14ac:dyDescent="0.25">
      <c r="A22" s="270" t="s">
        <v>180</v>
      </c>
      <c r="B22" s="185"/>
      <c r="C22" s="184"/>
      <c r="D22" s="219">
        <v>20000</v>
      </c>
    </row>
    <row r="23" spans="1:4" ht="15" x14ac:dyDescent="0.25">
      <c r="A23" s="270" t="s">
        <v>181</v>
      </c>
      <c r="B23" s="185"/>
      <c r="C23" s="220"/>
      <c r="D23" s="219">
        <v>55000</v>
      </c>
    </row>
    <row r="24" spans="1:4" ht="16.5" x14ac:dyDescent="0.35">
      <c r="A24" s="270" t="s">
        <v>182</v>
      </c>
      <c r="B24" s="185"/>
      <c r="C24" s="220"/>
      <c r="D24" s="221">
        <v>15000</v>
      </c>
    </row>
    <row r="25" spans="1:4" ht="19.5" customHeight="1" x14ac:dyDescent="0.35">
      <c r="A25" s="213" t="s">
        <v>114</v>
      </c>
      <c r="B25" s="213"/>
      <c r="C25" s="184"/>
      <c r="D25" s="224">
        <f>SUM(D21:D24)</f>
        <v>293100</v>
      </c>
    </row>
    <row r="26" spans="1:4" x14ac:dyDescent="0.2">
      <c r="A26" s="213"/>
      <c r="B26" s="213"/>
      <c r="C26" s="222"/>
      <c r="D26" s="223"/>
    </row>
    <row r="27" spans="1:4" ht="15" x14ac:dyDescent="0.35">
      <c r="A27" s="213" t="s">
        <v>116</v>
      </c>
      <c r="B27" s="213"/>
      <c r="C27" s="222"/>
      <c r="D27" s="214">
        <f>ROUND(+D25*0.05,-2)</f>
        <v>14700</v>
      </c>
    </row>
    <row r="28" spans="1:4" x14ac:dyDescent="0.2">
      <c r="A28" s="213"/>
      <c r="B28" s="213"/>
      <c r="C28" s="222"/>
      <c r="D28" s="225"/>
    </row>
    <row r="29" spans="1:4" x14ac:dyDescent="0.2">
      <c r="A29" s="213" t="s">
        <v>117</v>
      </c>
      <c r="B29" s="213"/>
      <c r="C29" s="226"/>
      <c r="D29" s="225">
        <f>+D27+D25</f>
        <v>307800</v>
      </c>
    </row>
    <row r="30" spans="1:4" x14ac:dyDescent="0.2">
      <c r="A30" s="213"/>
      <c r="B30" s="213"/>
      <c r="C30" s="226"/>
      <c r="D30" s="225"/>
    </row>
    <row r="31" spans="1:4" ht="15" hidden="1" x14ac:dyDescent="0.25">
      <c r="A31" s="248" t="s">
        <v>174</v>
      </c>
      <c r="B31" s="194"/>
      <c r="C31" s="227"/>
      <c r="D31" s="247">
        <f>+D29-D17</f>
        <v>0</v>
      </c>
    </row>
    <row r="32" spans="1:4" ht="15" x14ac:dyDescent="0.25">
      <c r="A32" s="246"/>
      <c r="B32" s="194"/>
      <c r="C32" s="227"/>
      <c r="D32" s="228"/>
    </row>
    <row r="33" spans="1:4" x14ac:dyDescent="0.2">
      <c r="A33" s="213" t="s">
        <v>118</v>
      </c>
      <c r="B33" s="213"/>
      <c r="C33" s="227"/>
      <c r="D33" s="229">
        <f>+D9*2000/D6/24</f>
        <v>33.93082867456377</v>
      </c>
    </row>
    <row r="34" spans="1:4" x14ac:dyDescent="0.2">
      <c r="A34" s="63"/>
      <c r="B34" s="63"/>
      <c r="C34" s="227"/>
      <c r="D34" s="229"/>
    </row>
    <row r="35" spans="1:4" x14ac:dyDescent="0.2">
      <c r="A35" s="213" t="s">
        <v>119</v>
      </c>
      <c r="B35" s="213"/>
      <c r="C35" s="227"/>
      <c r="D35" s="230">
        <f>+D12/D9</f>
        <v>61.929908785405665</v>
      </c>
    </row>
    <row r="36" spans="1:4" x14ac:dyDescent="0.2">
      <c r="A36" s="213"/>
      <c r="B36" s="213"/>
      <c r="C36" s="227"/>
      <c r="D36" s="230"/>
    </row>
    <row r="37" spans="1:4" x14ac:dyDescent="0.2">
      <c r="A37" s="282" t="s">
        <v>190</v>
      </c>
      <c r="B37" s="213"/>
      <c r="C37" s="227"/>
      <c r="D37" s="230"/>
    </row>
    <row r="38" spans="1:4" ht="38.25" x14ac:dyDescent="0.2">
      <c r="A38" s="185" t="s">
        <v>193</v>
      </c>
      <c r="B38" s="213"/>
      <c r="C38" s="227"/>
      <c r="D38" s="230"/>
    </row>
    <row r="39" spans="1:4" x14ac:dyDescent="0.2">
      <c r="A39" s="213"/>
      <c r="B39" s="213"/>
      <c r="C39" s="227"/>
      <c r="D39" s="230"/>
    </row>
    <row r="40" spans="1:4" x14ac:dyDescent="0.2">
      <c r="A40" s="213" t="s">
        <v>194</v>
      </c>
      <c r="B40" s="213"/>
      <c r="C40" s="227"/>
      <c r="D40" s="280">
        <f>+'2020-2022 Budget'!D46</f>
        <v>108800</v>
      </c>
    </row>
    <row r="41" spans="1:4" x14ac:dyDescent="0.2">
      <c r="A41" s="213"/>
      <c r="B41" s="213"/>
      <c r="C41" s="227"/>
      <c r="D41" s="230"/>
    </row>
    <row r="42" spans="1:4" ht="15" x14ac:dyDescent="0.35">
      <c r="A42" s="213" t="s">
        <v>191</v>
      </c>
      <c r="B42" s="213"/>
      <c r="C42" s="227"/>
      <c r="D42" s="281">
        <f>+'Res''l &amp; MF Customers'!P12*24</f>
        <v>624248</v>
      </c>
    </row>
    <row r="43" spans="1:4" x14ac:dyDescent="0.2">
      <c r="A43" s="185"/>
      <c r="B43" s="185"/>
      <c r="C43" s="184"/>
      <c r="D43" s="184"/>
    </row>
    <row r="44" spans="1:4" x14ac:dyDescent="0.2">
      <c r="A44" s="4" t="s">
        <v>192</v>
      </c>
      <c r="D44" s="120">
        <f>ROUND(+D40/D42,2)</f>
        <v>0.17</v>
      </c>
    </row>
    <row r="46" spans="1:4" x14ac:dyDescent="0.2">
      <c r="A46" s="63" t="s">
        <v>195</v>
      </c>
      <c r="D46" s="283">
        <v>9.3699999999999992</v>
      </c>
    </row>
    <row r="48" spans="1:4" ht="15" x14ac:dyDescent="0.35">
      <c r="A48" s="63" t="s">
        <v>196</v>
      </c>
      <c r="D48" s="284">
        <f>+D44+D46</f>
        <v>9.5399999999999991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2424-E932-4C93-9088-682F07774CBE}">
  <dimension ref="A1:N21"/>
  <sheetViews>
    <sheetView tabSelected="1" zoomScale="145" zoomScaleNormal="145" workbookViewId="0"/>
  </sheetViews>
  <sheetFormatPr defaultRowHeight="12.75" x14ac:dyDescent="0.2"/>
  <cols>
    <col min="2" max="3" width="9.140625" style="63"/>
    <col min="4" max="4" width="12.85546875" style="63" customWidth="1"/>
    <col min="5" max="5" width="2.7109375" style="63" customWidth="1"/>
    <col min="6" max="7" width="10.28515625" style="63" bestFit="1" customWidth="1"/>
    <col min="8" max="8" width="11.42578125" style="63" bestFit="1" customWidth="1"/>
    <col min="9" max="9" width="3" style="63" customWidth="1"/>
    <col min="10" max="10" width="10.42578125" style="63" customWidth="1"/>
    <col min="11" max="11" width="11" style="63" bestFit="1" customWidth="1"/>
    <col min="12" max="12" width="5" style="63" customWidth="1"/>
    <col min="13" max="13" width="46.85546875" customWidth="1"/>
    <col min="246" max="248" width="10.28515625" bestFit="1" customWidth="1"/>
    <col min="249" max="249" width="11.42578125" bestFit="1" customWidth="1"/>
    <col min="250" max="250" width="3" customWidth="1"/>
    <col min="252" max="252" width="11" bestFit="1" customWidth="1"/>
    <col min="254" max="254" width="5" customWidth="1"/>
    <col min="256" max="256" width="11" bestFit="1" customWidth="1"/>
    <col min="257" max="257" width="11" customWidth="1"/>
    <col min="258" max="258" width="12" bestFit="1" customWidth="1"/>
    <col min="259" max="259" width="2.5703125" customWidth="1"/>
    <col min="260" max="260" width="10.28515625" bestFit="1" customWidth="1"/>
    <col min="261" max="261" width="12.42578125" bestFit="1" customWidth="1"/>
    <col min="262" max="262" width="12.42578125" customWidth="1"/>
    <col min="263" max="263" width="12.28515625" bestFit="1" customWidth="1"/>
    <col min="502" max="504" width="10.28515625" bestFit="1" customWidth="1"/>
    <col min="505" max="505" width="11.42578125" bestFit="1" customWidth="1"/>
    <col min="506" max="506" width="3" customWidth="1"/>
    <col min="508" max="508" width="11" bestFit="1" customWidth="1"/>
    <col min="510" max="510" width="5" customWidth="1"/>
    <col min="512" max="512" width="11" bestFit="1" customWidth="1"/>
    <col min="513" max="513" width="11" customWidth="1"/>
    <col min="514" max="514" width="12" bestFit="1" customWidth="1"/>
    <col min="515" max="515" width="2.5703125" customWidth="1"/>
    <col min="516" max="516" width="10.28515625" bestFit="1" customWidth="1"/>
    <col min="517" max="517" width="12.42578125" bestFit="1" customWidth="1"/>
    <col min="518" max="518" width="12.42578125" customWidth="1"/>
    <col min="519" max="519" width="12.28515625" bestFit="1" customWidth="1"/>
    <col min="758" max="760" width="10.28515625" bestFit="1" customWidth="1"/>
    <col min="761" max="761" width="11.42578125" bestFit="1" customWidth="1"/>
    <col min="762" max="762" width="3" customWidth="1"/>
    <col min="764" max="764" width="11" bestFit="1" customWidth="1"/>
    <col min="766" max="766" width="5" customWidth="1"/>
    <col min="768" max="768" width="11" bestFit="1" customWidth="1"/>
    <col min="769" max="769" width="11" customWidth="1"/>
    <col min="770" max="770" width="12" bestFit="1" customWidth="1"/>
    <col min="771" max="771" width="2.5703125" customWidth="1"/>
    <col min="772" max="772" width="10.28515625" bestFit="1" customWidth="1"/>
    <col min="773" max="773" width="12.42578125" bestFit="1" customWidth="1"/>
    <col min="774" max="774" width="12.42578125" customWidth="1"/>
    <col min="775" max="775" width="12.28515625" bestFit="1" customWidth="1"/>
    <col min="1014" max="1016" width="10.28515625" bestFit="1" customWidth="1"/>
    <col min="1017" max="1017" width="11.42578125" bestFit="1" customWidth="1"/>
    <col min="1018" max="1018" width="3" customWidth="1"/>
    <col min="1020" max="1020" width="11" bestFit="1" customWidth="1"/>
    <col min="1022" max="1022" width="5" customWidth="1"/>
    <col min="1024" max="1024" width="11" bestFit="1" customWidth="1"/>
    <col min="1025" max="1025" width="11" customWidth="1"/>
    <col min="1026" max="1026" width="12" bestFit="1" customWidth="1"/>
    <col min="1027" max="1027" width="2.5703125" customWidth="1"/>
    <col min="1028" max="1028" width="10.28515625" bestFit="1" customWidth="1"/>
    <col min="1029" max="1029" width="12.42578125" bestFit="1" customWidth="1"/>
    <col min="1030" max="1030" width="12.42578125" customWidth="1"/>
    <col min="1031" max="1031" width="12.28515625" bestFit="1" customWidth="1"/>
    <col min="1270" max="1272" width="10.28515625" bestFit="1" customWidth="1"/>
    <col min="1273" max="1273" width="11.42578125" bestFit="1" customWidth="1"/>
    <col min="1274" max="1274" width="3" customWidth="1"/>
    <col min="1276" max="1276" width="11" bestFit="1" customWidth="1"/>
    <col min="1278" max="1278" width="5" customWidth="1"/>
    <col min="1280" max="1280" width="11" bestFit="1" customWidth="1"/>
    <col min="1281" max="1281" width="11" customWidth="1"/>
    <col min="1282" max="1282" width="12" bestFit="1" customWidth="1"/>
    <col min="1283" max="1283" width="2.5703125" customWidth="1"/>
    <col min="1284" max="1284" width="10.28515625" bestFit="1" customWidth="1"/>
    <col min="1285" max="1285" width="12.42578125" bestFit="1" customWidth="1"/>
    <col min="1286" max="1286" width="12.42578125" customWidth="1"/>
    <col min="1287" max="1287" width="12.28515625" bestFit="1" customWidth="1"/>
    <col min="1526" max="1528" width="10.28515625" bestFit="1" customWidth="1"/>
    <col min="1529" max="1529" width="11.42578125" bestFit="1" customWidth="1"/>
    <col min="1530" max="1530" width="3" customWidth="1"/>
    <col min="1532" max="1532" width="11" bestFit="1" customWidth="1"/>
    <col min="1534" max="1534" width="5" customWidth="1"/>
    <col min="1536" max="1536" width="11" bestFit="1" customWidth="1"/>
    <col min="1537" max="1537" width="11" customWidth="1"/>
    <col min="1538" max="1538" width="12" bestFit="1" customWidth="1"/>
    <col min="1539" max="1539" width="2.5703125" customWidth="1"/>
    <col min="1540" max="1540" width="10.28515625" bestFit="1" customWidth="1"/>
    <col min="1541" max="1541" width="12.42578125" bestFit="1" customWidth="1"/>
    <col min="1542" max="1542" width="12.42578125" customWidth="1"/>
    <col min="1543" max="1543" width="12.28515625" bestFit="1" customWidth="1"/>
    <col min="1782" max="1784" width="10.28515625" bestFit="1" customWidth="1"/>
    <col min="1785" max="1785" width="11.42578125" bestFit="1" customWidth="1"/>
    <col min="1786" max="1786" width="3" customWidth="1"/>
    <col min="1788" max="1788" width="11" bestFit="1" customWidth="1"/>
    <col min="1790" max="1790" width="5" customWidth="1"/>
    <col min="1792" max="1792" width="11" bestFit="1" customWidth="1"/>
    <col min="1793" max="1793" width="11" customWidth="1"/>
    <col min="1794" max="1794" width="12" bestFit="1" customWidth="1"/>
    <col min="1795" max="1795" width="2.5703125" customWidth="1"/>
    <col min="1796" max="1796" width="10.28515625" bestFit="1" customWidth="1"/>
    <col min="1797" max="1797" width="12.42578125" bestFit="1" customWidth="1"/>
    <col min="1798" max="1798" width="12.42578125" customWidth="1"/>
    <col min="1799" max="1799" width="12.28515625" bestFit="1" customWidth="1"/>
    <col min="2038" max="2040" width="10.28515625" bestFit="1" customWidth="1"/>
    <col min="2041" max="2041" width="11.42578125" bestFit="1" customWidth="1"/>
    <col min="2042" max="2042" width="3" customWidth="1"/>
    <col min="2044" max="2044" width="11" bestFit="1" customWidth="1"/>
    <col min="2046" max="2046" width="5" customWidth="1"/>
    <col min="2048" max="2048" width="11" bestFit="1" customWidth="1"/>
    <col min="2049" max="2049" width="11" customWidth="1"/>
    <col min="2050" max="2050" width="12" bestFit="1" customWidth="1"/>
    <col min="2051" max="2051" width="2.5703125" customWidth="1"/>
    <col min="2052" max="2052" width="10.28515625" bestFit="1" customWidth="1"/>
    <col min="2053" max="2053" width="12.42578125" bestFit="1" customWidth="1"/>
    <col min="2054" max="2054" width="12.42578125" customWidth="1"/>
    <col min="2055" max="2055" width="12.28515625" bestFit="1" customWidth="1"/>
    <col min="2294" max="2296" width="10.28515625" bestFit="1" customWidth="1"/>
    <col min="2297" max="2297" width="11.42578125" bestFit="1" customWidth="1"/>
    <col min="2298" max="2298" width="3" customWidth="1"/>
    <col min="2300" max="2300" width="11" bestFit="1" customWidth="1"/>
    <col min="2302" max="2302" width="5" customWidth="1"/>
    <col min="2304" max="2304" width="11" bestFit="1" customWidth="1"/>
    <col min="2305" max="2305" width="11" customWidth="1"/>
    <col min="2306" max="2306" width="12" bestFit="1" customWidth="1"/>
    <col min="2307" max="2307" width="2.5703125" customWidth="1"/>
    <col min="2308" max="2308" width="10.28515625" bestFit="1" customWidth="1"/>
    <col min="2309" max="2309" width="12.42578125" bestFit="1" customWidth="1"/>
    <col min="2310" max="2310" width="12.42578125" customWidth="1"/>
    <col min="2311" max="2311" width="12.28515625" bestFit="1" customWidth="1"/>
    <col min="2550" max="2552" width="10.28515625" bestFit="1" customWidth="1"/>
    <col min="2553" max="2553" width="11.42578125" bestFit="1" customWidth="1"/>
    <col min="2554" max="2554" width="3" customWidth="1"/>
    <col min="2556" max="2556" width="11" bestFit="1" customWidth="1"/>
    <col min="2558" max="2558" width="5" customWidth="1"/>
    <col min="2560" max="2560" width="11" bestFit="1" customWidth="1"/>
    <col min="2561" max="2561" width="11" customWidth="1"/>
    <col min="2562" max="2562" width="12" bestFit="1" customWidth="1"/>
    <col min="2563" max="2563" width="2.5703125" customWidth="1"/>
    <col min="2564" max="2564" width="10.28515625" bestFit="1" customWidth="1"/>
    <col min="2565" max="2565" width="12.42578125" bestFit="1" customWidth="1"/>
    <col min="2566" max="2566" width="12.42578125" customWidth="1"/>
    <col min="2567" max="2567" width="12.28515625" bestFit="1" customWidth="1"/>
    <col min="2806" max="2808" width="10.28515625" bestFit="1" customWidth="1"/>
    <col min="2809" max="2809" width="11.42578125" bestFit="1" customWidth="1"/>
    <col min="2810" max="2810" width="3" customWidth="1"/>
    <col min="2812" max="2812" width="11" bestFit="1" customWidth="1"/>
    <col min="2814" max="2814" width="5" customWidth="1"/>
    <col min="2816" max="2816" width="11" bestFit="1" customWidth="1"/>
    <col min="2817" max="2817" width="11" customWidth="1"/>
    <col min="2818" max="2818" width="12" bestFit="1" customWidth="1"/>
    <col min="2819" max="2819" width="2.5703125" customWidth="1"/>
    <col min="2820" max="2820" width="10.28515625" bestFit="1" customWidth="1"/>
    <col min="2821" max="2821" width="12.42578125" bestFit="1" customWidth="1"/>
    <col min="2822" max="2822" width="12.42578125" customWidth="1"/>
    <col min="2823" max="2823" width="12.28515625" bestFit="1" customWidth="1"/>
    <col min="3062" max="3064" width="10.28515625" bestFit="1" customWidth="1"/>
    <col min="3065" max="3065" width="11.42578125" bestFit="1" customWidth="1"/>
    <col min="3066" max="3066" width="3" customWidth="1"/>
    <col min="3068" max="3068" width="11" bestFit="1" customWidth="1"/>
    <col min="3070" max="3070" width="5" customWidth="1"/>
    <col min="3072" max="3072" width="11" bestFit="1" customWidth="1"/>
    <col min="3073" max="3073" width="11" customWidth="1"/>
    <col min="3074" max="3074" width="12" bestFit="1" customWidth="1"/>
    <col min="3075" max="3075" width="2.5703125" customWidth="1"/>
    <col min="3076" max="3076" width="10.28515625" bestFit="1" customWidth="1"/>
    <col min="3077" max="3077" width="12.42578125" bestFit="1" customWidth="1"/>
    <col min="3078" max="3078" width="12.42578125" customWidth="1"/>
    <col min="3079" max="3079" width="12.28515625" bestFit="1" customWidth="1"/>
    <col min="3318" max="3320" width="10.28515625" bestFit="1" customWidth="1"/>
    <col min="3321" max="3321" width="11.42578125" bestFit="1" customWidth="1"/>
    <col min="3322" max="3322" width="3" customWidth="1"/>
    <col min="3324" max="3324" width="11" bestFit="1" customWidth="1"/>
    <col min="3326" max="3326" width="5" customWidth="1"/>
    <col min="3328" max="3328" width="11" bestFit="1" customWidth="1"/>
    <col min="3329" max="3329" width="11" customWidth="1"/>
    <col min="3330" max="3330" width="12" bestFit="1" customWidth="1"/>
    <col min="3331" max="3331" width="2.5703125" customWidth="1"/>
    <col min="3332" max="3332" width="10.28515625" bestFit="1" customWidth="1"/>
    <col min="3333" max="3333" width="12.42578125" bestFit="1" customWidth="1"/>
    <col min="3334" max="3334" width="12.42578125" customWidth="1"/>
    <col min="3335" max="3335" width="12.28515625" bestFit="1" customWidth="1"/>
    <col min="3574" max="3576" width="10.28515625" bestFit="1" customWidth="1"/>
    <col min="3577" max="3577" width="11.42578125" bestFit="1" customWidth="1"/>
    <col min="3578" max="3578" width="3" customWidth="1"/>
    <col min="3580" max="3580" width="11" bestFit="1" customWidth="1"/>
    <col min="3582" max="3582" width="5" customWidth="1"/>
    <col min="3584" max="3584" width="11" bestFit="1" customWidth="1"/>
    <col min="3585" max="3585" width="11" customWidth="1"/>
    <col min="3586" max="3586" width="12" bestFit="1" customWidth="1"/>
    <col min="3587" max="3587" width="2.5703125" customWidth="1"/>
    <col min="3588" max="3588" width="10.28515625" bestFit="1" customWidth="1"/>
    <col min="3589" max="3589" width="12.42578125" bestFit="1" customWidth="1"/>
    <col min="3590" max="3590" width="12.42578125" customWidth="1"/>
    <col min="3591" max="3591" width="12.28515625" bestFit="1" customWidth="1"/>
    <col min="3830" max="3832" width="10.28515625" bestFit="1" customWidth="1"/>
    <col min="3833" max="3833" width="11.42578125" bestFit="1" customWidth="1"/>
    <col min="3834" max="3834" width="3" customWidth="1"/>
    <col min="3836" max="3836" width="11" bestFit="1" customWidth="1"/>
    <col min="3838" max="3838" width="5" customWidth="1"/>
    <col min="3840" max="3840" width="11" bestFit="1" customWidth="1"/>
    <col min="3841" max="3841" width="11" customWidth="1"/>
    <col min="3842" max="3842" width="12" bestFit="1" customWidth="1"/>
    <col min="3843" max="3843" width="2.5703125" customWidth="1"/>
    <col min="3844" max="3844" width="10.28515625" bestFit="1" customWidth="1"/>
    <col min="3845" max="3845" width="12.42578125" bestFit="1" customWidth="1"/>
    <col min="3846" max="3846" width="12.42578125" customWidth="1"/>
    <col min="3847" max="3847" width="12.28515625" bestFit="1" customWidth="1"/>
    <col min="4086" max="4088" width="10.28515625" bestFit="1" customWidth="1"/>
    <col min="4089" max="4089" width="11.42578125" bestFit="1" customWidth="1"/>
    <col min="4090" max="4090" width="3" customWidth="1"/>
    <col min="4092" max="4092" width="11" bestFit="1" customWidth="1"/>
    <col min="4094" max="4094" width="5" customWidth="1"/>
    <col min="4096" max="4096" width="11" bestFit="1" customWidth="1"/>
    <col min="4097" max="4097" width="11" customWidth="1"/>
    <col min="4098" max="4098" width="12" bestFit="1" customWidth="1"/>
    <col min="4099" max="4099" width="2.5703125" customWidth="1"/>
    <col min="4100" max="4100" width="10.28515625" bestFit="1" customWidth="1"/>
    <col min="4101" max="4101" width="12.42578125" bestFit="1" customWidth="1"/>
    <col min="4102" max="4102" width="12.42578125" customWidth="1"/>
    <col min="4103" max="4103" width="12.28515625" bestFit="1" customWidth="1"/>
    <col min="4342" max="4344" width="10.28515625" bestFit="1" customWidth="1"/>
    <col min="4345" max="4345" width="11.42578125" bestFit="1" customWidth="1"/>
    <col min="4346" max="4346" width="3" customWidth="1"/>
    <col min="4348" max="4348" width="11" bestFit="1" customWidth="1"/>
    <col min="4350" max="4350" width="5" customWidth="1"/>
    <col min="4352" max="4352" width="11" bestFit="1" customWidth="1"/>
    <col min="4353" max="4353" width="11" customWidth="1"/>
    <col min="4354" max="4354" width="12" bestFit="1" customWidth="1"/>
    <col min="4355" max="4355" width="2.5703125" customWidth="1"/>
    <col min="4356" max="4356" width="10.28515625" bestFit="1" customWidth="1"/>
    <col min="4357" max="4357" width="12.42578125" bestFit="1" customWidth="1"/>
    <col min="4358" max="4358" width="12.42578125" customWidth="1"/>
    <col min="4359" max="4359" width="12.28515625" bestFit="1" customWidth="1"/>
    <col min="4598" max="4600" width="10.28515625" bestFit="1" customWidth="1"/>
    <col min="4601" max="4601" width="11.42578125" bestFit="1" customWidth="1"/>
    <col min="4602" max="4602" width="3" customWidth="1"/>
    <col min="4604" max="4604" width="11" bestFit="1" customWidth="1"/>
    <col min="4606" max="4606" width="5" customWidth="1"/>
    <col min="4608" max="4608" width="11" bestFit="1" customWidth="1"/>
    <col min="4609" max="4609" width="11" customWidth="1"/>
    <col min="4610" max="4610" width="12" bestFit="1" customWidth="1"/>
    <col min="4611" max="4611" width="2.5703125" customWidth="1"/>
    <col min="4612" max="4612" width="10.28515625" bestFit="1" customWidth="1"/>
    <col min="4613" max="4613" width="12.42578125" bestFit="1" customWidth="1"/>
    <col min="4614" max="4614" width="12.42578125" customWidth="1"/>
    <col min="4615" max="4615" width="12.28515625" bestFit="1" customWidth="1"/>
    <col min="4854" max="4856" width="10.28515625" bestFit="1" customWidth="1"/>
    <col min="4857" max="4857" width="11.42578125" bestFit="1" customWidth="1"/>
    <col min="4858" max="4858" width="3" customWidth="1"/>
    <col min="4860" max="4860" width="11" bestFit="1" customWidth="1"/>
    <col min="4862" max="4862" width="5" customWidth="1"/>
    <col min="4864" max="4864" width="11" bestFit="1" customWidth="1"/>
    <col min="4865" max="4865" width="11" customWidth="1"/>
    <col min="4866" max="4866" width="12" bestFit="1" customWidth="1"/>
    <col min="4867" max="4867" width="2.5703125" customWidth="1"/>
    <col min="4868" max="4868" width="10.28515625" bestFit="1" customWidth="1"/>
    <col min="4869" max="4869" width="12.42578125" bestFit="1" customWidth="1"/>
    <col min="4870" max="4870" width="12.42578125" customWidth="1"/>
    <col min="4871" max="4871" width="12.28515625" bestFit="1" customWidth="1"/>
    <col min="5110" max="5112" width="10.28515625" bestFit="1" customWidth="1"/>
    <col min="5113" max="5113" width="11.42578125" bestFit="1" customWidth="1"/>
    <col min="5114" max="5114" width="3" customWidth="1"/>
    <col min="5116" max="5116" width="11" bestFit="1" customWidth="1"/>
    <col min="5118" max="5118" width="5" customWidth="1"/>
    <col min="5120" max="5120" width="11" bestFit="1" customWidth="1"/>
    <col min="5121" max="5121" width="11" customWidth="1"/>
    <col min="5122" max="5122" width="12" bestFit="1" customWidth="1"/>
    <col min="5123" max="5123" width="2.5703125" customWidth="1"/>
    <col min="5124" max="5124" width="10.28515625" bestFit="1" customWidth="1"/>
    <col min="5125" max="5125" width="12.42578125" bestFit="1" customWidth="1"/>
    <col min="5126" max="5126" width="12.42578125" customWidth="1"/>
    <col min="5127" max="5127" width="12.28515625" bestFit="1" customWidth="1"/>
    <col min="5366" max="5368" width="10.28515625" bestFit="1" customWidth="1"/>
    <col min="5369" max="5369" width="11.42578125" bestFit="1" customWidth="1"/>
    <col min="5370" max="5370" width="3" customWidth="1"/>
    <col min="5372" max="5372" width="11" bestFit="1" customWidth="1"/>
    <col min="5374" max="5374" width="5" customWidth="1"/>
    <col min="5376" max="5376" width="11" bestFit="1" customWidth="1"/>
    <col min="5377" max="5377" width="11" customWidth="1"/>
    <col min="5378" max="5378" width="12" bestFit="1" customWidth="1"/>
    <col min="5379" max="5379" width="2.5703125" customWidth="1"/>
    <col min="5380" max="5380" width="10.28515625" bestFit="1" customWidth="1"/>
    <col min="5381" max="5381" width="12.42578125" bestFit="1" customWidth="1"/>
    <col min="5382" max="5382" width="12.42578125" customWidth="1"/>
    <col min="5383" max="5383" width="12.28515625" bestFit="1" customWidth="1"/>
    <col min="5622" max="5624" width="10.28515625" bestFit="1" customWidth="1"/>
    <col min="5625" max="5625" width="11.42578125" bestFit="1" customWidth="1"/>
    <col min="5626" max="5626" width="3" customWidth="1"/>
    <col min="5628" max="5628" width="11" bestFit="1" customWidth="1"/>
    <col min="5630" max="5630" width="5" customWidth="1"/>
    <col min="5632" max="5632" width="11" bestFit="1" customWidth="1"/>
    <col min="5633" max="5633" width="11" customWidth="1"/>
    <col min="5634" max="5634" width="12" bestFit="1" customWidth="1"/>
    <col min="5635" max="5635" width="2.5703125" customWidth="1"/>
    <col min="5636" max="5636" width="10.28515625" bestFit="1" customWidth="1"/>
    <col min="5637" max="5637" width="12.42578125" bestFit="1" customWidth="1"/>
    <col min="5638" max="5638" width="12.42578125" customWidth="1"/>
    <col min="5639" max="5639" width="12.28515625" bestFit="1" customWidth="1"/>
    <col min="5878" max="5880" width="10.28515625" bestFit="1" customWidth="1"/>
    <col min="5881" max="5881" width="11.42578125" bestFit="1" customWidth="1"/>
    <col min="5882" max="5882" width="3" customWidth="1"/>
    <col min="5884" max="5884" width="11" bestFit="1" customWidth="1"/>
    <col min="5886" max="5886" width="5" customWidth="1"/>
    <col min="5888" max="5888" width="11" bestFit="1" customWidth="1"/>
    <col min="5889" max="5889" width="11" customWidth="1"/>
    <col min="5890" max="5890" width="12" bestFit="1" customWidth="1"/>
    <col min="5891" max="5891" width="2.5703125" customWidth="1"/>
    <col min="5892" max="5892" width="10.28515625" bestFit="1" customWidth="1"/>
    <col min="5893" max="5893" width="12.42578125" bestFit="1" customWidth="1"/>
    <col min="5894" max="5894" width="12.42578125" customWidth="1"/>
    <col min="5895" max="5895" width="12.28515625" bestFit="1" customWidth="1"/>
    <col min="6134" max="6136" width="10.28515625" bestFit="1" customWidth="1"/>
    <col min="6137" max="6137" width="11.42578125" bestFit="1" customWidth="1"/>
    <col min="6138" max="6138" width="3" customWidth="1"/>
    <col min="6140" max="6140" width="11" bestFit="1" customWidth="1"/>
    <col min="6142" max="6142" width="5" customWidth="1"/>
    <col min="6144" max="6144" width="11" bestFit="1" customWidth="1"/>
    <col min="6145" max="6145" width="11" customWidth="1"/>
    <col min="6146" max="6146" width="12" bestFit="1" customWidth="1"/>
    <col min="6147" max="6147" width="2.5703125" customWidth="1"/>
    <col min="6148" max="6148" width="10.28515625" bestFit="1" customWidth="1"/>
    <col min="6149" max="6149" width="12.42578125" bestFit="1" customWidth="1"/>
    <col min="6150" max="6150" width="12.42578125" customWidth="1"/>
    <col min="6151" max="6151" width="12.28515625" bestFit="1" customWidth="1"/>
    <col min="6390" max="6392" width="10.28515625" bestFit="1" customWidth="1"/>
    <col min="6393" max="6393" width="11.42578125" bestFit="1" customWidth="1"/>
    <col min="6394" max="6394" width="3" customWidth="1"/>
    <col min="6396" max="6396" width="11" bestFit="1" customWidth="1"/>
    <col min="6398" max="6398" width="5" customWidth="1"/>
    <col min="6400" max="6400" width="11" bestFit="1" customWidth="1"/>
    <col min="6401" max="6401" width="11" customWidth="1"/>
    <col min="6402" max="6402" width="12" bestFit="1" customWidth="1"/>
    <col min="6403" max="6403" width="2.5703125" customWidth="1"/>
    <col min="6404" max="6404" width="10.28515625" bestFit="1" customWidth="1"/>
    <col min="6405" max="6405" width="12.42578125" bestFit="1" customWidth="1"/>
    <col min="6406" max="6406" width="12.42578125" customWidth="1"/>
    <col min="6407" max="6407" width="12.28515625" bestFit="1" customWidth="1"/>
    <col min="6646" max="6648" width="10.28515625" bestFit="1" customWidth="1"/>
    <col min="6649" max="6649" width="11.42578125" bestFit="1" customWidth="1"/>
    <col min="6650" max="6650" width="3" customWidth="1"/>
    <col min="6652" max="6652" width="11" bestFit="1" customWidth="1"/>
    <col min="6654" max="6654" width="5" customWidth="1"/>
    <col min="6656" max="6656" width="11" bestFit="1" customWidth="1"/>
    <col min="6657" max="6657" width="11" customWidth="1"/>
    <col min="6658" max="6658" width="12" bestFit="1" customWidth="1"/>
    <col min="6659" max="6659" width="2.5703125" customWidth="1"/>
    <col min="6660" max="6660" width="10.28515625" bestFit="1" customWidth="1"/>
    <col min="6661" max="6661" width="12.42578125" bestFit="1" customWidth="1"/>
    <col min="6662" max="6662" width="12.42578125" customWidth="1"/>
    <col min="6663" max="6663" width="12.28515625" bestFit="1" customWidth="1"/>
    <col min="6902" max="6904" width="10.28515625" bestFit="1" customWidth="1"/>
    <col min="6905" max="6905" width="11.42578125" bestFit="1" customWidth="1"/>
    <col min="6906" max="6906" width="3" customWidth="1"/>
    <col min="6908" max="6908" width="11" bestFit="1" customWidth="1"/>
    <col min="6910" max="6910" width="5" customWidth="1"/>
    <col min="6912" max="6912" width="11" bestFit="1" customWidth="1"/>
    <col min="6913" max="6913" width="11" customWidth="1"/>
    <col min="6914" max="6914" width="12" bestFit="1" customWidth="1"/>
    <col min="6915" max="6915" width="2.5703125" customWidth="1"/>
    <col min="6916" max="6916" width="10.28515625" bestFit="1" customWidth="1"/>
    <col min="6917" max="6917" width="12.42578125" bestFit="1" customWidth="1"/>
    <col min="6918" max="6918" width="12.42578125" customWidth="1"/>
    <col min="6919" max="6919" width="12.28515625" bestFit="1" customWidth="1"/>
    <col min="7158" max="7160" width="10.28515625" bestFit="1" customWidth="1"/>
    <col min="7161" max="7161" width="11.42578125" bestFit="1" customWidth="1"/>
    <col min="7162" max="7162" width="3" customWidth="1"/>
    <col min="7164" max="7164" width="11" bestFit="1" customWidth="1"/>
    <col min="7166" max="7166" width="5" customWidth="1"/>
    <col min="7168" max="7168" width="11" bestFit="1" customWidth="1"/>
    <col min="7169" max="7169" width="11" customWidth="1"/>
    <col min="7170" max="7170" width="12" bestFit="1" customWidth="1"/>
    <col min="7171" max="7171" width="2.5703125" customWidth="1"/>
    <col min="7172" max="7172" width="10.28515625" bestFit="1" customWidth="1"/>
    <col min="7173" max="7173" width="12.42578125" bestFit="1" customWidth="1"/>
    <col min="7174" max="7174" width="12.42578125" customWidth="1"/>
    <col min="7175" max="7175" width="12.28515625" bestFit="1" customWidth="1"/>
    <col min="7414" max="7416" width="10.28515625" bestFit="1" customWidth="1"/>
    <col min="7417" max="7417" width="11.42578125" bestFit="1" customWidth="1"/>
    <col min="7418" max="7418" width="3" customWidth="1"/>
    <col min="7420" max="7420" width="11" bestFit="1" customWidth="1"/>
    <col min="7422" max="7422" width="5" customWidth="1"/>
    <col min="7424" max="7424" width="11" bestFit="1" customWidth="1"/>
    <col min="7425" max="7425" width="11" customWidth="1"/>
    <col min="7426" max="7426" width="12" bestFit="1" customWidth="1"/>
    <col min="7427" max="7427" width="2.5703125" customWidth="1"/>
    <col min="7428" max="7428" width="10.28515625" bestFit="1" customWidth="1"/>
    <col min="7429" max="7429" width="12.42578125" bestFit="1" customWidth="1"/>
    <col min="7430" max="7430" width="12.42578125" customWidth="1"/>
    <col min="7431" max="7431" width="12.28515625" bestFit="1" customWidth="1"/>
    <col min="7670" max="7672" width="10.28515625" bestFit="1" customWidth="1"/>
    <col min="7673" max="7673" width="11.42578125" bestFit="1" customWidth="1"/>
    <col min="7674" max="7674" width="3" customWidth="1"/>
    <col min="7676" max="7676" width="11" bestFit="1" customWidth="1"/>
    <col min="7678" max="7678" width="5" customWidth="1"/>
    <col min="7680" max="7680" width="11" bestFit="1" customWidth="1"/>
    <col min="7681" max="7681" width="11" customWidth="1"/>
    <col min="7682" max="7682" width="12" bestFit="1" customWidth="1"/>
    <col min="7683" max="7683" width="2.5703125" customWidth="1"/>
    <col min="7684" max="7684" width="10.28515625" bestFit="1" customWidth="1"/>
    <col min="7685" max="7685" width="12.42578125" bestFit="1" customWidth="1"/>
    <col min="7686" max="7686" width="12.42578125" customWidth="1"/>
    <col min="7687" max="7687" width="12.28515625" bestFit="1" customWidth="1"/>
    <col min="7926" max="7928" width="10.28515625" bestFit="1" customWidth="1"/>
    <col min="7929" max="7929" width="11.42578125" bestFit="1" customWidth="1"/>
    <col min="7930" max="7930" width="3" customWidth="1"/>
    <col min="7932" max="7932" width="11" bestFit="1" customWidth="1"/>
    <col min="7934" max="7934" width="5" customWidth="1"/>
    <col min="7936" max="7936" width="11" bestFit="1" customWidth="1"/>
    <col min="7937" max="7937" width="11" customWidth="1"/>
    <col min="7938" max="7938" width="12" bestFit="1" customWidth="1"/>
    <col min="7939" max="7939" width="2.5703125" customWidth="1"/>
    <col min="7940" max="7940" width="10.28515625" bestFit="1" customWidth="1"/>
    <col min="7941" max="7941" width="12.42578125" bestFit="1" customWidth="1"/>
    <col min="7942" max="7942" width="12.42578125" customWidth="1"/>
    <col min="7943" max="7943" width="12.28515625" bestFit="1" customWidth="1"/>
    <col min="8182" max="8184" width="10.28515625" bestFit="1" customWidth="1"/>
    <col min="8185" max="8185" width="11.42578125" bestFit="1" customWidth="1"/>
    <col min="8186" max="8186" width="3" customWidth="1"/>
    <col min="8188" max="8188" width="11" bestFit="1" customWidth="1"/>
    <col min="8190" max="8190" width="5" customWidth="1"/>
    <col min="8192" max="8192" width="11" bestFit="1" customWidth="1"/>
    <col min="8193" max="8193" width="11" customWidth="1"/>
    <col min="8194" max="8194" width="12" bestFit="1" customWidth="1"/>
    <col min="8195" max="8195" width="2.5703125" customWidth="1"/>
    <col min="8196" max="8196" width="10.28515625" bestFit="1" customWidth="1"/>
    <col min="8197" max="8197" width="12.42578125" bestFit="1" customWidth="1"/>
    <col min="8198" max="8198" width="12.42578125" customWidth="1"/>
    <col min="8199" max="8199" width="12.28515625" bestFit="1" customWidth="1"/>
    <col min="8438" max="8440" width="10.28515625" bestFit="1" customWidth="1"/>
    <col min="8441" max="8441" width="11.42578125" bestFit="1" customWidth="1"/>
    <col min="8442" max="8442" width="3" customWidth="1"/>
    <col min="8444" max="8444" width="11" bestFit="1" customWidth="1"/>
    <col min="8446" max="8446" width="5" customWidth="1"/>
    <col min="8448" max="8448" width="11" bestFit="1" customWidth="1"/>
    <col min="8449" max="8449" width="11" customWidth="1"/>
    <col min="8450" max="8450" width="12" bestFit="1" customWidth="1"/>
    <col min="8451" max="8451" width="2.5703125" customWidth="1"/>
    <col min="8452" max="8452" width="10.28515625" bestFit="1" customWidth="1"/>
    <col min="8453" max="8453" width="12.42578125" bestFit="1" customWidth="1"/>
    <col min="8454" max="8454" width="12.42578125" customWidth="1"/>
    <col min="8455" max="8455" width="12.28515625" bestFit="1" customWidth="1"/>
    <col min="8694" max="8696" width="10.28515625" bestFit="1" customWidth="1"/>
    <col min="8697" max="8697" width="11.42578125" bestFit="1" customWidth="1"/>
    <col min="8698" max="8698" width="3" customWidth="1"/>
    <col min="8700" max="8700" width="11" bestFit="1" customWidth="1"/>
    <col min="8702" max="8702" width="5" customWidth="1"/>
    <col min="8704" max="8704" width="11" bestFit="1" customWidth="1"/>
    <col min="8705" max="8705" width="11" customWidth="1"/>
    <col min="8706" max="8706" width="12" bestFit="1" customWidth="1"/>
    <col min="8707" max="8707" width="2.5703125" customWidth="1"/>
    <col min="8708" max="8708" width="10.28515625" bestFit="1" customWidth="1"/>
    <col min="8709" max="8709" width="12.42578125" bestFit="1" customWidth="1"/>
    <col min="8710" max="8710" width="12.42578125" customWidth="1"/>
    <col min="8711" max="8711" width="12.28515625" bestFit="1" customWidth="1"/>
    <col min="8950" max="8952" width="10.28515625" bestFit="1" customWidth="1"/>
    <col min="8953" max="8953" width="11.42578125" bestFit="1" customWidth="1"/>
    <col min="8954" max="8954" width="3" customWidth="1"/>
    <col min="8956" max="8956" width="11" bestFit="1" customWidth="1"/>
    <col min="8958" max="8958" width="5" customWidth="1"/>
    <col min="8960" max="8960" width="11" bestFit="1" customWidth="1"/>
    <col min="8961" max="8961" width="11" customWidth="1"/>
    <col min="8962" max="8962" width="12" bestFit="1" customWidth="1"/>
    <col min="8963" max="8963" width="2.5703125" customWidth="1"/>
    <col min="8964" max="8964" width="10.28515625" bestFit="1" customWidth="1"/>
    <col min="8965" max="8965" width="12.42578125" bestFit="1" customWidth="1"/>
    <col min="8966" max="8966" width="12.42578125" customWidth="1"/>
    <col min="8967" max="8967" width="12.28515625" bestFit="1" customWidth="1"/>
    <col min="9206" max="9208" width="10.28515625" bestFit="1" customWidth="1"/>
    <col min="9209" max="9209" width="11.42578125" bestFit="1" customWidth="1"/>
    <col min="9210" max="9210" width="3" customWidth="1"/>
    <col min="9212" max="9212" width="11" bestFit="1" customWidth="1"/>
    <col min="9214" max="9214" width="5" customWidth="1"/>
    <col min="9216" max="9216" width="11" bestFit="1" customWidth="1"/>
    <col min="9217" max="9217" width="11" customWidth="1"/>
    <col min="9218" max="9218" width="12" bestFit="1" customWidth="1"/>
    <col min="9219" max="9219" width="2.5703125" customWidth="1"/>
    <col min="9220" max="9220" width="10.28515625" bestFit="1" customWidth="1"/>
    <col min="9221" max="9221" width="12.42578125" bestFit="1" customWidth="1"/>
    <col min="9222" max="9222" width="12.42578125" customWidth="1"/>
    <col min="9223" max="9223" width="12.28515625" bestFit="1" customWidth="1"/>
    <col min="9462" max="9464" width="10.28515625" bestFit="1" customWidth="1"/>
    <col min="9465" max="9465" width="11.42578125" bestFit="1" customWidth="1"/>
    <col min="9466" max="9466" width="3" customWidth="1"/>
    <col min="9468" max="9468" width="11" bestFit="1" customWidth="1"/>
    <col min="9470" max="9470" width="5" customWidth="1"/>
    <col min="9472" max="9472" width="11" bestFit="1" customWidth="1"/>
    <col min="9473" max="9473" width="11" customWidth="1"/>
    <col min="9474" max="9474" width="12" bestFit="1" customWidth="1"/>
    <col min="9475" max="9475" width="2.5703125" customWidth="1"/>
    <col min="9476" max="9476" width="10.28515625" bestFit="1" customWidth="1"/>
    <col min="9477" max="9477" width="12.42578125" bestFit="1" customWidth="1"/>
    <col min="9478" max="9478" width="12.42578125" customWidth="1"/>
    <col min="9479" max="9479" width="12.28515625" bestFit="1" customWidth="1"/>
    <col min="9718" max="9720" width="10.28515625" bestFit="1" customWidth="1"/>
    <col min="9721" max="9721" width="11.42578125" bestFit="1" customWidth="1"/>
    <col min="9722" max="9722" width="3" customWidth="1"/>
    <col min="9724" max="9724" width="11" bestFit="1" customWidth="1"/>
    <col min="9726" max="9726" width="5" customWidth="1"/>
    <col min="9728" max="9728" width="11" bestFit="1" customWidth="1"/>
    <col min="9729" max="9729" width="11" customWidth="1"/>
    <col min="9730" max="9730" width="12" bestFit="1" customWidth="1"/>
    <col min="9731" max="9731" width="2.5703125" customWidth="1"/>
    <col min="9732" max="9732" width="10.28515625" bestFit="1" customWidth="1"/>
    <col min="9733" max="9733" width="12.42578125" bestFit="1" customWidth="1"/>
    <col min="9734" max="9734" width="12.42578125" customWidth="1"/>
    <col min="9735" max="9735" width="12.28515625" bestFit="1" customWidth="1"/>
    <col min="9974" max="9976" width="10.28515625" bestFit="1" customWidth="1"/>
    <col min="9977" max="9977" width="11.42578125" bestFit="1" customWidth="1"/>
    <col min="9978" max="9978" width="3" customWidth="1"/>
    <col min="9980" max="9980" width="11" bestFit="1" customWidth="1"/>
    <col min="9982" max="9982" width="5" customWidth="1"/>
    <col min="9984" max="9984" width="11" bestFit="1" customWidth="1"/>
    <col min="9985" max="9985" width="11" customWidth="1"/>
    <col min="9986" max="9986" width="12" bestFit="1" customWidth="1"/>
    <col min="9987" max="9987" width="2.5703125" customWidth="1"/>
    <col min="9988" max="9988" width="10.28515625" bestFit="1" customWidth="1"/>
    <col min="9989" max="9989" width="12.42578125" bestFit="1" customWidth="1"/>
    <col min="9990" max="9990" width="12.42578125" customWidth="1"/>
    <col min="9991" max="9991" width="12.28515625" bestFit="1" customWidth="1"/>
    <col min="10230" max="10232" width="10.28515625" bestFit="1" customWidth="1"/>
    <col min="10233" max="10233" width="11.42578125" bestFit="1" customWidth="1"/>
    <col min="10234" max="10234" width="3" customWidth="1"/>
    <col min="10236" max="10236" width="11" bestFit="1" customWidth="1"/>
    <col min="10238" max="10238" width="5" customWidth="1"/>
    <col min="10240" max="10240" width="11" bestFit="1" customWidth="1"/>
    <col min="10241" max="10241" width="11" customWidth="1"/>
    <col min="10242" max="10242" width="12" bestFit="1" customWidth="1"/>
    <col min="10243" max="10243" width="2.5703125" customWidth="1"/>
    <col min="10244" max="10244" width="10.28515625" bestFit="1" customWidth="1"/>
    <col min="10245" max="10245" width="12.42578125" bestFit="1" customWidth="1"/>
    <col min="10246" max="10246" width="12.42578125" customWidth="1"/>
    <col min="10247" max="10247" width="12.28515625" bestFit="1" customWidth="1"/>
    <col min="10486" max="10488" width="10.28515625" bestFit="1" customWidth="1"/>
    <col min="10489" max="10489" width="11.42578125" bestFit="1" customWidth="1"/>
    <col min="10490" max="10490" width="3" customWidth="1"/>
    <col min="10492" max="10492" width="11" bestFit="1" customWidth="1"/>
    <col min="10494" max="10494" width="5" customWidth="1"/>
    <col min="10496" max="10496" width="11" bestFit="1" customWidth="1"/>
    <col min="10497" max="10497" width="11" customWidth="1"/>
    <col min="10498" max="10498" width="12" bestFit="1" customWidth="1"/>
    <col min="10499" max="10499" width="2.5703125" customWidth="1"/>
    <col min="10500" max="10500" width="10.28515625" bestFit="1" customWidth="1"/>
    <col min="10501" max="10501" width="12.42578125" bestFit="1" customWidth="1"/>
    <col min="10502" max="10502" width="12.42578125" customWidth="1"/>
    <col min="10503" max="10503" width="12.28515625" bestFit="1" customWidth="1"/>
    <col min="10742" max="10744" width="10.28515625" bestFit="1" customWidth="1"/>
    <col min="10745" max="10745" width="11.42578125" bestFit="1" customWidth="1"/>
    <col min="10746" max="10746" width="3" customWidth="1"/>
    <col min="10748" max="10748" width="11" bestFit="1" customWidth="1"/>
    <col min="10750" max="10750" width="5" customWidth="1"/>
    <col min="10752" max="10752" width="11" bestFit="1" customWidth="1"/>
    <col min="10753" max="10753" width="11" customWidth="1"/>
    <col min="10754" max="10754" width="12" bestFit="1" customWidth="1"/>
    <col min="10755" max="10755" width="2.5703125" customWidth="1"/>
    <col min="10756" max="10756" width="10.28515625" bestFit="1" customWidth="1"/>
    <col min="10757" max="10757" width="12.42578125" bestFit="1" customWidth="1"/>
    <col min="10758" max="10758" width="12.42578125" customWidth="1"/>
    <col min="10759" max="10759" width="12.28515625" bestFit="1" customWidth="1"/>
    <col min="10998" max="11000" width="10.28515625" bestFit="1" customWidth="1"/>
    <col min="11001" max="11001" width="11.42578125" bestFit="1" customWidth="1"/>
    <col min="11002" max="11002" width="3" customWidth="1"/>
    <col min="11004" max="11004" width="11" bestFit="1" customWidth="1"/>
    <col min="11006" max="11006" width="5" customWidth="1"/>
    <col min="11008" max="11008" width="11" bestFit="1" customWidth="1"/>
    <col min="11009" max="11009" width="11" customWidth="1"/>
    <col min="11010" max="11010" width="12" bestFit="1" customWidth="1"/>
    <col min="11011" max="11011" width="2.5703125" customWidth="1"/>
    <col min="11012" max="11012" width="10.28515625" bestFit="1" customWidth="1"/>
    <col min="11013" max="11013" width="12.42578125" bestFit="1" customWidth="1"/>
    <col min="11014" max="11014" width="12.42578125" customWidth="1"/>
    <col min="11015" max="11015" width="12.28515625" bestFit="1" customWidth="1"/>
    <col min="11254" max="11256" width="10.28515625" bestFit="1" customWidth="1"/>
    <col min="11257" max="11257" width="11.42578125" bestFit="1" customWidth="1"/>
    <col min="11258" max="11258" width="3" customWidth="1"/>
    <col min="11260" max="11260" width="11" bestFit="1" customWidth="1"/>
    <col min="11262" max="11262" width="5" customWidth="1"/>
    <col min="11264" max="11264" width="11" bestFit="1" customWidth="1"/>
    <col min="11265" max="11265" width="11" customWidth="1"/>
    <col min="11266" max="11266" width="12" bestFit="1" customWidth="1"/>
    <col min="11267" max="11267" width="2.5703125" customWidth="1"/>
    <col min="11268" max="11268" width="10.28515625" bestFit="1" customWidth="1"/>
    <col min="11269" max="11269" width="12.42578125" bestFit="1" customWidth="1"/>
    <col min="11270" max="11270" width="12.42578125" customWidth="1"/>
    <col min="11271" max="11271" width="12.28515625" bestFit="1" customWidth="1"/>
    <col min="11510" max="11512" width="10.28515625" bestFit="1" customWidth="1"/>
    <col min="11513" max="11513" width="11.42578125" bestFit="1" customWidth="1"/>
    <col min="11514" max="11514" width="3" customWidth="1"/>
    <col min="11516" max="11516" width="11" bestFit="1" customWidth="1"/>
    <col min="11518" max="11518" width="5" customWidth="1"/>
    <col min="11520" max="11520" width="11" bestFit="1" customWidth="1"/>
    <col min="11521" max="11521" width="11" customWidth="1"/>
    <col min="11522" max="11522" width="12" bestFit="1" customWidth="1"/>
    <col min="11523" max="11523" width="2.5703125" customWidth="1"/>
    <col min="11524" max="11524" width="10.28515625" bestFit="1" customWidth="1"/>
    <col min="11525" max="11525" width="12.42578125" bestFit="1" customWidth="1"/>
    <col min="11526" max="11526" width="12.42578125" customWidth="1"/>
    <col min="11527" max="11527" width="12.28515625" bestFit="1" customWidth="1"/>
    <col min="11766" max="11768" width="10.28515625" bestFit="1" customWidth="1"/>
    <col min="11769" max="11769" width="11.42578125" bestFit="1" customWidth="1"/>
    <col min="11770" max="11770" width="3" customWidth="1"/>
    <col min="11772" max="11772" width="11" bestFit="1" customWidth="1"/>
    <col min="11774" max="11774" width="5" customWidth="1"/>
    <col min="11776" max="11776" width="11" bestFit="1" customWidth="1"/>
    <col min="11777" max="11777" width="11" customWidth="1"/>
    <col min="11778" max="11778" width="12" bestFit="1" customWidth="1"/>
    <col min="11779" max="11779" width="2.5703125" customWidth="1"/>
    <col min="11780" max="11780" width="10.28515625" bestFit="1" customWidth="1"/>
    <col min="11781" max="11781" width="12.42578125" bestFit="1" customWidth="1"/>
    <col min="11782" max="11782" width="12.42578125" customWidth="1"/>
    <col min="11783" max="11783" width="12.28515625" bestFit="1" customWidth="1"/>
    <col min="12022" max="12024" width="10.28515625" bestFit="1" customWidth="1"/>
    <col min="12025" max="12025" width="11.42578125" bestFit="1" customWidth="1"/>
    <col min="12026" max="12026" width="3" customWidth="1"/>
    <col min="12028" max="12028" width="11" bestFit="1" customWidth="1"/>
    <col min="12030" max="12030" width="5" customWidth="1"/>
    <col min="12032" max="12032" width="11" bestFit="1" customWidth="1"/>
    <col min="12033" max="12033" width="11" customWidth="1"/>
    <col min="12034" max="12034" width="12" bestFit="1" customWidth="1"/>
    <col min="12035" max="12035" width="2.5703125" customWidth="1"/>
    <col min="12036" max="12036" width="10.28515625" bestFit="1" customWidth="1"/>
    <col min="12037" max="12037" width="12.42578125" bestFit="1" customWidth="1"/>
    <col min="12038" max="12038" width="12.42578125" customWidth="1"/>
    <col min="12039" max="12039" width="12.28515625" bestFit="1" customWidth="1"/>
    <col min="12278" max="12280" width="10.28515625" bestFit="1" customWidth="1"/>
    <col min="12281" max="12281" width="11.42578125" bestFit="1" customWidth="1"/>
    <col min="12282" max="12282" width="3" customWidth="1"/>
    <col min="12284" max="12284" width="11" bestFit="1" customWidth="1"/>
    <col min="12286" max="12286" width="5" customWidth="1"/>
    <col min="12288" max="12288" width="11" bestFit="1" customWidth="1"/>
    <col min="12289" max="12289" width="11" customWidth="1"/>
    <col min="12290" max="12290" width="12" bestFit="1" customWidth="1"/>
    <col min="12291" max="12291" width="2.5703125" customWidth="1"/>
    <col min="12292" max="12292" width="10.28515625" bestFit="1" customWidth="1"/>
    <col min="12293" max="12293" width="12.42578125" bestFit="1" customWidth="1"/>
    <col min="12294" max="12294" width="12.42578125" customWidth="1"/>
    <col min="12295" max="12295" width="12.28515625" bestFit="1" customWidth="1"/>
    <col min="12534" max="12536" width="10.28515625" bestFit="1" customWidth="1"/>
    <col min="12537" max="12537" width="11.42578125" bestFit="1" customWidth="1"/>
    <col min="12538" max="12538" width="3" customWidth="1"/>
    <col min="12540" max="12540" width="11" bestFit="1" customWidth="1"/>
    <col min="12542" max="12542" width="5" customWidth="1"/>
    <col min="12544" max="12544" width="11" bestFit="1" customWidth="1"/>
    <col min="12545" max="12545" width="11" customWidth="1"/>
    <col min="12546" max="12546" width="12" bestFit="1" customWidth="1"/>
    <col min="12547" max="12547" width="2.5703125" customWidth="1"/>
    <col min="12548" max="12548" width="10.28515625" bestFit="1" customWidth="1"/>
    <col min="12549" max="12549" width="12.42578125" bestFit="1" customWidth="1"/>
    <col min="12550" max="12550" width="12.42578125" customWidth="1"/>
    <col min="12551" max="12551" width="12.28515625" bestFit="1" customWidth="1"/>
    <col min="12790" max="12792" width="10.28515625" bestFit="1" customWidth="1"/>
    <col min="12793" max="12793" width="11.42578125" bestFit="1" customWidth="1"/>
    <col min="12794" max="12794" width="3" customWidth="1"/>
    <col min="12796" max="12796" width="11" bestFit="1" customWidth="1"/>
    <col min="12798" max="12798" width="5" customWidth="1"/>
    <col min="12800" max="12800" width="11" bestFit="1" customWidth="1"/>
    <col min="12801" max="12801" width="11" customWidth="1"/>
    <col min="12802" max="12802" width="12" bestFit="1" customWidth="1"/>
    <col min="12803" max="12803" width="2.5703125" customWidth="1"/>
    <col min="12804" max="12804" width="10.28515625" bestFit="1" customWidth="1"/>
    <col min="12805" max="12805" width="12.42578125" bestFit="1" customWidth="1"/>
    <col min="12806" max="12806" width="12.42578125" customWidth="1"/>
    <col min="12807" max="12807" width="12.28515625" bestFit="1" customWidth="1"/>
    <col min="13046" max="13048" width="10.28515625" bestFit="1" customWidth="1"/>
    <col min="13049" max="13049" width="11.42578125" bestFit="1" customWidth="1"/>
    <col min="13050" max="13050" width="3" customWidth="1"/>
    <col min="13052" max="13052" width="11" bestFit="1" customWidth="1"/>
    <col min="13054" max="13054" width="5" customWidth="1"/>
    <col min="13056" max="13056" width="11" bestFit="1" customWidth="1"/>
    <col min="13057" max="13057" width="11" customWidth="1"/>
    <col min="13058" max="13058" width="12" bestFit="1" customWidth="1"/>
    <col min="13059" max="13059" width="2.5703125" customWidth="1"/>
    <col min="13060" max="13060" width="10.28515625" bestFit="1" customWidth="1"/>
    <col min="13061" max="13061" width="12.42578125" bestFit="1" customWidth="1"/>
    <col min="13062" max="13062" width="12.42578125" customWidth="1"/>
    <col min="13063" max="13063" width="12.28515625" bestFit="1" customWidth="1"/>
    <col min="13302" max="13304" width="10.28515625" bestFit="1" customWidth="1"/>
    <col min="13305" max="13305" width="11.42578125" bestFit="1" customWidth="1"/>
    <col min="13306" max="13306" width="3" customWidth="1"/>
    <col min="13308" max="13308" width="11" bestFit="1" customWidth="1"/>
    <col min="13310" max="13310" width="5" customWidth="1"/>
    <col min="13312" max="13312" width="11" bestFit="1" customWidth="1"/>
    <col min="13313" max="13313" width="11" customWidth="1"/>
    <col min="13314" max="13314" width="12" bestFit="1" customWidth="1"/>
    <col min="13315" max="13315" width="2.5703125" customWidth="1"/>
    <col min="13316" max="13316" width="10.28515625" bestFit="1" customWidth="1"/>
    <col min="13317" max="13317" width="12.42578125" bestFit="1" customWidth="1"/>
    <col min="13318" max="13318" width="12.42578125" customWidth="1"/>
    <col min="13319" max="13319" width="12.28515625" bestFit="1" customWidth="1"/>
    <col min="13558" max="13560" width="10.28515625" bestFit="1" customWidth="1"/>
    <col min="13561" max="13561" width="11.42578125" bestFit="1" customWidth="1"/>
    <col min="13562" max="13562" width="3" customWidth="1"/>
    <col min="13564" max="13564" width="11" bestFit="1" customWidth="1"/>
    <col min="13566" max="13566" width="5" customWidth="1"/>
    <col min="13568" max="13568" width="11" bestFit="1" customWidth="1"/>
    <col min="13569" max="13569" width="11" customWidth="1"/>
    <col min="13570" max="13570" width="12" bestFit="1" customWidth="1"/>
    <col min="13571" max="13571" width="2.5703125" customWidth="1"/>
    <col min="13572" max="13572" width="10.28515625" bestFit="1" customWidth="1"/>
    <col min="13573" max="13573" width="12.42578125" bestFit="1" customWidth="1"/>
    <col min="13574" max="13574" width="12.42578125" customWidth="1"/>
    <col min="13575" max="13575" width="12.28515625" bestFit="1" customWidth="1"/>
    <col min="13814" max="13816" width="10.28515625" bestFit="1" customWidth="1"/>
    <col min="13817" max="13817" width="11.42578125" bestFit="1" customWidth="1"/>
    <col min="13818" max="13818" width="3" customWidth="1"/>
    <col min="13820" max="13820" width="11" bestFit="1" customWidth="1"/>
    <col min="13822" max="13822" width="5" customWidth="1"/>
    <col min="13824" max="13824" width="11" bestFit="1" customWidth="1"/>
    <col min="13825" max="13825" width="11" customWidth="1"/>
    <col min="13826" max="13826" width="12" bestFit="1" customWidth="1"/>
    <col min="13827" max="13827" width="2.5703125" customWidth="1"/>
    <col min="13828" max="13828" width="10.28515625" bestFit="1" customWidth="1"/>
    <col min="13829" max="13829" width="12.42578125" bestFit="1" customWidth="1"/>
    <col min="13830" max="13830" width="12.42578125" customWidth="1"/>
    <col min="13831" max="13831" width="12.28515625" bestFit="1" customWidth="1"/>
    <col min="14070" max="14072" width="10.28515625" bestFit="1" customWidth="1"/>
    <col min="14073" max="14073" width="11.42578125" bestFit="1" customWidth="1"/>
    <col min="14074" max="14074" width="3" customWidth="1"/>
    <col min="14076" max="14076" width="11" bestFit="1" customWidth="1"/>
    <col min="14078" max="14078" width="5" customWidth="1"/>
    <col min="14080" max="14080" width="11" bestFit="1" customWidth="1"/>
    <col min="14081" max="14081" width="11" customWidth="1"/>
    <col min="14082" max="14082" width="12" bestFit="1" customWidth="1"/>
    <col min="14083" max="14083" width="2.5703125" customWidth="1"/>
    <col min="14084" max="14084" width="10.28515625" bestFit="1" customWidth="1"/>
    <col min="14085" max="14085" width="12.42578125" bestFit="1" customWidth="1"/>
    <col min="14086" max="14086" width="12.42578125" customWidth="1"/>
    <col min="14087" max="14087" width="12.28515625" bestFit="1" customWidth="1"/>
    <col min="14326" max="14328" width="10.28515625" bestFit="1" customWidth="1"/>
    <col min="14329" max="14329" width="11.42578125" bestFit="1" customWidth="1"/>
    <col min="14330" max="14330" width="3" customWidth="1"/>
    <col min="14332" max="14332" width="11" bestFit="1" customWidth="1"/>
    <col min="14334" max="14334" width="5" customWidth="1"/>
    <col min="14336" max="14336" width="11" bestFit="1" customWidth="1"/>
    <col min="14337" max="14337" width="11" customWidth="1"/>
    <col min="14338" max="14338" width="12" bestFit="1" customWidth="1"/>
    <col min="14339" max="14339" width="2.5703125" customWidth="1"/>
    <col min="14340" max="14340" width="10.28515625" bestFit="1" customWidth="1"/>
    <col min="14341" max="14341" width="12.42578125" bestFit="1" customWidth="1"/>
    <col min="14342" max="14342" width="12.42578125" customWidth="1"/>
    <col min="14343" max="14343" width="12.28515625" bestFit="1" customWidth="1"/>
    <col min="14582" max="14584" width="10.28515625" bestFit="1" customWidth="1"/>
    <col min="14585" max="14585" width="11.42578125" bestFit="1" customWidth="1"/>
    <col min="14586" max="14586" width="3" customWidth="1"/>
    <col min="14588" max="14588" width="11" bestFit="1" customWidth="1"/>
    <col min="14590" max="14590" width="5" customWidth="1"/>
    <col min="14592" max="14592" width="11" bestFit="1" customWidth="1"/>
    <col min="14593" max="14593" width="11" customWidth="1"/>
    <col min="14594" max="14594" width="12" bestFit="1" customWidth="1"/>
    <col min="14595" max="14595" width="2.5703125" customWidth="1"/>
    <col min="14596" max="14596" width="10.28515625" bestFit="1" customWidth="1"/>
    <col min="14597" max="14597" width="12.42578125" bestFit="1" customWidth="1"/>
    <col min="14598" max="14598" width="12.42578125" customWidth="1"/>
    <col min="14599" max="14599" width="12.28515625" bestFit="1" customWidth="1"/>
    <col min="14838" max="14840" width="10.28515625" bestFit="1" customWidth="1"/>
    <col min="14841" max="14841" width="11.42578125" bestFit="1" customWidth="1"/>
    <col min="14842" max="14842" width="3" customWidth="1"/>
    <col min="14844" max="14844" width="11" bestFit="1" customWidth="1"/>
    <col min="14846" max="14846" width="5" customWidth="1"/>
    <col min="14848" max="14848" width="11" bestFit="1" customWidth="1"/>
    <col min="14849" max="14849" width="11" customWidth="1"/>
    <col min="14850" max="14850" width="12" bestFit="1" customWidth="1"/>
    <col min="14851" max="14851" width="2.5703125" customWidth="1"/>
    <col min="14852" max="14852" width="10.28515625" bestFit="1" customWidth="1"/>
    <col min="14853" max="14853" width="12.42578125" bestFit="1" customWidth="1"/>
    <col min="14854" max="14854" width="12.42578125" customWidth="1"/>
    <col min="14855" max="14855" width="12.28515625" bestFit="1" customWidth="1"/>
    <col min="15094" max="15096" width="10.28515625" bestFit="1" customWidth="1"/>
    <col min="15097" max="15097" width="11.42578125" bestFit="1" customWidth="1"/>
    <col min="15098" max="15098" width="3" customWidth="1"/>
    <col min="15100" max="15100" width="11" bestFit="1" customWidth="1"/>
    <col min="15102" max="15102" width="5" customWidth="1"/>
    <col min="15104" max="15104" width="11" bestFit="1" customWidth="1"/>
    <col min="15105" max="15105" width="11" customWidth="1"/>
    <col min="15106" max="15106" width="12" bestFit="1" customWidth="1"/>
    <col min="15107" max="15107" width="2.5703125" customWidth="1"/>
    <col min="15108" max="15108" width="10.28515625" bestFit="1" customWidth="1"/>
    <col min="15109" max="15109" width="12.42578125" bestFit="1" customWidth="1"/>
    <col min="15110" max="15110" width="12.42578125" customWidth="1"/>
    <col min="15111" max="15111" width="12.28515625" bestFit="1" customWidth="1"/>
    <col min="15350" max="15352" width="10.28515625" bestFit="1" customWidth="1"/>
    <col min="15353" max="15353" width="11.42578125" bestFit="1" customWidth="1"/>
    <col min="15354" max="15354" width="3" customWidth="1"/>
    <col min="15356" max="15356" width="11" bestFit="1" customWidth="1"/>
    <col min="15358" max="15358" width="5" customWidth="1"/>
    <col min="15360" max="15360" width="11" bestFit="1" customWidth="1"/>
    <col min="15361" max="15361" width="11" customWidth="1"/>
    <col min="15362" max="15362" width="12" bestFit="1" customWidth="1"/>
    <col min="15363" max="15363" width="2.5703125" customWidth="1"/>
    <col min="15364" max="15364" width="10.28515625" bestFit="1" customWidth="1"/>
    <col min="15365" max="15365" width="12.42578125" bestFit="1" customWidth="1"/>
    <col min="15366" max="15366" width="12.42578125" customWidth="1"/>
    <col min="15367" max="15367" width="12.28515625" bestFit="1" customWidth="1"/>
    <col min="15606" max="15608" width="10.28515625" bestFit="1" customWidth="1"/>
    <col min="15609" max="15609" width="11.42578125" bestFit="1" customWidth="1"/>
    <col min="15610" max="15610" width="3" customWidth="1"/>
    <col min="15612" max="15612" width="11" bestFit="1" customWidth="1"/>
    <col min="15614" max="15614" width="5" customWidth="1"/>
    <col min="15616" max="15616" width="11" bestFit="1" customWidth="1"/>
    <col min="15617" max="15617" width="11" customWidth="1"/>
    <col min="15618" max="15618" width="12" bestFit="1" customWidth="1"/>
    <col min="15619" max="15619" width="2.5703125" customWidth="1"/>
    <col min="15620" max="15620" width="10.28515625" bestFit="1" customWidth="1"/>
    <col min="15621" max="15621" width="12.42578125" bestFit="1" customWidth="1"/>
    <col min="15622" max="15622" width="12.42578125" customWidth="1"/>
    <col min="15623" max="15623" width="12.28515625" bestFit="1" customWidth="1"/>
    <col min="15862" max="15864" width="10.28515625" bestFit="1" customWidth="1"/>
    <col min="15865" max="15865" width="11.42578125" bestFit="1" customWidth="1"/>
    <col min="15866" max="15866" width="3" customWidth="1"/>
    <col min="15868" max="15868" width="11" bestFit="1" customWidth="1"/>
    <col min="15870" max="15870" width="5" customWidth="1"/>
    <col min="15872" max="15872" width="11" bestFit="1" customWidth="1"/>
    <col min="15873" max="15873" width="11" customWidth="1"/>
    <col min="15874" max="15874" width="12" bestFit="1" customWidth="1"/>
    <col min="15875" max="15875" width="2.5703125" customWidth="1"/>
    <col min="15876" max="15876" width="10.28515625" bestFit="1" customWidth="1"/>
    <col min="15877" max="15877" width="12.42578125" bestFit="1" customWidth="1"/>
    <col min="15878" max="15878" width="12.42578125" customWidth="1"/>
    <col min="15879" max="15879" width="12.28515625" bestFit="1" customWidth="1"/>
    <col min="16118" max="16120" width="10.28515625" bestFit="1" customWidth="1"/>
    <col min="16121" max="16121" width="11.42578125" bestFit="1" customWidth="1"/>
    <col min="16122" max="16122" width="3" customWidth="1"/>
    <col min="16124" max="16124" width="11" bestFit="1" customWidth="1"/>
    <col min="16126" max="16126" width="5" customWidth="1"/>
    <col min="16128" max="16128" width="11" bestFit="1" customWidth="1"/>
    <col min="16129" max="16129" width="11" customWidth="1"/>
    <col min="16130" max="16130" width="12" bestFit="1" customWidth="1"/>
    <col min="16131" max="16131" width="2.5703125" customWidth="1"/>
    <col min="16132" max="16132" width="10.28515625" bestFit="1" customWidth="1"/>
    <col min="16133" max="16133" width="12.42578125" bestFit="1" customWidth="1"/>
    <col min="16134" max="16134" width="12.42578125" customWidth="1"/>
    <col min="16135" max="16135" width="12.28515625" bestFit="1" customWidth="1"/>
  </cols>
  <sheetData>
    <row r="1" spans="1:14" ht="23.25" x14ac:dyDescent="0.35">
      <c r="A1" s="287" t="s">
        <v>204</v>
      </c>
    </row>
    <row r="2" spans="1:14" ht="23.25" x14ac:dyDescent="0.35">
      <c r="A2" s="287"/>
    </row>
    <row r="4" spans="1:14" x14ac:dyDescent="0.2">
      <c r="C4" s="288"/>
      <c r="F4" s="326" t="s">
        <v>231</v>
      </c>
      <c r="G4" s="326"/>
      <c r="H4" s="326"/>
      <c r="I4" s="326"/>
      <c r="J4" s="326"/>
      <c r="K4" s="326"/>
      <c r="M4" s="289"/>
    </row>
    <row r="5" spans="1:14" x14ac:dyDescent="0.2">
      <c r="E5" s="290"/>
      <c r="F5" s="290" t="s">
        <v>140</v>
      </c>
      <c r="G5" s="290" t="s">
        <v>140</v>
      </c>
      <c r="H5" s="290" t="s">
        <v>205</v>
      </c>
      <c r="I5" s="290"/>
      <c r="J5" s="290" t="s">
        <v>206</v>
      </c>
      <c r="K5" s="290" t="s">
        <v>207</v>
      </c>
    </row>
    <row r="6" spans="1:14" x14ac:dyDescent="0.2">
      <c r="E6" s="288"/>
      <c r="F6" s="288">
        <v>2020</v>
      </c>
      <c r="G6" s="288">
        <v>2021</v>
      </c>
      <c r="H6" s="288" t="s">
        <v>208</v>
      </c>
      <c r="I6" s="288"/>
      <c r="J6" s="288" t="s">
        <v>233</v>
      </c>
      <c r="K6" s="288">
        <v>2022</v>
      </c>
    </row>
    <row r="7" spans="1:14" ht="15.75" x14ac:dyDescent="0.25">
      <c r="A7" s="291" t="s">
        <v>232</v>
      </c>
    </row>
    <row r="8" spans="1:14" ht="15" x14ac:dyDescent="0.25">
      <c r="A8" s="293" t="s">
        <v>209</v>
      </c>
      <c r="B8" s="128"/>
    </row>
    <row r="9" spans="1:14" ht="15" x14ac:dyDescent="0.25">
      <c r="A9" s="294"/>
      <c r="B9" s="63" t="s">
        <v>210</v>
      </c>
      <c r="E9" s="295"/>
      <c r="F9" s="295">
        <v>6536</v>
      </c>
      <c r="G9" s="295">
        <v>6229</v>
      </c>
      <c r="H9" s="295">
        <f>AVERAGE(E9:G9)</f>
        <v>6382.5</v>
      </c>
      <c r="I9" s="295"/>
      <c r="J9" s="295">
        <v>2437</v>
      </c>
      <c r="K9" s="292">
        <f>+J9/5*12</f>
        <v>5848.7999999999993</v>
      </c>
    </row>
    <row r="10" spans="1:14" ht="15" x14ac:dyDescent="0.25">
      <c r="A10" s="294"/>
      <c r="B10" s="63" t="s">
        <v>211</v>
      </c>
      <c r="E10" s="295"/>
      <c r="F10" s="295">
        <v>11256</v>
      </c>
      <c r="G10" s="295">
        <v>11106</v>
      </c>
      <c r="H10" s="295">
        <f>AVERAGE(E10:G10)</f>
        <v>11181</v>
      </c>
      <c r="I10" s="295"/>
      <c r="J10" s="295">
        <v>1502</v>
      </c>
      <c r="K10" s="292">
        <v>11081</v>
      </c>
      <c r="M10" s="324" t="s">
        <v>234</v>
      </c>
      <c r="N10" s="325"/>
    </row>
    <row r="11" spans="1:14" ht="25.5" customHeight="1" x14ac:dyDescent="0.35">
      <c r="A11" s="294"/>
      <c r="B11" s="63" t="s">
        <v>212</v>
      </c>
      <c r="E11" s="296"/>
      <c r="F11" s="296">
        <v>25359</v>
      </c>
      <c r="G11" s="296">
        <v>26445</v>
      </c>
      <c r="H11" s="296">
        <f>AVERAGE(E11:G11)</f>
        <v>25902</v>
      </c>
      <c r="I11" s="296"/>
      <c r="J11" s="296">
        <v>10259</v>
      </c>
      <c r="K11" s="297">
        <f>+J11/5*12</f>
        <v>24621.600000000002</v>
      </c>
      <c r="M11" s="325"/>
      <c r="N11" s="325"/>
    </row>
    <row r="12" spans="1:14" ht="15" x14ac:dyDescent="0.25">
      <c r="A12" s="298"/>
      <c r="B12" s="299" t="s">
        <v>213</v>
      </c>
      <c r="C12" s="300"/>
      <c r="E12" s="301"/>
      <c r="F12" s="301">
        <f>+F11+F10+F9</f>
        <v>43151</v>
      </c>
      <c r="G12" s="301">
        <f>+G11+G10+G9</f>
        <v>43780</v>
      </c>
      <c r="H12" s="301">
        <f>+H11+H10+H9</f>
        <v>43465.5</v>
      </c>
      <c r="I12" s="301"/>
      <c r="J12" s="301">
        <f>+J11+J10+J9</f>
        <v>14198</v>
      </c>
      <c r="K12" s="301">
        <f>+K11+K10+K9</f>
        <v>41551.400000000009</v>
      </c>
      <c r="M12" s="302"/>
      <c r="N12" s="302"/>
    </row>
    <row r="13" spans="1:14" ht="15" x14ac:dyDescent="0.25">
      <c r="A13" s="293" t="s">
        <v>214</v>
      </c>
      <c r="B13" s="128"/>
      <c r="G13" s="295"/>
      <c r="J13" s="295"/>
    </row>
    <row r="14" spans="1:14" ht="15" x14ac:dyDescent="0.25">
      <c r="A14" s="294"/>
      <c r="B14" s="63" t="s">
        <v>215</v>
      </c>
      <c r="E14" s="295"/>
      <c r="F14" s="295">
        <v>139</v>
      </c>
      <c r="G14" s="295">
        <v>149</v>
      </c>
      <c r="H14" s="295">
        <f>AVERAGE(E14:G14)</f>
        <v>144</v>
      </c>
      <c r="I14" s="295"/>
      <c r="J14" s="295">
        <v>58</v>
      </c>
      <c r="K14" s="292">
        <f>+J14/5*12</f>
        <v>139.19999999999999</v>
      </c>
    </row>
    <row r="15" spans="1:14" ht="15" x14ac:dyDescent="0.25">
      <c r="A15" s="294"/>
      <c r="B15" s="63" t="s">
        <v>216</v>
      </c>
      <c r="E15" s="295"/>
      <c r="F15" s="295">
        <v>11</v>
      </c>
      <c r="G15" s="295">
        <v>4</v>
      </c>
      <c r="H15" s="295">
        <f>AVERAGE(E15:G15)</f>
        <v>7.5</v>
      </c>
      <c r="I15" s="295"/>
      <c r="J15" s="295">
        <v>2</v>
      </c>
      <c r="K15" s="292">
        <v>3</v>
      </c>
    </row>
    <row r="16" spans="1:14" ht="16.5" x14ac:dyDescent="0.35">
      <c r="A16" s="294"/>
      <c r="B16" s="63" t="s">
        <v>217</v>
      </c>
      <c r="E16" s="296"/>
      <c r="F16" s="296">
        <v>1531</v>
      </c>
      <c r="G16" s="296">
        <v>1650</v>
      </c>
      <c r="H16" s="296">
        <f>AVERAGE(E16:G16)</f>
        <v>1590.5</v>
      </c>
      <c r="I16" s="296"/>
      <c r="J16" s="296">
        <v>647</v>
      </c>
      <c r="K16" s="297">
        <f>+J16/5*12</f>
        <v>1552.8000000000002</v>
      </c>
    </row>
    <row r="17" spans="1:13" ht="15" x14ac:dyDescent="0.25">
      <c r="A17" s="298"/>
      <c r="B17" s="128" t="s">
        <v>218</v>
      </c>
      <c r="C17" s="300"/>
      <c r="E17" s="301"/>
      <c r="F17" s="301">
        <f>+F16+F15+F14</f>
        <v>1681</v>
      </c>
      <c r="G17" s="301">
        <f>+G16+G15+G14</f>
        <v>1803</v>
      </c>
      <c r="H17" s="301">
        <f>+H16+H15+H14</f>
        <v>1742</v>
      </c>
      <c r="I17" s="301"/>
      <c r="J17" s="301">
        <f>+J16+J15+J14</f>
        <v>707</v>
      </c>
      <c r="K17" s="301">
        <f>+K16+K15+K14</f>
        <v>1695.0000000000002</v>
      </c>
    </row>
    <row r="18" spans="1:13" ht="15" x14ac:dyDescent="0.25">
      <c r="A18" s="303" t="s">
        <v>219</v>
      </c>
      <c r="B18" s="304"/>
      <c r="C18" s="300"/>
      <c r="E18" s="305"/>
      <c r="F18" s="305">
        <f>+F17+F12</f>
        <v>44832</v>
      </c>
      <c r="G18" s="305">
        <f>+G17+G12</f>
        <v>45583</v>
      </c>
      <c r="H18" s="305">
        <f>+H17+H12</f>
        <v>45207.5</v>
      </c>
      <c r="I18" s="305"/>
      <c r="J18" s="305">
        <f>+J17+J12</f>
        <v>14905</v>
      </c>
      <c r="K18" s="305">
        <f>+K17+K12</f>
        <v>43246.400000000009</v>
      </c>
    </row>
    <row r="19" spans="1:13" ht="15" x14ac:dyDescent="0.25">
      <c r="A19" s="303"/>
      <c r="B19" s="304"/>
      <c r="C19" s="300"/>
      <c r="E19" s="306"/>
      <c r="F19" s="306"/>
      <c r="G19" s="306"/>
      <c r="H19" s="306"/>
      <c r="I19" s="306"/>
      <c r="J19" s="306"/>
    </row>
    <row r="20" spans="1:13" x14ac:dyDescent="0.2">
      <c r="B20" s="300" t="s">
        <v>220</v>
      </c>
      <c r="C20" s="300"/>
      <c r="E20" s="305"/>
      <c r="F20" s="305">
        <f>+F9+F10+F14+F15</f>
        <v>17942</v>
      </c>
      <c r="G20" s="305">
        <f>+G9+G10+G14+G15</f>
        <v>17488</v>
      </c>
      <c r="H20" s="305">
        <f>+H9+H10+H14+H15</f>
        <v>17715</v>
      </c>
      <c r="I20" s="305"/>
      <c r="J20" s="305">
        <f>+J9+J10+J14+J15</f>
        <v>3999</v>
      </c>
      <c r="K20" s="305">
        <f>+K9+K10+K14+K15</f>
        <v>17072</v>
      </c>
    </row>
    <row r="21" spans="1:13" ht="15" x14ac:dyDescent="0.25">
      <c r="A21" s="307"/>
      <c r="B21" s="300" t="s">
        <v>221</v>
      </c>
      <c r="C21" s="300"/>
      <c r="E21" s="308"/>
      <c r="F21" s="308">
        <f>+F20/F18</f>
        <v>0.40020521056388292</v>
      </c>
      <c r="G21" s="308">
        <f>+G20/G18</f>
        <v>0.38365180001316279</v>
      </c>
      <c r="H21" s="309">
        <f>+H20/H18</f>
        <v>0.39185975778355364</v>
      </c>
      <c r="I21" s="308"/>
      <c r="J21" s="308">
        <f>+J20/J18</f>
        <v>0.26829922844682991</v>
      </c>
      <c r="K21" s="309">
        <f>+K20/K18</f>
        <v>0.39476118243368225</v>
      </c>
      <c r="M21" s="1" t="s">
        <v>222</v>
      </c>
    </row>
  </sheetData>
  <mergeCells count="2">
    <mergeCell ref="M10:N11"/>
    <mergeCell ref="F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2022-06-14T07:00:00+00:00</OpenedDate>
    <SignificantOrder xmlns="dc463f71-b30c-4ab2-9473-d307f9d35888">false</SignificantOrder>
    <Date1 xmlns="dc463f71-b30c-4ab2-9473-d307f9d35888">2022-06-22T07:00:00+00:00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220453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24B43C9F3DF74094C1655EA2E9245E" ma:contentTypeVersion="28" ma:contentTypeDescription="" ma:contentTypeScope="" ma:versionID="3befc29b59e07fb0fed1834e0f3aff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09234-8087-4385-8290-5186338413E3}"/>
</file>

<file path=customXml/itemProps2.xml><?xml version="1.0" encoding="utf-8"?>
<ds:datastoreItem xmlns:ds="http://schemas.openxmlformats.org/officeDocument/2006/customXml" ds:itemID="{E0CD76EC-DDB2-42CB-AF9B-46F240AA15BA}">
  <ds:schemaRefs>
    <ds:schemaRef ds:uri="dd505c63-389f-4c50-b250-8880f70a2ae8"/>
    <ds:schemaRef ds:uri="http://purl.org/dc/elements/1.1/"/>
    <ds:schemaRef ds:uri="http://schemas.microsoft.com/office/2006/metadata/properties"/>
    <ds:schemaRef ds:uri="cbb60f30-5457-4fe2-8643-83400c4de49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6a7bd91e-004b-490a-8704-e368d63d59a0"/>
  </ds:schemaRefs>
</ds:datastoreItem>
</file>

<file path=customXml/itemProps3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E7DA75-3DCE-41AB-B49B-82B661D7E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Rebate Calculation</vt:lpstr>
      <vt:lpstr>24 Month Rev &amp; Ton summary</vt:lpstr>
      <vt:lpstr>Tons &amp; Revenue</vt:lpstr>
      <vt:lpstr>Composition</vt:lpstr>
      <vt:lpstr>Prices</vt:lpstr>
      <vt:lpstr>Res'l &amp; MF Customers</vt:lpstr>
      <vt:lpstr>2020-2022 Budget</vt:lpstr>
      <vt:lpstr>Budget vs Actual</vt:lpstr>
      <vt:lpstr>Revised Budget</vt:lpstr>
      <vt:lpstr>Incentive Analysis</vt:lpstr>
      <vt:lpstr>Composition!Print_Area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180531</dc:title>
  <dc:subject>Commodity Credit</dc:subject>
  <dc:creator>Mike Weinstein</dc:creator>
  <cp:lastModifiedBy>Rossi, Joey</cp:lastModifiedBy>
  <cp:lastPrinted>2018-06-12T15:36:38Z</cp:lastPrinted>
  <dcterms:created xsi:type="dcterms:W3CDTF">2004-02-20T19:40:08Z</dcterms:created>
  <dcterms:modified xsi:type="dcterms:W3CDTF">2022-06-14T15:34:37Z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0x0101006E56B4D1795A2E4DB2F0B01679ED314A00CC24B43C9F3DF74094C1655EA2E9245E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ndustry">
    <vt:lpwstr>8;#227 - Solid Waste|e5216a35-883e-4320-8450-4a52f3c8956b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