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4.xml" ContentType="application/vnd.openxmlformats-officedocument.spreadsheetml.chartsheet+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chartsheets/sheet3.xml" ContentType="application/vnd.openxmlformats-officedocument.spreadsheetml.chartsheet+xml"/>
  <Override PartName="/xl/chartsheets/sheet2.xml" ContentType="application/vnd.openxmlformats-officedocument.spreadsheetml.chartsheet+xml"/>
  <Override PartName="/xl/drawings/drawing17.xml" ContentType="application/vnd.openxmlformats-officedocument.drawing+xml"/>
  <Override PartName="/xl/drawings/drawing16.xml" ContentType="application/vnd.openxmlformats-officedocument.drawing+xml"/>
  <Override PartName="/xl/drawings/drawing9.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worksheets/sheet31.xml" ContentType="application/vnd.openxmlformats-officedocument.spreadsheetml.worksheet+xml"/>
  <Override PartName="/xl/charts/chart1.xml" ContentType="application/vnd.openxmlformats-officedocument.drawingml.char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worksheets/sheet23.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48.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30.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1.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16.xml" ContentType="application/vnd.openxmlformats-officedocument.spreadsheetml.worksheet+xml"/>
  <Override PartName="/xl/pivotTables/pivotTable1.xml" ContentType="application/vnd.openxmlformats-officedocument.spreadsheetml.pivotTable+xml"/>
  <Override PartName="/xl/worksheets/sheet17.xml" ContentType="application/vnd.openxmlformats-officedocument.spreadsheetml.worksheet+xml"/>
  <Override PartName="/xl/charts/chart4.xml" ContentType="application/vnd.openxmlformats-officedocument.drawingml.char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pivotTables/pivotTable3.xml" ContentType="application/vnd.openxmlformats-officedocument.spreadsheetml.pivotTable+xml"/>
  <Override PartName="/xl/pivotTables/pivotTable2.xml" ContentType="application/vnd.openxmlformats-officedocument.spreadsheetml.pivotTable+xml"/>
  <Override PartName="/xl/worksheets/sheet13.xml" ContentType="application/vnd.openxmlformats-officedocument.spreadsheetml.worksheet+xml"/>
  <Override PartName="/xl/comments7.xml" ContentType="application/vnd.openxmlformats-officedocument.spreadsheetml.comments+xml"/>
  <Override PartName="/xl/comments6.xml" ContentType="application/vnd.openxmlformats-officedocument.spreadsheetml.comments+xml"/>
  <Override PartName="/xl/pivotCache/pivotCacheRecords1.xml" ContentType="application/vnd.openxmlformats-officedocument.spreadsheetml.pivotCacheRecords+xml"/>
  <Override PartName="/xl/comments2.xml" ContentType="application/vnd.openxmlformats-officedocument.spreadsheetml.comments+xml"/>
  <Override PartName="/xl/comments11.xml" ContentType="application/vnd.openxmlformats-officedocument.spreadsheetml.comments+xml"/>
  <Override PartName="/xl/comments1.xml" ContentType="application/vnd.openxmlformats-officedocument.spreadsheetml.comments+xml"/>
  <Override PartName="/xl/comments12.xml" ContentType="application/vnd.openxmlformats-officedocument.spreadsheetml.comments+xml"/>
  <Override PartName="/xl/comments3.xml" ContentType="application/vnd.openxmlformats-officedocument.spreadsheetml.comments+xml"/>
  <Override PartName="/xl/comments10.xml" ContentType="application/vnd.openxmlformats-officedocument.spreadsheetml.comments+xml"/>
  <Override PartName="/xl/comments8.xml" ContentType="application/vnd.openxmlformats-officedocument.spreadsheetml.comments+xml"/>
  <Override PartName="/xl/comments5.xml" ContentType="application/vnd.openxmlformats-officedocument.spreadsheetml.comments+xml"/>
  <Override PartName="/xl/comments9.xml" ContentType="application/vnd.openxmlformats-officedocument.spreadsheetml.comments+xml"/>
  <Override PartName="/xl/comments4.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4.xml" ContentType="application/vnd.openxmlformats-officedocument.spreadsheetml.comments+xml"/>
  <Override PartName="/xl/comments15.xml" ContentType="application/vnd.openxmlformats-officedocument.spreadsheetml.comments+xml"/>
  <Override PartName="/xl/pivotCache/pivotCacheDefinition1.xml" ContentType="application/vnd.openxmlformats-officedocument.spreadsheetml.pivotCacheDefinitio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urrent\WUTC - Commerce CO2 Intensity Bill\2021 Annual Metrics Report\"/>
    </mc:Choice>
  </mc:AlternateContent>
  <bookViews>
    <workbookView xWindow="930" yWindow="0" windowWidth="25200" windowHeight="11850" firstSheet="4" activeTab="4"/>
  </bookViews>
  <sheets>
    <sheet name="Fig 1 - 10 year look back" sheetId="61" r:id="rId1"/>
    <sheet name="Fig 2 - Intensity Metrics" sheetId="41" r:id="rId2"/>
    <sheet name="Fig 3 - Ratio Annual to 1990" sheetId="43" r:id="rId3"/>
    <sheet name="Fig 4 - Unknown Energy &amp; CO2" sheetId="42" r:id="rId4"/>
    <sheet name="Comparison to Previous Year" sheetId="59" r:id="rId5"/>
    <sheet name="Pivot table for 10 yr look back" sheetId="60" r:id="rId6"/>
    <sheet name="Raw data for pivot" sheetId="58" r:id="rId7"/>
    <sheet name="Chart Data" sheetId="40" r:id="rId8"/>
    <sheet name="2021 Summary" sheetId="69" r:id="rId9"/>
    <sheet name="2021 Known" sheetId="70" r:id="rId10"/>
    <sheet name="2021 Unknown - Net by" sheetId="73" r:id="rId11"/>
    <sheet name="EFs &amp; Rates" sheetId="56" r:id="rId12"/>
    <sheet name="2020 Summary" sheetId="68" r:id="rId13"/>
    <sheet name="2020 Known" sheetId="67" r:id="rId14"/>
    <sheet name="2020 Unknown - Net by" sheetId="66" r:id="rId15"/>
    <sheet name="2019 Summary" sheetId="64" r:id="rId16"/>
    <sheet name="2019 Known" sheetId="62" r:id="rId17"/>
    <sheet name="2019 Unknown - Net by" sheetId="63" r:id="rId18"/>
    <sheet name="2018 Summary" sheetId="55" r:id="rId19"/>
    <sheet name="2018 Known" sheetId="54" r:id="rId20"/>
    <sheet name="2018 Unknown - Net by" sheetId="53" r:id="rId21"/>
    <sheet name="2017 Summary" sheetId="50" r:id="rId22"/>
    <sheet name="2017 Known" sheetId="44" r:id="rId23"/>
    <sheet name="2017 Unknown - Net by" sheetId="51" r:id="rId24"/>
    <sheet name="2016 Summary" sheetId="46" r:id="rId25"/>
    <sheet name="2016 Known" sheetId="48" r:id="rId26"/>
    <sheet name="2016 Unknown - Net by" sheetId="52" r:id="rId27"/>
    <sheet name="2015 Summary" sheetId="5" r:id="rId28"/>
    <sheet name="2015 Known" sheetId="29" r:id="rId29"/>
    <sheet name="2015 Unknown" sheetId="39" r:id="rId30"/>
    <sheet name="2014 Summary" sheetId="10" r:id="rId31"/>
    <sheet name="2014 Known" sheetId="28" r:id="rId32"/>
    <sheet name="2014 Unknown" sheetId="38" r:id="rId33"/>
    <sheet name="2013 Summary" sheetId="9" r:id="rId34"/>
    <sheet name="2013 Known" sheetId="27" r:id="rId35"/>
    <sheet name="2013 Unknown" sheetId="37" r:id="rId36"/>
    <sheet name="2012 Summary" sheetId="8" r:id="rId37"/>
    <sheet name="2012 Known" sheetId="26" r:id="rId38"/>
    <sheet name="2012 Unknown" sheetId="36" r:id="rId39"/>
    <sheet name="2011 Summary" sheetId="16" r:id="rId40"/>
    <sheet name="2011 Known" sheetId="25" r:id="rId41"/>
    <sheet name="2011 Unknown" sheetId="35" r:id="rId42"/>
    <sheet name="Older Data all Short Tons --&gt;" sheetId="65" r:id="rId43"/>
    <sheet name="2010 Summary" sheetId="15" r:id="rId44"/>
    <sheet name="2010 Known" sheetId="24" r:id="rId45"/>
    <sheet name="2010 Unknown" sheetId="34" r:id="rId46"/>
    <sheet name="2009 Summary" sheetId="14" r:id="rId47"/>
    <sheet name="2009 Known" sheetId="23" r:id="rId48"/>
    <sheet name="2009 Unknown" sheetId="33" r:id="rId49"/>
    <sheet name="Census Stats" sheetId="17" r:id="rId50"/>
    <sheet name="Census Stats 2016" sheetId="49" r:id="rId51"/>
    <sheet name="Census Stats 2021" sheetId="72" r:id="rId52"/>
  </sheets>
  <definedNames>
    <definedName name="_xlnm._FilterDatabase" localSheetId="40" hidden="1">'2011 Known'!$A$1:$K$58</definedName>
    <definedName name="_xlnm._FilterDatabase" localSheetId="41" hidden="1">'2011 Unknown'!$J$4:$L$133</definedName>
    <definedName name="_xlnm._FilterDatabase" localSheetId="37" hidden="1">'2012 Known'!$A$1:$K$62</definedName>
    <definedName name="_xlnm._FilterDatabase" localSheetId="38" hidden="1">'2012 Unknown'!$A$3:$I$124</definedName>
    <definedName name="_xlnm._FilterDatabase" localSheetId="34" hidden="1">'2013 Known'!$A$1:$K$61</definedName>
    <definedName name="_xlnm._FilterDatabase" localSheetId="31" hidden="1">'2014 Known'!$A$1:$K$60</definedName>
    <definedName name="_xlnm._FilterDatabase" localSheetId="28" hidden="1">'2015 Known'!$A$1:$K$59</definedName>
    <definedName name="_xlnm._FilterDatabase" localSheetId="25" hidden="1">'2016 Known'!$A$1:$K$57</definedName>
    <definedName name="_xlnm._FilterDatabase" localSheetId="22" hidden="1">'2017 Known'!$A$1:$K$57</definedName>
    <definedName name="_xlnm._FilterDatabase" localSheetId="19" hidden="1">'2018 Known'!$A$1:$K$56</definedName>
    <definedName name="_xlnm._FilterDatabase" localSheetId="16" hidden="1">'2019 Known'!$A$1:$K$56</definedName>
    <definedName name="_xlnm._FilterDatabase" localSheetId="13" hidden="1">'2020 Known'!$A$1:$K$69</definedName>
    <definedName name="_xlnm._FilterDatabase" localSheetId="14" hidden="1">'2020 Unknown - Net by'!$P$2:$T$80</definedName>
    <definedName name="_xlnm._FilterDatabase" localSheetId="6" hidden="1">'Raw data for pivot'!$A$1:$G$673</definedName>
  </definedNames>
  <calcPr calcId="162913"/>
  <pivotCaches>
    <pivotCache cacheId="24" r:id="rId5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73" l="1"/>
  <c r="I6" i="73"/>
  <c r="O5" i="40" l="1"/>
  <c r="O4" i="40"/>
  <c r="O3" i="40"/>
  <c r="O15" i="40"/>
  <c r="O20" i="40"/>
  <c r="C737" i="58"/>
  <c r="B737" i="58"/>
  <c r="A737" i="58"/>
  <c r="G736" i="58"/>
  <c r="F736" i="58"/>
  <c r="E736" i="58"/>
  <c r="D736" i="58"/>
  <c r="C736" i="58"/>
  <c r="B736" i="58"/>
  <c r="A736" i="58"/>
  <c r="G735" i="58"/>
  <c r="F735" i="58"/>
  <c r="E735" i="58"/>
  <c r="D735" i="58"/>
  <c r="C735" i="58"/>
  <c r="B735" i="58"/>
  <c r="A735" i="58"/>
  <c r="G734" i="58"/>
  <c r="F734" i="58"/>
  <c r="E734" i="58"/>
  <c r="D734" i="58"/>
  <c r="C734" i="58"/>
  <c r="B734" i="58"/>
  <c r="A734" i="58"/>
  <c r="G733" i="58"/>
  <c r="F733" i="58"/>
  <c r="E733" i="58"/>
  <c r="D733" i="58"/>
  <c r="C733" i="58"/>
  <c r="B733" i="58"/>
  <c r="A733" i="58"/>
  <c r="G732" i="58"/>
  <c r="F732" i="58"/>
  <c r="E732" i="58"/>
  <c r="D732" i="58"/>
  <c r="C732" i="58"/>
  <c r="B732" i="58"/>
  <c r="A732" i="58"/>
  <c r="G731" i="58"/>
  <c r="F731" i="58"/>
  <c r="E731" i="58"/>
  <c r="D731" i="58"/>
  <c r="C731" i="58"/>
  <c r="B731" i="58"/>
  <c r="A731" i="58"/>
  <c r="G730" i="58"/>
  <c r="F730" i="58"/>
  <c r="E730" i="58"/>
  <c r="D730" i="58"/>
  <c r="C730" i="58"/>
  <c r="B730" i="58"/>
  <c r="A730" i="58"/>
  <c r="G729" i="58"/>
  <c r="F729" i="58"/>
  <c r="E729" i="58"/>
  <c r="D729" i="58"/>
  <c r="C729" i="58"/>
  <c r="B729" i="58"/>
  <c r="A729" i="58"/>
  <c r="G728" i="58"/>
  <c r="F728" i="58"/>
  <c r="E728" i="58"/>
  <c r="C728" i="58"/>
  <c r="B728" i="58"/>
  <c r="A728" i="58"/>
  <c r="G727" i="58"/>
  <c r="F727" i="58"/>
  <c r="E727" i="58"/>
  <c r="C727" i="58"/>
  <c r="B727" i="58"/>
  <c r="A727" i="58"/>
  <c r="G726" i="58"/>
  <c r="F726" i="58"/>
  <c r="E726" i="58"/>
  <c r="C726" i="58"/>
  <c r="B726" i="58"/>
  <c r="A726" i="58"/>
  <c r="G725" i="58"/>
  <c r="F725" i="58"/>
  <c r="E725" i="58"/>
  <c r="D725" i="58"/>
  <c r="C725" i="58"/>
  <c r="B725" i="58"/>
  <c r="A725" i="58"/>
  <c r="G724" i="58"/>
  <c r="F724" i="58"/>
  <c r="E724" i="58"/>
  <c r="D724" i="58"/>
  <c r="C724" i="58"/>
  <c r="B724" i="58"/>
  <c r="A724" i="58"/>
  <c r="G723" i="58"/>
  <c r="F723" i="58"/>
  <c r="E723" i="58"/>
  <c r="D723" i="58"/>
  <c r="C723" i="58"/>
  <c r="B723" i="58"/>
  <c r="A723" i="58"/>
  <c r="G722" i="58"/>
  <c r="F722" i="58"/>
  <c r="E722" i="58"/>
  <c r="D722" i="58"/>
  <c r="C722" i="58"/>
  <c r="B722" i="58"/>
  <c r="A722" i="58"/>
  <c r="G721" i="58"/>
  <c r="F721" i="58"/>
  <c r="E721" i="58"/>
  <c r="D721" i="58"/>
  <c r="C721" i="58"/>
  <c r="B721" i="58"/>
  <c r="A721" i="58"/>
  <c r="G720" i="58"/>
  <c r="F720" i="58"/>
  <c r="E720" i="58"/>
  <c r="D720" i="58"/>
  <c r="C720" i="58"/>
  <c r="B720" i="58"/>
  <c r="A720" i="58"/>
  <c r="G719" i="58"/>
  <c r="F719" i="58"/>
  <c r="E719" i="58"/>
  <c r="D719" i="58"/>
  <c r="C719" i="58"/>
  <c r="B719" i="58"/>
  <c r="A719" i="58"/>
  <c r="G718" i="58"/>
  <c r="F718" i="58"/>
  <c r="E718" i="58"/>
  <c r="D718" i="58"/>
  <c r="C718" i="58"/>
  <c r="B718" i="58"/>
  <c r="A718" i="58"/>
  <c r="G717" i="58"/>
  <c r="F717" i="58"/>
  <c r="E717" i="58"/>
  <c r="D717" i="58"/>
  <c r="C717" i="58"/>
  <c r="B717" i="58"/>
  <c r="A717" i="58"/>
  <c r="G716" i="58"/>
  <c r="F716" i="58"/>
  <c r="E716" i="58"/>
  <c r="D716" i="58"/>
  <c r="C716" i="58"/>
  <c r="B716" i="58"/>
  <c r="A716" i="58"/>
  <c r="G715" i="58"/>
  <c r="F715" i="58"/>
  <c r="E715" i="58"/>
  <c r="D715" i="58"/>
  <c r="C715" i="58"/>
  <c r="B715" i="58"/>
  <c r="A715" i="58"/>
  <c r="G714" i="58"/>
  <c r="F714" i="58"/>
  <c r="E714" i="58"/>
  <c r="D714" i="58"/>
  <c r="C714" i="58"/>
  <c r="B714" i="58"/>
  <c r="A714" i="58"/>
  <c r="G713" i="58"/>
  <c r="F713" i="58"/>
  <c r="E713" i="58"/>
  <c r="D713" i="58"/>
  <c r="C713" i="58"/>
  <c r="B713" i="58"/>
  <c r="A713" i="58"/>
  <c r="G712" i="58"/>
  <c r="F712" i="58"/>
  <c r="E712" i="58"/>
  <c r="D712" i="58"/>
  <c r="C712" i="58"/>
  <c r="B712" i="58"/>
  <c r="A712" i="58"/>
  <c r="G711" i="58"/>
  <c r="F711" i="58"/>
  <c r="E711" i="58"/>
  <c r="D711" i="58"/>
  <c r="C711" i="58"/>
  <c r="B711" i="58"/>
  <c r="A711" i="58"/>
  <c r="G710" i="58"/>
  <c r="F710" i="58"/>
  <c r="E710" i="58"/>
  <c r="C710" i="58"/>
  <c r="B710" i="58"/>
  <c r="A710" i="58"/>
  <c r="G709" i="58"/>
  <c r="F709" i="58"/>
  <c r="E709" i="58"/>
  <c r="D709" i="58"/>
  <c r="C709" i="58"/>
  <c r="B709" i="58"/>
  <c r="A709" i="58"/>
  <c r="G708" i="58"/>
  <c r="F708" i="58"/>
  <c r="E708" i="58"/>
  <c r="D708" i="58"/>
  <c r="C708" i="58"/>
  <c r="B708" i="58"/>
  <c r="A708" i="58"/>
  <c r="G707" i="58"/>
  <c r="F707" i="58"/>
  <c r="E707" i="58"/>
  <c r="D707" i="58"/>
  <c r="C707" i="58"/>
  <c r="B707" i="58"/>
  <c r="A707" i="58"/>
  <c r="G706" i="58"/>
  <c r="F706" i="58"/>
  <c r="E706" i="58"/>
  <c r="D706" i="58"/>
  <c r="C706" i="58"/>
  <c r="B706" i="58"/>
  <c r="A706" i="58"/>
  <c r="G705" i="58"/>
  <c r="F705" i="58"/>
  <c r="E705" i="58"/>
  <c r="D705" i="58"/>
  <c r="C705" i="58"/>
  <c r="B705" i="58"/>
  <c r="A705" i="58"/>
  <c r="G704" i="58"/>
  <c r="F704" i="58"/>
  <c r="E704" i="58"/>
  <c r="D704" i="58"/>
  <c r="C704" i="58"/>
  <c r="B704" i="58"/>
  <c r="A704" i="58"/>
  <c r="G703" i="58"/>
  <c r="F703" i="58"/>
  <c r="E703" i="58"/>
  <c r="D703" i="58"/>
  <c r="C703" i="58"/>
  <c r="B703" i="58"/>
  <c r="A703" i="58"/>
  <c r="G702" i="58"/>
  <c r="F702" i="58"/>
  <c r="E702" i="58"/>
  <c r="D702" i="58"/>
  <c r="C702" i="58"/>
  <c r="B702" i="58"/>
  <c r="A702" i="58"/>
  <c r="G701" i="58"/>
  <c r="F701" i="58"/>
  <c r="E701" i="58"/>
  <c r="D701" i="58"/>
  <c r="C701" i="58"/>
  <c r="B701" i="58"/>
  <c r="A701" i="58"/>
  <c r="G700" i="58"/>
  <c r="F700" i="58"/>
  <c r="E700" i="58"/>
  <c r="D700" i="58"/>
  <c r="C700" i="58"/>
  <c r="B700" i="58"/>
  <c r="A700" i="58"/>
  <c r="G699" i="58"/>
  <c r="F699" i="58"/>
  <c r="E699" i="58"/>
  <c r="C699" i="58"/>
  <c r="B699" i="58"/>
  <c r="A699" i="58"/>
  <c r="G698" i="58"/>
  <c r="F698" i="58"/>
  <c r="E698" i="58"/>
  <c r="C698" i="58"/>
  <c r="B698" i="58"/>
  <c r="A698" i="58"/>
  <c r="G697" i="58"/>
  <c r="F697" i="58"/>
  <c r="E697" i="58"/>
  <c r="C697" i="58"/>
  <c r="B697" i="58"/>
  <c r="A697" i="58"/>
  <c r="G696" i="58"/>
  <c r="F696" i="58"/>
  <c r="E696" i="58"/>
  <c r="C696" i="58"/>
  <c r="B696" i="58"/>
  <c r="A696" i="58"/>
  <c r="G695" i="58"/>
  <c r="F695" i="58"/>
  <c r="E695" i="58"/>
  <c r="C695" i="58"/>
  <c r="B695" i="58"/>
  <c r="A695" i="58"/>
  <c r="G694" i="58"/>
  <c r="F694" i="58"/>
  <c r="E694" i="58"/>
  <c r="C694" i="58"/>
  <c r="B694" i="58"/>
  <c r="A694" i="58"/>
  <c r="G693" i="58"/>
  <c r="F693" i="58"/>
  <c r="E693" i="58"/>
  <c r="C693" i="58"/>
  <c r="B693" i="58"/>
  <c r="A693" i="58"/>
  <c r="G692" i="58"/>
  <c r="F692" i="58"/>
  <c r="E692" i="58"/>
  <c r="C692" i="58"/>
  <c r="B692" i="58"/>
  <c r="A692" i="58"/>
  <c r="G691" i="58"/>
  <c r="F691" i="58"/>
  <c r="E691" i="58"/>
  <c r="C691" i="58"/>
  <c r="B691" i="58"/>
  <c r="A691" i="58"/>
  <c r="G690" i="58"/>
  <c r="F690" i="58"/>
  <c r="E690" i="58"/>
  <c r="C690" i="58"/>
  <c r="B690" i="58"/>
  <c r="A690" i="58"/>
  <c r="G689" i="58"/>
  <c r="F689" i="58"/>
  <c r="E689" i="58"/>
  <c r="C689" i="58"/>
  <c r="B689" i="58"/>
  <c r="A689" i="58"/>
  <c r="G688" i="58"/>
  <c r="F688" i="58"/>
  <c r="E688" i="58"/>
  <c r="C688" i="58"/>
  <c r="B688" i="58"/>
  <c r="A688" i="58"/>
  <c r="G687" i="58"/>
  <c r="F687" i="58"/>
  <c r="E687" i="58"/>
  <c r="C687" i="58"/>
  <c r="B687" i="58"/>
  <c r="A687" i="58"/>
  <c r="G686" i="58"/>
  <c r="F686" i="58"/>
  <c r="E686" i="58"/>
  <c r="C686" i="58"/>
  <c r="B686" i="58"/>
  <c r="A686" i="58"/>
  <c r="G685" i="58"/>
  <c r="F685" i="58"/>
  <c r="E685" i="58"/>
  <c r="C685" i="58"/>
  <c r="B685" i="58"/>
  <c r="A685" i="58"/>
  <c r="G684" i="58"/>
  <c r="F684" i="58"/>
  <c r="E684" i="58"/>
  <c r="C684" i="58"/>
  <c r="B684" i="58"/>
  <c r="A684" i="58"/>
  <c r="G683" i="58"/>
  <c r="F683" i="58"/>
  <c r="E683" i="58"/>
  <c r="C683" i="58"/>
  <c r="B683" i="58"/>
  <c r="A683" i="58"/>
  <c r="G682" i="58"/>
  <c r="F682" i="58"/>
  <c r="E682" i="58"/>
  <c r="C682" i="58"/>
  <c r="B682" i="58"/>
  <c r="A682" i="58"/>
  <c r="G681" i="58"/>
  <c r="F681" i="58"/>
  <c r="E681" i="58"/>
  <c r="C681" i="58"/>
  <c r="B681" i="58"/>
  <c r="A681" i="58"/>
  <c r="G680" i="58"/>
  <c r="F680" i="58"/>
  <c r="E680" i="58"/>
  <c r="C680" i="58"/>
  <c r="B680" i="58"/>
  <c r="A680" i="58"/>
  <c r="G679" i="58"/>
  <c r="F679" i="58"/>
  <c r="E679" i="58"/>
  <c r="D679" i="58"/>
  <c r="C679" i="58"/>
  <c r="B679" i="58"/>
  <c r="A679" i="58"/>
  <c r="G678" i="58"/>
  <c r="F678" i="58"/>
  <c r="E678" i="58"/>
  <c r="D678" i="58"/>
  <c r="C678" i="58"/>
  <c r="B678" i="58"/>
  <c r="A678" i="58"/>
  <c r="G677" i="58"/>
  <c r="F677" i="58"/>
  <c r="E677" i="58"/>
  <c r="D677" i="58"/>
  <c r="C677" i="58"/>
  <c r="B677" i="58"/>
  <c r="A677" i="58"/>
  <c r="G676" i="58"/>
  <c r="F676" i="58"/>
  <c r="E676" i="58"/>
  <c r="D676" i="58"/>
  <c r="C676" i="58"/>
  <c r="B676" i="58"/>
  <c r="A676" i="58"/>
  <c r="G675" i="58"/>
  <c r="F675" i="58"/>
  <c r="E675" i="58"/>
  <c r="D675" i="58"/>
  <c r="C675" i="58"/>
  <c r="B675" i="58"/>
  <c r="A675" i="58"/>
  <c r="G674" i="58"/>
  <c r="F674" i="58"/>
  <c r="E674" i="58"/>
  <c r="D674" i="58"/>
  <c r="C674" i="58"/>
  <c r="B674" i="58"/>
  <c r="A674" i="58"/>
  <c r="G61" i="60"/>
  <c r="E61" i="60"/>
  <c r="I27" i="60"/>
  <c r="P5" i="59"/>
  <c r="P4" i="59"/>
  <c r="E31" i="60"/>
  <c r="T5" i="59"/>
  <c r="D27" i="60"/>
  <c r="V4" i="59"/>
  <c r="H29" i="60"/>
  <c r="N5" i="59"/>
  <c r="T7" i="59"/>
  <c r="C26" i="60"/>
  <c r="P6" i="59"/>
  <c r="T9" i="59"/>
  <c r="L60" i="60"/>
  <c r="H61" i="60"/>
  <c r="K60" i="60"/>
  <c r="C27" i="60"/>
  <c r="G27" i="60"/>
  <c r="I30" i="60"/>
  <c r="F28" i="60"/>
  <c r="N9" i="59"/>
  <c r="C31" i="60"/>
  <c r="J26" i="60"/>
  <c r="P9" i="59"/>
  <c r="I26" i="60"/>
  <c r="K30" i="60"/>
  <c r="G60" i="60"/>
  <c r="E27" i="60"/>
  <c r="I60" i="60"/>
  <c r="E60" i="60"/>
  <c r="L61" i="60"/>
  <c r="J31" i="60"/>
  <c r="H31" i="60"/>
  <c r="L29" i="60"/>
  <c r="V5" i="59"/>
  <c r="G30" i="60"/>
  <c r="K28" i="60"/>
  <c r="V6" i="59"/>
  <c r="G26" i="60"/>
  <c r="E28" i="60"/>
  <c r="E29" i="60"/>
  <c r="D26" i="60"/>
  <c r="J61" i="60"/>
  <c r="H60" i="60"/>
  <c r="F61" i="60"/>
  <c r="H28" i="60"/>
  <c r="C28" i="60"/>
  <c r="H26" i="60"/>
  <c r="C30" i="60"/>
  <c r="D29" i="60"/>
  <c r="K29" i="60"/>
  <c r="T4" i="59"/>
  <c r="I29" i="60"/>
  <c r="L31" i="60"/>
  <c r="D28" i="60"/>
  <c r="V8" i="59"/>
  <c r="F29" i="60"/>
  <c r="J60" i="60"/>
  <c r="D60" i="60"/>
  <c r="C60" i="60"/>
  <c r="J29" i="60"/>
  <c r="G31" i="60"/>
  <c r="F31" i="60"/>
  <c r="C29" i="60"/>
  <c r="K27" i="60"/>
  <c r="G29" i="60"/>
  <c r="N8" i="59"/>
  <c r="N6" i="59"/>
  <c r="L28" i="60"/>
  <c r="H27" i="60"/>
  <c r="I31" i="60"/>
  <c r="I28" i="60"/>
  <c r="K61" i="60"/>
  <c r="C61" i="60"/>
  <c r="T8" i="59"/>
  <c r="J27" i="60"/>
  <c r="P8" i="59"/>
  <c r="L26" i="60"/>
  <c r="G28" i="60"/>
  <c r="D31" i="60"/>
  <c r="N7" i="59"/>
  <c r="E30" i="60"/>
  <c r="F30" i="60"/>
  <c r="D30" i="60"/>
  <c r="K26" i="60"/>
  <c r="D61" i="60"/>
  <c r="L30" i="60"/>
  <c r="I61" i="60"/>
  <c r="F60" i="60"/>
  <c r="N4" i="59"/>
  <c r="V9" i="59"/>
  <c r="T6" i="59"/>
  <c r="F27" i="60"/>
  <c r="V7" i="59"/>
  <c r="J28" i="60"/>
  <c r="H30" i="60"/>
  <c r="J30" i="60"/>
  <c r="P7" i="59"/>
  <c r="K31" i="60"/>
  <c r="F26" i="60"/>
  <c r="E26" i="60"/>
  <c r="L27" i="60"/>
  <c r="D22" i="69" l="1"/>
  <c r="B10" i="73"/>
  <c r="A10" i="73"/>
  <c r="B9" i="73"/>
  <c r="A9" i="73"/>
  <c r="P77" i="73"/>
  <c r="B71" i="73"/>
  <c r="A71" i="73"/>
  <c r="B70" i="73"/>
  <c r="A70" i="73"/>
  <c r="B69" i="73"/>
  <c r="A69" i="73"/>
  <c r="B68" i="73"/>
  <c r="A68" i="73"/>
  <c r="B67" i="73"/>
  <c r="A67" i="73"/>
  <c r="B66" i="73"/>
  <c r="A66" i="73"/>
  <c r="B65" i="73"/>
  <c r="A65" i="73"/>
  <c r="B64" i="73"/>
  <c r="A64" i="73"/>
  <c r="B63" i="73"/>
  <c r="A63" i="73"/>
  <c r="B62" i="73"/>
  <c r="A62" i="73"/>
  <c r="B61" i="73"/>
  <c r="A61" i="73"/>
  <c r="B60" i="73"/>
  <c r="A60" i="73"/>
  <c r="B59" i="73"/>
  <c r="A59" i="73"/>
  <c r="B58" i="73"/>
  <c r="A58" i="73"/>
  <c r="B57" i="73"/>
  <c r="A57" i="73"/>
  <c r="B56" i="73"/>
  <c r="A56" i="73"/>
  <c r="B55" i="73"/>
  <c r="A55" i="73"/>
  <c r="B54" i="73"/>
  <c r="A54" i="73"/>
  <c r="B53" i="73"/>
  <c r="A53" i="73"/>
  <c r="B52" i="73"/>
  <c r="A52" i="73"/>
  <c r="B51" i="73"/>
  <c r="A51" i="73"/>
  <c r="B50" i="73"/>
  <c r="A50" i="73"/>
  <c r="B49" i="73"/>
  <c r="A49" i="73"/>
  <c r="B48" i="73"/>
  <c r="A48" i="73"/>
  <c r="B47" i="73"/>
  <c r="A47" i="73"/>
  <c r="B46" i="73"/>
  <c r="A46" i="73"/>
  <c r="B45" i="73"/>
  <c r="A45" i="73"/>
  <c r="B44" i="73"/>
  <c r="A44" i="73"/>
  <c r="B43" i="73"/>
  <c r="A43" i="73"/>
  <c r="B42" i="73"/>
  <c r="A42" i="73"/>
  <c r="B41" i="73"/>
  <c r="A41" i="73"/>
  <c r="B40" i="73"/>
  <c r="A40" i="73"/>
  <c r="B39" i="73"/>
  <c r="A39" i="73"/>
  <c r="B38" i="73"/>
  <c r="A38" i="73"/>
  <c r="B37" i="73"/>
  <c r="A37" i="73"/>
  <c r="B36" i="73"/>
  <c r="A36" i="73"/>
  <c r="B35" i="73"/>
  <c r="A35" i="73"/>
  <c r="B34" i="73"/>
  <c r="A34" i="73"/>
  <c r="B33" i="73"/>
  <c r="A33" i="73"/>
  <c r="B32" i="73"/>
  <c r="A32" i="73"/>
  <c r="B31" i="73"/>
  <c r="A31" i="73"/>
  <c r="B30" i="73"/>
  <c r="A30" i="73"/>
  <c r="B29" i="73"/>
  <c r="A29" i="73"/>
  <c r="B28" i="73"/>
  <c r="A28" i="73"/>
  <c r="B27" i="73"/>
  <c r="A27" i="73"/>
  <c r="B26" i="73"/>
  <c r="A26" i="73"/>
  <c r="B25" i="73"/>
  <c r="A25" i="73"/>
  <c r="B24" i="73"/>
  <c r="A24" i="73"/>
  <c r="B23" i="73"/>
  <c r="A23" i="73"/>
  <c r="B22" i="73"/>
  <c r="A22" i="73"/>
  <c r="B21" i="73"/>
  <c r="A21" i="73"/>
  <c r="B20" i="73"/>
  <c r="A20" i="73"/>
  <c r="B19" i="73"/>
  <c r="A19" i="73"/>
  <c r="B18" i="73"/>
  <c r="A18" i="73"/>
  <c r="B17" i="73"/>
  <c r="A17" i="73"/>
  <c r="B16" i="73"/>
  <c r="A16" i="73"/>
  <c r="B15" i="73"/>
  <c r="A15" i="73"/>
  <c r="B14" i="73"/>
  <c r="A14" i="73"/>
  <c r="B13" i="73"/>
  <c r="A13" i="73"/>
  <c r="B12" i="73"/>
  <c r="A12" i="73"/>
  <c r="B11" i="73"/>
  <c r="A11" i="73"/>
  <c r="B7" i="73"/>
  <c r="A7" i="73"/>
  <c r="B6" i="73"/>
  <c r="A6" i="73"/>
  <c r="B5" i="73"/>
  <c r="A5" i="73"/>
  <c r="B81" i="73" l="1"/>
  <c r="T74" i="73" l="1"/>
  <c r="T73" i="73"/>
  <c r="T72" i="73"/>
  <c r="T76" i="73"/>
  <c r="T75" i="73"/>
  <c r="O76" i="52"/>
  <c r="O75" i="51"/>
  <c r="B75" i="52"/>
  <c r="A75" i="52"/>
  <c r="B74" i="52"/>
  <c r="A74" i="52"/>
  <c r="B73" i="52"/>
  <c r="A73" i="52"/>
  <c r="B72" i="52"/>
  <c r="A72" i="52"/>
  <c r="B71" i="52"/>
  <c r="A71" i="52"/>
  <c r="B70" i="52"/>
  <c r="A70" i="52"/>
  <c r="B69" i="52"/>
  <c r="A69" i="52"/>
  <c r="B68" i="52"/>
  <c r="A68" i="52"/>
  <c r="B67" i="52"/>
  <c r="A67" i="52"/>
  <c r="B66" i="52"/>
  <c r="A66" i="52"/>
  <c r="B65" i="52"/>
  <c r="A65" i="52"/>
  <c r="B64" i="52"/>
  <c r="A64" i="52"/>
  <c r="B63" i="52"/>
  <c r="A63" i="52"/>
  <c r="B62" i="52"/>
  <c r="A62" i="52"/>
  <c r="B61" i="52"/>
  <c r="A61" i="52"/>
  <c r="B60" i="52"/>
  <c r="A60" i="52"/>
  <c r="B59" i="52"/>
  <c r="A59" i="52"/>
  <c r="B58" i="52"/>
  <c r="A58" i="52"/>
  <c r="B57" i="52"/>
  <c r="A57" i="52"/>
  <c r="B56" i="52"/>
  <c r="A56" i="52"/>
  <c r="B55" i="52"/>
  <c r="A55" i="52"/>
  <c r="B54" i="52"/>
  <c r="A54" i="52"/>
  <c r="B53" i="52"/>
  <c r="A53" i="52"/>
  <c r="B52" i="52"/>
  <c r="A52" i="52"/>
  <c r="B51" i="52"/>
  <c r="A51" i="52"/>
  <c r="B50" i="52"/>
  <c r="A50" i="52"/>
  <c r="B49" i="52"/>
  <c r="A49" i="52"/>
  <c r="B48" i="52"/>
  <c r="A48" i="52"/>
  <c r="B47" i="52"/>
  <c r="A47" i="52"/>
  <c r="B46" i="52"/>
  <c r="A46" i="52"/>
  <c r="B45" i="52"/>
  <c r="A45" i="52"/>
  <c r="B44" i="52"/>
  <c r="A44" i="52"/>
  <c r="B43" i="52"/>
  <c r="A43" i="52"/>
  <c r="B42" i="52"/>
  <c r="A42" i="52"/>
  <c r="B41" i="52"/>
  <c r="A41" i="52"/>
  <c r="B40" i="52"/>
  <c r="A40" i="52"/>
  <c r="B39" i="52"/>
  <c r="A39" i="52"/>
  <c r="B38" i="52"/>
  <c r="A38" i="52"/>
  <c r="B37" i="52"/>
  <c r="A37" i="52"/>
  <c r="B36" i="52"/>
  <c r="A36" i="52"/>
  <c r="B35" i="52"/>
  <c r="A35" i="52"/>
  <c r="B34" i="52"/>
  <c r="A34" i="52"/>
  <c r="B33" i="52"/>
  <c r="A33" i="52"/>
  <c r="B32" i="52"/>
  <c r="A32" i="52"/>
  <c r="B31" i="52"/>
  <c r="A31" i="52"/>
  <c r="B30" i="52"/>
  <c r="A30" i="52"/>
  <c r="B29" i="52"/>
  <c r="A29" i="52"/>
  <c r="B28" i="52"/>
  <c r="A28" i="52"/>
  <c r="B27" i="52"/>
  <c r="A27" i="52"/>
  <c r="B26" i="52"/>
  <c r="A26" i="52"/>
  <c r="B25" i="52"/>
  <c r="A25" i="52"/>
  <c r="B24" i="52"/>
  <c r="A24" i="52"/>
  <c r="B23" i="52"/>
  <c r="A23" i="52"/>
  <c r="B22" i="52"/>
  <c r="A22" i="52"/>
  <c r="B21" i="52"/>
  <c r="A21" i="52"/>
  <c r="B20" i="52"/>
  <c r="A20" i="52"/>
  <c r="B19" i="52"/>
  <c r="A19" i="52"/>
  <c r="B18" i="52"/>
  <c r="A18" i="52"/>
  <c r="B17" i="52"/>
  <c r="A17" i="52"/>
  <c r="B16" i="52"/>
  <c r="A16" i="52"/>
  <c r="B15" i="52"/>
  <c r="A15" i="52"/>
  <c r="B14" i="52"/>
  <c r="A14" i="52"/>
  <c r="B13" i="52"/>
  <c r="A13" i="52"/>
  <c r="B12" i="52"/>
  <c r="A12" i="52"/>
  <c r="B11" i="52"/>
  <c r="A11" i="52"/>
  <c r="B10" i="52"/>
  <c r="A10" i="52"/>
  <c r="B9" i="52"/>
  <c r="A9" i="52"/>
  <c r="B7" i="52"/>
  <c r="A7" i="52"/>
  <c r="B6" i="52"/>
  <c r="A6" i="52"/>
  <c r="B74" i="51"/>
  <c r="A74" i="51"/>
  <c r="B73" i="51"/>
  <c r="A73" i="51"/>
  <c r="B72" i="51"/>
  <c r="A72" i="51"/>
  <c r="B71" i="51"/>
  <c r="A71" i="51"/>
  <c r="B70" i="51"/>
  <c r="A70" i="51"/>
  <c r="B69" i="51"/>
  <c r="A69" i="51"/>
  <c r="B68" i="51"/>
  <c r="A68" i="51"/>
  <c r="B67" i="51"/>
  <c r="A67" i="51"/>
  <c r="B66" i="51"/>
  <c r="A66" i="51"/>
  <c r="B65" i="51"/>
  <c r="A65" i="51"/>
  <c r="B64" i="51"/>
  <c r="A64" i="51"/>
  <c r="B63" i="51"/>
  <c r="A63" i="51"/>
  <c r="B62" i="51"/>
  <c r="A62" i="51"/>
  <c r="B61" i="51"/>
  <c r="A61" i="51"/>
  <c r="B60" i="51"/>
  <c r="A60" i="51"/>
  <c r="B59" i="51"/>
  <c r="A59" i="51"/>
  <c r="B58" i="51"/>
  <c r="A58" i="51"/>
  <c r="B57" i="51"/>
  <c r="A57" i="51"/>
  <c r="B56" i="51"/>
  <c r="A56" i="51"/>
  <c r="B55" i="51"/>
  <c r="A55" i="51"/>
  <c r="B54" i="51"/>
  <c r="A54" i="51"/>
  <c r="B53" i="51"/>
  <c r="A53" i="51"/>
  <c r="B52" i="51"/>
  <c r="A52" i="51"/>
  <c r="B51" i="51"/>
  <c r="A51" i="51"/>
  <c r="B50" i="51"/>
  <c r="A50" i="51"/>
  <c r="B49" i="51"/>
  <c r="A49" i="51"/>
  <c r="B48" i="51"/>
  <c r="A48" i="51"/>
  <c r="B47" i="51"/>
  <c r="A47" i="51"/>
  <c r="B46" i="51"/>
  <c r="A46" i="51"/>
  <c r="B45" i="51"/>
  <c r="A45" i="51"/>
  <c r="B44" i="51"/>
  <c r="A44" i="51"/>
  <c r="B43" i="51"/>
  <c r="A43" i="51"/>
  <c r="B42" i="51"/>
  <c r="A42" i="51"/>
  <c r="B41" i="51"/>
  <c r="A41" i="51"/>
  <c r="B40" i="51"/>
  <c r="A40" i="51"/>
  <c r="B39" i="51"/>
  <c r="A39" i="51"/>
  <c r="B38" i="51"/>
  <c r="A38" i="51"/>
  <c r="B37" i="51"/>
  <c r="A37" i="51"/>
  <c r="B36" i="51"/>
  <c r="A36" i="51"/>
  <c r="B35" i="51"/>
  <c r="A35" i="51"/>
  <c r="B34" i="51"/>
  <c r="A34" i="51"/>
  <c r="B33" i="51"/>
  <c r="A33" i="51"/>
  <c r="B32" i="51"/>
  <c r="A32" i="51"/>
  <c r="B31" i="51"/>
  <c r="A31" i="51"/>
  <c r="B30" i="51"/>
  <c r="A30" i="51"/>
  <c r="B29" i="51"/>
  <c r="A29" i="51"/>
  <c r="B28" i="51"/>
  <c r="A28" i="51"/>
  <c r="B27" i="51"/>
  <c r="A27" i="51"/>
  <c r="B26" i="51"/>
  <c r="A26" i="51"/>
  <c r="B25" i="51"/>
  <c r="A25" i="51"/>
  <c r="B24" i="51"/>
  <c r="A24" i="51"/>
  <c r="B23" i="51"/>
  <c r="A23" i="51"/>
  <c r="B22" i="51"/>
  <c r="A22" i="51"/>
  <c r="B21" i="51"/>
  <c r="A21" i="51"/>
  <c r="B20" i="51"/>
  <c r="A20" i="51"/>
  <c r="B19" i="51"/>
  <c r="A19" i="51"/>
  <c r="B18" i="51"/>
  <c r="A18" i="51"/>
  <c r="B17" i="51"/>
  <c r="A17" i="51"/>
  <c r="B16" i="51"/>
  <c r="A16" i="51"/>
  <c r="B15" i="51"/>
  <c r="A15" i="51"/>
  <c r="B14" i="51"/>
  <c r="A14" i="51"/>
  <c r="B13" i="51"/>
  <c r="A13" i="51"/>
  <c r="B12" i="51"/>
  <c r="A12" i="51"/>
  <c r="B11" i="51"/>
  <c r="A11" i="51"/>
  <c r="B10" i="51"/>
  <c r="A10" i="51"/>
  <c r="B9" i="51"/>
  <c r="A9" i="51"/>
  <c r="B7" i="51"/>
  <c r="A7" i="51"/>
  <c r="B6" i="51"/>
  <c r="A6" i="51"/>
  <c r="B5" i="52"/>
  <c r="A5" i="52"/>
  <c r="B5" i="51"/>
  <c r="A5" i="51"/>
  <c r="B73" i="53"/>
  <c r="A73" i="53"/>
  <c r="B72" i="53"/>
  <c r="A72" i="53"/>
  <c r="B71" i="53"/>
  <c r="A71" i="53"/>
  <c r="B70" i="53"/>
  <c r="A70" i="53"/>
  <c r="B69" i="53"/>
  <c r="A69" i="53"/>
  <c r="B68" i="53"/>
  <c r="A68" i="53"/>
  <c r="B67" i="53"/>
  <c r="A67" i="53"/>
  <c r="B66" i="53"/>
  <c r="A66" i="53"/>
  <c r="B65" i="53"/>
  <c r="A65" i="53"/>
  <c r="B64" i="53"/>
  <c r="A64" i="53"/>
  <c r="B63" i="53"/>
  <c r="A63" i="53"/>
  <c r="B62" i="53"/>
  <c r="A62" i="53"/>
  <c r="B61" i="53"/>
  <c r="A61" i="53"/>
  <c r="B60" i="53"/>
  <c r="A60" i="53"/>
  <c r="B59" i="53"/>
  <c r="A59" i="53"/>
  <c r="B58" i="53"/>
  <c r="A58" i="53"/>
  <c r="B57" i="53"/>
  <c r="A57" i="53"/>
  <c r="B56" i="53"/>
  <c r="A56" i="53"/>
  <c r="B55" i="53"/>
  <c r="A55" i="53"/>
  <c r="B54" i="53"/>
  <c r="A54" i="53"/>
  <c r="B53" i="53"/>
  <c r="A53" i="53"/>
  <c r="B52" i="53"/>
  <c r="A52" i="53"/>
  <c r="B51" i="53"/>
  <c r="A51" i="53"/>
  <c r="B50" i="53"/>
  <c r="A50" i="53"/>
  <c r="B49" i="53"/>
  <c r="A49" i="53"/>
  <c r="B48" i="53"/>
  <c r="A48" i="53"/>
  <c r="B47" i="53"/>
  <c r="A47" i="53"/>
  <c r="B46" i="53"/>
  <c r="A46" i="53"/>
  <c r="B45" i="53"/>
  <c r="A45" i="53"/>
  <c r="B44" i="53"/>
  <c r="A44" i="53"/>
  <c r="B43" i="53"/>
  <c r="A43" i="53"/>
  <c r="B42" i="53"/>
  <c r="A42" i="53"/>
  <c r="B41" i="53"/>
  <c r="A41" i="53"/>
  <c r="B40" i="53"/>
  <c r="A40" i="53"/>
  <c r="B39" i="53"/>
  <c r="A39" i="53"/>
  <c r="B38" i="53"/>
  <c r="A38" i="53"/>
  <c r="B37" i="53"/>
  <c r="A37" i="53"/>
  <c r="B36" i="53"/>
  <c r="A36" i="53"/>
  <c r="B35" i="53"/>
  <c r="A35" i="53"/>
  <c r="B34" i="53"/>
  <c r="A34" i="53"/>
  <c r="B33" i="53"/>
  <c r="A33" i="53"/>
  <c r="B32" i="53"/>
  <c r="A32" i="53"/>
  <c r="B31" i="53"/>
  <c r="A31" i="53"/>
  <c r="B30" i="53"/>
  <c r="A30" i="53"/>
  <c r="B29" i="53"/>
  <c r="A29" i="53"/>
  <c r="B28" i="53"/>
  <c r="A28" i="53"/>
  <c r="B27" i="53"/>
  <c r="A27" i="53"/>
  <c r="B26" i="53"/>
  <c r="A26" i="53"/>
  <c r="B25" i="53"/>
  <c r="A25" i="53"/>
  <c r="B24" i="53"/>
  <c r="A24" i="53"/>
  <c r="B23" i="53"/>
  <c r="A23" i="53"/>
  <c r="B22" i="53"/>
  <c r="A22" i="53"/>
  <c r="B21" i="53"/>
  <c r="A21" i="53"/>
  <c r="B20" i="53"/>
  <c r="A20" i="53"/>
  <c r="B19" i="53"/>
  <c r="A19" i="53"/>
  <c r="B18" i="53"/>
  <c r="A18" i="53"/>
  <c r="B17" i="53"/>
  <c r="A17" i="53"/>
  <c r="B16" i="53"/>
  <c r="A16" i="53"/>
  <c r="B15" i="53"/>
  <c r="A15" i="53"/>
  <c r="B14" i="53"/>
  <c r="A14" i="53"/>
  <c r="B13" i="53"/>
  <c r="A13" i="53"/>
  <c r="B12" i="53"/>
  <c r="A12" i="53"/>
  <c r="B11" i="53"/>
  <c r="A11" i="53"/>
  <c r="B10" i="53"/>
  <c r="A10" i="53"/>
  <c r="B9" i="53"/>
  <c r="A9" i="53"/>
  <c r="B7" i="53"/>
  <c r="A7" i="53"/>
  <c r="B6" i="53"/>
  <c r="A6" i="53"/>
  <c r="B5" i="53"/>
  <c r="A5" i="53"/>
  <c r="O74" i="53"/>
  <c r="B73" i="63"/>
  <c r="A73" i="63"/>
  <c r="B72" i="63"/>
  <c r="A72" i="63"/>
  <c r="B71" i="63"/>
  <c r="A71" i="63"/>
  <c r="B70" i="63"/>
  <c r="A70" i="63"/>
  <c r="B69" i="63"/>
  <c r="A69" i="63"/>
  <c r="B68" i="63"/>
  <c r="A68" i="63"/>
  <c r="B67" i="63"/>
  <c r="A67" i="63"/>
  <c r="B66" i="63"/>
  <c r="A66" i="63"/>
  <c r="B65" i="63"/>
  <c r="A65" i="63"/>
  <c r="B64" i="63"/>
  <c r="A64" i="63"/>
  <c r="B63" i="63"/>
  <c r="A63" i="63"/>
  <c r="B62" i="63"/>
  <c r="A62" i="63"/>
  <c r="B61" i="63"/>
  <c r="A61" i="63"/>
  <c r="B60" i="63"/>
  <c r="A60" i="63"/>
  <c r="B59" i="63"/>
  <c r="A59" i="63"/>
  <c r="B58" i="63"/>
  <c r="A58" i="63"/>
  <c r="B57" i="63"/>
  <c r="A57" i="63"/>
  <c r="B56" i="63"/>
  <c r="A56" i="63"/>
  <c r="B55" i="63"/>
  <c r="A55" i="63"/>
  <c r="B54" i="63"/>
  <c r="A54" i="63"/>
  <c r="B53" i="63"/>
  <c r="A53" i="63"/>
  <c r="B52" i="63"/>
  <c r="A52" i="63"/>
  <c r="B51" i="63"/>
  <c r="A51" i="63"/>
  <c r="B50" i="63"/>
  <c r="A50" i="63"/>
  <c r="B49" i="63"/>
  <c r="A49" i="63"/>
  <c r="B48" i="63"/>
  <c r="A48" i="63"/>
  <c r="B47" i="63"/>
  <c r="A47" i="63"/>
  <c r="B46" i="63"/>
  <c r="A46" i="63"/>
  <c r="B45" i="63"/>
  <c r="A45" i="63"/>
  <c r="B44" i="63"/>
  <c r="A44" i="63"/>
  <c r="B43" i="63"/>
  <c r="A43" i="63"/>
  <c r="B42" i="63"/>
  <c r="A42" i="63"/>
  <c r="B41" i="63"/>
  <c r="A41" i="63"/>
  <c r="B40" i="63"/>
  <c r="A40" i="63"/>
  <c r="B39" i="63"/>
  <c r="A39" i="63"/>
  <c r="B38" i="63"/>
  <c r="A38" i="63"/>
  <c r="B37" i="63"/>
  <c r="A37" i="63"/>
  <c r="B36" i="63"/>
  <c r="A36" i="63"/>
  <c r="B35" i="63"/>
  <c r="A35" i="63"/>
  <c r="B34" i="63"/>
  <c r="A34" i="63"/>
  <c r="B33" i="63"/>
  <c r="A33" i="63"/>
  <c r="B32" i="63"/>
  <c r="A32" i="63"/>
  <c r="B31" i="63"/>
  <c r="A31" i="63"/>
  <c r="B30" i="63"/>
  <c r="A30" i="63"/>
  <c r="B29" i="63"/>
  <c r="A29" i="63"/>
  <c r="B28" i="63"/>
  <c r="A28" i="63"/>
  <c r="B27" i="63"/>
  <c r="A27" i="63"/>
  <c r="B26" i="63"/>
  <c r="A26" i="63"/>
  <c r="B25" i="63"/>
  <c r="A25" i="63"/>
  <c r="B24" i="63"/>
  <c r="A24" i="63"/>
  <c r="B23" i="63"/>
  <c r="A23" i="63"/>
  <c r="B22" i="63"/>
  <c r="A22" i="63"/>
  <c r="B21" i="63"/>
  <c r="A21" i="63"/>
  <c r="B20" i="63"/>
  <c r="A20" i="63"/>
  <c r="B19" i="63"/>
  <c r="A19" i="63"/>
  <c r="B18" i="63"/>
  <c r="A18" i="63"/>
  <c r="B17" i="63"/>
  <c r="A17" i="63"/>
  <c r="B16" i="63"/>
  <c r="A16" i="63"/>
  <c r="B15" i="63"/>
  <c r="A15" i="63"/>
  <c r="B14" i="63"/>
  <c r="A14" i="63"/>
  <c r="B13" i="63"/>
  <c r="A13" i="63"/>
  <c r="B12" i="63"/>
  <c r="A12" i="63"/>
  <c r="B11" i="63"/>
  <c r="A11" i="63"/>
  <c r="B10" i="63"/>
  <c r="A10" i="63"/>
  <c r="B9" i="63"/>
  <c r="A9" i="63"/>
  <c r="B7" i="63"/>
  <c r="A7" i="63"/>
  <c r="B6" i="63"/>
  <c r="A6" i="63"/>
  <c r="B5" i="63"/>
  <c r="A5" i="63"/>
  <c r="P74" i="63"/>
  <c r="B118" i="39"/>
  <c r="A118" i="39"/>
  <c r="B117" i="39"/>
  <c r="A117" i="39"/>
  <c r="B116" i="39"/>
  <c r="A116" i="39"/>
  <c r="B115" i="39"/>
  <c r="A115" i="39"/>
  <c r="B114" i="39"/>
  <c r="A114" i="39"/>
  <c r="B113" i="39"/>
  <c r="A113" i="39"/>
  <c r="B112" i="39"/>
  <c r="A112" i="39"/>
  <c r="B111" i="39"/>
  <c r="A111" i="39"/>
  <c r="B110" i="39"/>
  <c r="A110" i="39"/>
  <c r="B109" i="39"/>
  <c r="A109" i="39"/>
  <c r="B108" i="39"/>
  <c r="A108" i="39"/>
  <c r="B107" i="39"/>
  <c r="A107" i="39"/>
  <c r="B106" i="39"/>
  <c r="A106" i="39"/>
  <c r="B105" i="39"/>
  <c r="A105" i="39"/>
  <c r="B104" i="39"/>
  <c r="A104" i="39"/>
  <c r="B103" i="39"/>
  <c r="A103" i="39"/>
  <c r="B102" i="39"/>
  <c r="A102" i="39"/>
  <c r="B101" i="39"/>
  <c r="A101" i="39"/>
  <c r="B100" i="39"/>
  <c r="A100" i="39"/>
  <c r="B99" i="39"/>
  <c r="A99" i="39"/>
  <c r="B98" i="39"/>
  <c r="A98" i="39"/>
  <c r="B97" i="39"/>
  <c r="A97" i="39"/>
  <c r="B96" i="39"/>
  <c r="A96" i="39"/>
  <c r="B95" i="39"/>
  <c r="A95" i="39"/>
  <c r="B94" i="39"/>
  <c r="A94" i="39"/>
  <c r="B93" i="39"/>
  <c r="A93" i="39"/>
  <c r="B92" i="39"/>
  <c r="A92" i="39"/>
  <c r="B91" i="39"/>
  <c r="A91" i="39"/>
  <c r="B90" i="39"/>
  <c r="A90" i="39"/>
  <c r="B89" i="39"/>
  <c r="A89" i="39"/>
  <c r="B88" i="39"/>
  <c r="A88" i="39"/>
  <c r="B87" i="39"/>
  <c r="A87" i="39"/>
  <c r="B86" i="39"/>
  <c r="A86" i="39"/>
  <c r="B85" i="39"/>
  <c r="A85" i="39"/>
  <c r="B84" i="39"/>
  <c r="A84" i="39"/>
  <c r="B83" i="39"/>
  <c r="A83" i="39"/>
  <c r="B82" i="39"/>
  <c r="A82" i="39"/>
  <c r="B81" i="39"/>
  <c r="A81" i="39"/>
  <c r="B80" i="39"/>
  <c r="A80" i="39"/>
  <c r="B79" i="39"/>
  <c r="A79" i="39"/>
  <c r="B78" i="39"/>
  <c r="A78" i="39"/>
  <c r="B77" i="39"/>
  <c r="A77" i="39"/>
  <c r="B76" i="39"/>
  <c r="A76" i="39"/>
  <c r="B75" i="39"/>
  <c r="A75" i="39"/>
  <c r="B74" i="39"/>
  <c r="A74" i="39"/>
  <c r="B73" i="39"/>
  <c r="A73" i="39"/>
  <c r="B72" i="39"/>
  <c r="A72" i="39"/>
  <c r="B71" i="39"/>
  <c r="A71" i="39"/>
  <c r="B70" i="39"/>
  <c r="A70" i="39"/>
  <c r="B68" i="39"/>
  <c r="A68" i="39"/>
  <c r="B67" i="39"/>
  <c r="A67" i="39"/>
  <c r="B66" i="39"/>
  <c r="A66" i="39"/>
  <c r="B65" i="39"/>
  <c r="A65" i="39"/>
  <c r="B64" i="39"/>
  <c r="A64" i="39"/>
  <c r="B62" i="39"/>
  <c r="A62" i="39"/>
  <c r="B61" i="39"/>
  <c r="A61" i="39"/>
  <c r="B60" i="39"/>
  <c r="A60" i="39"/>
  <c r="B59" i="39"/>
  <c r="A59" i="39"/>
  <c r="B58" i="39"/>
  <c r="A58" i="39"/>
  <c r="B57" i="39"/>
  <c r="A57" i="39"/>
  <c r="B56" i="39"/>
  <c r="A56" i="39"/>
  <c r="B55" i="39"/>
  <c r="A55" i="39"/>
  <c r="B54" i="39"/>
  <c r="A54" i="39"/>
  <c r="B53" i="39"/>
  <c r="A53" i="39"/>
  <c r="B52" i="39"/>
  <c r="A52" i="39"/>
  <c r="B51" i="39"/>
  <c r="A51" i="39"/>
  <c r="B49" i="39"/>
  <c r="A49" i="39"/>
  <c r="B48" i="39"/>
  <c r="A48" i="39"/>
  <c r="B47" i="39"/>
  <c r="A47" i="39"/>
  <c r="B46" i="39"/>
  <c r="A46" i="39"/>
  <c r="B45" i="39"/>
  <c r="A45" i="39"/>
  <c r="B44" i="39"/>
  <c r="A44" i="39"/>
  <c r="B43" i="39"/>
  <c r="A43" i="39"/>
  <c r="B42" i="39"/>
  <c r="A42" i="39"/>
  <c r="B41" i="39"/>
  <c r="A41" i="39"/>
  <c r="B40" i="39"/>
  <c r="A40" i="39"/>
  <c r="B39" i="39"/>
  <c r="A39" i="39"/>
  <c r="B38" i="39"/>
  <c r="A38" i="39"/>
  <c r="B37" i="39"/>
  <c r="A37" i="39"/>
  <c r="B35" i="39"/>
  <c r="A35" i="39"/>
  <c r="B34" i="39"/>
  <c r="A34" i="39"/>
  <c r="B33" i="39"/>
  <c r="A33" i="39"/>
  <c r="B32" i="39"/>
  <c r="A32" i="39"/>
  <c r="B31" i="39"/>
  <c r="A31" i="39"/>
  <c r="B30" i="39"/>
  <c r="A30" i="39"/>
  <c r="B29" i="39"/>
  <c r="A29" i="39"/>
  <c r="B27" i="39"/>
  <c r="A27" i="39"/>
  <c r="B26" i="39"/>
  <c r="A26" i="39"/>
  <c r="B25" i="39"/>
  <c r="A25" i="39"/>
  <c r="B23" i="39"/>
  <c r="A23" i="39"/>
  <c r="B22" i="39"/>
  <c r="A22" i="39"/>
  <c r="B21" i="39"/>
  <c r="A21" i="39"/>
  <c r="B20" i="39"/>
  <c r="A20" i="39"/>
  <c r="B19" i="39"/>
  <c r="A19" i="39"/>
  <c r="B18" i="39"/>
  <c r="A18" i="39"/>
  <c r="B16" i="39"/>
  <c r="A16" i="39"/>
  <c r="B15" i="39"/>
  <c r="A15" i="39"/>
  <c r="B13" i="39"/>
  <c r="A13" i="39"/>
  <c r="B12" i="39"/>
  <c r="A12" i="39"/>
  <c r="B10" i="39"/>
  <c r="A10" i="39"/>
  <c r="B9" i="39"/>
  <c r="A9" i="39"/>
  <c r="B8" i="39"/>
  <c r="A8" i="39"/>
  <c r="B6" i="39"/>
  <c r="A6" i="39"/>
  <c r="B5" i="39"/>
  <c r="A5" i="39"/>
  <c r="B4" i="39"/>
  <c r="A4" i="39"/>
  <c r="L119" i="39"/>
  <c r="B110" i="38"/>
  <c r="A110" i="38"/>
  <c r="B109" i="38"/>
  <c r="A109" i="38"/>
  <c r="B108" i="38"/>
  <c r="A108" i="38"/>
  <c r="B107" i="38"/>
  <c r="A107" i="38"/>
  <c r="B106" i="38"/>
  <c r="A106" i="38"/>
  <c r="B105" i="38"/>
  <c r="A105" i="38"/>
  <c r="B104" i="38"/>
  <c r="A104" i="38"/>
  <c r="B103" i="38"/>
  <c r="A103" i="38"/>
  <c r="B102" i="38"/>
  <c r="A102" i="38"/>
  <c r="B101" i="38"/>
  <c r="A101" i="38"/>
  <c r="B100" i="38"/>
  <c r="A100" i="38"/>
  <c r="B99" i="38"/>
  <c r="A99" i="38"/>
  <c r="B98" i="38"/>
  <c r="A98" i="38"/>
  <c r="B97" i="38"/>
  <c r="A97" i="38"/>
  <c r="B96" i="38"/>
  <c r="A96" i="38"/>
  <c r="B95" i="38"/>
  <c r="A95" i="38"/>
  <c r="B94" i="38"/>
  <c r="A94" i="38"/>
  <c r="B93" i="38"/>
  <c r="A93" i="38"/>
  <c r="B92" i="38"/>
  <c r="A92" i="38"/>
  <c r="B91" i="38"/>
  <c r="A91" i="38"/>
  <c r="B90" i="38"/>
  <c r="A90" i="38"/>
  <c r="B89" i="38"/>
  <c r="A89" i="38"/>
  <c r="B88" i="38"/>
  <c r="A88" i="38"/>
  <c r="B87" i="38"/>
  <c r="A87" i="38"/>
  <c r="B86" i="38"/>
  <c r="A86" i="38"/>
  <c r="B85" i="38"/>
  <c r="A85" i="38"/>
  <c r="B84" i="38"/>
  <c r="A84" i="38"/>
  <c r="B83" i="38"/>
  <c r="A83" i="38"/>
  <c r="B82" i="38"/>
  <c r="A82" i="38"/>
  <c r="B81" i="38"/>
  <c r="A81" i="38"/>
  <c r="B80" i="38"/>
  <c r="A80" i="38"/>
  <c r="B79" i="38"/>
  <c r="A79" i="38"/>
  <c r="B78" i="38"/>
  <c r="A78" i="38"/>
  <c r="B77" i="38"/>
  <c r="A77" i="38"/>
  <c r="B76" i="38"/>
  <c r="A76" i="38"/>
  <c r="B75" i="38"/>
  <c r="A75" i="38"/>
  <c r="B74" i="38"/>
  <c r="A74" i="38"/>
  <c r="B73" i="38"/>
  <c r="A73" i="38"/>
  <c r="B72" i="38"/>
  <c r="A72" i="38"/>
  <c r="B71" i="38"/>
  <c r="A71" i="38"/>
  <c r="B70" i="38"/>
  <c r="A70" i="38"/>
  <c r="B69" i="38"/>
  <c r="A69" i="38"/>
  <c r="B68" i="38"/>
  <c r="A68" i="38"/>
  <c r="B67" i="38"/>
  <c r="A67" i="38"/>
  <c r="B66" i="38"/>
  <c r="A66" i="38"/>
  <c r="B65" i="38"/>
  <c r="A65" i="38"/>
  <c r="B64" i="38"/>
  <c r="A64" i="38"/>
  <c r="B63" i="38"/>
  <c r="A63" i="38"/>
  <c r="B61" i="38"/>
  <c r="A61" i="38"/>
  <c r="B60" i="38"/>
  <c r="A60" i="38"/>
  <c r="B59" i="38"/>
  <c r="A59" i="38"/>
  <c r="B58" i="38"/>
  <c r="A58" i="38"/>
  <c r="B57" i="38"/>
  <c r="A57" i="38"/>
  <c r="B56" i="38"/>
  <c r="A56" i="38"/>
  <c r="B55" i="38"/>
  <c r="A55" i="38"/>
  <c r="B54" i="38"/>
  <c r="A54" i="38"/>
  <c r="B53" i="38"/>
  <c r="A53" i="38"/>
  <c r="B52" i="38"/>
  <c r="A52" i="38"/>
  <c r="B51" i="38"/>
  <c r="A51" i="38"/>
  <c r="B50" i="38"/>
  <c r="A50" i="38"/>
  <c r="B49" i="38"/>
  <c r="A49" i="38"/>
  <c r="B48" i="38"/>
  <c r="A48" i="38"/>
  <c r="B47" i="38"/>
  <c r="A47" i="38"/>
  <c r="B46" i="38"/>
  <c r="A46" i="38"/>
  <c r="B45" i="38"/>
  <c r="A45" i="38"/>
  <c r="B44" i="38"/>
  <c r="A44" i="38"/>
  <c r="B43" i="38"/>
  <c r="A43" i="38"/>
  <c r="B42" i="38"/>
  <c r="A42" i="38"/>
  <c r="B41" i="38"/>
  <c r="A41" i="38"/>
  <c r="B40" i="38"/>
  <c r="A40" i="38"/>
  <c r="B39" i="38"/>
  <c r="A39" i="38"/>
  <c r="B38" i="38"/>
  <c r="A38" i="38"/>
  <c r="B37" i="38"/>
  <c r="A37" i="38"/>
  <c r="B36" i="38"/>
  <c r="A36" i="38"/>
  <c r="B35" i="38"/>
  <c r="A35" i="38"/>
  <c r="B34" i="38"/>
  <c r="A34" i="38"/>
  <c r="B33" i="38"/>
  <c r="A33" i="38"/>
  <c r="B32" i="38"/>
  <c r="A32" i="38"/>
  <c r="B31" i="38"/>
  <c r="A31" i="38"/>
  <c r="B30" i="38"/>
  <c r="A30" i="38"/>
  <c r="B29" i="38"/>
  <c r="A29" i="38"/>
  <c r="B28" i="38"/>
  <c r="A28" i="38"/>
  <c r="B27" i="38"/>
  <c r="A27" i="38"/>
  <c r="B26" i="38"/>
  <c r="A26" i="38"/>
  <c r="B25" i="38"/>
  <c r="A25" i="38"/>
  <c r="B24" i="38"/>
  <c r="A24" i="38"/>
  <c r="B23" i="38"/>
  <c r="A23" i="38"/>
  <c r="B22" i="38"/>
  <c r="A22" i="38"/>
  <c r="B21" i="38"/>
  <c r="A21" i="38"/>
  <c r="B20" i="38"/>
  <c r="A20" i="38"/>
  <c r="B19" i="38"/>
  <c r="A19" i="38"/>
  <c r="B18" i="38"/>
  <c r="A18" i="38"/>
  <c r="B17" i="38"/>
  <c r="A17" i="38"/>
  <c r="B16" i="38"/>
  <c r="A16" i="38"/>
  <c r="B15" i="38"/>
  <c r="A15" i="38"/>
  <c r="B14" i="38"/>
  <c r="A14" i="38"/>
  <c r="B13" i="38"/>
  <c r="A13" i="38"/>
  <c r="B12" i="38"/>
  <c r="A12" i="38"/>
  <c r="B11" i="38"/>
  <c r="A11" i="38"/>
  <c r="B10" i="38"/>
  <c r="A10" i="38"/>
  <c r="B9" i="38"/>
  <c r="A9" i="38"/>
  <c r="B8" i="38"/>
  <c r="A8" i="38"/>
  <c r="B7" i="38"/>
  <c r="A7" i="38"/>
  <c r="B5" i="38"/>
  <c r="A5" i="38"/>
  <c r="B4" i="38"/>
  <c r="A4" i="38"/>
  <c r="L111" i="38"/>
  <c r="B114" i="37"/>
  <c r="A114" i="37"/>
  <c r="B113" i="37"/>
  <c r="A113" i="37"/>
  <c r="B112" i="37"/>
  <c r="A112" i="37"/>
  <c r="B111" i="37"/>
  <c r="A111" i="37"/>
  <c r="B110" i="37"/>
  <c r="A110" i="37"/>
  <c r="B109" i="37"/>
  <c r="A109" i="37"/>
  <c r="B108" i="37"/>
  <c r="A108" i="37"/>
  <c r="B107" i="37"/>
  <c r="A107" i="37"/>
  <c r="B106" i="37"/>
  <c r="A106" i="37"/>
  <c r="B105" i="37"/>
  <c r="A105" i="37"/>
  <c r="B104" i="37"/>
  <c r="A104" i="37"/>
  <c r="B103" i="37"/>
  <c r="A103" i="37"/>
  <c r="B102" i="37"/>
  <c r="A102" i="37"/>
  <c r="B101" i="37"/>
  <c r="A101" i="37"/>
  <c r="B100" i="37"/>
  <c r="A100" i="37"/>
  <c r="B99" i="37"/>
  <c r="A99" i="37"/>
  <c r="B98" i="37"/>
  <c r="A98" i="37"/>
  <c r="B97" i="37"/>
  <c r="A97" i="37"/>
  <c r="B96" i="37"/>
  <c r="A96" i="37"/>
  <c r="B95" i="37"/>
  <c r="A95" i="37"/>
  <c r="B94" i="37"/>
  <c r="A94" i="37"/>
  <c r="B93" i="37"/>
  <c r="A93" i="37"/>
  <c r="B92" i="37"/>
  <c r="A92" i="37"/>
  <c r="B91" i="37"/>
  <c r="A91" i="37"/>
  <c r="B90" i="37"/>
  <c r="A90" i="37"/>
  <c r="B89" i="37"/>
  <c r="A89" i="37"/>
  <c r="B88" i="37"/>
  <c r="A88" i="37"/>
  <c r="B87" i="37"/>
  <c r="A87" i="37"/>
  <c r="B86" i="37"/>
  <c r="A86" i="37"/>
  <c r="B85" i="37"/>
  <c r="A85" i="37"/>
  <c r="B84" i="37"/>
  <c r="A84" i="37"/>
  <c r="B83" i="37"/>
  <c r="A83" i="37"/>
  <c r="B82" i="37"/>
  <c r="A82" i="37"/>
  <c r="B81" i="37"/>
  <c r="A81" i="37"/>
  <c r="B80" i="37"/>
  <c r="A80" i="37"/>
  <c r="B79" i="37"/>
  <c r="A79" i="37"/>
  <c r="B78" i="37"/>
  <c r="A78" i="37"/>
  <c r="B77" i="37"/>
  <c r="A77" i="37"/>
  <c r="B76" i="37"/>
  <c r="A76" i="37"/>
  <c r="B75" i="37"/>
  <c r="A75" i="37"/>
  <c r="B74" i="37"/>
  <c r="A74" i="37"/>
  <c r="B73" i="37"/>
  <c r="A73" i="37"/>
  <c r="B72" i="37"/>
  <c r="A72" i="37"/>
  <c r="B71" i="37"/>
  <c r="A71" i="37"/>
  <c r="B70" i="37"/>
  <c r="A70" i="37"/>
  <c r="B69" i="37"/>
  <c r="A69" i="37"/>
  <c r="B68" i="37"/>
  <c r="A68" i="37"/>
  <c r="B67" i="37"/>
  <c r="A67" i="37"/>
  <c r="B66" i="37"/>
  <c r="A66" i="37"/>
  <c r="B65" i="37"/>
  <c r="A65" i="37"/>
  <c r="B64" i="37"/>
  <c r="A64" i="37"/>
  <c r="B63" i="37"/>
  <c r="A63" i="37"/>
  <c r="B62" i="37"/>
  <c r="A62" i="37"/>
  <c r="B60" i="37"/>
  <c r="A60" i="37"/>
  <c r="B59" i="37"/>
  <c r="A59" i="37"/>
  <c r="B58" i="37"/>
  <c r="A58" i="37"/>
  <c r="B57" i="37"/>
  <c r="A57" i="37"/>
  <c r="B56" i="37"/>
  <c r="A56" i="37"/>
  <c r="B55" i="37"/>
  <c r="A55" i="37"/>
  <c r="B54" i="37"/>
  <c r="A54" i="37"/>
  <c r="B53" i="37"/>
  <c r="A53" i="37"/>
  <c r="B52" i="37"/>
  <c r="A52" i="37"/>
  <c r="B51" i="37"/>
  <c r="A51" i="37"/>
  <c r="B50" i="37"/>
  <c r="A50" i="37"/>
  <c r="B49" i="37"/>
  <c r="A49" i="37"/>
  <c r="B48" i="37"/>
  <c r="A48" i="37"/>
  <c r="B47" i="37"/>
  <c r="A47" i="37"/>
  <c r="B46" i="37"/>
  <c r="A46" i="37"/>
  <c r="B45" i="37"/>
  <c r="A45" i="37"/>
  <c r="B44" i="37"/>
  <c r="A44" i="37"/>
  <c r="B43" i="37"/>
  <c r="A43" i="37"/>
  <c r="B42" i="37"/>
  <c r="A42" i="37"/>
  <c r="B41" i="37"/>
  <c r="A41" i="37"/>
  <c r="B40" i="37"/>
  <c r="A40" i="37"/>
  <c r="B39" i="37"/>
  <c r="A39" i="37"/>
  <c r="B38" i="37"/>
  <c r="A38" i="37"/>
  <c r="B37" i="37"/>
  <c r="A37" i="37"/>
  <c r="B36" i="37"/>
  <c r="A36" i="37"/>
  <c r="B35" i="37"/>
  <c r="A35" i="37"/>
  <c r="B34" i="37"/>
  <c r="A34" i="37"/>
  <c r="B33" i="37"/>
  <c r="A33" i="37"/>
  <c r="B32" i="37"/>
  <c r="A32" i="37"/>
  <c r="B31" i="37"/>
  <c r="A31" i="37"/>
  <c r="B30" i="37"/>
  <c r="A30" i="37"/>
  <c r="B29" i="37"/>
  <c r="A29" i="37"/>
  <c r="B28" i="37"/>
  <c r="A28" i="37"/>
  <c r="B27" i="37"/>
  <c r="A27" i="37"/>
  <c r="B26" i="37"/>
  <c r="A26" i="37"/>
  <c r="B25" i="37"/>
  <c r="A25" i="37"/>
  <c r="B24" i="37"/>
  <c r="A24" i="37"/>
  <c r="B23" i="37"/>
  <c r="A23" i="37"/>
  <c r="B22" i="37"/>
  <c r="A22" i="37"/>
  <c r="B21" i="37"/>
  <c r="A21" i="37"/>
  <c r="B20" i="37"/>
  <c r="A20" i="37"/>
  <c r="B19" i="37"/>
  <c r="A19" i="37"/>
  <c r="B18" i="37"/>
  <c r="A18" i="37"/>
  <c r="B17" i="37"/>
  <c r="A17" i="37"/>
  <c r="B16" i="37"/>
  <c r="A16" i="37"/>
  <c r="B15" i="37"/>
  <c r="A15" i="37"/>
  <c r="B14" i="37"/>
  <c r="A14" i="37"/>
  <c r="B13" i="37"/>
  <c r="A13" i="37"/>
  <c r="B12" i="37"/>
  <c r="A12" i="37"/>
  <c r="B11" i="37"/>
  <c r="A11" i="37"/>
  <c r="B10" i="37"/>
  <c r="A10" i="37"/>
  <c r="B9" i="37"/>
  <c r="A9" i="37"/>
  <c r="B8" i="37"/>
  <c r="A8" i="37"/>
  <c r="B7" i="37"/>
  <c r="A7" i="37"/>
  <c r="B5" i="37"/>
  <c r="A5" i="37"/>
  <c r="B4" i="37"/>
  <c r="A4" i="37"/>
  <c r="L115" i="37"/>
  <c r="B124" i="36"/>
  <c r="A124" i="36"/>
  <c r="B123" i="36"/>
  <c r="A123" i="36"/>
  <c r="B122" i="36"/>
  <c r="A122" i="36"/>
  <c r="B121" i="36"/>
  <c r="A121" i="36"/>
  <c r="B120" i="36"/>
  <c r="A120" i="36"/>
  <c r="B119" i="36"/>
  <c r="A119" i="36"/>
  <c r="B118" i="36"/>
  <c r="A118" i="36"/>
  <c r="B117" i="36"/>
  <c r="A117" i="36"/>
  <c r="B116" i="36"/>
  <c r="A116" i="36"/>
  <c r="B115" i="36"/>
  <c r="A115" i="36"/>
  <c r="B114" i="36"/>
  <c r="A114" i="36"/>
  <c r="B113" i="36"/>
  <c r="A113" i="36"/>
  <c r="B112" i="36"/>
  <c r="A112" i="36"/>
  <c r="B111" i="36"/>
  <c r="A111" i="36"/>
  <c r="B110" i="36"/>
  <c r="A110" i="36"/>
  <c r="B109" i="36"/>
  <c r="A109" i="36"/>
  <c r="B108" i="36"/>
  <c r="A108" i="36"/>
  <c r="B107" i="36"/>
  <c r="A107" i="36"/>
  <c r="B106" i="36"/>
  <c r="A106" i="36"/>
  <c r="B105" i="36"/>
  <c r="A105" i="36"/>
  <c r="B104" i="36"/>
  <c r="A104" i="36"/>
  <c r="B103" i="36"/>
  <c r="A103" i="36"/>
  <c r="B102" i="36"/>
  <c r="A102" i="36"/>
  <c r="B101" i="36"/>
  <c r="A101" i="36"/>
  <c r="B100" i="36"/>
  <c r="A100" i="36"/>
  <c r="B99" i="36"/>
  <c r="A99" i="36"/>
  <c r="B98" i="36"/>
  <c r="A98" i="36"/>
  <c r="B97" i="36"/>
  <c r="A97" i="36"/>
  <c r="B96" i="36"/>
  <c r="A96" i="36"/>
  <c r="B95" i="36"/>
  <c r="A95" i="36"/>
  <c r="B94" i="36"/>
  <c r="A94" i="36"/>
  <c r="B93" i="36"/>
  <c r="A93" i="36"/>
  <c r="B92" i="36"/>
  <c r="A92" i="36"/>
  <c r="B91" i="36"/>
  <c r="A91" i="36"/>
  <c r="B90" i="36"/>
  <c r="A90" i="36"/>
  <c r="B89" i="36"/>
  <c r="A89" i="36"/>
  <c r="B88" i="36"/>
  <c r="A88" i="36"/>
  <c r="B87" i="36"/>
  <c r="A87" i="36"/>
  <c r="B86" i="36"/>
  <c r="A86" i="36"/>
  <c r="B85" i="36"/>
  <c r="A85" i="36"/>
  <c r="B84" i="36"/>
  <c r="A84" i="36"/>
  <c r="B83" i="36"/>
  <c r="A83" i="36"/>
  <c r="B82" i="36"/>
  <c r="A82" i="36"/>
  <c r="B81" i="36"/>
  <c r="A81" i="36"/>
  <c r="B80" i="36"/>
  <c r="A80" i="36"/>
  <c r="B79" i="36"/>
  <c r="A79" i="36"/>
  <c r="B78" i="36"/>
  <c r="A78" i="36"/>
  <c r="B77" i="36"/>
  <c r="A77" i="36"/>
  <c r="B76" i="36"/>
  <c r="A76" i="36"/>
  <c r="B75" i="36"/>
  <c r="A75" i="36"/>
  <c r="B74" i="36"/>
  <c r="A74" i="36"/>
  <c r="B73" i="36"/>
  <c r="A73" i="36"/>
  <c r="B72" i="36"/>
  <c r="A72" i="36"/>
  <c r="B71" i="36"/>
  <c r="A71" i="36"/>
  <c r="B69" i="36"/>
  <c r="A69" i="36"/>
  <c r="B68" i="36"/>
  <c r="A68" i="36"/>
  <c r="B67" i="36"/>
  <c r="A67" i="36"/>
  <c r="B66" i="36"/>
  <c r="A66" i="36"/>
  <c r="B65" i="36"/>
  <c r="A65" i="36"/>
  <c r="B64" i="36"/>
  <c r="A64" i="36"/>
  <c r="B63" i="36"/>
  <c r="A63" i="36"/>
  <c r="B62" i="36"/>
  <c r="A62" i="36"/>
  <c r="B61" i="36"/>
  <c r="A61" i="36"/>
  <c r="B60" i="36"/>
  <c r="A60" i="36"/>
  <c r="B59" i="36"/>
  <c r="A59" i="36"/>
  <c r="B58" i="36"/>
  <c r="A58" i="36"/>
  <c r="B57" i="36"/>
  <c r="A57" i="36"/>
  <c r="B56" i="36"/>
  <c r="A56" i="36"/>
  <c r="B55" i="36"/>
  <c r="A55" i="36"/>
  <c r="B54" i="36"/>
  <c r="A54" i="36"/>
  <c r="B53" i="36"/>
  <c r="A53" i="36"/>
  <c r="B52" i="36"/>
  <c r="A52" i="36"/>
  <c r="B51" i="36"/>
  <c r="A51" i="36"/>
  <c r="B50" i="36"/>
  <c r="A50" i="36"/>
  <c r="B49" i="36"/>
  <c r="A49" i="36"/>
  <c r="B48" i="36"/>
  <c r="A48" i="36"/>
  <c r="B47" i="36"/>
  <c r="A47" i="36"/>
  <c r="B46" i="36"/>
  <c r="A46" i="36"/>
  <c r="B45" i="36"/>
  <c r="A45" i="36"/>
  <c r="B44" i="36"/>
  <c r="A44" i="36"/>
  <c r="B43" i="36"/>
  <c r="A43" i="36"/>
  <c r="B42" i="36"/>
  <c r="A42" i="36"/>
  <c r="B41" i="36"/>
  <c r="A41" i="36"/>
  <c r="B40" i="36"/>
  <c r="A40" i="36"/>
  <c r="B39" i="36"/>
  <c r="A39" i="36"/>
  <c r="B38" i="36"/>
  <c r="A38" i="36"/>
  <c r="B37" i="36"/>
  <c r="A37" i="36"/>
  <c r="B36" i="36"/>
  <c r="A36" i="36"/>
  <c r="B35" i="36"/>
  <c r="A35" i="36"/>
  <c r="B34" i="36"/>
  <c r="A34" i="36"/>
  <c r="B33" i="36"/>
  <c r="A33" i="36"/>
  <c r="B32" i="36"/>
  <c r="A32" i="36"/>
  <c r="B31" i="36"/>
  <c r="A31" i="36"/>
  <c r="B30" i="36"/>
  <c r="A30" i="36"/>
  <c r="B29" i="36"/>
  <c r="A29" i="36"/>
  <c r="B28" i="36"/>
  <c r="A28" i="36"/>
  <c r="B27" i="36"/>
  <c r="A27" i="36"/>
  <c r="B26" i="36"/>
  <c r="A26" i="36"/>
  <c r="B25" i="36"/>
  <c r="A25" i="36"/>
  <c r="B24" i="36"/>
  <c r="A24" i="36"/>
  <c r="B23" i="36"/>
  <c r="A23" i="36"/>
  <c r="B22" i="36"/>
  <c r="A22" i="36"/>
  <c r="B21" i="36"/>
  <c r="A21" i="36"/>
  <c r="B20" i="36"/>
  <c r="A20" i="36"/>
  <c r="B19" i="36"/>
  <c r="A19" i="36"/>
  <c r="B18" i="36"/>
  <c r="A18" i="36"/>
  <c r="B17" i="36"/>
  <c r="A17" i="36"/>
  <c r="B16" i="36"/>
  <c r="A16" i="36"/>
  <c r="B15" i="36"/>
  <c r="A15" i="36"/>
  <c r="B14" i="36"/>
  <c r="A14" i="36"/>
  <c r="B13" i="36"/>
  <c r="A13" i="36"/>
  <c r="B12" i="36"/>
  <c r="A12" i="36"/>
  <c r="B11" i="36"/>
  <c r="A11" i="36"/>
  <c r="B10" i="36"/>
  <c r="A10" i="36"/>
  <c r="B8" i="36"/>
  <c r="A8" i="36"/>
  <c r="B7" i="36"/>
  <c r="A7" i="36"/>
  <c r="B6" i="36"/>
  <c r="A6" i="36"/>
  <c r="L125" i="36"/>
  <c r="B132" i="35"/>
  <c r="A132" i="35"/>
  <c r="B131" i="35"/>
  <c r="A131" i="35"/>
  <c r="B130" i="35"/>
  <c r="A130" i="35"/>
  <c r="B129" i="35"/>
  <c r="A129" i="35"/>
  <c r="B128" i="35"/>
  <c r="A128" i="35"/>
  <c r="B127" i="35"/>
  <c r="A127" i="35"/>
  <c r="B126" i="35"/>
  <c r="A126" i="35"/>
  <c r="B125" i="35"/>
  <c r="A125" i="35"/>
  <c r="B124" i="35"/>
  <c r="A124" i="35"/>
  <c r="B123" i="35"/>
  <c r="A123" i="35"/>
  <c r="B122" i="35"/>
  <c r="A122" i="35"/>
  <c r="B121" i="35"/>
  <c r="A121" i="35"/>
  <c r="B120" i="35"/>
  <c r="A120" i="35"/>
  <c r="B119" i="35"/>
  <c r="A119" i="35"/>
  <c r="B118" i="35"/>
  <c r="A118" i="35"/>
  <c r="B117" i="35"/>
  <c r="A117" i="35"/>
  <c r="B116" i="35"/>
  <c r="A116" i="35"/>
  <c r="B115" i="35"/>
  <c r="A115" i="35"/>
  <c r="B114" i="35"/>
  <c r="A114" i="35"/>
  <c r="B113" i="35"/>
  <c r="A113" i="35"/>
  <c r="B112" i="35"/>
  <c r="A112" i="35"/>
  <c r="B111" i="35"/>
  <c r="A111" i="35"/>
  <c r="B110" i="35"/>
  <c r="A110" i="35"/>
  <c r="B109" i="35"/>
  <c r="A109" i="35"/>
  <c r="B108" i="35"/>
  <c r="A108" i="35"/>
  <c r="B107" i="35"/>
  <c r="A107" i="35"/>
  <c r="B106" i="35"/>
  <c r="A106" i="35"/>
  <c r="B105" i="35"/>
  <c r="A105" i="35"/>
  <c r="B104" i="35"/>
  <c r="A104" i="35"/>
  <c r="B103" i="35"/>
  <c r="A103" i="35"/>
  <c r="B102" i="35"/>
  <c r="A102" i="35"/>
  <c r="B101" i="35"/>
  <c r="A101" i="35"/>
  <c r="B100" i="35"/>
  <c r="A100" i="35"/>
  <c r="B99" i="35"/>
  <c r="A99" i="35"/>
  <c r="B98" i="35"/>
  <c r="A98" i="35"/>
  <c r="B97" i="35"/>
  <c r="A97" i="35"/>
  <c r="B96" i="35"/>
  <c r="A96" i="35"/>
  <c r="B95" i="35"/>
  <c r="A95" i="35"/>
  <c r="B94" i="35"/>
  <c r="A94" i="35"/>
  <c r="B93" i="35"/>
  <c r="A93" i="35"/>
  <c r="B92" i="35"/>
  <c r="A92" i="35"/>
  <c r="B91" i="35"/>
  <c r="A91" i="35"/>
  <c r="B90" i="35"/>
  <c r="A90" i="35"/>
  <c r="B89" i="35"/>
  <c r="A89" i="35"/>
  <c r="B88" i="35"/>
  <c r="A88" i="35"/>
  <c r="B87" i="35"/>
  <c r="A87" i="35"/>
  <c r="B86" i="35"/>
  <c r="A86" i="35"/>
  <c r="B85" i="35"/>
  <c r="A85" i="35"/>
  <c r="B84" i="35"/>
  <c r="A84" i="35"/>
  <c r="B83" i="35"/>
  <c r="A83" i="35"/>
  <c r="B82" i="35"/>
  <c r="A82" i="35"/>
  <c r="B81" i="35"/>
  <c r="A81" i="35"/>
  <c r="B80" i="35"/>
  <c r="A80" i="35"/>
  <c r="B79" i="35"/>
  <c r="A79" i="35"/>
  <c r="B78" i="35"/>
  <c r="A78" i="35"/>
  <c r="B77" i="35"/>
  <c r="A77" i="35"/>
  <c r="B76" i="35"/>
  <c r="A76" i="35"/>
  <c r="B75" i="35"/>
  <c r="A75" i="35"/>
  <c r="B73" i="35"/>
  <c r="A73" i="35"/>
  <c r="B72" i="35"/>
  <c r="A72" i="35"/>
  <c r="B71" i="35"/>
  <c r="A71" i="35"/>
  <c r="B70" i="35"/>
  <c r="A70" i="35"/>
  <c r="B69" i="35"/>
  <c r="A69" i="35"/>
  <c r="B68" i="35"/>
  <c r="A68" i="35"/>
  <c r="B67" i="35"/>
  <c r="A67" i="35"/>
  <c r="B66" i="35"/>
  <c r="A66" i="35"/>
  <c r="B65" i="35"/>
  <c r="A65" i="35"/>
  <c r="B64" i="35"/>
  <c r="A64" i="35"/>
  <c r="B63" i="35"/>
  <c r="A63" i="35"/>
  <c r="B62" i="35"/>
  <c r="A62" i="35"/>
  <c r="B61" i="35"/>
  <c r="A61" i="35"/>
  <c r="B60" i="35"/>
  <c r="A60" i="35"/>
  <c r="B59" i="35"/>
  <c r="A59" i="35"/>
  <c r="B58" i="35"/>
  <c r="A58" i="35"/>
  <c r="B57" i="35"/>
  <c r="A57" i="35"/>
  <c r="B56" i="35"/>
  <c r="A56" i="35"/>
  <c r="B55" i="35"/>
  <c r="A55" i="35"/>
  <c r="B54" i="35"/>
  <c r="A54" i="35"/>
  <c r="B53" i="35"/>
  <c r="A53" i="35"/>
  <c r="B52" i="35"/>
  <c r="A52" i="35"/>
  <c r="B51" i="35"/>
  <c r="A51" i="35"/>
  <c r="B50" i="35"/>
  <c r="A50" i="35"/>
  <c r="B49" i="35"/>
  <c r="A49" i="35"/>
  <c r="B48" i="35"/>
  <c r="A48" i="35"/>
  <c r="B47" i="35"/>
  <c r="A47" i="35"/>
  <c r="B46" i="35"/>
  <c r="A46" i="35"/>
  <c r="B45" i="35"/>
  <c r="A45" i="35"/>
  <c r="B44" i="35"/>
  <c r="A44" i="35"/>
  <c r="B43" i="35"/>
  <c r="A43" i="35"/>
  <c r="B42" i="35"/>
  <c r="A42" i="35"/>
  <c r="B41" i="35"/>
  <c r="A41" i="35"/>
  <c r="B40" i="35"/>
  <c r="A40" i="35"/>
  <c r="B39" i="35"/>
  <c r="A39" i="35"/>
  <c r="B38" i="35"/>
  <c r="A38" i="35"/>
  <c r="B37" i="35"/>
  <c r="A37" i="35"/>
  <c r="B36" i="35"/>
  <c r="A36" i="35"/>
  <c r="B35" i="35"/>
  <c r="A35" i="35"/>
  <c r="B34" i="35"/>
  <c r="A34" i="35"/>
  <c r="B33" i="35"/>
  <c r="A33" i="35"/>
  <c r="B32" i="35"/>
  <c r="A32" i="35"/>
  <c r="B31" i="35"/>
  <c r="A31" i="35"/>
  <c r="B30" i="35"/>
  <c r="A30" i="35"/>
  <c r="B29" i="35"/>
  <c r="A29" i="35"/>
  <c r="B28" i="35"/>
  <c r="A28" i="35"/>
  <c r="B27" i="35"/>
  <c r="A27" i="35"/>
  <c r="B26" i="35"/>
  <c r="A26" i="35"/>
  <c r="B25" i="35"/>
  <c r="A25" i="35"/>
  <c r="B24" i="35"/>
  <c r="A24" i="35"/>
  <c r="B23" i="35"/>
  <c r="A23" i="35"/>
  <c r="B22" i="35"/>
  <c r="A22" i="35"/>
  <c r="B21" i="35"/>
  <c r="A21" i="35"/>
  <c r="B20" i="35"/>
  <c r="A20" i="35"/>
  <c r="B19" i="35"/>
  <c r="A19" i="35"/>
  <c r="B18" i="35"/>
  <c r="A18" i="35"/>
  <c r="B17" i="35"/>
  <c r="A17" i="35"/>
  <c r="B16" i="35"/>
  <c r="A16" i="35"/>
  <c r="B15" i="35"/>
  <c r="A15" i="35"/>
  <c r="B14" i="35"/>
  <c r="A14" i="35"/>
  <c r="B13" i="35"/>
  <c r="A13" i="35"/>
  <c r="B12" i="35"/>
  <c r="A12" i="35"/>
  <c r="B11" i="35"/>
  <c r="A11" i="35"/>
  <c r="B10" i="35"/>
  <c r="A10" i="35"/>
  <c r="B9" i="35"/>
  <c r="A9" i="35"/>
  <c r="B7" i="35"/>
  <c r="A7" i="35"/>
  <c r="B6" i="35"/>
  <c r="A6" i="35"/>
  <c r="B5" i="35"/>
  <c r="A5" i="35"/>
  <c r="B4" i="35"/>
  <c r="A4" i="35"/>
  <c r="L133" i="35"/>
  <c r="G388" i="58" l="1"/>
  <c r="F388" i="58"/>
  <c r="E388" i="58"/>
  <c r="B60" i="29"/>
  <c r="C388" i="58" s="1"/>
  <c r="A60" i="29"/>
  <c r="B388" i="58" s="1"/>
  <c r="B127" i="39"/>
  <c r="P77" i="66" l="1"/>
  <c r="B76" i="66"/>
  <c r="A76" i="66"/>
  <c r="B75" i="66"/>
  <c r="A75" i="66"/>
  <c r="B74" i="66"/>
  <c r="A74" i="66"/>
  <c r="B73" i="66"/>
  <c r="A73" i="66"/>
  <c r="B72" i="66"/>
  <c r="A72" i="66"/>
  <c r="B71" i="66"/>
  <c r="A71" i="66"/>
  <c r="B70" i="66"/>
  <c r="A70" i="66"/>
  <c r="B69" i="66"/>
  <c r="A69" i="66"/>
  <c r="B68" i="66"/>
  <c r="A68" i="66"/>
  <c r="B67" i="66"/>
  <c r="A67" i="66"/>
  <c r="B66" i="66"/>
  <c r="A66" i="66"/>
  <c r="B65" i="66"/>
  <c r="A65" i="66"/>
  <c r="B64" i="66"/>
  <c r="A64" i="66"/>
  <c r="B63" i="66"/>
  <c r="A63" i="66"/>
  <c r="B62" i="66"/>
  <c r="A62" i="66"/>
  <c r="B61" i="66"/>
  <c r="A61" i="66"/>
  <c r="B60" i="66"/>
  <c r="A60" i="66"/>
  <c r="B59" i="66"/>
  <c r="A59" i="66"/>
  <c r="B58" i="66"/>
  <c r="A58" i="66"/>
  <c r="B57" i="66"/>
  <c r="A57" i="66"/>
  <c r="B56" i="66"/>
  <c r="A56" i="66"/>
  <c r="B55" i="66"/>
  <c r="A55" i="66"/>
  <c r="B54" i="66"/>
  <c r="A54" i="66"/>
  <c r="B53" i="66"/>
  <c r="A53" i="66"/>
  <c r="B52" i="66"/>
  <c r="A52" i="66"/>
  <c r="B51" i="66"/>
  <c r="A51" i="66"/>
  <c r="B50" i="66"/>
  <c r="A50" i="66"/>
  <c r="B49" i="66"/>
  <c r="A49" i="66"/>
  <c r="B48" i="66"/>
  <c r="A48" i="66"/>
  <c r="B47" i="66"/>
  <c r="A47" i="66"/>
  <c r="B46" i="66"/>
  <c r="A46" i="66"/>
  <c r="B45" i="66"/>
  <c r="A45" i="66"/>
  <c r="B44" i="66"/>
  <c r="A44" i="66"/>
  <c r="B43" i="66"/>
  <c r="A43" i="66"/>
  <c r="B42" i="66"/>
  <c r="A42" i="66"/>
  <c r="B41" i="66"/>
  <c r="A41" i="66"/>
  <c r="B40" i="66"/>
  <c r="A40" i="66"/>
  <c r="B39" i="66"/>
  <c r="A39" i="66"/>
  <c r="B38" i="66"/>
  <c r="A38" i="66"/>
  <c r="B37" i="66"/>
  <c r="A37" i="66"/>
  <c r="B36" i="66"/>
  <c r="A36" i="66"/>
  <c r="B35" i="66"/>
  <c r="A35" i="66"/>
  <c r="B34" i="66"/>
  <c r="A34" i="66"/>
  <c r="B33" i="66"/>
  <c r="A33" i="66"/>
  <c r="B32" i="66"/>
  <c r="A32" i="66"/>
  <c r="B31" i="66"/>
  <c r="A31" i="66"/>
  <c r="B30" i="66"/>
  <c r="A30" i="66"/>
  <c r="B29" i="66"/>
  <c r="A29" i="66"/>
  <c r="B28" i="66"/>
  <c r="A28" i="66"/>
  <c r="B27" i="66"/>
  <c r="A27" i="66"/>
  <c r="B26" i="66"/>
  <c r="A26" i="66"/>
  <c r="B25" i="66"/>
  <c r="A25" i="66"/>
  <c r="B24" i="66"/>
  <c r="A24" i="66"/>
  <c r="B23" i="66"/>
  <c r="A23" i="66"/>
  <c r="B22" i="66"/>
  <c r="A22" i="66"/>
  <c r="B21" i="66"/>
  <c r="A21" i="66"/>
  <c r="B20" i="66"/>
  <c r="A20" i="66"/>
  <c r="B19" i="66"/>
  <c r="A19" i="66"/>
  <c r="B18" i="66"/>
  <c r="A18" i="66"/>
  <c r="B17" i="66"/>
  <c r="A17" i="66"/>
  <c r="B16" i="66"/>
  <c r="A16" i="66"/>
  <c r="B15" i="66"/>
  <c r="A15" i="66"/>
  <c r="B14" i="66"/>
  <c r="A14" i="66"/>
  <c r="B13" i="66"/>
  <c r="A13" i="66"/>
  <c r="B12" i="66"/>
  <c r="A12" i="66"/>
  <c r="B11" i="66"/>
  <c r="A11" i="66"/>
  <c r="B10" i="66"/>
  <c r="A10" i="66"/>
  <c r="B9" i="66"/>
  <c r="A9" i="66"/>
  <c r="B7" i="66"/>
  <c r="A7" i="66"/>
  <c r="B6" i="66"/>
  <c r="A6" i="66"/>
  <c r="A5" i="66"/>
  <c r="G64" i="70" l="1"/>
  <c r="C64" i="70" s="1"/>
  <c r="G63" i="70"/>
  <c r="C63" i="70" s="1"/>
  <c r="G62" i="70"/>
  <c r="C62" i="70" s="1"/>
  <c r="B73" i="70"/>
  <c r="B69" i="70"/>
  <c r="B68" i="70"/>
  <c r="D20" i="69" s="1"/>
  <c r="G66" i="70"/>
  <c r="C66" i="70" s="1"/>
  <c r="G65" i="70"/>
  <c r="C65" i="70" s="1"/>
  <c r="G61" i="70"/>
  <c r="C61" i="70" s="1"/>
  <c r="G60" i="70"/>
  <c r="C60" i="70" s="1"/>
  <c r="G59" i="70"/>
  <c r="C59" i="70" s="1"/>
  <c r="G55" i="70"/>
  <c r="C55" i="70" s="1"/>
  <c r="G54" i="70"/>
  <c r="C54" i="70" s="1"/>
  <c r="G53" i="70"/>
  <c r="C53" i="70" s="1"/>
  <c r="G52" i="70"/>
  <c r="C52" i="70" s="1"/>
  <c r="G51" i="70"/>
  <c r="C51" i="70" s="1"/>
  <c r="G50" i="70"/>
  <c r="C50" i="70" s="1"/>
  <c r="G49" i="70"/>
  <c r="C49" i="70" s="1"/>
  <c r="G48" i="70"/>
  <c r="C48" i="70" s="1"/>
  <c r="G47" i="70"/>
  <c r="C47" i="70" s="1"/>
  <c r="G46" i="70"/>
  <c r="C46" i="70" s="1"/>
  <c r="G45" i="70"/>
  <c r="C45" i="70" s="1"/>
  <c r="G44" i="70"/>
  <c r="C44" i="70" s="1"/>
  <c r="G43" i="70"/>
  <c r="C43" i="70" s="1"/>
  <c r="G42" i="70"/>
  <c r="C42" i="70" s="1"/>
  <c r="G41" i="70"/>
  <c r="C41" i="70" s="1"/>
  <c r="G39" i="70"/>
  <c r="C39" i="70" s="1"/>
  <c r="G38" i="70"/>
  <c r="C38" i="70" s="1"/>
  <c r="G37" i="70"/>
  <c r="C37" i="70" s="1"/>
  <c r="G36" i="70"/>
  <c r="C36" i="70" s="1"/>
  <c r="G35" i="70"/>
  <c r="C35" i="70" s="1"/>
  <c r="G34" i="70"/>
  <c r="C34" i="70" s="1"/>
  <c r="G33" i="70"/>
  <c r="C33" i="70" s="1"/>
  <c r="G32" i="70"/>
  <c r="C32" i="70" s="1"/>
  <c r="G31" i="70"/>
  <c r="C31" i="70" s="1"/>
  <c r="G30" i="70"/>
  <c r="C30" i="70" s="1"/>
  <c r="G7" i="70"/>
  <c r="C7" i="70" s="1"/>
  <c r="G6" i="70"/>
  <c r="C6" i="70" s="1"/>
  <c r="G5" i="70"/>
  <c r="C5" i="70" s="1"/>
  <c r="G4" i="70"/>
  <c r="C4" i="70" s="1"/>
  <c r="K1" i="70"/>
  <c r="J1" i="70"/>
  <c r="J4" i="69"/>
  <c r="C5" i="69" s="1"/>
  <c r="F14" i="72"/>
  <c r="F12" i="72"/>
  <c r="F11" i="72"/>
  <c r="F10" i="72"/>
  <c r="F9" i="72"/>
  <c r="F8" i="72"/>
  <c r="F7" i="72"/>
  <c r="F6" i="72"/>
  <c r="F5" i="72"/>
  <c r="G32" i="69"/>
  <c r="G31" i="69"/>
  <c r="G30" i="69"/>
  <c r="G25" i="69"/>
  <c r="D14" i="69"/>
  <c r="E13" i="69" s="1"/>
  <c r="G11" i="69"/>
  <c r="G10" i="69"/>
  <c r="G29" i="70" l="1"/>
  <c r="C29" i="70" s="1"/>
  <c r="D699" i="58" s="1"/>
  <c r="G16" i="70"/>
  <c r="C16" i="70" s="1"/>
  <c r="D686" i="58" s="1"/>
  <c r="G20" i="70"/>
  <c r="C20" i="70" s="1"/>
  <c r="D690" i="58" s="1"/>
  <c r="G12" i="70"/>
  <c r="C12" i="70" s="1"/>
  <c r="D682" i="58" s="1"/>
  <c r="G24" i="70"/>
  <c r="C24" i="70" s="1"/>
  <c r="D694" i="58" s="1"/>
  <c r="G28" i="70"/>
  <c r="C28" i="70" s="1"/>
  <c r="D698" i="58" s="1"/>
  <c r="G14" i="70"/>
  <c r="C14" i="70" s="1"/>
  <c r="D684" i="58" s="1"/>
  <c r="G22" i="70"/>
  <c r="C22" i="70" s="1"/>
  <c r="D692" i="58" s="1"/>
  <c r="B74" i="70"/>
  <c r="G10" i="70"/>
  <c r="C10" i="70" s="1"/>
  <c r="D680" i="58" s="1"/>
  <c r="G18" i="70"/>
  <c r="C18" i="70" s="1"/>
  <c r="D688" i="58" s="1"/>
  <c r="G26" i="70"/>
  <c r="C26" i="70" s="1"/>
  <c r="D696" i="58" s="1"/>
  <c r="G11" i="70"/>
  <c r="C11" i="70" s="1"/>
  <c r="D681" i="58" s="1"/>
  <c r="G15" i="70"/>
  <c r="C15" i="70" s="1"/>
  <c r="D685" i="58" s="1"/>
  <c r="G19" i="70"/>
  <c r="C19" i="70" s="1"/>
  <c r="D689" i="58" s="1"/>
  <c r="G23" i="70"/>
  <c r="C23" i="70" s="1"/>
  <c r="D693" i="58" s="1"/>
  <c r="G27" i="70"/>
  <c r="C27" i="70" s="1"/>
  <c r="D697" i="58" s="1"/>
  <c r="G40" i="70"/>
  <c r="C40" i="70" s="1"/>
  <c r="D710" i="58" s="1"/>
  <c r="G13" i="70"/>
  <c r="C13" i="70" s="1"/>
  <c r="D683" i="58" s="1"/>
  <c r="G17" i="70"/>
  <c r="C17" i="70" s="1"/>
  <c r="D687" i="58" s="1"/>
  <c r="G21" i="70"/>
  <c r="C21" i="70" s="1"/>
  <c r="D691" i="58" s="1"/>
  <c r="G25" i="70"/>
  <c r="C25" i="70" s="1"/>
  <c r="D695" i="58" s="1"/>
  <c r="E10" i="69"/>
  <c r="E11" i="69"/>
  <c r="D5" i="69"/>
  <c r="E12" i="69"/>
  <c r="O5" i="56"/>
  <c r="I2" i="44" s="1"/>
  <c r="E14" i="69" l="1"/>
  <c r="G672" i="58"/>
  <c r="F672" i="58"/>
  <c r="E672" i="58"/>
  <c r="D672" i="58"/>
  <c r="C672" i="58"/>
  <c r="B672" i="58"/>
  <c r="G671" i="58"/>
  <c r="F671" i="58"/>
  <c r="E671" i="58"/>
  <c r="D671" i="58"/>
  <c r="C671" i="58"/>
  <c r="B671" i="58"/>
  <c r="G670" i="58"/>
  <c r="F670" i="58"/>
  <c r="E670" i="58"/>
  <c r="D670" i="58"/>
  <c r="C670" i="58"/>
  <c r="B670" i="58"/>
  <c r="G669" i="58"/>
  <c r="F669" i="58"/>
  <c r="E669" i="58"/>
  <c r="D669" i="58"/>
  <c r="C669" i="58"/>
  <c r="B669" i="58"/>
  <c r="G668" i="58"/>
  <c r="F668" i="58"/>
  <c r="E668" i="58"/>
  <c r="D668" i="58"/>
  <c r="C668" i="58"/>
  <c r="B668" i="58"/>
  <c r="G667" i="58"/>
  <c r="F667" i="58"/>
  <c r="E667" i="58"/>
  <c r="C667" i="58"/>
  <c r="B667" i="58"/>
  <c r="G666" i="58"/>
  <c r="F666" i="58"/>
  <c r="E666" i="58"/>
  <c r="C666" i="58"/>
  <c r="B666" i="58"/>
  <c r="G665" i="58"/>
  <c r="F665" i="58"/>
  <c r="E665" i="58"/>
  <c r="C665" i="58"/>
  <c r="B665" i="58"/>
  <c r="G664" i="58"/>
  <c r="F664" i="58"/>
  <c r="E664" i="58"/>
  <c r="D664" i="58"/>
  <c r="C664" i="58"/>
  <c r="B664" i="58"/>
  <c r="G663" i="58"/>
  <c r="F663" i="58"/>
  <c r="E663" i="58"/>
  <c r="D663" i="58"/>
  <c r="C663" i="58"/>
  <c r="B663" i="58"/>
  <c r="G662" i="58"/>
  <c r="F662" i="58"/>
  <c r="E662" i="58"/>
  <c r="D662" i="58"/>
  <c r="C662" i="58"/>
  <c r="B662" i="58"/>
  <c r="G661" i="58"/>
  <c r="F661" i="58"/>
  <c r="E661" i="58"/>
  <c r="D661" i="58"/>
  <c r="C661" i="58"/>
  <c r="B661" i="58"/>
  <c r="G660" i="58"/>
  <c r="F660" i="58"/>
  <c r="E660" i="58"/>
  <c r="D660" i="58"/>
  <c r="C660" i="58"/>
  <c r="B660" i="58"/>
  <c r="G659" i="58"/>
  <c r="F659" i="58"/>
  <c r="E659" i="58"/>
  <c r="D659" i="58"/>
  <c r="C659" i="58"/>
  <c r="B659" i="58"/>
  <c r="G658" i="58"/>
  <c r="F658" i="58"/>
  <c r="E658" i="58"/>
  <c r="D658" i="58"/>
  <c r="C658" i="58"/>
  <c r="B658" i="58"/>
  <c r="G657" i="58"/>
  <c r="F657" i="58"/>
  <c r="E657" i="58"/>
  <c r="D657" i="58"/>
  <c r="C657" i="58"/>
  <c r="B657" i="58"/>
  <c r="G656" i="58"/>
  <c r="F656" i="58"/>
  <c r="E656" i="58"/>
  <c r="D656" i="58"/>
  <c r="C656" i="58"/>
  <c r="B656" i="58"/>
  <c r="G655" i="58"/>
  <c r="F655" i="58"/>
  <c r="E655" i="58"/>
  <c r="D655" i="58"/>
  <c r="C655" i="58"/>
  <c r="B655" i="58"/>
  <c r="G654" i="58"/>
  <c r="F654" i="58"/>
  <c r="E654" i="58"/>
  <c r="D654" i="58"/>
  <c r="C654" i="58"/>
  <c r="B654" i="58"/>
  <c r="G653" i="58"/>
  <c r="F653" i="58"/>
  <c r="E653" i="58"/>
  <c r="D653" i="58"/>
  <c r="C653" i="58"/>
  <c r="B653" i="58"/>
  <c r="G652" i="58"/>
  <c r="F652" i="58"/>
  <c r="E652" i="58"/>
  <c r="D652" i="58"/>
  <c r="C652" i="58"/>
  <c r="B652" i="58"/>
  <c r="G651" i="58"/>
  <c r="F651" i="58"/>
  <c r="E651" i="58"/>
  <c r="D651" i="58"/>
  <c r="C651" i="58"/>
  <c r="B651" i="58"/>
  <c r="G650" i="58"/>
  <c r="F650" i="58"/>
  <c r="E650" i="58"/>
  <c r="D650" i="58"/>
  <c r="C650" i="58"/>
  <c r="B650" i="58"/>
  <c r="G649" i="58"/>
  <c r="F649" i="58"/>
  <c r="E649" i="58"/>
  <c r="D649" i="58"/>
  <c r="C649" i="58"/>
  <c r="B649" i="58"/>
  <c r="G648" i="58"/>
  <c r="F648" i="58"/>
  <c r="E648" i="58"/>
  <c r="D648" i="58"/>
  <c r="C648" i="58"/>
  <c r="B648" i="58"/>
  <c r="G647" i="58"/>
  <c r="F647" i="58"/>
  <c r="E647" i="58"/>
  <c r="D647" i="58"/>
  <c r="C647" i="58"/>
  <c r="B647" i="58"/>
  <c r="G646" i="58"/>
  <c r="F646" i="58"/>
  <c r="E646" i="58"/>
  <c r="C646" i="58"/>
  <c r="B646" i="58"/>
  <c r="G645" i="58"/>
  <c r="F645" i="58"/>
  <c r="E645" i="58"/>
  <c r="D645" i="58"/>
  <c r="C645" i="58"/>
  <c r="B645" i="58"/>
  <c r="G644" i="58"/>
  <c r="F644" i="58"/>
  <c r="E644" i="58"/>
  <c r="D644" i="58"/>
  <c r="C644" i="58"/>
  <c r="B644" i="58"/>
  <c r="G643" i="58"/>
  <c r="F643" i="58"/>
  <c r="E643" i="58"/>
  <c r="D643" i="58"/>
  <c r="C643" i="58"/>
  <c r="B643" i="58"/>
  <c r="G642" i="58"/>
  <c r="F642" i="58"/>
  <c r="E642" i="58"/>
  <c r="D642" i="58"/>
  <c r="C642" i="58"/>
  <c r="B642" i="58"/>
  <c r="G641" i="58"/>
  <c r="F641" i="58"/>
  <c r="E641" i="58"/>
  <c r="D641" i="58"/>
  <c r="C641" i="58"/>
  <c r="B641" i="58"/>
  <c r="G640" i="58"/>
  <c r="F640" i="58"/>
  <c r="E640" i="58"/>
  <c r="D640" i="58"/>
  <c r="C640" i="58"/>
  <c r="B640" i="58"/>
  <c r="G639" i="58"/>
  <c r="F639" i="58"/>
  <c r="E639" i="58"/>
  <c r="D639" i="58"/>
  <c r="C639" i="58"/>
  <c r="B639" i="58"/>
  <c r="G638" i="58"/>
  <c r="F638" i="58"/>
  <c r="E638" i="58"/>
  <c r="D638" i="58"/>
  <c r="C638" i="58"/>
  <c r="B638" i="58"/>
  <c r="G637" i="58"/>
  <c r="F637" i="58"/>
  <c r="E637" i="58"/>
  <c r="D637" i="58"/>
  <c r="C637" i="58"/>
  <c r="B637" i="58"/>
  <c r="G636" i="58"/>
  <c r="F636" i="58"/>
  <c r="E636" i="58"/>
  <c r="D636" i="58"/>
  <c r="C636" i="58"/>
  <c r="B636" i="58"/>
  <c r="G635" i="58"/>
  <c r="F635" i="58"/>
  <c r="E635" i="58"/>
  <c r="D635" i="58"/>
  <c r="C635" i="58"/>
  <c r="B635" i="58"/>
  <c r="G634" i="58"/>
  <c r="F634" i="58"/>
  <c r="E634" i="58"/>
  <c r="D634" i="58"/>
  <c r="C634" i="58"/>
  <c r="B634" i="58"/>
  <c r="G633" i="58"/>
  <c r="F633" i="58"/>
  <c r="E633" i="58"/>
  <c r="D633" i="58"/>
  <c r="C633" i="58"/>
  <c r="B633" i="58"/>
  <c r="G632" i="58"/>
  <c r="F632" i="58"/>
  <c r="E632" i="58"/>
  <c r="C632" i="58"/>
  <c r="B632" i="58"/>
  <c r="G631" i="58"/>
  <c r="F631" i="58"/>
  <c r="E631" i="58"/>
  <c r="C631" i="58"/>
  <c r="B631" i="58"/>
  <c r="G630" i="58"/>
  <c r="F630" i="58"/>
  <c r="E630" i="58"/>
  <c r="C630" i="58"/>
  <c r="B630" i="58"/>
  <c r="G629" i="58"/>
  <c r="F629" i="58"/>
  <c r="E629" i="58"/>
  <c r="C629" i="58"/>
  <c r="B629" i="58"/>
  <c r="G628" i="58"/>
  <c r="F628" i="58"/>
  <c r="E628" i="58"/>
  <c r="C628" i="58"/>
  <c r="B628" i="58"/>
  <c r="G627" i="58"/>
  <c r="F627" i="58"/>
  <c r="E627" i="58"/>
  <c r="C627" i="58"/>
  <c r="B627" i="58"/>
  <c r="G626" i="58"/>
  <c r="F626" i="58"/>
  <c r="E626" i="58"/>
  <c r="C626" i="58"/>
  <c r="B626" i="58"/>
  <c r="G625" i="58"/>
  <c r="F625" i="58"/>
  <c r="E625" i="58"/>
  <c r="C625" i="58"/>
  <c r="B625" i="58"/>
  <c r="G624" i="58"/>
  <c r="F624" i="58"/>
  <c r="E624" i="58"/>
  <c r="C624" i="58"/>
  <c r="B624" i="58"/>
  <c r="G623" i="58"/>
  <c r="F623" i="58"/>
  <c r="E623" i="58"/>
  <c r="C623" i="58"/>
  <c r="B623" i="58"/>
  <c r="G622" i="58"/>
  <c r="F622" i="58"/>
  <c r="E622" i="58"/>
  <c r="C622" i="58"/>
  <c r="B622" i="58"/>
  <c r="G621" i="58"/>
  <c r="F621" i="58"/>
  <c r="E621" i="58"/>
  <c r="C621" i="58"/>
  <c r="B621" i="58"/>
  <c r="G620" i="58"/>
  <c r="F620" i="58"/>
  <c r="E620" i="58"/>
  <c r="C620" i="58"/>
  <c r="B620" i="58"/>
  <c r="G619" i="58"/>
  <c r="F619" i="58"/>
  <c r="E619" i="58"/>
  <c r="C619" i="58"/>
  <c r="B619" i="58"/>
  <c r="G618" i="58"/>
  <c r="F618" i="58"/>
  <c r="E618" i="58"/>
  <c r="C618" i="58"/>
  <c r="B618" i="58"/>
  <c r="G617" i="58"/>
  <c r="F617" i="58"/>
  <c r="E617" i="58"/>
  <c r="C617" i="58"/>
  <c r="B617" i="58"/>
  <c r="G616" i="58"/>
  <c r="F616" i="58"/>
  <c r="E616" i="58"/>
  <c r="C616" i="58"/>
  <c r="B616" i="58"/>
  <c r="G615" i="58"/>
  <c r="F615" i="58"/>
  <c r="E615" i="58"/>
  <c r="C615" i="58"/>
  <c r="B615" i="58"/>
  <c r="G614" i="58"/>
  <c r="F614" i="58"/>
  <c r="E614" i="58"/>
  <c r="C614" i="58"/>
  <c r="B614" i="58"/>
  <c r="G613" i="58"/>
  <c r="F613" i="58"/>
  <c r="E613" i="58"/>
  <c r="C613" i="58"/>
  <c r="B613" i="58"/>
  <c r="G612" i="58"/>
  <c r="F612" i="58"/>
  <c r="E612" i="58"/>
  <c r="C612" i="58"/>
  <c r="B612" i="58"/>
  <c r="G611" i="58"/>
  <c r="F611" i="58"/>
  <c r="E611" i="58"/>
  <c r="C611" i="58"/>
  <c r="B611" i="58"/>
  <c r="G610" i="58"/>
  <c r="F610" i="58"/>
  <c r="E610" i="58"/>
  <c r="D610" i="58"/>
  <c r="C610" i="58"/>
  <c r="B610" i="58"/>
  <c r="G609" i="58"/>
  <c r="F609" i="58"/>
  <c r="E609" i="58"/>
  <c r="D609" i="58"/>
  <c r="C609" i="58"/>
  <c r="B609" i="58"/>
  <c r="G608" i="58"/>
  <c r="F608" i="58"/>
  <c r="E608" i="58"/>
  <c r="D608" i="58"/>
  <c r="C608" i="58"/>
  <c r="B608" i="58"/>
  <c r="G607" i="58"/>
  <c r="F607" i="58"/>
  <c r="E607" i="58"/>
  <c r="D607" i="58"/>
  <c r="C607" i="58"/>
  <c r="G605" i="58"/>
  <c r="F605" i="58"/>
  <c r="E605" i="58"/>
  <c r="D605" i="58"/>
  <c r="C605" i="58"/>
  <c r="B605" i="58"/>
  <c r="G604" i="58"/>
  <c r="F604" i="58"/>
  <c r="E604" i="58"/>
  <c r="D604" i="58"/>
  <c r="C604" i="58"/>
  <c r="B604" i="58"/>
  <c r="G603" i="58"/>
  <c r="F603" i="58"/>
  <c r="E603" i="58"/>
  <c r="D603" i="58"/>
  <c r="C603" i="58"/>
  <c r="B603" i="58"/>
  <c r="G602" i="58"/>
  <c r="F602" i="58"/>
  <c r="E602" i="58"/>
  <c r="D602" i="58"/>
  <c r="C602" i="58"/>
  <c r="B602" i="58"/>
  <c r="G601" i="58"/>
  <c r="F601" i="58"/>
  <c r="E601" i="58"/>
  <c r="C601" i="58"/>
  <c r="B601" i="58"/>
  <c r="G600" i="58"/>
  <c r="F600" i="58"/>
  <c r="E600" i="58"/>
  <c r="C600" i="58"/>
  <c r="B600" i="58"/>
  <c r="G599" i="58"/>
  <c r="F599" i="58"/>
  <c r="E599" i="58"/>
  <c r="C599" i="58"/>
  <c r="B599" i="58"/>
  <c r="G598" i="58"/>
  <c r="F598" i="58"/>
  <c r="E598" i="58"/>
  <c r="D598" i="58"/>
  <c r="C598" i="58"/>
  <c r="B598" i="58"/>
  <c r="G597" i="58"/>
  <c r="F597" i="58"/>
  <c r="E597" i="58"/>
  <c r="D597" i="58"/>
  <c r="C597" i="58"/>
  <c r="B597" i="58"/>
  <c r="G596" i="58"/>
  <c r="F596" i="58"/>
  <c r="E596" i="58"/>
  <c r="D596" i="58"/>
  <c r="C596" i="58"/>
  <c r="B596" i="58"/>
  <c r="G595" i="58"/>
  <c r="F595" i="58"/>
  <c r="E595" i="58"/>
  <c r="D595" i="58"/>
  <c r="C595" i="58"/>
  <c r="B595" i="58"/>
  <c r="G594" i="58"/>
  <c r="F594" i="58"/>
  <c r="E594" i="58"/>
  <c r="D594" i="58"/>
  <c r="C594" i="58"/>
  <c r="B594" i="58"/>
  <c r="G593" i="58"/>
  <c r="F593" i="58"/>
  <c r="E593" i="58"/>
  <c r="D593" i="58"/>
  <c r="C593" i="58"/>
  <c r="B593" i="58"/>
  <c r="G592" i="58"/>
  <c r="F592" i="58"/>
  <c r="E592" i="58"/>
  <c r="D592" i="58"/>
  <c r="C592" i="58"/>
  <c r="B592" i="58"/>
  <c r="G591" i="58"/>
  <c r="F591" i="58"/>
  <c r="E591" i="58"/>
  <c r="D591" i="58"/>
  <c r="C591" i="58"/>
  <c r="B591" i="58"/>
  <c r="G590" i="58"/>
  <c r="F590" i="58"/>
  <c r="E590" i="58"/>
  <c r="D590" i="58"/>
  <c r="C590" i="58"/>
  <c r="B590" i="58"/>
  <c r="G589" i="58"/>
  <c r="F589" i="58"/>
  <c r="E589" i="58"/>
  <c r="D589" i="58"/>
  <c r="C589" i="58"/>
  <c r="B589" i="58"/>
  <c r="G588" i="58"/>
  <c r="F588" i="58"/>
  <c r="E588" i="58"/>
  <c r="D588" i="58"/>
  <c r="C588" i="58"/>
  <c r="B588" i="58"/>
  <c r="G587" i="58"/>
  <c r="F587" i="58"/>
  <c r="E587" i="58"/>
  <c r="D587" i="58"/>
  <c r="C587" i="58"/>
  <c r="B587" i="58"/>
  <c r="G586" i="58"/>
  <c r="F586" i="58"/>
  <c r="E586" i="58"/>
  <c r="D586" i="58"/>
  <c r="C586" i="58"/>
  <c r="B586" i="58"/>
  <c r="G585" i="58"/>
  <c r="F585" i="58"/>
  <c r="E585" i="58"/>
  <c r="D585" i="58"/>
  <c r="C585" i="58"/>
  <c r="B585" i="58"/>
  <c r="G584" i="58"/>
  <c r="F584" i="58"/>
  <c r="E584" i="58"/>
  <c r="D584" i="58"/>
  <c r="C584" i="58"/>
  <c r="B584" i="58"/>
  <c r="G583" i="58"/>
  <c r="F583" i="58"/>
  <c r="E583" i="58"/>
  <c r="D583" i="58"/>
  <c r="C583" i="58"/>
  <c r="B583" i="58"/>
  <c r="G582" i="58"/>
  <c r="F582" i="58"/>
  <c r="E582" i="58"/>
  <c r="D582" i="58"/>
  <c r="C582" i="58"/>
  <c r="B582" i="58"/>
  <c r="G581" i="58"/>
  <c r="F581" i="58"/>
  <c r="E581" i="58"/>
  <c r="D581" i="58"/>
  <c r="C581" i="58"/>
  <c r="B581" i="58"/>
  <c r="G580" i="58"/>
  <c r="F580" i="58"/>
  <c r="E580" i="58"/>
  <c r="D580" i="58"/>
  <c r="C580" i="58"/>
  <c r="B580" i="58"/>
  <c r="G579" i="58"/>
  <c r="F579" i="58"/>
  <c r="E579" i="58"/>
  <c r="D579" i="58"/>
  <c r="C579" i="58"/>
  <c r="B579" i="58"/>
  <c r="G578" i="58"/>
  <c r="F578" i="58"/>
  <c r="E578" i="58"/>
  <c r="D578" i="58"/>
  <c r="C578" i="58"/>
  <c r="B578" i="58"/>
  <c r="G577" i="58"/>
  <c r="F577" i="58"/>
  <c r="E577" i="58"/>
  <c r="D577" i="58"/>
  <c r="C577" i="58"/>
  <c r="B577" i="58"/>
  <c r="G576" i="58"/>
  <c r="F576" i="58"/>
  <c r="E576" i="58"/>
  <c r="D576" i="58"/>
  <c r="C576" i="58"/>
  <c r="B576" i="58"/>
  <c r="G575" i="58"/>
  <c r="F575" i="58"/>
  <c r="E575" i="58"/>
  <c r="D575" i="58"/>
  <c r="C575" i="58"/>
  <c r="B575" i="58"/>
  <c r="G574" i="58"/>
  <c r="F574" i="58"/>
  <c r="E574" i="58"/>
  <c r="D574" i="58"/>
  <c r="C574" i="58"/>
  <c r="B574" i="58"/>
  <c r="G573" i="58"/>
  <c r="F573" i="58"/>
  <c r="E573" i="58"/>
  <c r="D573" i="58"/>
  <c r="C573" i="58"/>
  <c r="B573" i="58"/>
  <c r="G572" i="58"/>
  <c r="F572" i="58"/>
  <c r="E572" i="58"/>
  <c r="D572" i="58"/>
  <c r="C572" i="58"/>
  <c r="B572" i="58"/>
  <c r="G571" i="58"/>
  <c r="F571" i="58"/>
  <c r="E571" i="58"/>
  <c r="D571" i="58"/>
  <c r="C571" i="58"/>
  <c r="B571" i="58"/>
  <c r="G570" i="58"/>
  <c r="F570" i="58"/>
  <c r="E570" i="58"/>
  <c r="D570" i="58"/>
  <c r="C570" i="58"/>
  <c r="B570" i="58"/>
  <c r="G569" i="58"/>
  <c r="F569" i="58"/>
  <c r="E569" i="58"/>
  <c r="D569" i="58"/>
  <c r="C569" i="58"/>
  <c r="B569" i="58"/>
  <c r="G568" i="58"/>
  <c r="F568" i="58"/>
  <c r="E568" i="58"/>
  <c r="D568" i="58"/>
  <c r="C568" i="58"/>
  <c r="B568" i="58"/>
  <c r="G567" i="58"/>
  <c r="F567" i="58"/>
  <c r="E567" i="58"/>
  <c r="D567" i="58"/>
  <c r="C567" i="58"/>
  <c r="B567" i="58"/>
  <c r="G566" i="58"/>
  <c r="F566" i="58"/>
  <c r="E566" i="58"/>
  <c r="D566" i="58"/>
  <c r="C566" i="58"/>
  <c r="B566" i="58"/>
  <c r="G565" i="58"/>
  <c r="F565" i="58"/>
  <c r="E565" i="58"/>
  <c r="D565" i="58"/>
  <c r="C565" i="58"/>
  <c r="B565" i="58"/>
  <c r="G564" i="58"/>
  <c r="F564" i="58"/>
  <c r="E564" i="58"/>
  <c r="D564" i="58"/>
  <c r="C564" i="58"/>
  <c r="B564" i="58"/>
  <c r="G563" i="58"/>
  <c r="F563" i="58"/>
  <c r="E563" i="58"/>
  <c r="D563" i="58"/>
  <c r="C563" i="58"/>
  <c r="B563" i="58"/>
  <c r="G562" i="58"/>
  <c r="F562" i="58"/>
  <c r="E562" i="58"/>
  <c r="D562" i="58"/>
  <c r="C562" i="58"/>
  <c r="B562" i="58"/>
  <c r="G561" i="58"/>
  <c r="F561" i="58"/>
  <c r="E561" i="58"/>
  <c r="D561" i="58"/>
  <c r="C561" i="58"/>
  <c r="B561" i="58"/>
  <c r="G560" i="58"/>
  <c r="F560" i="58"/>
  <c r="E560" i="58"/>
  <c r="D560" i="58"/>
  <c r="C560" i="58"/>
  <c r="B560" i="58"/>
  <c r="G559" i="58"/>
  <c r="F559" i="58"/>
  <c r="E559" i="58"/>
  <c r="D559" i="58"/>
  <c r="C559" i="58"/>
  <c r="B559" i="58"/>
  <c r="G558" i="58"/>
  <c r="F558" i="58"/>
  <c r="E558" i="58"/>
  <c r="C558" i="58"/>
  <c r="B558" i="58"/>
  <c r="G557" i="58"/>
  <c r="F557" i="58"/>
  <c r="E557" i="58"/>
  <c r="C557" i="58"/>
  <c r="B557" i="58"/>
  <c r="G556" i="58"/>
  <c r="F556" i="58"/>
  <c r="E556" i="58"/>
  <c r="D556" i="58"/>
  <c r="C556" i="58"/>
  <c r="B556" i="58"/>
  <c r="G555" i="58"/>
  <c r="F555" i="58"/>
  <c r="E555" i="58"/>
  <c r="D555" i="58"/>
  <c r="C555" i="58"/>
  <c r="B555" i="58"/>
  <c r="G554" i="58"/>
  <c r="F554" i="58"/>
  <c r="E554" i="58"/>
  <c r="D554" i="58"/>
  <c r="C554" i="58"/>
  <c r="B554" i="58"/>
  <c r="G553" i="58"/>
  <c r="F553" i="58"/>
  <c r="E553" i="58"/>
  <c r="D553" i="58"/>
  <c r="C553" i="58"/>
  <c r="G551" i="58"/>
  <c r="F551" i="58"/>
  <c r="E551" i="58"/>
  <c r="D551" i="58"/>
  <c r="C551" i="58"/>
  <c r="B551" i="58"/>
  <c r="G550" i="58"/>
  <c r="F550" i="58"/>
  <c r="E550" i="58"/>
  <c r="D550" i="58"/>
  <c r="C550" i="58"/>
  <c r="B550" i="58"/>
  <c r="G549" i="58"/>
  <c r="F549" i="58"/>
  <c r="E549" i="58"/>
  <c r="D549" i="58"/>
  <c r="C549" i="58"/>
  <c r="B549" i="58"/>
  <c r="G548" i="58"/>
  <c r="F548" i="58"/>
  <c r="E548" i="58"/>
  <c r="D548" i="58"/>
  <c r="C548" i="58"/>
  <c r="B548" i="58"/>
  <c r="G547" i="58"/>
  <c r="F547" i="58"/>
  <c r="E547" i="58"/>
  <c r="C547" i="58"/>
  <c r="B547" i="58"/>
  <c r="G546" i="58"/>
  <c r="F546" i="58"/>
  <c r="E546" i="58"/>
  <c r="C546" i="58"/>
  <c r="B546" i="58"/>
  <c r="G545" i="58"/>
  <c r="F545" i="58"/>
  <c r="E545" i="58"/>
  <c r="C545" i="58"/>
  <c r="B545" i="58"/>
  <c r="G544" i="58"/>
  <c r="F544" i="58"/>
  <c r="E544" i="58"/>
  <c r="D544" i="58"/>
  <c r="C544" i="58"/>
  <c r="B544" i="58"/>
  <c r="G543" i="58"/>
  <c r="F543" i="58"/>
  <c r="E543" i="58"/>
  <c r="D543" i="58"/>
  <c r="C543" i="58"/>
  <c r="B543" i="58"/>
  <c r="G542" i="58"/>
  <c r="F542" i="58"/>
  <c r="E542" i="58"/>
  <c r="D542" i="58"/>
  <c r="C542" i="58"/>
  <c r="B542" i="58"/>
  <c r="G541" i="58"/>
  <c r="F541" i="58"/>
  <c r="E541" i="58"/>
  <c r="D541" i="58"/>
  <c r="C541" i="58"/>
  <c r="B541" i="58"/>
  <c r="G540" i="58"/>
  <c r="F540" i="58"/>
  <c r="E540" i="58"/>
  <c r="D540" i="58"/>
  <c r="C540" i="58"/>
  <c r="B540" i="58"/>
  <c r="G539" i="58"/>
  <c r="F539" i="58"/>
  <c r="E539" i="58"/>
  <c r="D539" i="58"/>
  <c r="C539" i="58"/>
  <c r="B539" i="58"/>
  <c r="G538" i="58"/>
  <c r="F538" i="58"/>
  <c r="E538" i="58"/>
  <c r="D538" i="58"/>
  <c r="C538" i="58"/>
  <c r="B538" i="58"/>
  <c r="G537" i="58"/>
  <c r="F537" i="58"/>
  <c r="E537" i="58"/>
  <c r="D537" i="58"/>
  <c r="C537" i="58"/>
  <c r="B537" i="58"/>
  <c r="G536" i="58"/>
  <c r="F536" i="58"/>
  <c r="E536" i="58"/>
  <c r="D536" i="58"/>
  <c r="C536" i="58"/>
  <c r="B536" i="58"/>
  <c r="G535" i="58"/>
  <c r="F535" i="58"/>
  <c r="E535" i="58"/>
  <c r="D535" i="58"/>
  <c r="C535" i="58"/>
  <c r="B535" i="58"/>
  <c r="G534" i="58"/>
  <c r="F534" i="58"/>
  <c r="E534" i="58"/>
  <c r="D534" i="58"/>
  <c r="C534" i="58"/>
  <c r="B534" i="58"/>
  <c r="G533" i="58"/>
  <c r="F533" i="58"/>
  <c r="E533" i="58"/>
  <c r="D533" i="58"/>
  <c r="C533" i="58"/>
  <c r="B533" i="58"/>
  <c r="G532" i="58"/>
  <c r="F532" i="58"/>
  <c r="E532" i="58"/>
  <c r="D532" i="58"/>
  <c r="C532" i="58"/>
  <c r="B532" i="58"/>
  <c r="G531" i="58"/>
  <c r="F531" i="58"/>
  <c r="E531" i="58"/>
  <c r="D531" i="58"/>
  <c r="C531" i="58"/>
  <c r="B531" i="58"/>
  <c r="G530" i="58"/>
  <c r="F530" i="58"/>
  <c r="E530" i="58"/>
  <c r="D530" i="58"/>
  <c r="C530" i="58"/>
  <c r="B530" i="58"/>
  <c r="G529" i="58"/>
  <c r="F529" i="58"/>
  <c r="E529" i="58"/>
  <c r="D529" i="58"/>
  <c r="C529" i="58"/>
  <c r="B529" i="58"/>
  <c r="G528" i="58"/>
  <c r="F528" i="58"/>
  <c r="E528" i="58"/>
  <c r="D528" i="58"/>
  <c r="C528" i="58"/>
  <c r="B528" i="58"/>
  <c r="G527" i="58"/>
  <c r="F527" i="58"/>
  <c r="E527" i="58"/>
  <c r="D527" i="58"/>
  <c r="C527" i="58"/>
  <c r="B527" i="58"/>
  <c r="G526" i="58"/>
  <c r="F526" i="58"/>
  <c r="E526" i="58"/>
  <c r="D526" i="58"/>
  <c r="C526" i="58"/>
  <c r="B526" i="58"/>
  <c r="G525" i="58"/>
  <c r="F525" i="58"/>
  <c r="E525" i="58"/>
  <c r="D525" i="58"/>
  <c r="C525" i="58"/>
  <c r="B525" i="58"/>
  <c r="G524" i="58"/>
  <c r="F524" i="58"/>
  <c r="E524" i="58"/>
  <c r="D524" i="58"/>
  <c r="C524" i="58"/>
  <c r="B524" i="58"/>
  <c r="G523" i="58"/>
  <c r="F523" i="58"/>
  <c r="E523" i="58"/>
  <c r="D523" i="58"/>
  <c r="C523" i="58"/>
  <c r="B523" i="58"/>
  <c r="G522" i="58"/>
  <c r="F522" i="58"/>
  <c r="E522" i="58"/>
  <c r="D522" i="58"/>
  <c r="C522" i="58"/>
  <c r="B522" i="58"/>
  <c r="G521" i="58"/>
  <c r="F521" i="58"/>
  <c r="E521" i="58"/>
  <c r="D521" i="58"/>
  <c r="C521" i="58"/>
  <c r="B521" i="58"/>
  <c r="G520" i="58"/>
  <c r="F520" i="58"/>
  <c r="E520" i="58"/>
  <c r="D520" i="58"/>
  <c r="C520" i="58"/>
  <c r="B520" i="58"/>
  <c r="G519" i="58"/>
  <c r="F519" i="58"/>
  <c r="E519" i="58"/>
  <c r="D519" i="58"/>
  <c r="C519" i="58"/>
  <c r="B519" i="58"/>
  <c r="G518" i="58"/>
  <c r="F518" i="58"/>
  <c r="E518" i="58"/>
  <c r="D518" i="58"/>
  <c r="C518" i="58"/>
  <c r="B518" i="58"/>
  <c r="G517" i="58"/>
  <c r="F517" i="58"/>
  <c r="E517" i="58"/>
  <c r="D517" i="58"/>
  <c r="C517" i="58"/>
  <c r="B517" i="58"/>
  <c r="G516" i="58"/>
  <c r="F516" i="58"/>
  <c r="E516" i="58"/>
  <c r="D516" i="58"/>
  <c r="C516" i="58"/>
  <c r="B516" i="58"/>
  <c r="G515" i="58"/>
  <c r="F515" i="58"/>
  <c r="E515" i="58"/>
  <c r="D515" i="58"/>
  <c r="C515" i="58"/>
  <c r="B515" i="58"/>
  <c r="G514" i="58"/>
  <c r="F514" i="58"/>
  <c r="E514" i="58"/>
  <c r="D514" i="58"/>
  <c r="C514" i="58"/>
  <c r="B514" i="58"/>
  <c r="G513" i="58"/>
  <c r="F513" i="58"/>
  <c r="E513" i="58"/>
  <c r="D513" i="58"/>
  <c r="C513" i="58"/>
  <c r="B513" i="58"/>
  <c r="G512" i="58"/>
  <c r="F512" i="58"/>
  <c r="E512" i="58"/>
  <c r="D512" i="58"/>
  <c r="C512" i="58"/>
  <c r="B512" i="58"/>
  <c r="G511" i="58"/>
  <c r="F511" i="58"/>
  <c r="E511" i="58"/>
  <c r="D511" i="58"/>
  <c r="C511" i="58"/>
  <c r="B511" i="58"/>
  <c r="G510" i="58"/>
  <c r="F510" i="58"/>
  <c r="E510" i="58"/>
  <c r="D510" i="58"/>
  <c r="C510" i="58"/>
  <c r="B510" i="58"/>
  <c r="G509" i="58"/>
  <c r="F509" i="58"/>
  <c r="E509" i="58"/>
  <c r="D509" i="58"/>
  <c r="C509" i="58"/>
  <c r="B509" i="58"/>
  <c r="G508" i="58"/>
  <c r="F508" i="58"/>
  <c r="E508" i="58"/>
  <c r="D508" i="58"/>
  <c r="C508" i="58"/>
  <c r="B508" i="58"/>
  <c r="G507" i="58"/>
  <c r="F507" i="58"/>
  <c r="E507" i="58"/>
  <c r="D507" i="58"/>
  <c r="C507" i="58"/>
  <c r="B507" i="58"/>
  <c r="G506" i="58"/>
  <c r="F506" i="58"/>
  <c r="E506" i="58"/>
  <c r="D506" i="58"/>
  <c r="C506" i="58"/>
  <c r="B506" i="58"/>
  <c r="G505" i="58"/>
  <c r="F505" i="58"/>
  <c r="E505" i="58"/>
  <c r="D505" i="58"/>
  <c r="C505" i="58"/>
  <c r="B505" i="58"/>
  <c r="G504" i="58"/>
  <c r="F504" i="58"/>
  <c r="E504" i="58"/>
  <c r="C504" i="58"/>
  <c r="B504" i="58"/>
  <c r="G503" i="58"/>
  <c r="F503" i="58"/>
  <c r="E503" i="58"/>
  <c r="C503" i="58"/>
  <c r="B503" i="58"/>
  <c r="G502" i="58"/>
  <c r="F502" i="58"/>
  <c r="E502" i="58"/>
  <c r="D502" i="58"/>
  <c r="C502" i="58"/>
  <c r="B502" i="58"/>
  <c r="G501" i="58"/>
  <c r="F501" i="58"/>
  <c r="E501" i="58"/>
  <c r="D501" i="58"/>
  <c r="C501" i="58"/>
  <c r="B501" i="58"/>
  <c r="G500" i="58"/>
  <c r="F500" i="58"/>
  <c r="E500" i="58"/>
  <c r="D500" i="58"/>
  <c r="C500" i="58"/>
  <c r="B500" i="58"/>
  <c r="G499" i="58"/>
  <c r="F499" i="58"/>
  <c r="E499" i="58"/>
  <c r="D499" i="58"/>
  <c r="C499" i="58"/>
  <c r="G497" i="58"/>
  <c r="F497" i="58"/>
  <c r="E497" i="58"/>
  <c r="D497" i="58"/>
  <c r="C497" i="58"/>
  <c r="B497" i="58"/>
  <c r="G496" i="58"/>
  <c r="F496" i="58"/>
  <c r="E496" i="58"/>
  <c r="D496" i="58"/>
  <c r="C496" i="58"/>
  <c r="B496" i="58"/>
  <c r="G495" i="58"/>
  <c r="F495" i="58"/>
  <c r="E495" i="58"/>
  <c r="D495" i="58"/>
  <c r="C495" i="58"/>
  <c r="B495" i="58"/>
  <c r="G494" i="58"/>
  <c r="F494" i="58"/>
  <c r="E494" i="58"/>
  <c r="D494" i="58"/>
  <c r="C494" i="58"/>
  <c r="B494" i="58"/>
  <c r="G493" i="58"/>
  <c r="F493" i="58"/>
  <c r="E493" i="58"/>
  <c r="D493" i="58"/>
  <c r="C493" i="58"/>
  <c r="B493" i="58"/>
  <c r="G492" i="58"/>
  <c r="F492" i="58"/>
  <c r="E492" i="58"/>
  <c r="D492" i="58"/>
  <c r="C492" i="58"/>
  <c r="B492" i="58"/>
  <c r="G491" i="58"/>
  <c r="F491" i="58"/>
  <c r="E491" i="58"/>
  <c r="D491" i="58"/>
  <c r="C491" i="58"/>
  <c r="B491" i="58"/>
  <c r="G490" i="58"/>
  <c r="F490" i="58"/>
  <c r="E490" i="58"/>
  <c r="D490" i="58"/>
  <c r="C490" i="58"/>
  <c r="B490" i="58"/>
  <c r="G489" i="58"/>
  <c r="F489" i="58"/>
  <c r="E489" i="58"/>
  <c r="D489" i="58"/>
  <c r="C489" i="58"/>
  <c r="B489" i="58"/>
  <c r="G488" i="58"/>
  <c r="F488" i="58"/>
  <c r="E488" i="58"/>
  <c r="D488" i="58"/>
  <c r="C488" i="58"/>
  <c r="B488" i="58"/>
  <c r="G487" i="58"/>
  <c r="F487" i="58"/>
  <c r="E487" i="58"/>
  <c r="D487" i="58"/>
  <c r="C487" i="58"/>
  <c r="B487" i="58"/>
  <c r="G486" i="58"/>
  <c r="F486" i="58"/>
  <c r="E486" i="58"/>
  <c r="C486" i="58"/>
  <c r="B486" i="58"/>
  <c r="G485" i="58"/>
  <c r="F485" i="58"/>
  <c r="E485" i="58"/>
  <c r="D485" i="58"/>
  <c r="C485" i="58"/>
  <c r="B485" i="58"/>
  <c r="G484" i="58"/>
  <c r="F484" i="58"/>
  <c r="E484" i="58"/>
  <c r="D484" i="58"/>
  <c r="C484" i="58"/>
  <c r="B484" i="58"/>
  <c r="G483" i="58"/>
  <c r="F483" i="58"/>
  <c r="E483" i="58"/>
  <c r="D483" i="58"/>
  <c r="C483" i="58"/>
  <c r="B483" i="58"/>
  <c r="G482" i="58"/>
  <c r="F482" i="58"/>
  <c r="E482" i="58"/>
  <c r="D482" i="58"/>
  <c r="C482" i="58"/>
  <c r="B482" i="58"/>
  <c r="G481" i="58"/>
  <c r="F481" i="58"/>
  <c r="E481" i="58"/>
  <c r="D481" i="58"/>
  <c r="C481" i="58"/>
  <c r="B481" i="58"/>
  <c r="G480" i="58"/>
  <c r="F480" i="58"/>
  <c r="E480" i="58"/>
  <c r="D480" i="58"/>
  <c r="C480" i="58"/>
  <c r="B480" i="58"/>
  <c r="G479" i="58"/>
  <c r="F479" i="58"/>
  <c r="E479" i="58"/>
  <c r="D479" i="58"/>
  <c r="C479" i="58"/>
  <c r="B479" i="58"/>
  <c r="G478" i="58"/>
  <c r="F478" i="58"/>
  <c r="E478" i="58"/>
  <c r="D478" i="58"/>
  <c r="C478" i="58"/>
  <c r="B478" i="58"/>
  <c r="G477" i="58"/>
  <c r="F477" i="58"/>
  <c r="E477" i="58"/>
  <c r="D477" i="58"/>
  <c r="C477" i="58"/>
  <c r="B477" i="58"/>
  <c r="G476" i="58"/>
  <c r="F476" i="58"/>
  <c r="E476" i="58"/>
  <c r="D476" i="58"/>
  <c r="C476" i="58"/>
  <c r="B476" i="58"/>
  <c r="G475" i="58"/>
  <c r="F475" i="58"/>
  <c r="E475" i="58"/>
  <c r="D475" i="58"/>
  <c r="C475" i="58"/>
  <c r="B475" i="58"/>
  <c r="G474" i="58"/>
  <c r="F474" i="58"/>
  <c r="E474" i="58"/>
  <c r="D474" i="58"/>
  <c r="C474" i="58"/>
  <c r="B474" i="58"/>
  <c r="G473" i="58"/>
  <c r="F473" i="58"/>
  <c r="E473" i="58"/>
  <c r="D473" i="58"/>
  <c r="C473" i="58"/>
  <c r="B473" i="58"/>
  <c r="G472" i="58"/>
  <c r="F472" i="58"/>
  <c r="E472" i="58"/>
  <c r="D472" i="58"/>
  <c r="C472" i="58"/>
  <c r="B472" i="58"/>
  <c r="G471" i="58"/>
  <c r="F471" i="58"/>
  <c r="E471" i="58"/>
  <c r="D471" i="58"/>
  <c r="C471" i="58"/>
  <c r="B471" i="58"/>
  <c r="G470" i="58"/>
  <c r="F470" i="58"/>
  <c r="E470" i="58"/>
  <c r="D470" i="58"/>
  <c r="C470" i="58"/>
  <c r="B470" i="58"/>
  <c r="G469" i="58"/>
  <c r="F469" i="58"/>
  <c r="E469" i="58"/>
  <c r="D469" i="58"/>
  <c r="C469" i="58"/>
  <c r="B469" i="58"/>
  <c r="G468" i="58"/>
  <c r="F468" i="58"/>
  <c r="E468" i="58"/>
  <c r="C468" i="58"/>
  <c r="B468" i="58"/>
  <c r="G467" i="58"/>
  <c r="F467" i="58"/>
  <c r="E467" i="58"/>
  <c r="C467" i="58"/>
  <c r="B467" i="58"/>
  <c r="G466" i="58"/>
  <c r="F466" i="58"/>
  <c r="E466" i="58"/>
  <c r="D466" i="58"/>
  <c r="C466" i="58"/>
  <c r="B466" i="58"/>
  <c r="G465" i="58"/>
  <c r="F465" i="58"/>
  <c r="E465" i="58"/>
  <c r="D465" i="58"/>
  <c r="C465" i="58"/>
  <c r="B465" i="58"/>
  <c r="G464" i="58"/>
  <c r="F464" i="58"/>
  <c r="E464" i="58"/>
  <c r="D464" i="58"/>
  <c r="C464" i="58"/>
  <c r="B464" i="58"/>
  <c r="G463" i="58"/>
  <c r="F463" i="58"/>
  <c r="E463" i="58"/>
  <c r="C463" i="58"/>
  <c r="B463" i="58"/>
  <c r="G462" i="58"/>
  <c r="F462" i="58"/>
  <c r="E462" i="58"/>
  <c r="D462" i="58"/>
  <c r="C462" i="58"/>
  <c r="B462" i="58"/>
  <c r="G461" i="58"/>
  <c r="F461" i="58"/>
  <c r="E461" i="58"/>
  <c r="D461" i="58"/>
  <c r="C461" i="58"/>
  <c r="B461" i="58"/>
  <c r="G460" i="58"/>
  <c r="F460" i="58"/>
  <c r="E460" i="58"/>
  <c r="D460" i="58"/>
  <c r="C460" i="58"/>
  <c r="B460" i="58"/>
  <c r="G459" i="58"/>
  <c r="F459" i="58"/>
  <c r="E459" i="58"/>
  <c r="D459" i="58"/>
  <c r="C459" i="58"/>
  <c r="B459" i="58"/>
  <c r="G458" i="58"/>
  <c r="F458" i="58"/>
  <c r="E458" i="58"/>
  <c r="D458" i="58"/>
  <c r="C458" i="58"/>
  <c r="B458" i="58"/>
  <c r="G457" i="58"/>
  <c r="F457" i="58"/>
  <c r="E457" i="58"/>
  <c r="D457" i="58"/>
  <c r="C457" i="58"/>
  <c r="B457" i="58"/>
  <c r="G456" i="58"/>
  <c r="F456" i="58"/>
  <c r="E456" i="58"/>
  <c r="D456" i="58"/>
  <c r="C456" i="58"/>
  <c r="B456" i="58"/>
  <c r="G455" i="58"/>
  <c r="F455" i="58"/>
  <c r="E455" i="58"/>
  <c r="D455" i="58"/>
  <c r="C455" i="58"/>
  <c r="B455" i="58"/>
  <c r="G454" i="58"/>
  <c r="F454" i="58"/>
  <c r="E454" i="58"/>
  <c r="D454" i="58"/>
  <c r="C454" i="58"/>
  <c r="B454" i="58"/>
  <c r="G453" i="58"/>
  <c r="F453" i="58"/>
  <c r="E453" i="58"/>
  <c r="D453" i="58"/>
  <c r="C453" i="58"/>
  <c r="B453" i="58"/>
  <c r="G452" i="58"/>
  <c r="F452" i="58"/>
  <c r="E452" i="58"/>
  <c r="D452" i="58"/>
  <c r="C452" i="58"/>
  <c r="B452" i="58"/>
  <c r="G451" i="58"/>
  <c r="F451" i="58"/>
  <c r="E451" i="58"/>
  <c r="D451" i="58"/>
  <c r="C451" i="58"/>
  <c r="B451" i="58"/>
  <c r="G450" i="58"/>
  <c r="F450" i="58"/>
  <c r="E450" i="58"/>
  <c r="D450" i="58"/>
  <c r="C450" i="58"/>
  <c r="B450" i="58"/>
  <c r="G449" i="58"/>
  <c r="F449" i="58"/>
  <c r="E449" i="58"/>
  <c r="C449" i="58"/>
  <c r="B449" i="58"/>
  <c r="G448" i="58"/>
  <c r="F448" i="58"/>
  <c r="E448" i="58"/>
  <c r="C448" i="58"/>
  <c r="B448" i="58"/>
  <c r="G447" i="58"/>
  <c r="F447" i="58"/>
  <c r="E447" i="58"/>
  <c r="D447" i="58"/>
  <c r="C447" i="58"/>
  <c r="B447" i="58"/>
  <c r="G446" i="58"/>
  <c r="F446" i="58"/>
  <c r="E446" i="58"/>
  <c r="D446" i="58"/>
  <c r="C446" i="58"/>
  <c r="B446" i="58"/>
  <c r="G445" i="58"/>
  <c r="F445" i="58"/>
  <c r="E445" i="58"/>
  <c r="D445" i="58"/>
  <c r="C445" i="58"/>
  <c r="B445" i="58"/>
  <c r="G444" i="58"/>
  <c r="F444" i="58"/>
  <c r="E444" i="58"/>
  <c r="D444" i="58"/>
  <c r="C444" i="58"/>
  <c r="G442" i="58"/>
  <c r="F442" i="58"/>
  <c r="E442" i="58"/>
  <c r="C442" i="58"/>
  <c r="B442" i="58"/>
  <c r="G441" i="58"/>
  <c r="F441" i="58"/>
  <c r="E441" i="58"/>
  <c r="D441" i="58"/>
  <c r="C441" i="58"/>
  <c r="B441" i="58"/>
  <c r="G440" i="58"/>
  <c r="F440" i="58"/>
  <c r="E440" i="58"/>
  <c r="D440" i="58"/>
  <c r="C440" i="58"/>
  <c r="B440" i="58"/>
  <c r="G439" i="58"/>
  <c r="F439" i="58"/>
  <c r="E439" i="58"/>
  <c r="D439" i="58"/>
  <c r="C439" i="58"/>
  <c r="B439" i="58"/>
  <c r="G438" i="58"/>
  <c r="F438" i="58"/>
  <c r="E438" i="58"/>
  <c r="D438" i="58"/>
  <c r="C438" i="58"/>
  <c r="B438" i="58"/>
  <c r="G437" i="58"/>
  <c r="F437" i="58"/>
  <c r="E437" i="58"/>
  <c r="D437" i="58"/>
  <c r="C437" i="58"/>
  <c r="B437" i="58"/>
  <c r="G436" i="58"/>
  <c r="F436" i="58"/>
  <c r="E436" i="58"/>
  <c r="D436" i="58"/>
  <c r="C436" i="58"/>
  <c r="B436" i="58"/>
  <c r="G435" i="58"/>
  <c r="F435" i="58"/>
  <c r="E435" i="58"/>
  <c r="D435" i="58"/>
  <c r="C435" i="58"/>
  <c r="B435" i="58"/>
  <c r="G434" i="58"/>
  <c r="F434" i="58"/>
  <c r="E434" i="58"/>
  <c r="D434" i="58"/>
  <c r="C434" i="58"/>
  <c r="B434" i="58"/>
  <c r="G433" i="58"/>
  <c r="F433" i="58"/>
  <c r="E433" i="58"/>
  <c r="D433" i="58"/>
  <c r="C433" i="58"/>
  <c r="B433" i="58"/>
  <c r="G432" i="58"/>
  <c r="F432" i="58"/>
  <c r="E432" i="58"/>
  <c r="D432" i="58"/>
  <c r="C432" i="58"/>
  <c r="B432" i="58"/>
  <c r="G431" i="58"/>
  <c r="F431" i="58"/>
  <c r="E431" i="58"/>
  <c r="D431" i="58"/>
  <c r="C431" i="58"/>
  <c r="B431" i="58"/>
  <c r="G430" i="58"/>
  <c r="F430" i="58"/>
  <c r="E430" i="58"/>
  <c r="D430" i="58"/>
  <c r="C430" i="58"/>
  <c r="B430" i="58"/>
  <c r="G429" i="58"/>
  <c r="F429" i="58"/>
  <c r="E429" i="58"/>
  <c r="D429" i="58"/>
  <c r="C429" i="58"/>
  <c r="B429" i="58"/>
  <c r="G428" i="58"/>
  <c r="F428" i="58"/>
  <c r="E428" i="58"/>
  <c r="D428" i="58"/>
  <c r="C428" i="58"/>
  <c r="B428" i="58"/>
  <c r="G427" i="58"/>
  <c r="F427" i="58"/>
  <c r="E427" i="58"/>
  <c r="D427" i="58"/>
  <c r="C427" i="58"/>
  <c r="B427" i="58"/>
  <c r="G426" i="58"/>
  <c r="F426" i="58"/>
  <c r="E426" i="58"/>
  <c r="D426" i="58"/>
  <c r="C426" i="58"/>
  <c r="B426" i="58"/>
  <c r="G425" i="58"/>
  <c r="F425" i="58"/>
  <c r="E425" i="58"/>
  <c r="D425" i="58"/>
  <c r="C425" i="58"/>
  <c r="B425" i="58"/>
  <c r="G424" i="58"/>
  <c r="F424" i="58"/>
  <c r="E424" i="58"/>
  <c r="D424" i="58"/>
  <c r="C424" i="58"/>
  <c r="B424" i="58"/>
  <c r="G423" i="58"/>
  <c r="F423" i="58"/>
  <c r="E423" i="58"/>
  <c r="D423" i="58"/>
  <c r="C423" i="58"/>
  <c r="B423" i="58"/>
  <c r="G422" i="58"/>
  <c r="F422" i="58"/>
  <c r="E422" i="58"/>
  <c r="D422" i="58"/>
  <c r="C422" i="58"/>
  <c r="B422" i="58"/>
  <c r="G421" i="58"/>
  <c r="F421" i="58"/>
  <c r="E421" i="58"/>
  <c r="D421" i="58"/>
  <c r="C421" i="58"/>
  <c r="B421" i="58"/>
  <c r="G420" i="58"/>
  <c r="F420" i="58"/>
  <c r="E420" i="58"/>
  <c r="D420" i="58"/>
  <c r="C420" i="58"/>
  <c r="B420" i="58"/>
  <c r="G419" i="58"/>
  <c r="F419" i="58"/>
  <c r="E419" i="58"/>
  <c r="D419" i="58"/>
  <c r="C419" i="58"/>
  <c r="B419" i="58"/>
  <c r="G418" i="58"/>
  <c r="F418" i="58"/>
  <c r="E418" i="58"/>
  <c r="D418" i="58"/>
  <c r="C418" i="58"/>
  <c r="B418" i="58"/>
  <c r="G417" i="58"/>
  <c r="F417" i="58"/>
  <c r="E417" i="58"/>
  <c r="D417" i="58"/>
  <c r="C417" i="58"/>
  <c r="B417" i="58"/>
  <c r="G416" i="58"/>
  <c r="F416" i="58"/>
  <c r="E416" i="58"/>
  <c r="D416" i="58"/>
  <c r="C416" i="58"/>
  <c r="B416" i="58"/>
  <c r="G415" i="58"/>
  <c r="F415" i="58"/>
  <c r="E415" i="58"/>
  <c r="D415" i="58"/>
  <c r="C415" i="58"/>
  <c r="B415" i="58"/>
  <c r="G414" i="58"/>
  <c r="F414" i="58"/>
  <c r="E414" i="58"/>
  <c r="D414" i="58"/>
  <c r="C414" i="58"/>
  <c r="B414" i="58"/>
  <c r="G413" i="58"/>
  <c r="F413" i="58"/>
  <c r="E413" i="58"/>
  <c r="C413" i="58"/>
  <c r="B413" i="58"/>
  <c r="G412" i="58"/>
  <c r="F412" i="58"/>
  <c r="E412" i="58"/>
  <c r="D412" i="58"/>
  <c r="C412" i="58"/>
  <c r="B412" i="58"/>
  <c r="G411" i="58"/>
  <c r="F411" i="58"/>
  <c r="E411" i="58"/>
  <c r="D411" i="58"/>
  <c r="C411" i="58"/>
  <c r="B411" i="58"/>
  <c r="G410" i="58"/>
  <c r="F410" i="58"/>
  <c r="E410" i="58"/>
  <c r="D410" i="58"/>
  <c r="C410" i="58"/>
  <c r="B410" i="58"/>
  <c r="G409" i="58"/>
  <c r="F409" i="58"/>
  <c r="E409" i="58"/>
  <c r="C409" i="58"/>
  <c r="B409" i="58"/>
  <c r="G408" i="58"/>
  <c r="F408" i="58"/>
  <c r="E408" i="58"/>
  <c r="D408" i="58"/>
  <c r="C408" i="58"/>
  <c r="B408" i="58"/>
  <c r="G407" i="58"/>
  <c r="F407" i="58"/>
  <c r="E407" i="58"/>
  <c r="D407" i="58"/>
  <c r="C407" i="58"/>
  <c r="B407" i="58"/>
  <c r="G406" i="58"/>
  <c r="F406" i="58"/>
  <c r="E406" i="58"/>
  <c r="D406" i="58"/>
  <c r="C406" i="58"/>
  <c r="B406" i="58"/>
  <c r="G405" i="58"/>
  <c r="F405" i="58"/>
  <c r="E405" i="58"/>
  <c r="D405" i="58"/>
  <c r="C405" i="58"/>
  <c r="B405" i="58"/>
  <c r="G404" i="58"/>
  <c r="F404" i="58"/>
  <c r="E404" i="58"/>
  <c r="D404" i="58"/>
  <c r="C404" i="58"/>
  <c r="B404" i="58"/>
  <c r="G403" i="58"/>
  <c r="F403" i="58"/>
  <c r="E403" i="58"/>
  <c r="D403" i="58"/>
  <c r="C403" i="58"/>
  <c r="B403" i="58"/>
  <c r="G402" i="58"/>
  <c r="F402" i="58"/>
  <c r="E402" i="58"/>
  <c r="D402" i="58"/>
  <c r="C402" i="58"/>
  <c r="B402" i="58"/>
  <c r="G401" i="58"/>
  <c r="F401" i="58"/>
  <c r="E401" i="58"/>
  <c r="C401" i="58"/>
  <c r="B401" i="58"/>
  <c r="G400" i="58"/>
  <c r="F400" i="58"/>
  <c r="E400" i="58"/>
  <c r="D400" i="58"/>
  <c r="C400" i="58"/>
  <c r="B400" i="58"/>
  <c r="G399" i="58"/>
  <c r="F399" i="58"/>
  <c r="E399" i="58"/>
  <c r="D399" i="58"/>
  <c r="C399" i="58"/>
  <c r="B399" i="58"/>
  <c r="G398" i="58"/>
  <c r="F398" i="58"/>
  <c r="E398" i="58"/>
  <c r="D398" i="58"/>
  <c r="C398" i="58"/>
  <c r="B398" i="58"/>
  <c r="G397" i="58"/>
  <c r="F397" i="58"/>
  <c r="E397" i="58"/>
  <c r="D397" i="58"/>
  <c r="C397" i="58"/>
  <c r="B397" i="58"/>
  <c r="G396" i="58"/>
  <c r="F396" i="58"/>
  <c r="E396" i="58"/>
  <c r="D396" i="58"/>
  <c r="C396" i="58"/>
  <c r="B396" i="58"/>
  <c r="G395" i="58"/>
  <c r="F395" i="58"/>
  <c r="E395" i="58"/>
  <c r="D395" i="58"/>
  <c r="C395" i="58"/>
  <c r="B395" i="58"/>
  <c r="G394" i="58"/>
  <c r="F394" i="58"/>
  <c r="E394" i="58"/>
  <c r="C394" i="58"/>
  <c r="B394" i="58"/>
  <c r="G393" i="58"/>
  <c r="F393" i="58"/>
  <c r="E393" i="58"/>
  <c r="D393" i="58"/>
  <c r="C393" i="58"/>
  <c r="B393" i="58"/>
  <c r="G392" i="58"/>
  <c r="F392" i="58"/>
  <c r="E392" i="58"/>
  <c r="D392" i="58"/>
  <c r="C392" i="58"/>
  <c r="B392" i="58"/>
  <c r="G391" i="58"/>
  <c r="F391" i="58"/>
  <c r="E391" i="58"/>
  <c r="D391" i="58"/>
  <c r="C391" i="58"/>
  <c r="B391" i="58"/>
  <c r="G390" i="58"/>
  <c r="F390" i="58"/>
  <c r="E390" i="58"/>
  <c r="D390" i="58"/>
  <c r="C390" i="58"/>
  <c r="G387" i="58"/>
  <c r="F387" i="58"/>
  <c r="E387" i="58"/>
  <c r="C387" i="58"/>
  <c r="B387" i="58"/>
  <c r="G386" i="58"/>
  <c r="F386" i="58"/>
  <c r="E386" i="58"/>
  <c r="C386" i="58"/>
  <c r="B386" i="58"/>
  <c r="G385" i="58"/>
  <c r="F385" i="58"/>
  <c r="E385" i="58"/>
  <c r="C385" i="58"/>
  <c r="B385" i="58"/>
  <c r="G384" i="58"/>
  <c r="F384" i="58"/>
  <c r="E384" i="58"/>
  <c r="C384" i="58"/>
  <c r="B384" i="58"/>
  <c r="G383" i="58"/>
  <c r="F383" i="58"/>
  <c r="E383" i="58"/>
  <c r="C383" i="58"/>
  <c r="B383" i="58"/>
  <c r="G382" i="58"/>
  <c r="F382" i="58"/>
  <c r="E382" i="58"/>
  <c r="C382" i="58"/>
  <c r="B382" i="58"/>
  <c r="G381" i="58"/>
  <c r="F381" i="58"/>
  <c r="E381" i="58"/>
  <c r="C381" i="58"/>
  <c r="B381" i="58"/>
  <c r="G380" i="58"/>
  <c r="F380" i="58"/>
  <c r="E380" i="58"/>
  <c r="C380" i="58"/>
  <c r="B380" i="58"/>
  <c r="G379" i="58"/>
  <c r="F379" i="58"/>
  <c r="E379" i="58"/>
  <c r="C379" i="58"/>
  <c r="B379" i="58"/>
  <c r="G378" i="58"/>
  <c r="F378" i="58"/>
  <c r="E378" i="58"/>
  <c r="C378" i="58"/>
  <c r="B378" i="58"/>
  <c r="G377" i="58"/>
  <c r="F377" i="58"/>
  <c r="E377" i="58"/>
  <c r="C377" i="58"/>
  <c r="B377" i="58"/>
  <c r="G376" i="58"/>
  <c r="F376" i="58"/>
  <c r="E376" i="58"/>
  <c r="C376" i="58"/>
  <c r="B376" i="58"/>
  <c r="G375" i="58"/>
  <c r="F375" i="58"/>
  <c r="E375" i="58"/>
  <c r="C375" i="58"/>
  <c r="B375" i="58"/>
  <c r="G374" i="58"/>
  <c r="F374" i="58"/>
  <c r="E374" i="58"/>
  <c r="C374" i="58"/>
  <c r="B374" i="58"/>
  <c r="G373" i="58"/>
  <c r="F373" i="58"/>
  <c r="E373" i="58"/>
  <c r="C373" i="58"/>
  <c r="B373" i="58"/>
  <c r="G372" i="58"/>
  <c r="F372" i="58"/>
  <c r="E372" i="58"/>
  <c r="C372" i="58"/>
  <c r="B372" i="58"/>
  <c r="G371" i="58"/>
  <c r="F371" i="58"/>
  <c r="E371" i="58"/>
  <c r="C371" i="58"/>
  <c r="B371" i="58"/>
  <c r="G370" i="58"/>
  <c r="F370" i="58"/>
  <c r="E370" i="58"/>
  <c r="C370" i="58"/>
  <c r="B370" i="58"/>
  <c r="G369" i="58"/>
  <c r="F369" i="58"/>
  <c r="E369" i="58"/>
  <c r="C369" i="58"/>
  <c r="B369" i="58"/>
  <c r="G368" i="58"/>
  <c r="F368" i="58"/>
  <c r="E368" i="58"/>
  <c r="C368" i="58"/>
  <c r="B368" i="58"/>
  <c r="G367" i="58"/>
  <c r="F367" i="58"/>
  <c r="E367" i="58"/>
  <c r="C367" i="58"/>
  <c r="B367" i="58"/>
  <c r="G366" i="58"/>
  <c r="F366" i="58"/>
  <c r="E366" i="58"/>
  <c r="C366" i="58"/>
  <c r="B366" i="58"/>
  <c r="G365" i="58"/>
  <c r="F365" i="58"/>
  <c r="E365" i="58"/>
  <c r="C365" i="58"/>
  <c r="B365" i="58"/>
  <c r="G364" i="58"/>
  <c r="F364" i="58"/>
  <c r="E364" i="58"/>
  <c r="C364" i="58"/>
  <c r="B364" i="58"/>
  <c r="G363" i="58"/>
  <c r="F363" i="58"/>
  <c r="E363" i="58"/>
  <c r="C363" i="58"/>
  <c r="B363" i="58"/>
  <c r="G362" i="58"/>
  <c r="F362" i="58"/>
  <c r="E362" i="58"/>
  <c r="C362" i="58"/>
  <c r="B362" i="58"/>
  <c r="G361" i="58"/>
  <c r="F361" i="58"/>
  <c r="E361" i="58"/>
  <c r="C361" i="58"/>
  <c r="B361" i="58"/>
  <c r="G360" i="58"/>
  <c r="F360" i="58"/>
  <c r="E360" i="58"/>
  <c r="C360" i="58"/>
  <c r="B360" i="58"/>
  <c r="G359" i="58"/>
  <c r="F359" i="58"/>
  <c r="E359" i="58"/>
  <c r="C359" i="58"/>
  <c r="B359" i="58"/>
  <c r="G358" i="58"/>
  <c r="F358" i="58"/>
  <c r="E358" i="58"/>
  <c r="C358" i="58"/>
  <c r="B358" i="58"/>
  <c r="G357" i="58"/>
  <c r="F357" i="58"/>
  <c r="E357" i="58"/>
  <c r="C357" i="58"/>
  <c r="B357" i="58"/>
  <c r="G356" i="58"/>
  <c r="F356" i="58"/>
  <c r="E356" i="58"/>
  <c r="C356" i="58"/>
  <c r="B356" i="58"/>
  <c r="G355" i="58"/>
  <c r="F355" i="58"/>
  <c r="E355" i="58"/>
  <c r="C355" i="58"/>
  <c r="B355" i="58"/>
  <c r="G354" i="58"/>
  <c r="F354" i="58"/>
  <c r="E354" i="58"/>
  <c r="C354" i="58"/>
  <c r="B354" i="58"/>
  <c r="G353" i="58"/>
  <c r="F353" i="58"/>
  <c r="E353" i="58"/>
  <c r="C353" i="58"/>
  <c r="B353" i="58"/>
  <c r="G352" i="58"/>
  <c r="F352" i="58"/>
  <c r="E352" i="58"/>
  <c r="C352" i="58"/>
  <c r="B352" i="58"/>
  <c r="G351" i="58"/>
  <c r="F351" i="58"/>
  <c r="E351" i="58"/>
  <c r="C351" i="58"/>
  <c r="B351" i="58"/>
  <c r="G350" i="58"/>
  <c r="F350" i="58"/>
  <c r="E350" i="58"/>
  <c r="C350" i="58"/>
  <c r="B350" i="58"/>
  <c r="G349" i="58"/>
  <c r="F349" i="58"/>
  <c r="E349" i="58"/>
  <c r="C349" i="58"/>
  <c r="B349" i="58"/>
  <c r="G348" i="58"/>
  <c r="F348" i="58"/>
  <c r="E348" i="58"/>
  <c r="C348" i="58"/>
  <c r="B348" i="58"/>
  <c r="G347" i="58"/>
  <c r="F347" i="58"/>
  <c r="E347" i="58"/>
  <c r="C347" i="58"/>
  <c r="B347" i="58"/>
  <c r="G346" i="58"/>
  <c r="F346" i="58"/>
  <c r="E346" i="58"/>
  <c r="C346" i="58"/>
  <c r="B346" i="58"/>
  <c r="G345" i="58"/>
  <c r="F345" i="58"/>
  <c r="E345" i="58"/>
  <c r="C345" i="58"/>
  <c r="B345" i="58"/>
  <c r="G344" i="58"/>
  <c r="F344" i="58"/>
  <c r="E344" i="58"/>
  <c r="C344" i="58"/>
  <c r="B344" i="58"/>
  <c r="G343" i="58"/>
  <c r="F343" i="58"/>
  <c r="E343" i="58"/>
  <c r="C343" i="58"/>
  <c r="B343" i="58"/>
  <c r="G342" i="58"/>
  <c r="F342" i="58"/>
  <c r="E342" i="58"/>
  <c r="C342" i="58"/>
  <c r="B342" i="58"/>
  <c r="G341" i="58"/>
  <c r="F341" i="58"/>
  <c r="E341" i="58"/>
  <c r="B341" i="58"/>
  <c r="G340" i="58"/>
  <c r="F340" i="58"/>
  <c r="E340" i="58"/>
  <c r="C340" i="58"/>
  <c r="B340" i="58"/>
  <c r="G339" i="58"/>
  <c r="F339" i="58"/>
  <c r="E339" i="58"/>
  <c r="C339" i="58"/>
  <c r="B339" i="58"/>
  <c r="G338" i="58"/>
  <c r="F338" i="58"/>
  <c r="E338" i="58"/>
  <c r="C338" i="58"/>
  <c r="B338" i="58"/>
  <c r="G337" i="58"/>
  <c r="F337" i="58"/>
  <c r="E337" i="58"/>
  <c r="C337" i="58"/>
  <c r="B337" i="58"/>
  <c r="G336" i="58"/>
  <c r="F336" i="58"/>
  <c r="E336" i="58"/>
  <c r="B336" i="58"/>
  <c r="G335" i="58"/>
  <c r="F335" i="58"/>
  <c r="E335" i="58"/>
  <c r="C335" i="58"/>
  <c r="B335" i="58"/>
  <c r="G334" i="58"/>
  <c r="F334" i="58"/>
  <c r="E334" i="58"/>
  <c r="C334" i="58"/>
  <c r="B334" i="58"/>
  <c r="G333" i="58"/>
  <c r="F333" i="58"/>
  <c r="E333" i="58"/>
  <c r="C333" i="58"/>
  <c r="B333" i="58"/>
  <c r="G332" i="58"/>
  <c r="F332" i="58"/>
  <c r="E332" i="58"/>
  <c r="C332" i="58"/>
  <c r="G330" i="58"/>
  <c r="F330" i="58"/>
  <c r="E330" i="58"/>
  <c r="D330" i="58"/>
  <c r="C330" i="58"/>
  <c r="B330" i="58"/>
  <c r="G329" i="58"/>
  <c r="F329" i="58"/>
  <c r="E329" i="58"/>
  <c r="D329" i="58"/>
  <c r="C329" i="58"/>
  <c r="B329" i="58"/>
  <c r="G328" i="58"/>
  <c r="F328" i="58"/>
  <c r="E328" i="58"/>
  <c r="D328" i="58"/>
  <c r="C328" i="58"/>
  <c r="B328" i="58"/>
  <c r="G327" i="58"/>
  <c r="F327" i="58"/>
  <c r="E327" i="58"/>
  <c r="D327" i="58"/>
  <c r="C327" i="58"/>
  <c r="B327" i="58"/>
  <c r="G326" i="58"/>
  <c r="F326" i="58"/>
  <c r="E326" i="58"/>
  <c r="D326" i="58"/>
  <c r="C326" i="58"/>
  <c r="B326" i="58"/>
  <c r="G325" i="58"/>
  <c r="F325" i="58"/>
  <c r="E325" i="58"/>
  <c r="D325" i="58"/>
  <c r="C325" i="58"/>
  <c r="B325" i="58"/>
  <c r="G324" i="58"/>
  <c r="F324" i="58"/>
  <c r="E324" i="58"/>
  <c r="D324" i="58"/>
  <c r="C324" i="58"/>
  <c r="B324" i="58"/>
  <c r="G323" i="58"/>
  <c r="F323" i="58"/>
  <c r="E323" i="58"/>
  <c r="D323" i="58"/>
  <c r="C323" i="58"/>
  <c r="B323" i="58"/>
  <c r="G322" i="58"/>
  <c r="F322" i="58"/>
  <c r="E322" i="58"/>
  <c r="D322" i="58"/>
  <c r="C322" i="58"/>
  <c r="B322" i="58"/>
  <c r="G321" i="58"/>
  <c r="F321" i="58"/>
  <c r="E321" i="58"/>
  <c r="D321" i="58"/>
  <c r="C321" i="58"/>
  <c r="B321" i="58"/>
  <c r="G320" i="58"/>
  <c r="F320" i="58"/>
  <c r="E320" i="58"/>
  <c r="D320" i="58"/>
  <c r="C320" i="58"/>
  <c r="B320" i="58"/>
  <c r="G319" i="58"/>
  <c r="F319" i="58"/>
  <c r="E319" i="58"/>
  <c r="D319" i="58"/>
  <c r="C319" i="58"/>
  <c r="B319" i="58"/>
  <c r="G318" i="58"/>
  <c r="F318" i="58"/>
  <c r="E318" i="58"/>
  <c r="D318" i="58"/>
  <c r="C318" i="58"/>
  <c r="B318" i="58"/>
  <c r="G317" i="58"/>
  <c r="F317" i="58"/>
  <c r="E317" i="58"/>
  <c r="D317" i="58"/>
  <c r="C317" i="58"/>
  <c r="B317" i="58"/>
  <c r="G316" i="58"/>
  <c r="F316" i="58"/>
  <c r="E316" i="58"/>
  <c r="D316" i="58"/>
  <c r="C316" i="58"/>
  <c r="B316" i="58"/>
  <c r="G315" i="58"/>
  <c r="F315" i="58"/>
  <c r="E315" i="58"/>
  <c r="D315" i="58"/>
  <c r="C315" i="58"/>
  <c r="B315" i="58"/>
  <c r="G314" i="58"/>
  <c r="F314" i="58"/>
  <c r="E314" i="58"/>
  <c r="D314" i="58"/>
  <c r="C314" i="58"/>
  <c r="B314" i="58"/>
  <c r="G313" i="58"/>
  <c r="F313" i="58"/>
  <c r="E313" i="58"/>
  <c r="D313" i="58"/>
  <c r="C313" i="58"/>
  <c r="B313" i="58"/>
  <c r="G312" i="58"/>
  <c r="F312" i="58"/>
  <c r="E312" i="58"/>
  <c r="D312" i="58"/>
  <c r="C312" i="58"/>
  <c r="B312" i="58"/>
  <c r="G311" i="58"/>
  <c r="F311" i="58"/>
  <c r="E311" i="58"/>
  <c r="D311" i="58"/>
  <c r="C311" i="58"/>
  <c r="B311" i="58"/>
  <c r="G310" i="58"/>
  <c r="F310" i="58"/>
  <c r="E310" i="58"/>
  <c r="D310" i="58"/>
  <c r="C310" i="58"/>
  <c r="B310" i="58"/>
  <c r="G309" i="58"/>
  <c r="F309" i="58"/>
  <c r="E309" i="58"/>
  <c r="D309" i="58"/>
  <c r="C309" i="58"/>
  <c r="B309" i="58"/>
  <c r="G308" i="58"/>
  <c r="F308" i="58"/>
  <c r="E308" i="58"/>
  <c r="D308" i="58"/>
  <c r="C308" i="58"/>
  <c r="B308" i="58"/>
  <c r="G307" i="58"/>
  <c r="F307" i="58"/>
  <c r="E307" i="58"/>
  <c r="D307" i="58"/>
  <c r="C307" i="58"/>
  <c r="B307" i="58"/>
  <c r="G306" i="58"/>
  <c r="F306" i="58"/>
  <c r="E306" i="58"/>
  <c r="D306" i="58"/>
  <c r="C306" i="58"/>
  <c r="B306" i="58"/>
  <c r="G305" i="58"/>
  <c r="F305" i="58"/>
  <c r="E305" i="58"/>
  <c r="D305" i="58"/>
  <c r="C305" i="58"/>
  <c r="B305" i="58"/>
  <c r="G304" i="58"/>
  <c r="F304" i="58"/>
  <c r="E304" i="58"/>
  <c r="D304" i="58"/>
  <c r="C304" i="58"/>
  <c r="B304" i="58"/>
  <c r="G303" i="58"/>
  <c r="F303" i="58"/>
  <c r="E303" i="58"/>
  <c r="D303" i="58"/>
  <c r="C303" i="58"/>
  <c r="B303" i="58"/>
  <c r="G302" i="58"/>
  <c r="F302" i="58"/>
  <c r="E302" i="58"/>
  <c r="D302" i="58"/>
  <c r="C302" i="58"/>
  <c r="B302" i="58"/>
  <c r="G301" i="58"/>
  <c r="F301" i="58"/>
  <c r="E301" i="58"/>
  <c r="D301" i="58"/>
  <c r="C301" i="58"/>
  <c r="B301" i="58"/>
  <c r="G300" i="58"/>
  <c r="F300" i="58"/>
  <c r="E300" i="58"/>
  <c r="C300" i="58"/>
  <c r="B300" i="58"/>
  <c r="G299" i="58"/>
  <c r="F299" i="58"/>
  <c r="E299" i="58"/>
  <c r="D299" i="58"/>
  <c r="C299" i="58"/>
  <c r="B299" i="58"/>
  <c r="G298" i="58"/>
  <c r="F298" i="58"/>
  <c r="E298" i="58"/>
  <c r="C298" i="58"/>
  <c r="B298" i="58"/>
  <c r="G297" i="58"/>
  <c r="F297" i="58"/>
  <c r="E297" i="58"/>
  <c r="D297" i="58"/>
  <c r="C297" i="58"/>
  <c r="B297" i="58"/>
  <c r="G296" i="58"/>
  <c r="F296" i="58"/>
  <c r="E296" i="58"/>
  <c r="D296" i="58"/>
  <c r="C296" i="58"/>
  <c r="B296" i="58"/>
  <c r="G295" i="58"/>
  <c r="F295" i="58"/>
  <c r="E295" i="58"/>
  <c r="C295" i="58"/>
  <c r="B295" i="58"/>
  <c r="G294" i="58"/>
  <c r="F294" i="58"/>
  <c r="E294" i="58"/>
  <c r="C294" i="58"/>
  <c r="B294" i="58"/>
  <c r="G293" i="58"/>
  <c r="F293" i="58"/>
  <c r="E293" i="58"/>
  <c r="D293" i="58"/>
  <c r="C293" i="58"/>
  <c r="B293" i="58"/>
  <c r="G292" i="58"/>
  <c r="F292" i="58"/>
  <c r="E292" i="58"/>
  <c r="D292" i="58"/>
  <c r="C292" i="58"/>
  <c r="B292" i="58"/>
  <c r="G291" i="58"/>
  <c r="F291" i="58"/>
  <c r="E291" i="58"/>
  <c r="D291" i="58"/>
  <c r="C291" i="58"/>
  <c r="B291" i="58"/>
  <c r="G290" i="58"/>
  <c r="F290" i="58"/>
  <c r="E290" i="58"/>
  <c r="D290" i="58"/>
  <c r="C290" i="58"/>
  <c r="B290" i="58"/>
  <c r="G289" i="58"/>
  <c r="F289" i="58"/>
  <c r="E289" i="58"/>
  <c r="D289" i="58"/>
  <c r="C289" i="58"/>
  <c r="B289" i="58"/>
  <c r="G288" i="58"/>
  <c r="F288" i="58"/>
  <c r="E288" i="58"/>
  <c r="D288" i="58"/>
  <c r="C288" i="58"/>
  <c r="B288" i="58"/>
  <c r="G287" i="58"/>
  <c r="F287" i="58"/>
  <c r="E287" i="58"/>
  <c r="D287" i="58"/>
  <c r="C287" i="58"/>
  <c r="B287" i="58"/>
  <c r="G286" i="58"/>
  <c r="F286" i="58"/>
  <c r="E286" i="58"/>
  <c r="C286" i="58"/>
  <c r="B286" i="58"/>
  <c r="G285" i="58"/>
  <c r="F285" i="58"/>
  <c r="E285" i="58"/>
  <c r="D285" i="58"/>
  <c r="C285" i="58"/>
  <c r="B285" i="58"/>
  <c r="G284" i="58"/>
  <c r="F284" i="58"/>
  <c r="E284" i="58"/>
  <c r="D284" i="58"/>
  <c r="C284" i="58"/>
  <c r="B284" i="58"/>
  <c r="G283" i="58"/>
  <c r="F283" i="58"/>
  <c r="E283" i="58"/>
  <c r="D283" i="58"/>
  <c r="C283" i="58"/>
  <c r="B283" i="58"/>
  <c r="G282" i="58"/>
  <c r="F282" i="58"/>
  <c r="E282" i="58"/>
  <c r="D282" i="58"/>
  <c r="C282" i="58"/>
  <c r="B282" i="58"/>
  <c r="G281" i="58"/>
  <c r="F281" i="58"/>
  <c r="E281" i="58"/>
  <c r="D281" i="58"/>
  <c r="C281" i="58"/>
  <c r="B281" i="58"/>
  <c r="G280" i="58"/>
  <c r="F280" i="58"/>
  <c r="E280" i="58"/>
  <c r="D280" i="58"/>
  <c r="C280" i="58"/>
  <c r="B280" i="58"/>
  <c r="G279" i="58"/>
  <c r="F279" i="58"/>
  <c r="E279" i="58"/>
  <c r="C279" i="58"/>
  <c r="B279" i="58"/>
  <c r="G278" i="58"/>
  <c r="F278" i="58"/>
  <c r="E278" i="58"/>
  <c r="D278" i="58"/>
  <c r="C278" i="58"/>
  <c r="B278" i="58"/>
  <c r="G277" i="58"/>
  <c r="F277" i="58"/>
  <c r="E277" i="58"/>
  <c r="D277" i="58"/>
  <c r="C277" i="58"/>
  <c r="B277" i="58"/>
  <c r="G276" i="58"/>
  <c r="F276" i="58"/>
  <c r="E276" i="58"/>
  <c r="D276" i="58"/>
  <c r="C276" i="58"/>
  <c r="B276" i="58"/>
  <c r="G275" i="58"/>
  <c r="F275" i="58"/>
  <c r="E275" i="58"/>
  <c r="D275" i="58"/>
  <c r="C275" i="58"/>
  <c r="B275" i="58"/>
  <c r="G274" i="58"/>
  <c r="F274" i="58"/>
  <c r="E274" i="58"/>
  <c r="D274" i="58"/>
  <c r="C274" i="58"/>
  <c r="G272" i="58"/>
  <c r="F272" i="58"/>
  <c r="E272" i="58"/>
  <c r="D272" i="58"/>
  <c r="C272" i="58"/>
  <c r="B272" i="58"/>
  <c r="G271" i="58"/>
  <c r="F271" i="58"/>
  <c r="E271" i="58"/>
  <c r="D271" i="58"/>
  <c r="C271" i="58"/>
  <c r="B271" i="58"/>
  <c r="G270" i="58"/>
  <c r="F270" i="58"/>
  <c r="E270" i="58"/>
  <c r="D270" i="58"/>
  <c r="C270" i="58"/>
  <c r="B270" i="58"/>
  <c r="G269" i="58"/>
  <c r="F269" i="58"/>
  <c r="E269" i="58"/>
  <c r="D269" i="58"/>
  <c r="C269" i="58"/>
  <c r="B269" i="58"/>
  <c r="G268" i="58"/>
  <c r="F268" i="58"/>
  <c r="E268" i="58"/>
  <c r="D268" i="58"/>
  <c r="C268" i="58"/>
  <c r="B268" i="58"/>
  <c r="G267" i="58"/>
  <c r="F267" i="58"/>
  <c r="E267" i="58"/>
  <c r="D267" i="58"/>
  <c r="C267" i="58"/>
  <c r="B267" i="58"/>
  <c r="G266" i="58"/>
  <c r="F266" i="58"/>
  <c r="E266" i="58"/>
  <c r="D266" i="58"/>
  <c r="C266" i="58"/>
  <c r="B266" i="58"/>
  <c r="G265" i="58"/>
  <c r="F265" i="58"/>
  <c r="E265" i="58"/>
  <c r="D265" i="58"/>
  <c r="C265" i="58"/>
  <c r="B265" i="58"/>
  <c r="G264" i="58"/>
  <c r="F264" i="58"/>
  <c r="E264" i="58"/>
  <c r="D264" i="58"/>
  <c r="C264" i="58"/>
  <c r="B264" i="58"/>
  <c r="G263" i="58"/>
  <c r="F263" i="58"/>
  <c r="E263" i="58"/>
  <c r="D263" i="58"/>
  <c r="C263" i="58"/>
  <c r="B263" i="58"/>
  <c r="G262" i="58"/>
  <c r="F262" i="58"/>
  <c r="E262" i="58"/>
  <c r="D262" i="58"/>
  <c r="C262" i="58"/>
  <c r="B262" i="58"/>
  <c r="G261" i="58"/>
  <c r="F261" i="58"/>
  <c r="E261" i="58"/>
  <c r="D261" i="58"/>
  <c r="C261" i="58"/>
  <c r="B261" i="58"/>
  <c r="G260" i="58"/>
  <c r="F260" i="58"/>
  <c r="E260" i="58"/>
  <c r="D260" i="58"/>
  <c r="C260" i="58"/>
  <c r="B260" i="58"/>
  <c r="G259" i="58"/>
  <c r="F259" i="58"/>
  <c r="E259" i="58"/>
  <c r="D259" i="58"/>
  <c r="C259" i="58"/>
  <c r="B259" i="58"/>
  <c r="G258" i="58"/>
  <c r="F258" i="58"/>
  <c r="E258" i="58"/>
  <c r="C258" i="58"/>
  <c r="B258" i="58"/>
  <c r="G257" i="58"/>
  <c r="F257" i="58"/>
  <c r="E257" i="58"/>
  <c r="D257" i="58"/>
  <c r="C257" i="58"/>
  <c r="B257" i="58"/>
  <c r="G256" i="58"/>
  <c r="F256" i="58"/>
  <c r="E256" i="58"/>
  <c r="D256" i="58"/>
  <c r="C256" i="58"/>
  <c r="B256" i="58"/>
  <c r="G255" i="58"/>
  <c r="F255" i="58"/>
  <c r="E255" i="58"/>
  <c r="D255" i="58"/>
  <c r="C255" i="58"/>
  <c r="B255" i="58"/>
  <c r="G254" i="58"/>
  <c r="F254" i="58"/>
  <c r="E254" i="58"/>
  <c r="D254" i="58"/>
  <c r="C254" i="58"/>
  <c r="B254" i="58"/>
  <c r="G253" i="58"/>
  <c r="F253" i="58"/>
  <c r="E253" i="58"/>
  <c r="D253" i="58"/>
  <c r="C253" i="58"/>
  <c r="B253" i="58"/>
  <c r="G252" i="58"/>
  <c r="F252" i="58"/>
  <c r="E252" i="58"/>
  <c r="C252" i="58"/>
  <c r="B252" i="58"/>
  <c r="G251" i="58"/>
  <c r="F251" i="58"/>
  <c r="E251" i="58"/>
  <c r="D251" i="58"/>
  <c r="C251" i="58"/>
  <c r="B251" i="58"/>
  <c r="G250" i="58"/>
  <c r="F250" i="58"/>
  <c r="E250" i="58"/>
  <c r="D250" i="58"/>
  <c r="C250" i="58"/>
  <c r="B250" i="58"/>
  <c r="G249" i="58"/>
  <c r="F249" i="58"/>
  <c r="E249" i="58"/>
  <c r="D249" i="58"/>
  <c r="C249" i="58"/>
  <c r="B249" i="58"/>
  <c r="G248" i="58"/>
  <c r="F248" i="58"/>
  <c r="E248" i="58"/>
  <c r="D248" i="58"/>
  <c r="C248" i="58"/>
  <c r="B248" i="58"/>
  <c r="G247" i="58"/>
  <c r="F247" i="58"/>
  <c r="E247" i="58"/>
  <c r="D247" i="58"/>
  <c r="C247" i="58"/>
  <c r="B247" i="58"/>
  <c r="G246" i="58"/>
  <c r="F246" i="58"/>
  <c r="E246" i="58"/>
  <c r="D246" i="58"/>
  <c r="C246" i="58"/>
  <c r="B246" i="58"/>
  <c r="G245" i="58"/>
  <c r="F245" i="58"/>
  <c r="E245" i="58"/>
  <c r="D245" i="58"/>
  <c r="C245" i="58"/>
  <c r="B245" i="58"/>
  <c r="G244" i="58"/>
  <c r="F244" i="58"/>
  <c r="E244" i="58"/>
  <c r="D244" i="58"/>
  <c r="C244" i="58"/>
  <c r="B244" i="58"/>
  <c r="G243" i="58"/>
  <c r="F243" i="58"/>
  <c r="E243" i="58"/>
  <c r="D243" i="58"/>
  <c r="C243" i="58"/>
  <c r="B243" i="58"/>
  <c r="G242" i="58"/>
  <c r="F242" i="58"/>
  <c r="E242" i="58"/>
  <c r="D242" i="58"/>
  <c r="C242" i="58"/>
  <c r="B242" i="58"/>
  <c r="G241" i="58"/>
  <c r="F241" i="58"/>
  <c r="E241" i="58"/>
  <c r="C241" i="58"/>
  <c r="B241" i="58"/>
  <c r="G240" i="58"/>
  <c r="F240" i="58"/>
  <c r="E240" i="58"/>
  <c r="D240" i="58"/>
  <c r="C240" i="58"/>
  <c r="B240" i="58"/>
  <c r="G239" i="58"/>
  <c r="F239" i="58"/>
  <c r="E239" i="58"/>
  <c r="C239" i="58"/>
  <c r="B239" i="58"/>
  <c r="G238" i="58"/>
  <c r="F238" i="58"/>
  <c r="E238" i="58"/>
  <c r="D238" i="58"/>
  <c r="C238" i="58"/>
  <c r="B238" i="58"/>
  <c r="G237" i="58"/>
  <c r="F237" i="58"/>
  <c r="E237" i="58"/>
  <c r="D237" i="58"/>
  <c r="C237" i="58"/>
  <c r="B237" i="58"/>
  <c r="G236" i="58"/>
  <c r="F236" i="58"/>
  <c r="E236" i="58"/>
  <c r="C236" i="58"/>
  <c r="B236" i="58"/>
  <c r="G235" i="58"/>
  <c r="F235" i="58"/>
  <c r="E235" i="58"/>
  <c r="C235" i="58"/>
  <c r="B235" i="58"/>
  <c r="G234" i="58"/>
  <c r="F234" i="58"/>
  <c r="E234" i="58"/>
  <c r="D234" i="58"/>
  <c r="C234" i="58"/>
  <c r="B234" i="58"/>
  <c r="G233" i="58"/>
  <c r="F233" i="58"/>
  <c r="E233" i="58"/>
  <c r="D233" i="58"/>
  <c r="C233" i="58"/>
  <c r="B233" i="58"/>
  <c r="G232" i="58"/>
  <c r="F232" i="58"/>
  <c r="E232" i="58"/>
  <c r="D232" i="58"/>
  <c r="C232" i="58"/>
  <c r="B232" i="58"/>
  <c r="G231" i="58"/>
  <c r="F231" i="58"/>
  <c r="E231" i="58"/>
  <c r="D231" i="58"/>
  <c r="C231" i="58"/>
  <c r="B231" i="58"/>
  <c r="G230" i="58"/>
  <c r="F230" i="58"/>
  <c r="E230" i="58"/>
  <c r="D230" i="58"/>
  <c r="C230" i="58"/>
  <c r="B230" i="58"/>
  <c r="G229" i="58"/>
  <c r="F229" i="58"/>
  <c r="E229" i="58"/>
  <c r="D229" i="58"/>
  <c r="C229" i="58"/>
  <c r="B229" i="58"/>
  <c r="G228" i="58"/>
  <c r="F228" i="58"/>
  <c r="E228" i="58"/>
  <c r="D228" i="58"/>
  <c r="C228" i="58"/>
  <c r="B228" i="58"/>
  <c r="G227" i="58"/>
  <c r="F227" i="58"/>
  <c r="E227" i="58"/>
  <c r="C227" i="58"/>
  <c r="B227" i="58"/>
  <c r="G226" i="58"/>
  <c r="F226" i="58"/>
  <c r="E226" i="58"/>
  <c r="D226" i="58"/>
  <c r="C226" i="58"/>
  <c r="B226" i="58"/>
  <c r="G225" i="58"/>
  <c r="F225" i="58"/>
  <c r="E225" i="58"/>
  <c r="D225" i="58"/>
  <c r="C225" i="58"/>
  <c r="B225" i="58"/>
  <c r="G224" i="58"/>
  <c r="F224" i="58"/>
  <c r="E224" i="58"/>
  <c r="D224" i="58"/>
  <c r="C224" i="58"/>
  <c r="B224" i="58"/>
  <c r="G223" i="58"/>
  <c r="F223" i="58"/>
  <c r="E223" i="58"/>
  <c r="D223" i="58"/>
  <c r="C223" i="58"/>
  <c r="B223" i="58"/>
  <c r="G222" i="58"/>
  <c r="F222" i="58"/>
  <c r="E222" i="58"/>
  <c r="D222" i="58"/>
  <c r="C222" i="58"/>
  <c r="B222" i="58"/>
  <c r="G221" i="58"/>
  <c r="F221" i="58"/>
  <c r="E221" i="58"/>
  <c r="D221" i="58"/>
  <c r="C221" i="58"/>
  <c r="B221" i="58"/>
  <c r="G220" i="58"/>
  <c r="F220" i="58"/>
  <c r="E220" i="58"/>
  <c r="C220" i="58"/>
  <c r="B220" i="58"/>
  <c r="G219" i="58"/>
  <c r="F219" i="58"/>
  <c r="E219" i="58"/>
  <c r="D219" i="58"/>
  <c r="C219" i="58"/>
  <c r="B219" i="58"/>
  <c r="G218" i="58"/>
  <c r="F218" i="58"/>
  <c r="E218" i="58"/>
  <c r="D218" i="58"/>
  <c r="C218" i="58"/>
  <c r="B218" i="58"/>
  <c r="G217" i="58"/>
  <c r="F217" i="58"/>
  <c r="E217" i="58"/>
  <c r="D217" i="58"/>
  <c r="C217" i="58"/>
  <c r="B217" i="58"/>
  <c r="G216" i="58"/>
  <c r="F216" i="58"/>
  <c r="E216" i="58"/>
  <c r="D216" i="58"/>
  <c r="C216" i="58"/>
  <c r="B216" i="58"/>
  <c r="G215" i="58"/>
  <c r="F215" i="58"/>
  <c r="E215" i="58"/>
  <c r="D215" i="58"/>
  <c r="C215" i="58"/>
  <c r="G213" i="58"/>
  <c r="F213" i="58"/>
  <c r="E213" i="58"/>
  <c r="D213" i="58"/>
  <c r="C213" i="58"/>
  <c r="B213" i="58"/>
  <c r="G212" i="58"/>
  <c r="F212" i="58"/>
  <c r="E212" i="58"/>
  <c r="D212" i="58"/>
  <c r="C212" i="58"/>
  <c r="B212" i="58"/>
  <c r="G211" i="58"/>
  <c r="F211" i="58"/>
  <c r="E211" i="58"/>
  <c r="D211" i="58"/>
  <c r="C211" i="58"/>
  <c r="B211" i="58"/>
  <c r="G210" i="58"/>
  <c r="F210" i="58"/>
  <c r="E210" i="58"/>
  <c r="D210" i="58"/>
  <c r="C210" i="58"/>
  <c r="B210" i="58"/>
  <c r="G209" i="58"/>
  <c r="F209" i="58"/>
  <c r="E209" i="58"/>
  <c r="D209" i="58"/>
  <c r="C209" i="58"/>
  <c r="B209" i="58"/>
  <c r="G208" i="58"/>
  <c r="F208" i="58"/>
  <c r="E208" i="58"/>
  <c r="D208" i="58"/>
  <c r="C208" i="58"/>
  <c r="B208" i="58"/>
  <c r="G207" i="58"/>
  <c r="F207" i="58"/>
  <c r="E207" i="58"/>
  <c r="D207" i="58"/>
  <c r="C207" i="58"/>
  <c r="B207" i="58"/>
  <c r="G206" i="58"/>
  <c r="F206" i="58"/>
  <c r="E206" i="58"/>
  <c r="D206" i="58"/>
  <c r="C206" i="58"/>
  <c r="B206" i="58"/>
  <c r="G205" i="58"/>
  <c r="F205" i="58"/>
  <c r="E205" i="58"/>
  <c r="D205" i="58"/>
  <c r="C205" i="58"/>
  <c r="B205" i="58"/>
  <c r="G204" i="58"/>
  <c r="F204" i="58"/>
  <c r="E204" i="58"/>
  <c r="D204" i="58"/>
  <c r="C204" i="58"/>
  <c r="B204" i="58"/>
  <c r="G203" i="58"/>
  <c r="F203" i="58"/>
  <c r="E203" i="58"/>
  <c r="D203" i="58"/>
  <c r="C203" i="58"/>
  <c r="B203" i="58"/>
  <c r="G202" i="58"/>
  <c r="F202" i="58"/>
  <c r="E202" i="58"/>
  <c r="D202" i="58"/>
  <c r="C202" i="58"/>
  <c r="B202" i="58"/>
  <c r="G201" i="58"/>
  <c r="F201" i="58"/>
  <c r="E201" i="58"/>
  <c r="D201" i="58"/>
  <c r="C201" i="58"/>
  <c r="B201" i="58"/>
  <c r="G200" i="58"/>
  <c r="F200" i="58"/>
  <c r="E200" i="58"/>
  <c r="D200" i="58"/>
  <c r="C200" i="58"/>
  <c r="B200" i="58"/>
  <c r="G199" i="58"/>
  <c r="F199" i="58"/>
  <c r="E199" i="58"/>
  <c r="D199" i="58"/>
  <c r="C199" i="58"/>
  <c r="B199" i="58"/>
  <c r="G198" i="58"/>
  <c r="F198" i="58"/>
  <c r="E198" i="58"/>
  <c r="C198" i="58"/>
  <c r="B198" i="58"/>
  <c r="G197" i="58"/>
  <c r="F197" i="58"/>
  <c r="E197" i="58"/>
  <c r="D197" i="58"/>
  <c r="C197" i="58"/>
  <c r="B197" i="58"/>
  <c r="G196" i="58"/>
  <c r="F196" i="58"/>
  <c r="E196" i="58"/>
  <c r="D196" i="58"/>
  <c r="C196" i="58"/>
  <c r="B196" i="58"/>
  <c r="G195" i="58"/>
  <c r="F195" i="58"/>
  <c r="E195" i="58"/>
  <c r="C195" i="58"/>
  <c r="B195" i="58"/>
  <c r="G194" i="58"/>
  <c r="F194" i="58"/>
  <c r="E194" i="58"/>
  <c r="D194" i="58"/>
  <c r="C194" i="58"/>
  <c r="B194" i="58"/>
  <c r="G193" i="58"/>
  <c r="F193" i="58"/>
  <c r="E193" i="58"/>
  <c r="D193" i="58"/>
  <c r="C193" i="58"/>
  <c r="B193" i="58"/>
  <c r="G192" i="58"/>
  <c r="F192" i="58"/>
  <c r="E192" i="58"/>
  <c r="D192" i="58"/>
  <c r="C192" i="58"/>
  <c r="B192" i="58"/>
  <c r="G191" i="58"/>
  <c r="F191" i="58"/>
  <c r="E191" i="58"/>
  <c r="C191" i="58"/>
  <c r="B191" i="58"/>
  <c r="G190" i="58"/>
  <c r="F190" i="58"/>
  <c r="E190" i="58"/>
  <c r="D190" i="58"/>
  <c r="C190" i="58"/>
  <c r="B190" i="58"/>
  <c r="G189" i="58"/>
  <c r="F189" i="58"/>
  <c r="E189" i="58"/>
  <c r="D189" i="58"/>
  <c r="C189" i="58"/>
  <c r="B189" i="58"/>
  <c r="G188" i="58"/>
  <c r="F188" i="58"/>
  <c r="E188" i="58"/>
  <c r="D188" i="58"/>
  <c r="C188" i="58"/>
  <c r="B188" i="58"/>
  <c r="G187" i="58"/>
  <c r="F187" i="58"/>
  <c r="E187" i="58"/>
  <c r="D187" i="58"/>
  <c r="C187" i="58"/>
  <c r="B187" i="58"/>
  <c r="G186" i="58"/>
  <c r="F186" i="58"/>
  <c r="E186" i="58"/>
  <c r="D186" i="58"/>
  <c r="C186" i="58"/>
  <c r="B186" i="58"/>
  <c r="G185" i="58"/>
  <c r="F185" i="58"/>
  <c r="E185" i="58"/>
  <c r="D185" i="58"/>
  <c r="C185" i="58"/>
  <c r="B185" i="58"/>
  <c r="G184" i="58"/>
  <c r="F184" i="58"/>
  <c r="E184" i="58"/>
  <c r="D184" i="58"/>
  <c r="C184" i="58"/>
  <c r="B184" i="58"/>
  <c r="G183" i="58"/>
  <c r="F183" i="58"/>
  <c r="E183" i="58"/>
  <c r="D183" i="58"/>
  <c r="C183" i="58"/>
  <c r="B183" i="58"/>
  <c r="G182" i="58"/>
  <c r="F182" i="58"/>
  <c r="E182" i="58"/>
  <c r="D182" i="58"/>
  <c r="C182" i="58"/>
  <c r="B182" i="58"/>
  <c r="G181" i="58"/>
  <c r="F181" i="58"/>
  <c r="E181" i="58"/>
  <c r="D181" i="58"/>
  <c r="C181" i="58"/>
  <c r="B181" i="58"/>
  <c r="G180" i="58"/>
  <c r="F180" i="58"/>
  <c r="E180" i="58"/>
  <c r="C180" i="58"/>
  <c r="B180" i="58"/>
  <c r="G179" i="58"/>
  <c r="F179" i="58"/>
  <c r="E179" i="58"/>
  <c r="D179" i="58"/>
  <c r="C179" i="58"/>
  <c r="B179" i="58"/>
  <c r="G178" i="58"/>
  <c r="F178" i="58"/>
  <c r="E178" i="58"/>
  <c r="C178" i="58"/>
  <c r="B178" i="58"/>
  <c r="G177" i="58"/>
  <c r="F177" i="58"/>
  <c r="E177" i="58"/>
  <c r="D177" i="58"/>
  <c r="C177" i="58"/>
  <c r="B177" i="58"/>
  <c r="G176" i="58"/>
  <c r="F176" i="58"/>
  <c r="E176" i="58"/>
  <c r="C176" i="58"/>
  <c r="B176" i="58"/>
  <c r="G175" i="58"/>
  <c r="F175" i="58"/>
  <c r="E175" i="58"/>
  <c r="C175" i="58"/>
  <c r="B175" i="58"/>
  <c r="G174" i="58"/>
  <c r="F174" i="58"/>
  <c r="E174" i="58"/>
  <c r="D174" i="58"/>
  <c r="C174" i="58"/>
  <c r="B174" i="58"/>
  <c r="G173" i="58"/>
  <c r="F173" i="58"/>
  <c r="E173" i="58"/>
  <c r="D173" i="58"/>
  <c r="C173" i="58"/>
  <c r="B173" i="58"/>
  <c r="G172" i="58"/>
  <c r="F172" i="58"/>
  <c r="E172" i="58"/>
  <c r="D172" i="58"/>
  <c r="C172" i="58"/>
  <c r="B172" i="58"/>
  <c r="G171" i="58"/>
  <c r="F171" i="58"/>
  <c r="E171" i="58"/>
  <c r="D171" i="58"/>
  <c r="C171" i="58"/>
  <c r="B171" i="58"/>
  <c r="G170" i="58"/>
  <c r="F170" i="58"/>
  <c r="E170" i="58"/>
  <c r="D170" i="58"/>
  <c r="C170" i="58"/>
  <c r="B170" i="58"/>
  <c r="G169" i="58"/>
  <c r="F169" i="58"/>
  <c r="E169" i="58"/>
  <c r="D169" i="58"/>
  <c r="C169" i="58"/>
  <c r="B169" i="58"/>
  <c r="G168" i="58"/>
  <c r="F168" i="58"/>
  <c r="E168" i="58"/>
  <c r="D168" i="58"/>
  <c r="C168" i="58"/>
  <c r="B168" i="58"/>
  <c r="G167" i="58"/>
  <c r="F167" i="58"/>
  <c r="E167" i="58"/>
  <c r="C167" i="58"/>
  <c r="B167" i="58"/>
  <c r="G166" i="58"/>
  <c r="F166" i="58"/>
  <c r="E166" i="58"/>
  <c r="D166" i="58"/>
  <c r="C166" i="58"/>
  <c r="B166" i="58"/>
  <c r="G165" i="58"/>
  <c r="F165" i="58"/>
  <c r="E165" i="58"/>
  <c r="D165" i="58"/>
  <c r="C165" i="58"/>
  <c r="B165" i="58"/>
  <c r="G164" i="58"/>
  <c r="F164" i="58"/>
  <c r="E164" i="58"/>
  <c r="D164" i="58"/>
  <c r="C164" i="58"/>
  <c r="B164" i="58"/>
  <c r="G163" i="58"/>
  <c r="F163" i="58"/>
  <c r="E163" i="58"/>
  <c r="D163" i="58"/>
  <c r="C163" i="58"/>
  <c r="B163" i="58"/>
  <c r="G162" i="58"/>
  <c r="F162" i="58"/>
  <c r="E162" i="58"/>
  <c r="D162" i="58"/>
  <c r="C162" i="58"/>
  <c r="B162" i="58"/>
  <c r="G161" i="58"/>
  <c r="F161" i="58"/>
  <c r="E161" i="58"/>
  <c r="D161" i="58"/>
  <c r="C161" i="58"/>
  <c r="B161" i="58"/>
  <c r="G160" i="58"/>
  <c r="F160" i="58"/>
  <c r="E160" i="58"/>
  <c r="C160" i="58"/>
  <c r="B160" i="58"/>
  <c r="G159" i="58"/>
  <c r="F159" i="58"/>
  <c r="E159" i="58"/>
  <c r="D159" i="58"/>
  <c r="C159" i="58"/>
  <c r="B159" i="58"/>
  <c r="G158" i="58"/>
  <c r="F158" i="58"/>
  <c r="E158" i="58"/>
  <c r="D158" i="58"/>
  <c r="C158" i="58"/>
  <c r="B158" i="58"/>
  <c r="G157" i="58"/>
  <c r="F157" i="58"/>
  <c r="E157" i="58"/>
  <c r="D157" i="58"/>
  <c r="C157" i="58"/>
  <c r="B157" i="58"/>
  <c r="G156" i="58"/>
  <c r="F156" i="58"/>
  <c r="E156" i="58"/>
  <c r="D156" i="58"/>
  <c r="C156" i="58"/>
  <c r="B156" i="58"/>
  <c r="G155" i="58"/>
  <c r="F155" i="58"/>
  <c r="E155" i="58"/>
  <c r="D155" i="58"/>
  <c r="C155" i="58"/>
  <c r="C98" i="58"/>
  <c r="D98" i="58"/>
  <c r="E98" i="58"/>
  <c r="F98" i="58"/>
  <c r="G98" i="58"/>
  <c r="B99" i="58"/>
  <c r="C99" i="58"/>
  <c r="D99" i="58"/>
  <c r="E99" i="58"/>
  <c r="F99" i="58"/>
  <c r="G99" i="58"/>
  <c r="B100" i="58"/>
  <c r="C100" i="58"/>
  <c r="D100" i="58"/>
  <c r="E100" i="58"/>
  <c r="F100" i="58"/>
  <c r="G100" i="58"/>
  <c r="B101" i="58"/>
  <c r="C101" i="58"/>
  <c r="D101" i="58"/>
  <c r="E101" i="58"/>
  <c r="F101" i="58"/>
  <c r="G101" i="58"/>
  <c r="B102" i="58"/>
  <c r="C102" i="58"/>
  <c r="D102" i="58"/>
  <c r="E102" i="58"/>
  <c r="F102" i="58"/>
  <c r="G102" i="58"/>
  <c r="B103" i="58"/>
  <c r="C103" i="58"/>
  <c r="E103" i="58"/>
  <c r="F103" i="58"/>
  <c r="G103" i="58"/>
  <c r="B104" i="58"/>
  <c r="C104" i="58"/>
  <c r="E104" i="58"/>
  <c r="F104" i="58"/>
  <c r="G104" i="58"/>
  <c r="B105" i="58"/>
  <c r="C105" i="58"/>
  <c r="E105" i="58"/>
  <c r="F105" i="58"/>
  <c r="G105" i="58"/>
  <c r="B106" i="58"/>
  <c r="C106" i="58"/>
  <c r="E106" i="58"/>
  <c r="F106" i="58"/>
  <c r="G106" i="58"/>
  <c r="B107" i="58"/>
  <c r="C107" i="58"/>
  <c r="E107" i="58"/>
  <c r="F107" i="58"/>
  <c r="G107" i="58"/>
  <c r="B108" i="58"/>
  <c r="C108" i="58"/>
  <c r="E108" i="58"/>
  <c r="F108" i="58"/>
  <c r="G108" i="58"/>
  <c r="B109" i="58"/>
  <c r="C109" i="58"/>
  <c r="E109" i="58"/>
  <c r="F109" i="58"/>
  <c r="G109" i="58"/>
  <c r="B110" i="58"/>
  <c r="C110" i="58"/>
  <c r="E110" i="58"/>
  <c r="F110" i="58"/>
  <c r="G110" i="58"/>
  <c r="B111" i="58"/>
  <c r="C111" i="58"/>
  <c r="E111" i="58"/>
  <c r="F111" i="58"/>
  <c r="G111" i="58"/>
  <c r="B112" i="58"/>
  <c r="C112" i="58"/>
  <c r="E112" i="58"/>
  <c r="F112" i="58"/>
  <c r="G112" i="58"/>
  <c r="B113" i="58"/>
  <c r="C113" i="58"/>
  <c r="E113" i="58"/>
  <c r="F113" i="58"/>
  <c r="G113" i="58"/>
  <c r="B114" i="58"/>
  <c r="C114" i="58"/>
  <c r="D114" i="58"/>
  <c r="E114" i="58"/>
  <c r="F114" i="58"/>
  <c r="G114" i="58"/>
  <c r="B115" i="58"/>
  <c r="C115" i="58"/>
  <c r="E115" i="58"/>
  <c r="F115" i="58"/>
  <c r="G115" i="58"/>
  <c r="B116" i="58"/>
  <c r="C116" i="58"/>
  <c r="D116" i="58"/>
  <c r="E116" i="58"/>
  <c r="F116" i="58"/>
  <c r="G116" i="58"/>
  <c r="B117" i="58"/>
  <c r="C117" i="58"/>
  <c r="D117" i="58"/>
  <c r="E117" i="58"/>
  <c r="F117" i="58"/>
  <c r="G117" i="58"/>
  <c r="B118" i="58"/>
  <c r="C118" i="58"/>
  <c r="D118" i="58"/>
  <c r="E118" i="58"/>
  <c r="F118" i="58"/>
  <c r="G118" i="58"/>
  <c r="B119" i="58"/>
  <c r="C119" i="58"/>
  <c r="D119" i="58"/>
  <c r="E119" i="58"/>
  <c r="F119" i="58"/>
  <c r="G119" i="58"/>
  <c r="B120" i="58"/>
  <c r="C120" i="58"/>
  <c r="D120" i="58"/>
  <c r="E120" i="58"/>
  <c r="F120" i="58"/>
  <c r="G120" i="58"/>
  <c r="B121" i="58"/>
  <c r="C121" i="58"/>
  <c r="D121" i="58"/>
  <c r="E121" i="58"/>
  <c r="F121" i="58"/>
  <c r="G121" i="58"/>
  <c r="B122" i="58"/>
  <c r="C122" i="58"/>
  <c r="D122" i="58"/>
  <c r="E122" i="58"/>
  <c r="F122" i="58"/>
  <c r="G122" i="58"/>
  <c r="B123" i="58"/>
  <c r="C123" i="58"/>
  <c r="D123" i="58"/>
  <c r="E123" i="58"/>
  <c r="F123" i="58"/>
  <c r="G123" i="58"/>
  <c r="B124" i="58"/>
  <c r="C124" i="58"/>
  <c r="D124" i="58"/>
  <c r="E124" i="58"/>
  <c r="F124" i="58"/>
  <c r="G124" i="58"/>
  <c r="B125" i="58"/>
  <c r="C125" i="58"/>
  <c r="D125" i="58"/>
  <c r="E125" i="58"/>
  <c r="F125" i="58"/>
  <c r="G125" i="58"/>
  <c r="B126" i="58"/>
  <c r="C126" i="58"/>
  <c r="D126" i="58"/>
  <c r="E126" i="58"/>
  <c r="F126" i="58"/>
  <c r="G126" i="58"/>
  <c r="B127" i="58"/>
  <c r="C127" i="58"/>
  <c r="D127" i="58"/>
  <c r="E127" i="58"/>
  <c r="F127" i="58"/>
  <c r="G127" i="58"/>
  <c r="B128" i="58"/>
  <c r="C128" i="58"/>
  <c r="D128" i="58"/>
  <c r="E128" i="58"/>
  <c r="F128" i="58"/>
  <c r="G128" i="58"/>
  <c r="B129" i="58"/>
  <c r="C129" i="58"/>
  <c r="D129" i="58"/>
  <c r="E129" i="58"/>
  <c r="F129" i="58"/>
  <c r="G129" i="58"/>
  <c r="B130" i="58"/>
  <c r="C130" i="58"/>
  <c r="D130" i="58"/>
  <c r="E130" i="58"/>
  <c r="F130" i="58"/>
  <c r="G130" i="58"/>
  <c r="B131" i="58"/>
  <c r="C131" i="58"/>
  <c r="D131" i="58"/>
  <c r="E131" i="58"/>
  <c r="F131" i="58"/>
  <c r="G131" i="58"/>
  <c r="B132" i="58"/>
  <c r="C132" i="58"/>
  <c r="D132" i="58"/>
  <c r="E132" i="58"/>
  <c r="F132" i="58"/>
  <c r="G132" i="58"/>
  <c r="B133" i="58"/>
  <c r="C133" i="58"/>
  <c r="D133" i="58"/>
  <c r="E133" i="58"/>
  <c r="F133" i="58"/>
  <c r="G133" i="58"/>
  <c r="B134" i="58"/>
  <c r="C134" i="58"/>
  <c r="D134" i="58"/>
  <c r="E134" i="58"/>
  <c r="F134" i="58"/>
  <c r="G134" i="58"/>
  <c r="B135" i="58"/>
  <c r="C135" i="58"/>
  <c r="D135" i="58"/>
  <c r="E135" i="58"/>
  <c r="F135" i="58"/>
  <c r="G135" i="58"/>
  <c r="B136" i="58"/>
  <c r="C136" i="58"/>
  <c r="D136" i="58"/>
  <c r="E136" i="58"/>
  <c r="F136" i="58"/>
  <c r="G136" i="58"/>
  <c r="B137" i="58"/>
  <c r="C137" i="58"/>
  <c r="E137" i="58"/>
  <c r="F137" i="58"/>
  <c r="G137" i="58"/>
  <c r="B138" i="58"/>
  <c r="C138" i="58"/>
  <c r="D138" i="58"/>
  <c r="E138" i="58"/>
  <c r="F138" i="58"/>
  <c r="G138" i="58"/>
  <c r="B139" i="58"/>
  <c r="C139" i="58"/>
  <c r="D139" i="58"/>
  <c r="E139" i="58"/>
  <c r="F139" i="58"/>
  <c r="G139" i="58"/>
  <c r="B140" i="58"/>
  <c r="C140" i="58"/>
  <c r="D140" i="58"/>
  <c r="E140" i="58"/>
  <c r="F140" i="58"/>
  <c r="G140" i="58"/>
  <c r="B141" i="58"/>
  <c r="C141" i="58"/>
  <c r="D141" i="58"/>
  <c r="E141" i="58"/>
  <c r="F141" i="58"/>
  <c r="G141" i="58"/>
  <c r="B142" i="58"/>
  <c r="C142" i="58"/>
  <c r="E142" i="58"/>
  <c r="F142" i="58"/>
  <c r="G142" i="58"/>
  <c r="B143" i="58"/>
  <c r="C143" i="58"/>
  <c r="D143" i="58"/>
  <c r="E143" i="58"/>
  <c r="F143" i="58"/>
  <c r="G143" i="58"/>
  <c r="B144" i="58"/>
  <c r="C144" i="58"/>
  <c r="D144" i="58"/>
  <c r="E144" i="58"/>
  <c r="F144" i="58"/>
  <c r="G144" i="58"/>
  <c r="B145" i="58"/>
  <c r="C145" i="58"/>
  <c r="E145" i="58"/>
  <c r="F145" i="58"/>
  <c r="G145" i="58"/>
  <c r="B146" i="58"/>
  <c r="C146" i="58"/>
  <c r="E146" i="58"/>
  <c r="F146" i="58"/>
  <c r="G146" i="58"/>
  <c r="B147" i="58"/>
  <c r="C147" i="58"/>
  <c r="E147" i="58"/>
  <c r="F147" i="58"/>
  <c r="G147" i="58"/>
  <c r="B148" i="58"/>
  <c r="C148" i="58"/>
  <c r="E148" i="58"/>
  <c r="F148" i="58"/>
  <c r="G148" i="58"/>
  <c r="B149" i="58"/>
  <c r="C149" i="58"/>
  <c r="E149" i="58"/>
  <c r="F149" i="58"/>
  <c r="G149" i="58"/>
  <c r="B150" i="58"/>
  <c r="C150" i="58"/>
  <c r="E150" i="58"/>
  <c r="F150" i="58"/>
  <c r="G150" i="58"/>
  <c r="B151" i="58"/>
  <c r="C151" i="58"/>
  <c r="E151" i="58"/>
  <c r="F151" i="58"/>
  <c r="G151" i="58"/>
  <c r="B152" i="58"/>
  <c r="C152" i="58"/>
  <c r="E152" i="58"/>
  <c r="F152" i="58"/>
  <c r="G152" i="58"/>
  <c r="B153" i="58"/>
  <c r="C153" i="58"/>
  <c r="E153" i="58"/>
  <c r="F153" i="58"/>
  <c r="G153" i="58"/>
  <c r="M41" i="26"/>
  <c r="G41" i="26" s="1"/>
  <c r="M42" i="27"/>
  <c r="G42" i="27" s="1"/>
  <c r="M49" i="28"/>
  <c r="G49" i="28" s="1"/>
  <c r="M41" i="28"/>
  <c r="G41" i="28" s="1"/>
  <c r="M47" i="29"/>
  <c r="G47" i="29"/>
  <c r="M40" i="29"/>
  <c r="G40" i="29" s="1"/>
  <c r="M45" i="48"/>
  <c r="G45" i="48" s="1"/>
  <c r="M38" i="48"/>
  <c r="G38" i="48" s="1"/>
  <c r="M45" i="44"/>
  <c r="G45" i="44" s="1"/>
  <c r="M32" i="54"/>
  <c r="G32" i="54" s="1"/>
  <c r="M32" i="62"/>
  <c r="G32" i="62" s="1"/>
  <c r="G46" i="25"/>
  <c r="M46" i="25"/>
  <c r="B9" i="26" l="1"/>
  <c r="B9" i="27"/>
  <c r="B9" i="28"/>
  <c r="B8" i="29"/>
  <c r="C336" i="58" s="1"/>
  <c r="B8" i="48"/>
  <c r="B8" i="44"/>
  <c r="B8" i="54"/>
  <c r="B8" i="62"/>
  <c r="B18" i="62"/>
  <c r="G14" i="62"/>
  <c r="G14" i="54"/>
  <c r="G14" i="44"/>
  <c r="G11" i="48"/>
  <c r="G12" i="29"/>
  <c r="G12" i="28"/>
  <c r="G12" i="27"/>
  <c r="G12" i="26"/>
  <c r="B10" i="54"/>
  <c r="B11" i="54"/>
  <c r="B12" i="54"/>
  <c r="B13" i="54"/>
  <c r="B13" i="62"/>
  <c r="B12" i="62"/>
  <c r="B11" i="62"/>
  <c r="B10" i="62"/>
  <c r="B18" i="54"/>
  <c r="B13" i="44"/>
  <c r="B12" i="44"/>
  <c r="B18" i="44"/>
  <c r="B11" i="44"/>
  <c r="B10" i="44"/>
  <c r="B16" i="48"/>
  <c r="B13" i="29"/>
  <c r="C341" i="58" s="1"/>
  <c r="B17" i="28"/>
  <c r="B17" i="27"/>
  <c r="B17" i="26"/>
  <c r="C56" i="62" l="1"/>
  <c r="C55" i="62"/>
  <c r="C54" i="62"/>
  <c r="C53" i="62"/>
  <c r="C49" i="62"/>
  <c r="C48" i="62"/>
  <c r="C47" i="62"/>
  <c r="C46" i="62"/>
  <c r="C45" i="62"/>
  <c r="C44" i="62"/>
  <c r="C43" i="62"/>
  <c r="C42" i="62"/>
  <c r="C41" i="62"/>
  <c r="C40" i="62"/>
  <c r="C39" i="62"/>
  <c r="C38" i="62"/>
  <c r="C37" i="62"/>
  <c r="C36" i="62"/>
  <c r="C35" i="62"/>
  <c r="C34" i="62"/>
  <c r="C33" i="62"/>
  <c r="C32" i="62"/>
  <c r="C31" i="62"/>
  <c r="C30" i="62"/>
  <c r="C29" i="62"/>
  <c r="C28" i="62"/>
  <c r="C27" i="62"/>
  <c r="C26" i="62"/>
  <c r="C25" i="62"/>
  <c r="C24" i="62"/>
  <c r="C23" i="62"/>
  <c r="C22" i="62"/>
  <c r="C21" i="62"/>
  <c r="C20" i="62"/>
  <c r="C19" i="62"/>
  <c r="C18" i="62"/>
  <c r="C17" i="62"/>
  <c r="C16" i="62"/>
  <c r="C15" i="62"/>
  <c r="C14" i="62"/>
  <c r="C13" i="62"/>
  <c r="C12" i="62"/>
  <c r="C11" i="62"/>
  <c r="C10" i="62"/>
  <c r="C7" i="62"/>
  <c r="C6" i="62"/>
  <c r="C5" i="62"/>
  <c r="C4" i="62"/>
  <c r="C56" i="54"/>
  <c r="C55" i="54"/>
  <c r="C54" i="54"/>
  <c r="C53" i="54"/>
  <c r="C49" i="54"/>
  <c r="C48" i="54"/>
  <c r="C47" i="54"/>
  <c r="C46" i="54"/>
  <c r="C45" i="54"/>
  <c r="C44" i="54"/>
  <c r="C43" i="54"/>
  <c r="C42" i="54"/>
  <c r="C41" i="54"/>
  <c r="C40" i="54"/>
  <c r="C39" i="54"/>
  <c r="C38" i="54"/>
  <c r="C37" i="54"/>
  <c r="C36" i="54"/>
  <c r="C35" i="54"/>
  <c r="C34" i="54"/>
  <c r="C33" i="54"/>
  <c r="C32" i="54"/>
  <c r="C31" i="54"/>
  <c r="C30" i="54"/>
  <c r="C29" i="54"/>
  <c r="C28" i="54"/>
  <c r="C27" i="54"/>
  <c r="C26" i="54"/>
  <c r="C25" i="54"/>
  <c r="C24" i="54"/>
  <c r="C23" i="54"/>
  <c r="C22" i="54"/>
  <c r="C21" i="54"/>
  <c r="C20" i="54"/>
  <c r="C19" i="54"/>
  <c r="C18" i="54"/>
  <c r="C17" i="54"/>
  <c r="C16" i="54"/>
  <c r="C15" i="54"/>
  <c r="C14" i="54"/>
  <c r="C13" i="54"/>
  <c r="C12" i="54"/>
  <c r="C11" i="54"/>
  <c r="C10" i="54"/>
  <c r="C7" i="54"/>
  <c r="C6" i="54"/>
  <c r="C5" i="54"/>
  <c r="C4" i="54"/>
  <c r="C57" i="44"/>
  <c r="C56" i="44"/>
  <c r="C55" i="44"/>
  <c r="C54" i="44"/>
  <c r="C53" i="44"/>
  <c r="C52" i="44"/>
  <c r="C51" i="44"/>
  <c r="C50" i="44"/>
  <c r="C49" i="44"/>
  <c r="C48" i="44"/>
  <c r="C47" i="44"/>
  <c r="C45" i="44"/>
  <c r="C44" i="44"/>
  <c r="C43" i="44"/>
  <c r="C42" i="44"/>
  <c r="C41" i="44"/>
  <c r="C40" i="44"/>
  <c r="C39" i="44"/>
  <c r="C38" i="44"/>
  <c r="C37" i="44"/>
  <c r="C36" i="44"/>
  <c r="C35" i="44"/>
  <c r="C34" i="44"/>
  <c r="C33" i="44"/>
  <c r="C32" i="44"/>
  <c r="C31" i="44"/>
  <c r="C30" i="44"/>
  <c r="C29" i="44"/>
  <c r="C26" i="44"/>
  <c r="C25" i="44"/>
  <c r="C24" i="44"/>
  <c r="C22" i="44"/>
  <c r="C21" i="44"/>
  <c r="C20" i="44"/>
  <c r="C19" i="44"/>
  <c r="C18" i="44"/>
  <c r="C17" i="44"/>
  <c r="C16" i="44"/>
  <c r="C15" i="44"/>
  <c r="C14" i="44"/>
  <c r="C13" i="44"/>
  <c r="C12" i="44"/>
  <c r="C11" i="44"/>
  <c r="C10" i="44"/>
  <c r="C7" i="44"/>
  <c r="C6" i="44"/>
  <c r="C5" i="44"/>
  <c r="C4" i="44"/>
  <c r="C55" i="48"/>
  <c r="C54" i="48"/>
  <c r="C53" i="48"/>
  <c r="C52" i="48"/>
  <c r="C51" i="48"/>
  <c r="C50" i="48"/>
  <c r="C49" i="48"/>
  <c r="C48" i="48"/>
  <c r="C47" i="48"/>
  <c r="C46" i="48"/>
  <c r="C45" i="48"/>
  <c r="C44" i="48"/>
  <c r="C43" i="48"/>
  <c r="C42" i="48"/>
  <c r="C41" i="48"/>
  <c r="C40" i="48"/>
  <c r="C39" i="48"/>
  <c r="C38" i="48"/>
  <c r="C37" i="48"/>
  <c r="C36" i="48"/>
  <c r="C35" i="48"/>
  <c r="C34" i="48"/>
  <c r="C33" i="48"/>
  <c r="C32" i="48"/>
  <c r="C31" i="48"/>
  <c r="C30" i="48"/>
  <c r="C29" i="48"/>
  <c r="C28" i="48"/>
  <c r="C26" i="48"/>
  <c r="C25" i="48"/>
  <c r="C24" i="48"/>
  <c r="C22" i="48"/>
  <c r="C21" i="48"/>
  <c r="C20" i="48"/>
  <c r="C19" i="48"/>
  <c r="C18" i="48"/>
  <c r="C17" i="48"/>
  <c r="C16" i="48"/>
  <c r="C14" i="48"/>
  <c r="C13" i="48"/>
  <c r="C12" i="48"/>
  <c r="C11" i="48"/>
  <c r="C10" i="48"/>
  <c r="C9" i="48"/>
  <c r="C7" i="48"/>
  <c r="C6" i="48"/>
  <c r="C5" i="48"/>
  <c r="C4" i="48"/>
  <c r="C59" i="29"/>
  <c r="D387" i="58" s="1"/>
  <c r="C58" i="29"/>
  <c r="D386" i="58" s="1"/>
  <c r="C57" i="29"/>
  <c r="D385" i="58" s="1"/>
  <c r="C56" i="29"/>
  <c r="D384" i="58" s="1"/>
  <c r="C55" i="29"/>
  <c r="D383" i="58" s="1"/>
  <c r="C54" i="29"/>
  <c r="D382" i="58" s="1"/>
  <c r="C53" i="29"/>
  <c r="D381" i="58" s="1"/>
  <c r="C52" i="29"/>
  <c r="D380" i="58" s="1"/>
  <c r="C51" i="29"/>
  <c r="D379" i="58" s="1"/>
  <c r="C50" i="29"/>
  <c r="D378" i="58" s="1"/>
  <c r="C49" i="29"/>
  <c r="D377" i="58" s="1"/>
  <c r="C48" i="29"/>
  <c r="D376" i="58" s="1"/>
  <c r="C47" i="29"/>
  <c r="D375" i="58" s="1"/>
  <c r="C46" i="29"/>
  <c r="D374" i="58" s="1"/>
  <c r="C45" i="29"/>
  <c r="D373" i="58" s="1"/>
  <c r="C44" i="29"/>
  <c r="D372" i="58" s="1"/>
  <c r="C43" i="29"/>
  <c r="D371" i="58" s="1"/>
  <c r="C42" i="29"/>
  <c r="D370" i="58" s="1"/>
  <c r="C41" i="29"/>
  <c r="D369" i="58" s="1"/>
  <c r="C40" i="29"/>
  <c r="D368" i="58" s="1"/>
  <c r="C39" i="29"/>
  <c r="D367" i="58" s="1"/>
  <c r="C38" i="29"/>
  <c r="D366" i="58" s="1"/>
  <c r="C37" i="29"/>
  <c r="D365" i="58" s="1"/>
  <c r="C36" i="29"/>
  <c r="D364" i="58" s="1"/>
  <c r="C35" i="29"/>
  <c r="D363" i="58" s="1"/>
  <c r="C34" i="29"/>
  <c r="D362" i="58" s="1"/>
  <c r="C33" i="29"/>
  <c r="D361" i="58" s="1"/>
  <c r="C32" i="29"/>
  <c r="D360" i="58" s="1"/>
  <c r="C31" i="29"/>
  <c r="D359" i="58" s="1"/>
  <c r="C30" i="29"/>
  <c r="D358" i="58" s="1"/>
  <c r="C28" i="29"/>
  <c r="D356" i="58" s="1"/>
  <c r="C26" i="29"/>
  <c r="D354" i="58" s="1"/>
  <c r="C25" i="29"/>
  <c r="D353" i="58" s="1"/>
  <c r="C22" i="29"/>
  <c r="D350" i="58" s="1"/>
  <c r="C21" i="29"/>
  <c r="D349" i="58" s="1"/>
  <c r="C20" i="29"/>
  <c r="D348" i="58" s="1"/>
  <c r="C19" i="29"/>
  <c r="D347" i="58" s="1"/>
  <c r="C18" i="29"/>
  <c r="D346" i="58" s="1"/>
  <c r="C17" i="29"/>
  <c r="D345" i="58" s="1"/>
  <c r="C16" i="29"/>
  <c r="D344" i="58" s="1"/>
  <c r="C15" i="29"/>
  <c r="D343" i="58" s="1"/>
  <c r="C14" i="29"/>
  <c r="D342" i="58" s="1"/>
  <c r="C13" i="29"/>
  <c r="D341" i="58" s="1"/>
  <c r="C12" i="29"/>
  <c r="D340" i="58" s="1"/>
  <c r="C11" i="29"/>
  <c r="D339" i="58" s="1"/>
  <c r="C10" i="29"/>
  <c r="D338" i="58" s="1"/>
  <c r="C7" i="29"/>
  <c r="D335" i="58" s="1"/>
  <c r="C6" i="29"/>
  <c r="D334" i="58" s="1"/>
  <c r="C5" i="29"/>
  <c r="D333" i="58" s="1"/>
  <c r="C4" i="29"/>
  <c r="D332" i="58" s="1"/>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29" i="28"/>
  <c r="C27" i="28"/>
  <c r="C26" i="28"/>
  <c r="C23" i="28"/>
  <c r="C22" i="28"/>
  <c r="C21" i="28"/>
  <c r="C20" i="28"/>
  <c r="C19" i="28"/>
  <c r="C18" i="28"/>
  <c r="C17" i="28"/>
  <c r="C15" i="28"/>
  <c r="C14" i="28"/>
  <c r="C13" i="28"/>
  <c r="C12" i="28"/>
  <c r="C11" i="28"/>
  <c r="C10" i="28"/>
  <c r="C8" i="28"/>
  <c r="C7" i="28"/>
  <c r="C6" i="28"/>
  <c r="C5" i="28"/>
  <c r="C4" i="28"/>
  <c r="C50" i="25"/>
  <c r="C49" i="25"/>
  <c r="C47" i="25"/>
  <c r="C45" i="25"/>
  <c r="C44" i="25"/>
  <c r="C42" i="25"/>
  <c r="C41" i="25"/>
  <c r="C40" i="25"/>
  <c r="C39" i="25"/>
  <c r="C38" i="25"/>
  <c r="C37" i="25"/>
  <c r="C36" i="25"/>
  <c r="C35" i="25"/>
  <c r="C34" i="25"/>
  <c r="C33" i="25"/>
  <c r="C32" i="25"/>
  <c r="C31" i="25"/>
  <c r="C30" i="25"/>
  <c r="C29" i="25"/>
  <c r="C28" i="25"/>
  <c r="C27" i="25"/>
  <c r="C26" i="25"/>
  <c r="C25" i="25"/>
  <c r="C24" i="25"/>
  <c r="C23" i="25"/>
  <c r="C22" i="25"/>
  <c r="C20" i="25"/>
  <c r="C8" i="25"/>
  <c r="C7" i="25"/>
  <c r="C6" i="25"/>
  <c r="C5" i="25"/>
  <c r="C61" i="27"/>
  <c r="C60" i="27"/>
  <c r="C59" i="27"/>
  <c r="C58" i="27"/>
  <c r="C57" i="27"/>
  <c r="C56" i="27"/>
  <c r="C55" i="27"/>
  <c r="C54" i="27"/>
  <c r="C53" i="27"/>
  <c r="C52" i="27"/>
  <c r="C51" i="27"/>
  <c r="C50" i="27"/>
  <c r="C49" i="27"/>
  <c r="C48" i="27"/>
  <c r="C46" i="27"/>
  <c r="C45" i="27"/>
  <c r="C44" i="27"/>
  <c r="C43" i="27"/>
  <c r="C42" i="27"/>
  <c r="C40" i="27"/>
  <c r="C39" i="27"/>
  <c r="C38" i="27"/>
  <c r="C37" i="27"/>
  <c r="C36" i="27"/>
  <c r="C35" i="27"/>
  <c r="C34" i="27"/>
  <c r="C33" i="27"/>
  <c r="C32" i="27"/>
  <c r="C31" i="27"/>
  <c r="C29" i="27"/>
  <c r="C27" i="27"/>
  <c r="C26" i="27"/>
  <c r="C23" i="27"/>
  <c r="C22" i="27"/>
  <c r="C21" i="27"/>
  <c r="C20" i="27"/>
  <c r="C19" i="27"/>
  <c r="C18" i="27"/>
  <c r="C17" i="27"/>
  <c r="C15" i="27"/>
  <c r="C14" i="27"/>
  <c r="C13" i="27"/>
  <c r="C12" i="27"/>
  <c r="C11" i="27"/>
  <c r="C10" i="27"/>
  <c r="C8" i="27"/>
  <c r="C7" i="27"/>
  <c r="C6" i="27"/>
  <c r="C5" i="27"/>
  <c r="C4" i="27"/>
  <c r="C62" i="26"/>
  <c r="C61" i="26"/>
  <c r="C60" i="26"/>
  <c r="C59" i="26"/>
  <c r="C58" i="26"/>
  <c r="C57" i="26"/>
  <c r="C56" i="26"/>
  <c r="C55" i="26"/>
  <c r="C54" i="26"/>
  <c r="C53" i="26"/>
  <c r="C52" i="26"/>
  <c r="C51" i="26"/>
  <c r="C50" i="26"/>
  <c r="C49" i="26"/>
  <c r="C48" i="26"/>
  <c r="C46" i="26"/>
  <c r="C45" i="26"/>
  <c r="C43" i="26"/>
  <c r="C42" i="26"/>
  <c r="C41" i="26"/>
  <c r="C39" i="26"/>
  <c r="C38" i="26"/>
  <c r="C37" i="26"/>
  <c r="C36" i="26"/>
  <c r="C35" i="26"/>
  <c r="C34" i="26"/>
  <c r="C33" i="26"/>
  <c r="C32" i="26"/>
  <c r="C31" i="26"/>
  <c r="C30" i="26"/>
  <c r="C28" i="26"/>
  <c r="C26" i="26"/>
  <c r="C23" i="26"/>
  <c r="C22" i="26"/>
  <c r="C21" i="26"/>
  <c r="C20" i="26"/>
  <c r="C19" i="26"/>
  <c r="C18" i="26"/>
  <c r="C17" i="26"/>
  <c r="C15" i="26"/>
  <c r="C14" i="26"/>
  <c r="C13" i="26"/>
  <c r="C12" i="26"/>
  <c r="C11" i="26"/>
  <c r="C10" i="26"/>
  <c r="C8" i="26"/>
  <c r="C7" i="26"/>
  <c r="C6" i="26"/>
  <c r="C5" i="26"/>
  <c r="C4" i="26"/>
  <c r="N5" i="56" l="1"/>
  <c r="I2" i="48" s="1"/>
  <c r="M5" i="56"/>
  <c r="I2" i="29" s="1"/>
  <c r="L5" i="56"/>
  <c r="I2" i="28" s="1"/>
  <c r="K5" i="56"/>
  <c r="I2" i="27" s="1"/>
  <c r="J5" i="56"/>
  <c r="I2" i="26" s="1"/>
  <c r="I5" i="56"/>
  <c r="I2" i="25" s="1"/>
  <c r="C4" i="25"/>
  <c r="C46" i="25" l="1"/>
  <c r="K1" i="62"/>
  <c r="J1" i="62"/>
  <c r="K1" i="25"/>
  <c r="J1" i="25"/>
  <c r="K1" i="26"/>
  <c r="J1" i="26"/>
  <c r="K1" i="27"/>
  <c r="J1" i="27"/>
  <c r="K1" i="28"/>
  <c r="J1" i="28"/>
  <c r="K1" i="29"/>
  <c r="J1" i="29"/>
  <c r="K1" i="48"/>
  <c r="J1" i="48"/>
  <c r="K1" i="44"/>
  <c r="J1" i="44"/>
  <c r="K1" i="54"/>
  <c r="J1" i="54"/>
  <c r="M48" i="25" l="1"/>
  <c r="G48" i="25" s="1"/>
  <c r="C48" i="25" s="1"/>
  <c r="D142" i="58" s="1"/>
  <c r="M43" i="25"/>
  <c r="G43" i="25" s="1"/>
  <c r="C43" i="25" s="1"/>
  <c r="D137" i="58" s="1"/>
  <c r="G47" i="26"/>
  <c r="C47" i="26" s="1"/>
  <c r="D198" i="58" s="1"/>
  <c r="G27" i="26"/>
  <c r="C27" i="26" s="1"/>
  <c r="D178" i="58" s="1"/>
  <c r="G44" i="26"/>
  <c r="C44" i="26" s="1"/>
  <c r="D195" i="58" s="1"/>
  <c r="G25" i="26"/>
  <c r="C25" i="26" s="1"/>
  <c r="D176" i="58" s="1"/>
  <c r="G40" i="26"/>
  <c r="C40" i="26" s="1"/>
  <c r="D191" i="58" s="1"/>
  <c r="G24" i="26"/>
  <c r="C24" i="26" s="1"/>
  <c r="D175" i="58" s="1"/>
  <c r="G29" i="26"/>
  <c r="C29" i="26" s="1"/>
  <c r="D180" i="58" s="1"/>
  <c r="G16" i="26"/>
  <c r="C16" i="26" s="1"/>
  <c r="D167" i="58" s="1"/>
  <c r="G9" i="26"/>
  <c r="C9" i="26" s="1"/>
  <c r="D160" i="58" s="1"/>
  <c r="G16" i="27"/>
  <c r="C16" i="27" s="1"/>
  <c r="D227" i="58" s="1"/>
  <c r="G9" i="27"/>
  <c r="C9" i="27" s="1"/>
  <c r="D220" i="58" s="1"/>
  <c r="G28" i="27"/>
  <c r="C28" i="27" s="1"/>
  <c r="D239" i="58" s="1"/>
  <c r="G47" i="27"/>
  <c r="C47" i="27" s="1"/>
  <c r="D258" i="58" s="1"/>
  <c r="G25" i="27"/>
  <c r="C25" i="27" s="1"/>
  <c r="D236" i="58" s="1"/>
  <c r="G41" i="27"/>
  <c r="C41" i="27" s="1"/>
  <c r="D252" i="58" s="1"/>
  <c r="G30" i="27"/>
  <c r="C30" i="27" s="1"/>
  <c r="D241" i="58" s="1"/>
  <c r="G24" i="27"/>
  <c r="C24" i="27" s="1"/>
  <c r="D235" i="58" s="1"/>
  <c r="G16" i="28"/>
  <c r="C16" i="28" s="1"/>
  <c r="D286" i="58" s="1"/>
  <c r="G9" i="28"/>
  <c r="C9" i="28" s="1"/>
  <c r="D279" i="58" s="1"/>
  <c r="G30" i="28"/>
  <c r="C30" i="28" s="1"/>
  <c r="D300" i="58" s="1"/>
  <c r="G28" i="28"/>
  <c r="C28" i="28" s="1"/>
  <c r="D298" i="58" s="1"/>
  <c r="G25" i="28"/>
  <c r="C25" i="28" s="1"/>
  <c r="D295" i="58" s="1"/>
  <c r="G24" i="28"/>
  <c r="C24" i="28" s="1"/>
  <c r="D294" i="58" s="1"/>
  <c r="G29" i="29"/>
  <c r="C29" i="29" s="1"/>
  <c r="D357" i="58" s="1"/>
  <c r="G27" i="29"/>
  <c r="C27" i="29" s="1"/>
  <c r="D355" i="58" s="1"/>
  <c r="G24" i="29"/>
  <c r="C24" i="29" s="1"/>
  <c r="D352" i="58" s="1"/>
  <c r="G23" i="29"/>
  <c r="C23" i="29" s="1"/>
  <c r="D351" i="58" s="1"/>
  <c r="G9" i="29"/>
  <c r="C9" i="29" s="1"/>
  <c r="D337" i="58" s="1"/>
  <c r="G8" i="29"/>
  <c r="C8" i="29" s="1"/>
  <c r="D336" i="58" s="1"/>
  <c r="G27" i="48"/>
  <c r="C27" i="48" s="1"/>
  <c r="D413" i="58" s="1"/>
  <c r="G56" i="48"/>
  <c r="C56" i="48" s="1"/>
  <c r="D442" i="58" s="1"/>
  <c r="G23" i="48"/>
  <c r="C23" i="48" s="1"/>
  <c r="D409" i="58" s="1"/>
  <c r="G8" i="48"/>
  <c r="C8" i="48" s="1"/>
  <c r="D394" i="58" s="1"/>
  <c r="G15" i="48"/>
  <c r="C15" i="48" s="1"/>
  <c r="D401" i="58" s="1"/>
  <c r="G8" i="44"/>
  <c r="C8" i="44" s="1"/>
  <c r="D448" i="58" s="1"/>
  <c r="G9" i="44"/>
  <c r="C9" i="44" s="1"/>
  <c r="D449" i="58" s="1"/>
  <c r="G46" i="44"/>
  <c r="C46" i="44" s="1"/>
  <c r="D486" i="58" s="1"/>
  <c r="G28" i="44"/>
  <c r="C28" i="44" s="1"/>
  <c r="D468" i="58" s="1"/>
  <c r="G27" i="44"/>
  <c r="C27" i="44" s="1"/>
  <c r="D467" i="58" s="1"/>
  <c r="G23" i="44"/>
  <c r="C23" i="44" s="1"/>
  <c r="D463" i="58" s="1"/>
  <c r="G9" i="54"/>
  <c r="C9" i="54" s="1"/>
  <c r="D504" i="58" s="1"/>
  <c r="G8" i="54"/>
  <c r="C8" i="54" s="1"/>
  <c r="D503" i="58" s="1"/>
  <c r="G9" i="62"/>
  <c r="C9" i="62" s="1"/>
  <c r="D558" i="58" s="1"/>
  <c r="G8" i="62"/>
  <c r="C8" i="62" s="1"/>
  <c r="D557" i="58" s="1"/>
  <c r="G56" i="25"/>
  <c r="C56" i="25" s="1"/>
  <c r="D150" i="58" s="1"/>
  <c r="G52" i="25"/>
  <c r="C52" i="25" s="1"/>
  <c r="D146" i="58" s="1"/>
  <c r="G58" i="25"/>
  <c r="C58" i="25" s="1"/>
  <c r="D152" i="58" s="1"/>
  <c r="G54" i="25"/>
  <c r="C54" i="25" s="1"/>
  <c r="D148" i="58" s="1"/>
  <c r="G53" i="25"/>
  <c r="C53" i="25" s="1"/>
  <c r="D147" i="58" s="1"/>
  <c r="G59" i="25"/>
  <c r="C59" i="25" s="1"/>
  <c r="D153" i="58" s="1"/>
  <c r="G55" i="25"/>
  <c r="C55" i="25" s="1"/>
  <c r="D149" i="58" s="1"/>
  <c r="G51" i="25"/>
  <c r="C51" i="25" s="1"/>
  <c r="D145" i="58" s="1"/>
  <c r="G57" i="25"/>
  <c r="C57" i="25" s="1"/>
  <c r="D151" i="58" s="1"/>
  <c r="G21" i="25"/>
  <c r="G16" i="25"/>
  <c r="G12" i="25"/>
  <c r="G19" i="25"/>
  <c r="G15" i="25"/>
  <c r="G11" i="25"/>
  <c r="G10" i="25"/>
  <c r="G18" i="25"/>
  <c r="G14" i="25"/>
  <c r="G17" i="25"/>
  <c r="G13" i="25"/>
  <c r="G9" i="25"/>
  <c r="K1" i="67"/>
  <c r="J1" i="67"/>
  <c r="K43" i="25"/>
  <c r="J43" i="25"/>
  <c r="I43" i="25"/>
  <c r="C17" i="25" l="1"/>
  <c r="D111" i="58" s="1"/>
  <c r="C63" i="25"/>
  <c r="C10" i="25"/>
  <c r="D104" i="58" s="1"/>
  <c r="C12" i="25"/>
  <c r="D106" i="58" s="1"/>
  <c r="C11" i="25"/>
  <c r="D105" i="58" s="1"/>
  <c r="C16" i="25"/>
  <c r="D110" i="58" s="1"/>
  <c r="C9" i="25"/>
  <c r="D103" i="58" s="1"/>
  <c r="C14" i="25"/>
  <c r="D108" i="58" s="1"/>
  <c r="C15" i="25"/>
  <c r="D109" i="58" s="1"/>
  <c r="C21" i="25"/>
  <c r="D115" i="58" s="1"/>
  <c r="C13" i="25"/>
  <c r="D107" i="58" s="1"/>
  <c r="C18" i="25"/>
  <c r="D112" i="58" s="1"/>
  <c r="C19" i="25"/>
  <c r="D113" i="58" s="1"/>
  <c r="G43" i="67"/>
  <c r="C43" i="67" s="1"/>
  <c r="D646" i="58" s="1"/>
  <c r="G23" i="67"/>
  <c r="C23" i="67" s="1"/>
  <c r="D626" i="58" s="1"/>
  <c r="G8" i="67"/>
  <c r="C8" i="67" s="1"/>
  <c r="D611" i="58" s="1"/>
  <c r="G12" i="67"/>
  <c r="C12" i="67" s="1"/>
  <c r="D615" i="58" s="1"/>
  <c r="G16" i="67"/>
  <c r="C16" i="67" s="1"/>
  <c r="D619" i="58" s="1"/>
  <c r="G20" i="67"/>
  <c r="C20" i="67" s="1"/>
  <c r="D623" i="58" s="1"/>
  <c r="G24" i="67"/>
  <c r="C24" i="67" s="1"/>
  <c r="D627" i="58" s="1"/>
  <c r="G28" i="67"/>
  <c r="C28" i="67" s="1"/>
  <c r="D631" i="58" s="1"/>
  <c r="G10" i="67"/>
  <c r="C10" i="67" s="1"/>
  <c r="D613" i="58" s="1"/>
  <c r="G14" i="67"/>
  <c r="C14" i="67" s="1"/>
  <c r="D617" i="58" s="1"/>
  <c r="G18" i="67"/>
  <c r="C18" i="67" s="1"/>
  <c r="D621" i="58" s="1"/>
  <c r="G22" i="67"/>
  <c r="C22" i="67" s="1"/>
  <c r="D625" i="58" s="1"/>
  <c r="G26" i="67"/>
  <c r="C26" i="67" s="1"/>
  <c r="D629" i="58" s="1"/>
  <c r="G11" i="67"/>
  <c r="C11" i="67" s="1"/>
  <c r="D614" i="58" s="1"/>
  <c r="G15" i="67"/>
  <c r="C15" i="67" s="1"/>
  <c r="D618" i="58" s="1"/>
  <c r="G19" i="67"/>
  <c r="C19" i="67" s="1"/>
  <c r="D622" i="58" s="1"/>
  <c r="G27" i="67"/>
  <c r="C27" i="67" s="1"/>
  <c r="D630" i="58" s="1"/>
  <c r="G9" i="67"/>
  <c r="C9" i="67" s="1"/>
  <c r="D612" i="58" s="1"/>
  <c r="G13" i="67"/>
  <c r="C13" i="67" s="1"/>
  <c r="D616" i="58" s="1"/>
  <c r="G17" i="67"/>
  <c r="C17" i="67" s="1"/>
  <c r="D620" i="58" s="1"/>
  <c r="G21" i="67"/>
  <c r="C21" i="67" s="1"/>
  <c r="D624" i="58" s="1"/>
  <c r="G25" i="67"/>
  <c r="C25" i="67" s="1"/>
  <c r="D628" i="58" s="1"/>
  <c r="G29" i="67"/>
  <c r="C29" i="67" s="1"/>
  <c r="D632" i="58" s="1"/>
  <c r="G61" i="25" l="1"/>
  <c r="H8" i="59"/>
  <c r="C9" i="59"/>
  <c r="H9" i="59"/>
  <c r="C8" i="59"/>
  <c r="C34" i="60" l="1"/>
  <c r="N10" i="59"/>
  <c r="F34" i="60"/>
  <c r="G34" i="60"/>
  <c r="D34" i="60"/>
  <c r="H34" i="60"/>
  <c r="L34" i="60"/>
  <c r="J34" i="60"/>
  <c r="K34" i="60"/>
  <c r="E34" i="60"/>
  <c r="I34" i="60"/>
  <c r="L32" i="60" l="1"/>
  <c r="K32" i="60"/>
  <c r="J32" i="60"/>
  <c r="I32" i="60"/>
  <c r="H32" i="60"/>
  <c r="G32" i="60"/>
  <c r="F32" i="60"/>
  <c r="E32" i="60"/>
  <c r="D32" i="60"/>
  <c r="C32" i="60"/>
  <c r="D14" i="68" l="1"/>
  <c r="E13" i="68" s="1"/>
  <c r="E14" i="64"/>
  <c r="E13" i="64"/>
  <c r="D14" i="64"/>
  <c r="N4" i="40" l="1"/>
  <c r="N3" i="40"/>
  <c r="U5" i="56"/>
  <c r="T5" i="56"/>
  <c r="S5" i="56"/>
  <c r="S2" i="56"/>
  <c r="T2" i="56" s="1"/>
  <c r="U2" i="56" s="1"/>
  <c r="B673" i="58" l="1"/>
  <c r="A673" i="58"/>
  <c r="A672" i="58"/>
  <c r="A671" i="58"/>
  <c r="A670" i="58"/>
  <c r="A669" i="58"/>
  <c r="A668" i="58"/>
  <c r="A667" i="58"/>
  <c r="A666" i="58"/>
  <c r="A665" i="58"/>
  <c r="A664" i="58"/>
  <c r="A663" i="58"/>
  <c r="A662" i="58"/>
  <c r="A661" i="58"/>
  <c r="A660" i="58"/>
  <c r="A659" i="58"/>
  <c r="A658" i="58"/>
  <c r="A657" i="58"/>
  <c r="A656" i="58"/>
  <c r="A655" i="58"/>
  <c r="A654" i="58"/>
  <c r="A653" i="58"/>
  <c r="A652" i="58"/>
  <c r="A651" i="58"/>
  <c r="A650" i="58"/>
  <c r="A649" i="58"/>
  <c r="A648" i="58"/>
  <c r="A647" i="58"/>
  <c r="A646" i="58"/>
  <c r="A645" i="58"/>
  <c r="A644" i="58"/>
  <c r="A643" i="58"/>
  <c r="A642" i="58"/>
  <c r="A641" i="58"/>
  <c r="A640" i="58"/>
  <c r="A639" i="58"/>
  <c r="A638" i="58"/>
  <c r="A637" i="58"/>
  <c r="A636" i="58"/>
  <c r="A635" i="58"/>
  <c r="A634" i="58"/>
  <c r="A633" i="58"/>
  <c r="A632" i="58"/>
  <c r="A631" i="58"/>
  <c r="A630" i="58"/>
  <c r="A629" i="58"/>
  <c r="A628" i="58"/>
  <c r="A627" i="58"/>
  <c r="A626" i="58"/>
  <c r="A625" i="58"/>
  <c r="A624" i="58"/>
  <c r="A623" i="58"/>
  <c r="A622" i="58"/>
  <c r="A621" i="58"/>
  <c r="A620" i="58"/>
  <c r="A619" i="58"/>
  <c r="A618" i="58"/>
  <c r="A617" i="58"/>
  <c r="A616" i="58"/>
  <c r="A615" i="58"/>
  <c r="A614" i="58"/>
  <c r="A613" i="58"/>
  <c r="A612" i="58"/>
  <c r="A611" i="58"/>
  <c r="A610" i="58"/>
  <c r="A609" i="58"/>
  <c r="A608" i="58"/>
  <c r="B607" i="58"/>
  <c r="A607" i="58"/>
  <c r="G32" i="68" l="1"/>
  <c r="G31" i="68"/>
  <c r="G30" i="68"/>
  <c r="G25" i="68"/>
  <c r="G11" i="68"/>
  <c r="G10" i="68"/>
  <c r="C5" i="68"/>
  <c r="N20" i="40" s="1"/>
  <c r="G69" i="67"/>
  <c r="G68" i="67"/>
  <c r="G67" i="67"/>
  <c r="G66" i="67"/>
  <c r="G65" i="67"/>
  <c r="G61" i="67"/>
  <c r="G60" i="67"/>
  <c r="G59" i="67"/>
  <c r="G58" i="67"/>
  <c r="G57" i="67"/>
  <c r="G56" i="67"/>
  <c r="G55" i="67"/>
  <c r="G54" i="67"/>
  <c r="G53" i="67"/>
  <c r="G52" i="67"/>
  <c r="G51" i="67"/>
  <c r="G50" i="67"/>
  <c r="G49" i="67"/>
  <c r="G48" i="67"/>
  <c r="G47" i="67"/>
  <c r="G46" i="67"/>
  <c r="G45" i="67"/>
  <c r="G44" i="67"/>
  <c r="G42" i="67"/>
  <c r="G41" i="67"/>
  <c r="G40" i="67"/>
  <c r="G39" i="67"/>
  <c r="G38" i="67"/>
  <c r="G37" i="67"/>
  <c r="G36" i="67"/>
  <c r="G35" i="67"/>
  <c r="G34" i="67"/>
  <c r="G33" i="67"/>
  <c r="G32" i="67"/>
  <c r="G31" i="67"/>
  <c r="G30" i="67"/>
  <c r="G7" i="67"/>
  <c r="G6" i="67"/>
  <c r="G5" i="67"/>
  <c r="G4" i="67"/>
  <c r="C4" i="67" s="1"/>
  <c r="C32" i="67" l="1"/>
  <c r="C40" i="67"/>
  <c r="C52" i="67"/>
  <c r="C60" i="67"/>
  <c r="C37" i="67"/>
  <c r="C45" i="67"/>
  <c r="C57" i="67"/>
  <c r="C61" i="67"/>
  <c r="C68" i="67"/>
  <c r="C7" i="67"/>
  <c r="C48" i="67"/>
  <c r="C67" i="67"/>
  <c r="C49" i="67"/>
  <c r="C30" i="67"/>
  <c r="C38" i="67"/>
  <c r="C42" i="67"/>
  <c r="C46" i="67"/>
  <c r="C50" i="67"/>
  <c r="C54" i="67"/>
  <c r="C58" i="67"/>
  <c r="C65" i="67"/>
  <c r="C69" i="67"/>
  <c r="C36" i="67"/>
  <c r="C44" i="67"/>
  <c r="C56" i="67"/>
  <c r="C33" i="67"/>
  <c r="C41" i="67"/>
  <c r="C53" i="67"/>
  <c r="C5" i="67"/>
  <c r="C34" i="67"/>
  <c r="C6" i="67"/>
  <c r="C31" i="67"/>
  <c r="C35" i="67"/>
  <c r="C39" i="67"/>
  <c r="C47" i="67"/>
  <c r="C51" i="67"/>
  <c r="C55" i="67"/>
  <c r="C59" i="67"/>
  <c r="C66" i="67"/>
  <c r="D5" i="68"/>
  <c r="N5" i="40" s="1"/>
  <c r="E10" i="68"/>
  <c r="E12" i="68"/>
  <c r="E11" i="68"/>
  <c r="E14" i="68" l="1"/>
  <c r="B76" i="67" l="1"/>
  <c r="B72" i="67"/>
  <c r="B71" i="67"/>
  <c r="B5" i="66"/>
  <c r="B81" i="66" l="1"/>
  <c r="D20" i="68"/>
  <c r="I6" i="66"/>
  <c r="B77" i="67"/>
  <c r="C673" i="58" l="1"/>
  <c r="D22" i="68"/>
  <c r="N15" i="40" s="1"/>
  <c r="E20" i="68"/>
  <c r="E22" i="68"/>
  <c r="N16" i="40" s="1"/>
  <c r="D23" i="68"/>
  <c r="E22" i="69" l="1"/>
  <c r="O16" i="40" s="1"/>
  <c r="D23" i="69"/>
  <c r="E20" i="69"/>
  <c r="E21" i="68"/>
  <c r="C76" i="67"/>
  <c r="E21" i="69" l="1"/>
  <c r="C73" i="70"/>
  <c r="R5" i="56"/>
  <c r="R2" i="56"/>
  <c r="G30" i="16"/>
  <c r="G29" i="16"/>
  <c r="G28" i="16"/>
  <c r="G30" i="8"/>
  <c r="G29" i="8"/>
  <c r="G28" i="8"/>
  <c r="G30" i="9"/>
  <c r="G29" i="9"/>
  <c r="G28" i="9"/>
  <c r="G30" i="10"/>
  <c r="G29" i="10"/>
  <c r="G28" i="10"/>
  <c r="G30" i="5"/>
  <c r="G29" i="5"/>
  <c r="G28" i="5"/>
  <c r="G30" i="46"/>
  <c r="G29" i="46"/>
  <c r="G28" i="46"/>
  <c r="G30" i="50"/>
  <c r="G29" i="50"/>
  <c r="G28" i="50"/>
  <c r="G30" i="55"/>
  <c r="G29" i="55"/>
  <c r="G28" i="55"/>
  <c r="G31" i="64"/>
  <c r="G30" i="64"/>
  <c r="G29" i="64"/>
  <c r="B61" i="44"/>
  <c r="I3" i="73" l="1"/>
  <c r="I2" i="70"/>
  <c r="I2" i="67"/>
  <c r="I3" i="66"/>
  <c r="G24" i="64"/>
  <c r="E11" i="64"/>
  <c r="G11" i="64"/>
  <c r="M4" i="40" s="1"/>
  <c r="G10" i="64"/>
  <c r="M3" i="40" s="1"/>
  <c r="C5" i="64"/>
  <c r="M20" i="40" s="1"/>
  <c r="G57" i="70" l="1"/>
  <c r="C57" i="70" s="1"/>
  <c r="D727" i="58" s="1"/>
  <c r="G58" i="70"/>
  <c r="C58" i="70" s="1"/>
  <c r="D728" i="58" s="1"/>
  <c r="G56" i="70"/>
  <c r="C56" i="70" s="1"/>
  <c r="R64" i="66"/>
  <c r="R75" i="66"/>
  <c r="R73" i="66"/>
  <c r="R63" i="66"/>
  <c r="R62" i="66"/>
  <c r="R68" i="66"/>
  <c r="R74" i="66"/>
  <c r="R15" i="66"/>
  <c r="R6" i="66"/>
  <c r="R8" i="66"/>
  <c r="T8" i="66" s="1"/>
  <c r="R20" i="66"/>
  <c r="R14" i="66"/>
  <c r="R9" i="66"/>
  <c r="R7" i="66"/>
  <c r="R28" i="66"/>
  <c r="R27" i="66"/>
  <c r="R43" i="66"/>
  <c r="R46" i="66"/>
  <c r="R25" i="66"/>
  <c r="R44" i="66"/>
  <c r="R36" i="66"/>
  <c r="R19" i="66"/>
  <c r="R32" i="66"/>
  <c r="R16" i="66"/>
  <c r="R30" i="66"/>
  <c r="R52" i="66"/>
  <c r="R45" i="66"/>
  <c r="R49" i="66"/>
  <c r="R34" i="66"/>
  <c r="R47" i="66"/>
  <c r="G63" i="67"/>
  <c r="C63" i="67" s="1"/>
  <c r="D666" i="58" s="1"/>
  <c r="G62" i="67"/>
  <c r="C62" i="67" s="1"/>
  <c r="G64" i="67"/>
  <c r="C64" i="67" s="1"/>
  <c r="D667" i="58" s="1"/>
  <c r="R49" i="73"/>
  <c r="R6" i="73"/>
  <c r="R58" i="73"/>
  <c r="R31" i="73"/>
  <c r="R21" i="73"/>
  <c r="R20" i="73"/>
  <c r="R44" i="73"/>
  <c r="R54" i="73"/>
  <c r="R69" i="73"/>
  <c r="R13" i="73"/>
  <c r="R15" i="73"/>
  <c r="R27" i="73"/>
  <c r="R8" i="73"/>
  <c r="T8" i="73" s="1"/>
  <c r="R50" i="73"/>
  <c r="R19" i="73"/>
  <c r="R64" i="73"/>
  <c r="R33" i="73"/>
  <c r="R29" i="73"/>
  <c r="R10" i="73"/>
  <c r="R42" i="73"/>
  <c r="R60" i="73"/>
  <c r="R63" i="73"/>
  <c r="R59" i="73"/>
  <c r="R38" i="73"/>
  <c r="R56" i="73"/>
  <c r="R57" i="73"/>
  <c r="R68" i="73"/>
  <c r="R70" i="73"/>
  <c r="R16" i="73"/>
  <c r="R51" i="73"/>
  <c r="R14" i="73"/>
  <c r="D5" i="64"/>
  <c r="M5" i="40" s="1"/>
  <c r="E12" i="64"/>
  <c r="E10" i="64"/>
  <c r="H5" i="59"/>
  <c r="T58" i="73" l="1"/>
  <c r="D58" i="73" s="1"/>
  <c r="C58" i="73"/>
  <c r="C9" i="66"/>
  <c r="T9" i="66"/>
  <c r="D9" i="66" s="1"/>
  <c r="C62" i="66"/>
  <c r="T62" i="66"/>
  <c r="D62" i="66" s="1"/>
  <c r="T36" i="66"/>
  <c r="D36" i="66" s="1"/>
  <c r="C36" i="66"/>
  <c r="C6" i="73"/>
  <c r="T6" i="73"/>
  <c r="D6" i="73" s="1"/>
  <c r="T56" i="73"/>
  <c r="D56" i="73" s="1"/>
  <c r="C56" i="73"/>
  <c r="C33" i="73"/>
  <c r="T33" i="73"/>
  <c r="D33" i="73" s="1"/>
  <c r="C69" i="73"/>
  <c r="T69" i="73"/>
  <c r="D69" i="73" s="1"/>
  <c r="C49" i="73"/>
  <c r="T49" i="73"/>
  <c r="D49" i="73" s="1"/>
  <c r="C45" i="66"/>
  <c r="T45" i="66"/>
  <c r="D45" i="66" s="1"/>
  <c r="C25" i="66"/>
  <c r="T25" i="66"/>
  <c r="D25" i="66" s="1"/>
  <c r="T20" i="66"/>
  <c r="D20" i="66" s="1"/>
  <c r="C20" i="66"/>
  <c r="T73" i="66"/>
  <c r="D73" i="66" s="1"/>
  <c r="C73" i="66"/>
  <c r="C34" i="66"/>
  <c r="T34" i="66"/>
  <c r="D34" i="66" s="1"/>
  <c r="C13" i="73"/>
  <c r="T13" i="73"/>
  <c r="D13" i="73" s="1"/>
  <c r="T38" i="73"/>
  <c r="D38" i="73" s="1"/>
  <c r="C38" i="73"/>
  <c r="T64" i="73"/>
  <c r="D64" i="73" s="1"/>
  <c r="C64" i="73"/>
  <c r="T54" i="73"/>
  <c r="D54" i="73" s="1"/>
  <c r="C54" i="73"/>
  <c r="T52" i="66"/>
  <c r="D52" i="66" s="1"/>
  <c r="C52" i="66"/>
  <c r="T46" i="66"/>
  <c r="D46" i="66" s="1"/>
  <c r="C46" i="66"/>
  <c r="C75" i="66"/>
  <c r="T75" i="66"/>
  <c r="D75" i="66" s="1"/>
  <c r="C57" i="73"/>
  <c r="T57" i="73"/>
  <c r="D57" i="73" s="1"/>
  <c r="T44" i="66"/>
  <c r="D44" i="66" s="1"/>
  <c r="C44" i="66"/>
  <c r="T19" i="73"/>
  <c r="D19" i="73" s="1"/>
  <c r="C19" i="73"/>
  <c r="T44" i="73"/>
  <c r="D44" i="73" s="1"/>
  <c r="C44" i="73"/>
  <c r="T30" i="66"/>
  <c r="D30" i="66" s="1"/>
  <c r="C30" i="66"/>
  <c r="C43" i="66"/>
  <c r="T43" i="66"/>
  <c r="D43" i="66" s="1"/>
  <c r="C6" i="66"/>
  <c r="T6" i="66"/>
  <c r="D6" i="66" s="1"/>
  <c r="T64" i="66"/>
  <c r="D64" i="66" s="1"/>
  <c r="C64" i="66"/>
  <c r="T15" i="73"/>
  <c r="D15" i="73" s="1"/>
  <c r="C15" i="73"/>
  <c r="T49" i="66"/>
  <c r="D49" i="66" s="1"/>
  <c r="C49" i="66"/>
  <c r="T50" i="73"/>
  <c r="D50" i="73" s="1"/>
  <c r="C50" i="73"/>
  <c r="D665" i="58"/>
  <c r="B73" i="67"/>
  <c r="B74" i="67" s="1"/>
  <c r="C72" i="67"/>
  <c r="C71" i="67"/>
  <c r="C16" i="66"/>
  <c r="T16" i="66"/>
  <c r="D16" i="66" s="1"/>
  <c r="C27" i="66"/>
  <c r="T27" i="66"/>
  <c r="D27" i="66" s="1"/>
  <c r="C15" i="66"/>
  <c r="T15" i="66"/>
  <c r="D15" i="66" s="1"/>
  <c r="D726" i="58"/>
  <c r="B70" i="70"/>
  <c r="B71" i="70" s="1"/>
  <c r="C68" i="70"/>
  <c r="C69" i="70"/>
  <c r="C10" i="73"/>
  <c r="T10" i="73"/>
  <c r="D10" i="73" s="1"/>
  <c r="C29" i="73"/>
  <c r="T29" i="73"/>
  <c r="D29" i="73" s="1"/>
  <c r="T14" i="66"/>
  <c r="D14" i="66" s="1"/>
  <c r="C14" i="66"/>
  <c r="T14" i="73"/>
  <c r="D14" i="73" s="1"/>
  <c r="C14" i="73"/>
  <c r="C16" i="73"/>
  <c r="T16" i="73"/>
  <c r="D16" i="73" s="1"/>
  <c r="T74" i="66"/>
  <c r="D74" i="66" s="1"/>
  <c r="C74" i="66"/>
  <c r="C68" i="73"/>
  <c r="T68" i="73"/>
  <c r="D68" i="73" s="1"/>
  <c r="C63" i="66"/>
  <c r="T63" i="66"/>
  <c r="D63" i="66" s="1"/>
  <c r="T59" i="73"/>
  <c r="D59" i="73" s="1"/>
  <c r="C59" i="73"/>
  <c r="T51" i="73"/>
  <c r="D51" i="73" s="1"/>
  <c r="C51" i="73"/>
  <c r="T63" i="73"/>
  <c r="D63" i="73" s="1"/>
  <c r="C63" i="73"/>
  <c r="C20" i="73"/>
  <c r="T20" i="73"/>
  <c r="D20" i="73" s="1"/>
  <c r="T60" i="73"/>
  <c r="D60" i="73" s="1"/>
  <c r="C60" i="73"/>
  <c r="C21" i="73"/>
  <c r="T21" i="73"/>
  <c r="D21" i="73" s="1"/>
  <c r="T32" i="66"/>
  <c r="D32" i="66" s="1"/>
  <c r="C32" i="66"/>
  <c r="T28" i="66"/>
  <c r="D28" i="66" s="1"/>
  <c r="C28" i="66"/>
  <c r="T70" i="73"/>
  <c r="D70" i="73" s="1"/>
  <c r="C70" i="73"/>
  <c r="T42" i="73"/>
  <c r="D42" i="73" s="1"/>
  <c r="C42" i="73"/>
  <c r="T27" i="73"/>
  <c r="D27" i="73" s="1"/>
  <c r="C27" i="73"/>
  <c r="C31" i="73"/>
  <c r="T31" i="73"/>
  <c r="D31" i="73" s="1"/>
  <c r="C47" i="66"/>
  <c r="T47" i="66"/>
  <c r="D47" i="66" s="1"/>
  <c r="C19" i="66"/>
  <c r="T19" i="66"/>
  <c r="D19" i="66" s="1"/>
  <c r="C7" i="66"/>
  <c r="T7" i="66"/>
  <c r="D7" i="66" s="1"/>
  <c r="C68" i="66"/>
  <c r="T68" i="66"/>
  <c r="D68" i="66" s="1"/>
  <c r="F20" i="69" l="1"/>
  <c r="D69" i="70"/>
  <c r="I8" i="73"/>
  <c r="F20" i="68"/>
  <c r="I7" i="66"/>
  <c r="I8" i="66" s="1"/>
  <c r="D72" i="67"/>
  <c r="B606" i="58"/>
  <c r="A606" i="58"/>
  <c r="A605" i="58"/>
  <c r="A604" i="58"/>
  <c r="A603" i="58"/>
  <c r="A602" i="58"/>
  <c r="A601" i="58"/>
  <c r="A600" i="58"/>
  <c r="A599" i="58"/>
  <c r="A598" i="58"/>
  <c r="A597" i="58"/>
  <c r="A596" i="58"/>
  <c r="A595" i="58"/>
  <c r="A594" i="58"/>
  <c r="A593" i="58"/>
  <c r="A592" i="58"/>
  <c r="A591" i="58"/>
  <c r="A590" i="58"/>
  <c r="A589" i="58"/>
  <c r="A588" i="58"/>
  <c r="A587" i="58"/>
  <c r="A586" i="58"/>
  <c r="A585" i="58"/>
  <c r="A584" i="58"/>
  <c r="A583" i="58"/>
  <c r="A582" i="58"/>
  <c r="A581" i="58"/>
  <c r="A580" i="58"/>
  <c r="A579" i="58"/>
  <c r="A578" i="58"/>
  <c r="A577" i="58"/>
  <c r="A576" i="58"/>
  <c r="A575" i="58"/>
  <c r="A574" i="58"/>
  <c r="A573" i="58"/>
  <c r="A572" i="58"/>
  <c r="A571" i="58"/>
  <c r="A570" i="58"/>
  <c r="A569" i="58"/>
  <c r="A568" i="58"/>
  <c r="A567" i="58"/>
  <c r="A566" i="58"/>
  <c r="A565" i="58"/>
  <c r="A564" i="58"/>
  <c r="A563" i="58"/>
  <c r="A562" i="58"/>
  <c r="A561" i="58"/>
  <c r="A560" i="58"/>
  <c r="A559" i="58"/>
  <c r="A558" i="58"/>
  <c r="A557" i="58"/>
  <c r="A556" i="58"/>
  <c r="A555" i="58"/>
  <c r="A554" i="58"/>
  <c r="B553" i="58"/>
  <c r="A553" i="58"/>
  <c r="R50" i="66" l="1"/>
  <c r="R72" i="66"/>
  <c r="R56" i="66"/>
  <c r="R71" i="66"/>
  <c r="R55" i="66"/>
  <c r="R60" i="66"/>
  <c r="R66" i="66"/>
  <c r="R70" i="66"/>
  <c r="R67" i="66"/>
  <c r="R69" i="66"/>
  <c r="R61" i="66"/>
  <c r="R59" i="66"/>
  <c r="R57" i="66"/>
  <c r="R76" i="66"/>
  <c r="R58" i="66"/>
  <c r="R65" i="66"/>
  <c r="R48" i="66"/>
  <c r="R40" i="66"/>
  <c r="R21" i="66"/>
  <c r="R53" i="66"/>
  <c r="R37" i="66"/>
  <c r="R41" i="66"/>
  <c r="R11" i="66"/>
  <c r="R23" i="66"/>
  <c r="R39" i="66"/>
  <c r="R35" i="66"/>
  <c r="R42" i="66"/>
  <c r="R51" i="66"/>
  <c r="R29" i="66"/>
  <c r="R31" i="66"/>
  <c r="R18" i="66"/>
  <c r="R5" i="66"/>
  <c r="R54" i="66"/>
  <c r="R38" i="66"/>
  <c r="R26" i="66"/>
  <c r="R24" i="66"/>
  <c r="R22" i="66"/>
  <c r="R10" i="66"/>
  <c r="R17" i="66"/>
  <c r="R13" i="66"/>
  <c r="R12" i="66"/>
  <c r="R33" i="66"/>
  <c r="R9" i="73"/>
  <c r="R25" i="73"/>
  <c r="R35" i="73"/>
  <c r="R5" i="73"/>
  <c r="R30" i="73"/>
  <c r="R23" i="73"/>
  <c r="R12" i="73"/>
  <c r="R28" i="73"/>
  <c r="R46" i="73"/>
  <c r="R26" i="73"/>
  <c r="R17" i="73"/>
  <c r="R37" i="73"/>
  <c r="R65" i="73"/>
  <c r="R45" i="73"/>
  <c r="R32" i="73"/>
  <c r="R62" i="73"/>
  <c r="R71" i="73"/>
  <c r="R61" i="73"/>
  <c r="R52" i="73"/>
  <c r="R43" i="73"/>
  <c r="R34" i="73"/>
  <c r="R67" i="73"/>
  <c r="R53" i="73"/>
  <c r="R24" i="73"/>
  <c r="R11" i="73"/>
  <c r="R22" i="73"/>
  <c r="R48" i="73"/>
  <c r="R36" i="73"/>
  <c r="R18" i="73"/>
  <c r="R55" i="73"/>
  <c r="R40" i="73"/>
  <c r="R41" i="73"/>
  <c r="R47" i="73"/>
  <c r="R66" i="73"/>
  <c r="R39" i="73"/>
  <c r="R7" i="73"/>
  <c r="X4" i="59"/>
  <c r="X7" i="59"/>
  <c r="X5" i="59"/>
  <c r="R7" i="59"/>
  <c r="X9" i="59"/>
  <c r="R8" i="59"/>
  <c r="X8" i="59"/>
  <c r="R5" i="59"/>
  <c r="R6" i="59"/>
  <c r="X6" i="59"/>
  <c r="R4" i="59"/>
  <c r="R9" i="59"/>
  <c r="C4" i="59"/>
  <c r="C7" i="59"/>
  <c r="C14" i="59" s="1"/>
  <c r="C5" i="59"/>
  <c r="C22" i="59" s="1"/>
  <c r="C6" i="59"/>
  <c r="C23" i="59" s="1"/>
  <c r="C10" i="59"/>
  <c r="C15" i="59" s="1"/>
  <c r="H4" i="59"/>
  <c r="H7" i="59"/>
  <c r="H14" i="59" s="1"/>
  <c r="H6" i="59"/>
  <c r="H10" i="59"/>
  <c r="H15" i="59" s="1"/>
  <c r="H12" i="59" l="1"/>
  <c r="H13" i="59"/>
  <c r="C21" i="59"/>
  <c r="C24" i="59" s="1"/>
  <c r="C13" i="59"/>
  <c r="C12" i="59"/>
  <c r="C13" i="66"/>
  <c r="T13" i="66"/>
  <c r="D13" i="66" s="1"/>
  <c r="C23" i="66"/>
  <c r="T23" i="66"/>
  <c r="D23" i="66" s="1"/>
  <c r="T65" i="66"/>
  <c r="D65" i="66" s="1"/>
  <c r="C65" i="66"/>
  <c r="T70" i="66"/>
  <c r="D70" i="66" s="1"/>
  <c r="C70" i="66"/>
  <c r="C5" i="66"/>
  <c r="T5" i="66"/>
  <c r="C7" i="73"/>
  <c r="T7" i="73"/>
  <c r="D7" i="73" s="1"/>
  <c r="C45" i="73"/>
  <c r="T45" i="73"/>
  <c r="D45" i="73" s="1"/>
  <c r="C65" i="73"/>
  <c r="T65" i="73"/>
  <c r="D65" i="73" s="1"/>
  <c r="C11" i="66"/>
  <c r="T11" i="66"/>
  <c r="D11" i="66" s="1"/>
  <c r="T36" i="73"/>
  <c r="D36" i="73" s="1"/>
  <c r="C36" i="73"/>
  <c r="T10" i="66"/>
  <c r="D10" i="66" s="1"/>
  <c r="C10" i="66"/>
  <c r="C31" i="66"/>
  <c r="T31" i="66"/>
  <c r="D31" i="66" s="1"/>
  <c r="T39" i="73"/>
  <c r="D39" i="73" s="1"/>
  <c r="C39" i="73"/>
  <c r="T48" i="73"/>
  <c r="D48" i="73" s="1"/>
  <c r="C48" i="73"/>
  <c r="T52" i="73"/>
  <c r="D52" i="73" s="1"/>
  <c r="C52" i="73"/>
  <c r="C17" i="73"/>
  <c r="T17" i="73"/>
  <c r="D17" i="73" s="1"/>
  <c r="C35" i="73"/>
  <c r="T35" i="73"/>
  <c r="D35" i="73" s="1"/>
  <c r="T22" i="66"/>
  <c r="D22" i="66" s="1"/>
  <c r="C22" i="66"/>
  <c r="C29" i="66"/>
  <c r="T29" i="66"/>
  <c r="D29" i="66" s="1"/>
  <c r="C37" i="66"/>
  <c r="T37" i="66"/>
  <c r="D37" i="66" s="1"/>
  <c r="T57" i="66"/>
  <c r="D57" i="66" s="1"/>
  <c r="C57" i="66"/>
  <c r="T55" i="66"/>
  <c r="D55" i="66" s="1"/>
  <c r="C55" i="66"/>
  <c r="T18" i="73"/>
  <c r="D18" i="73" s="1"/>
  <c r="C18" i="73"/>
  <c r="T66" i="66"/>
  <c r="D66" i="66" s="1"/>
  <c r="C66" i="66"/>
  <c r="T43" i="73"/>
  <c r="D43" i="73" s="1"/>
  <c r="C43" i="73"/>
  <c r="T26" i="73"/>
  <c r="D26" i="73" s="1"/>
  <c r="C26" i="73"/>
  <c r="C51" i="66"/>
  <c r="T51" i="66"/>
  <c r="D51" i="66" s="1"/>
  <c r="C53" i="66"/>
  <c r="T53" i="66"/>
  <c r="D53" i="66" s="1"/>
  <c r="C59" i="66"/>
  <c r="T59" i="66"/>
  <c r="D59" i="66" s="1"/>
  <c r="C71" i="66"/>
  <c r="T71" i="66"/>
  <c r="D71" i="66" s="1"/>
  <c r="T23" i="73"/>
  <c r="D23" i="73" s="1"/>
  <c r="C23" i="73"/>
  <c r="T30" i="73"/>
  <c r="D30" i="73" s="1"/>
  <c r="C30" i="73"/>
  <c r="T58" i="66"/>
  <c r="D58" i="66" s="1"/>
  <c r="C58" i="66"/>
  <c r="C5" i="73"/>
  <c r="T5" i="73"/>
  <c r="C76" i="66"/>
  <c r="T76" i="66"/>
  <c r="D76" i="66" s="1"/>
  <c r="C61" i="73"/>
  <c r="T61" i="73"/>
  <c r="D61" i="73" s="1"/>
  <c r="T11" i="73"/>
  <c r="D11" i="73" s="1"/>
  <c r="C11" i="73"/>
  <c r="C9" i="73"/>
  <c r="T9" i="73"/>
  <c r="D9" i="73" s="1"/>
  <c r="T26" i="66"/>
  <c r="D26" i="66" s="1"/>
  <c r="C26" i="66"/>
  <c r="T42" i="66"/>
  <c r="D42" i="66" s="1"/>
  <c r="C42" i="66"/>
  <c r="C21" i="66"/>
  <c r="T21" i="66"/>
  <c r="D21" i="66" s="1"/>
  <c r="T61" i="66"/>
  <c r="D61" i="66" s="1"/>
  <c r="C61" i="66"/>
  <c r="T56" i="66"/>
  <c r="D56" i="66" s="1"/>
  <c r="C56" i="66"/>
  <c r="T55" i="73"/>
  <c r="D55" i="73" s="1"/>
  <c r="C55" i="73"/>
  <c r="C17" i="66"/>
  <c r="T17" i="66"/>
  <c r="D17" i="66" s="1"/>
  <c r="C60" i="66"/>
  <c r="T60" i="66"/>
  <c r="D60" i="66" s="1"/>
  <c r="T22" i="73"/>
  <c r="D22" i="73" s="1"/>
  <c r="C22" i="73"/>
  <c r="C25" i="73"/>
  <c r="T25" i="73"/>
  <c r="D25" i="73" s="1"/>
  <c r="T28" i="73"/>
  <c r="D28" i="73" s="1"/>
  <c r="C28" i="73"/>
  <c r="C33" i="66"/>
  <c r="T33" i="66"/>
  <c r="D33" i="66" s="1"/>
  <c r="T38" i="66"/>
  <c r="D38" i="66" s="1"/>
  <c r="C38" i="66"/>
  <c r="C35" i="66"/>
  <c r="T35" i="66"/>
  <c r="D35" i="66" s="1"/>
  <c r="T40" i="66"/>
  <c r="D40" i="66" s="1"/>
  <c r="C40" i="66"/>
  <c r="T69" i="66"/>
  <c r="D69" i="66" s="1"/>
  <c r="C69" i="66"/>
  <c r="T72" i="66"/>
  <c r="D72" i="66" s="1"/>
  <c r="C72" i="66"/>
  <c r="T67" i="73"/>
  <c r="D67" i="73" s="1"/>
  <c r="C67" i="73"/>
  <c r="T34" i="73"/>
  <c r="D34" i="73" s="1"/>
  <c r="C34" i="73"/>
  <c r="T18" i="66"/>
  <c r="D18" i="66" s="1"/>
  <c r="C18" i="66"/>
  <c r="C37" i="73"/>
  <c r="T37" i="73"/>
  <c r="D37" i="73" s="1"/>
  <c r="C41" i="66"/>
  <c r="T41" i="66"/>
  <c r="D41" i="66" s="1"/>
  <c r="C66" i="73"/>
  <c r="T66" i="73"/>
  <c r="D66" i="73" s="1"/>
  <c r="T24" i="66"/>
  <c r="D24" i="66" s="1"/>
  <c r="C24" i="66"/>
  <c r="T47" i="73"/>
  <c r="D47" i="73" s="1"/>
  <c r="C47" i="73"/>
  <c r="C71" i="73"/>
  <c r="T71" i="73"/>
  <c r="D71" i="73" s="1"/>
  <c r="C46" i="73"/>
  <c r="T46" i="73"/>
  <c r="D46" i="73" s="1"/>
  <c r="C41" i="73"/>
  <c r="T41" i="73"/>
  <c r="D41" i="73" s="1"/>
  <c r="C24" i="73"/>
  <c r="T24" i="73"/>
  <c r="D24" i="73" s="1"/>
  <c r="T62" i="73"/>
  <c r="D62" i="73" s="1"/>
  <c r="C62" i="73"/>
  <c r="C40" i="73"/>
  <c r="T40" i="73"/>
  <c r="D40" i="73" s="1"/>
  <c r="C53" i="73"/>
  <c r="T53" i="73"/>
  <c r="D53" i="73" s="1"/>
  <c r="T32" i="73"/>
  <c r="D32" i="73" s="1"/>
  <c r="C32" i="73"/>
  <c r="C12" i="73"/>
  <c r="T12" i="73"/>
  <c r="D12" i="73" s="1"/>
  <c r="T12" i="66"/>
  <c r="D12" i="66" s="1"/>
  <c r="C12" i="66"/>
  <c r="T54" i="66"/>
  <c r="D54" i="66" s="1"/>
  <c r="C54" i="66"/>
  <c r="C39" i="66"/>
  <c r="T39" i="66"/>
  <c r="D39" i="66" s="1"/>
  <c r="T48" i="66"/>
  <c r="D48" i="66" s="1"/>
  <c r="C48" i="66"/>
  <c r="C67" i="66"/>
  <c r="T67" i="66"/>
  <c r="D67" i="66" s="1"/>
  <c r="T50" i="66"/>
  <c r="D50" i="66" s="1"/>
  <c r="C50" i="66"/>
  <c r="B80" i="63"/>
  <c r="D5" i="73" l="1"/>
  <c r="D81" i="73" s="1"/>
  <c r="T77" i="73"/>
  <c r="D5" i="66"/>
  <c r="D81" i="66" s="1"/>
  <c r="T77" i="66"/>
  <c r="D21" i="64"/>
  <c r="C606" i="58"/>
  <c r="F22" i="68" l="1"/>
  <c r="D673" i="58"/>
  <c r="D737" i="58"/>
  <c r="F22" i="69"/>
  <c r="M15" i="40"/>
  <c r="O14" i="40" l="1"/>
  <c r="F23" i="69"/>
  <c r="G23" i="69" s="1"/>
  <c r="O9" i="40" s="1"/>
  <c r="N14" i="40"/>
  <c r="F23" i="68"/>
  <c r="G23" i="68" s="1"/>
  <c r="N9" i="40" s="1"/>
  <c r="B59" i="62"/>
  <c r="Q5" i="56" l="1"/>
  <c r="P5" i="56"/>
  <c r="R10" i="56"/>
  <c r="I2" i="62" l="1"/>
  <c r="I3" i="63"/>
  <c r="I2" i="54"/>
  <c r="H2" i="53"/>
  <c r="Q2" i="56"/>
  <c r="R46" i="63" l="1"/>
  <c r="R19" i="63"/>
  <c r="R14" i="63"/>
  <c r="R5" i="63"/>
  <c r="R64" i="63"/>
  <c r="R50" i="63"/>
  <c r="R9" i="63"/>
  <c r="R68" i="63"/>
  <c r="R54" i="63"/>
  <c r="R45" i="63"/>
  <c r="R22" i="63"/>
  <c r="R67" i="63"/>
  <c r="R62" i="63"/>
  <c r="R70" i="63"/>
  <c r="R61" i="63"/>
  <c r="R43" i="63"/>
  <c r="R6" i="63"/>
  <c r="R57" i="63"/>
  <c r="R47" i="63"/>
  <c r="R26" i="63"/>
  <c r="R8" i="63"/>
  <c r="T8" i="63" s="1"/>
  <c r="R12" i="63"/>
  <c r="R66" i="63"/>
  <c r="R35" i="63"/>
  <c r="R16" i="63"/>
  <c r="R15" i="63"/>
  <c r="R21" i="63"/>
  <c r="R42" i="63"/>
  <c r="R40" i="63"/>
  <c r="R71" i="63"/>
  <c r="R58" i="63"/>
  <c r="R48" i="63"/>
  <c r="R39" i="63"/>
  <c r="Q57" i="53"/>
  <c r="Q49" i="53"/>
  <c r="Q41" i="53"/>
  <c r="Q17" i="53"/>
  <c r="Q53" i="53"/>
  <c r="Q45" i="53"/>
  <c r="Q29" i="53"/>
  <c r="Q13" i="53"/>
  <c r="Q54" i="53"/>
  <c r="Q43" i="53"/>
  <c r="Q22" i="53"/>
  <c r="Q11" i="53"/>
  <c r="Q63" i="53"/>
  <c r="Q52" i="53"/>
  <c r="Q20" i="53"/>
  <c r="Q10" i="53"/>
  <c r="Q62" i="53"/>
  <c r="Q40" i="53"/>
  <c r="Q9" i="53"/>
  <c r="Q70" i="53"/>
  <c r="Q59" i="53"/>
  <c r="Q48" i="53"/>
  <c r="Q38" i="53"/>
  <c r="Q16" i="53"/>
  <c r="Q67" i="53"/>
  <c r="Q46" i="53"/>
  <c r="Q24" i="53"/>
  <c r="Q14" i="53"/>
  <c r="Q5" i="53"/>
  <c r="Q34" i="53"/>
  <c r="Q6" i="53"/>
  <c r="Q58" i="53"/>
  <c r="Q26" i="53"/>
  <c r="Q50" i="53"/>
  <c r="Q23" i="53"/>
  <c r="Q47" i="53"/>
  <c r="Q71" i="53"/>
  <c r="Q44" i="53"/>
  <c r="Q66" i="53"/>
  <c r="Q36" i="53"/>
  <c r="G52" i="54"/>
  <c r="C52" i="54" s="1"/>
  <c r="D547" i="58" s="1"/>
  <c r="G51" i="54"/>
  <c r="C51" i="54" s="1"/>
  <c r="D546" i="58" s="1"/>
  <c r="G50" i="54"/>
  <c r="C50" i="54" s="1"/>
  <c r="D545" i="58" s="1"/>
  <c r="G52" i="62"/>
  <c r="C52" i="62" s="1"/>
  <c r="D601" i="58" s="1"/>
  <c r="G50" i="62"/>
  <c r="C50" i="62" s="1"/>
  <c r="D599" i="58" s="1"/>
  <c r="G51" i="62"/>
  <c r="C51" i="62" s="1"/>
  <c r="D600" i="58" s="1"/>
  <c r="B63" i="62"/>
  <c r="B64" i="62" s="1"/>
  <c r="B58" i="62"/>
  <c r="C29" i="53" l="1"/>
  <c r="S29" i="53"/>
  <c r="D29" i="53" s="1"/>
  <c r="C48" i="63"/>
  <c r="T48" i="63"/>
  <c r="D48" i="63" s="1"/>
  <c r="C35" i="63"/>
  <c r="T35" i="63"/>
  <c r="D35" i="63" s="1"/>
  <c r="C43" i="63"/>
  <c r="T43" i="63"/>
  <c r="D43" i="63" s="1"/>
  <c r="T68" i="63"/>
  <c r="D68" i="63" s="1"/>
  <c r="C68" i="63"/>
  <c r="S20" i="53"/>
  <c r="D20" i="53" s="1"/>
  <c r="C20" i="53"/>
  <c r="S48" i="53"/>
  <c r="D48" i="53" s="1"/>
  <c r="C48" i="53"/>
  <c r="C63" i="53"/>
  <c r="S63" i="53"/>
  <c r="D63" i="53" s="1"/>
  <c r="T50" i="63"/>
  <c r="D50" i="63" s="1"/>
  <c r="C50" i="63"/>
  <c r="S38" i="53"/>
  <c r="D38" i="53" s="1"/>
  <c r="C38" i="53"/>
  <c r="S52" i="53"/>
  <c r="D52" i="53" s="1"/>
  <c r="C52" i="53"/>
  <c r="C9" i="63"/>
  <c r="T9" i="63"/>
  <c r="D9" i="63" s="1"/>
  <c r="C5" i="53"/>
  <c r="S5" i="53"/>
  <c r="D5" i="53" s="1"/>
  <c r="T70" i="63"/>
  <c r="D70" i="63" s="1"/>
  <c r="C70" i="63"/>
  <c r="C47" i="53"/>
  <c r="S47" i="53"/>
  <c r="D47" i="53" s="1"/>
  <c r="C11" i="53"/>
  <c r="S11" i="53"/>
  <c r="D11" i="53" s="1"/>
  <c r="C17" i="53"/>
  <c r="S17" i="53"/>
  <c r="D17" i="53" s="1"/>
  <c r="T40" i="63"/>
  <c r="D40" i="63" s="1"/>
  <c r="C40" i="63"/>
  <c r="T62" i="63"/>
  <c r="D62" i="63" s="1"/>
  <c r="C62" i="63"/>
  <c r="T64" i="63"/>
  <c r="D64" i="63" s="1"/>
  <c r="C64" i="63"/>
  <c r="C45" i="53"/>
  <c r="S45" i="53"/>
  <c r="D45" i="53" s="1"/>
  <c r="C61" i="63"/>
  <c r="T61" i="63"/>
  <c r="D61" i="63" s="1"/>
  <c r="C59" i="53"/>
  <c r="S59" i="53"/>
  <c r="D59" i="53" s="1"/>
  <c r="C12" i="63"/>
  <c r="T12" i="63"/>
  <c r="D12" i="63" s="1"/>
  <c r="C23" i="53"/>
  <c r="S23" i="53"/>
  <c r="D23" i="53" s="1"/>
  <c r="S22" i="53"/>
  <c r="D22" i="53" s="1"/>
  <c r="C22" i="53"/>
  <c r="T42" i="63"/>
  <c r="D42" i="63" s="1"/>
  <c r="C42" i="63"/>
  <c r="T26" i="63"/>
  <c r="D26" i="63" s="1"/>
  <c r="C26" i="63"/>
  <c r="C67" i="63"/>
  <c r="T67" i="63"/>
  <c r="D67" i="63" s="1"/>
  <c r="C5" i="63"/>
  <c r="T5" i="63"/>
  <c r="D5" i="63" s="1"/>
  <c r="S44" i="53"/>
  <c r="D44" i="53" s="1"/>
  <c r="C44" i="53"/>
  <c r="T66" i="63"/>
  <c r="D66" i="63" s="1"/>
  <c r="C66" i="63"/>
  <c r="C71" i="53"/>
  <c r="S71" i="53"/>
  <c r="D71" i="53" s="1"/>
  <c r="C71" i="63"/>
  <c r="T71" i="63"/>
  <c r="D71" i="63" s="1"/>
  <c r="S70" i="53"/>
  <c r="D70" i="53" s="1"/>
  <c r="C70" i="53"/>
  <c r="S50" i="53"/>
  <c r="D50" i="53" s="1"/>
  <c r="C50" i="53"/>
  <c r="S46" i="53"/>
  <c r="D46" i="53" s="1"/>
  <c r="C46" i="53"/>
  <c r="S40" i="53"/>
  <c r="D40" i="53" s="1"/>
  <c r="C40" i="53"/>
  <c r="C43" i="53"/>
  <c r="S43" i="53"/>
  <c r="D43" i="53" s="1"/>
  <c r="C49" i="53"/>
  <c r="S49" i="53"/>
  <c r="D49" i="53" s="1"/>
  <c r="C21" i="63"/>
  <c r="T21" i="63"/>
  <c r="D21" i="63" s="1"/>
  <c r="C47" i="63"/>
  <c r="T47" i="63"/>
  <c r="D47" i="63" s="1"/>
  <c r="T22" i="63"/>
  <c r="D22" i="63" s="1"/>
  <c r="C22" i="63"/>
  <c r="T14" i="63"/>
  <c r="D14" i="63" s="1"/>
  <c r="C14" i="63"/>
  <c r="S66" i="53"/>
  <c r="D66" i="53" s="1"/>
  <c r="C66" i="53"/>
  <c r="T58" i="63"/>
  <c r="D58" i="63" s="1"/>
  <c r="C58" i="63"/>
  <c r="S14" i="53"/>
  <c r="D14" i="53" s="1"/>
  <c r="C14" i="53"/>
  <c r="S24" i="53"/>
  <c r="D24" i="53" s="1"/>
  <c r="C24" i="53"/>
  <c r="C9" i="53"/>
  <c r="S9" i="53"/>
  <c r="D9" i="53" s="1"/>
  <c r="C41" i="53"/>
  <c r="S41" i="53"/>
  <c r="D41" i="53" s="1"/>
  <c r="S26" i="53"/>
  <c r="D26" i="53" s="1"/>
  <c r="C26" i="53"/>
  <c r="C67" i="53"/>
  <c r="S67" i="53"/>
  <c r="D67" i="53" s="1"/>
  <c r="S62" i="53"/>
  <c r="D62" i="53" s="1"/>
  <c r="C62" i="53"/>
  <c r="S54" i="53"/>
  <c r="D54" i="53" s="1"/>
  <c r="C54" i="53"/>
  <c r="C57" i="53"/>
  <c r="S57" i="53"/>
  <c r="D57" i="53" s="1"/>
  <c r="C15" i="63"/>
  <c r="T15" i="63"/>
  <c r="D15" i="63" s="1"/>
  <c r="C57" i="63"/>
  <c r="T57" i="63"/>
  <c r="D57" i="63" s="1"/>
  <c r="C45" i="63"/>
  <c r="T45" i="63"/>
  <c r="D45" i="63" s="1"/>
  <c r="C19" i="63"/>
  <c r="T19" i="63"/>
  <c r="D19" i="63" s="1"/>
  <c r="C6" i="53"/>
  <c r="S6" i="53"/>
  <c r="D6" i="53" s="1"/>
  <c r="S34" i="53"/>
  <c r="D34" i="53" s="1"/>
  <c r="C34" i="53"/>
  <c r="C53" i="53"/>
  <c r="S53" i="53"/>
  <c r="D53" i="53" s="1"/>
  <c r="G58" i="62"/>
  <c r="S36" i="53"/>
  <c r="D36" i="53" s="1"/>
  <c r="C36" i="53"/>
  <c r="S58" i="53"/>
  <c r="D58" i="53" s="1"/>
  <c r="C58" i="53"/>
  <c r="S16" i="53"/>
  <c r="D16" i="53" s="1"/>
  <c r="C16" i="53"/>
  <c r="C10" i="53"/>
  <c r="S10" i="53"/>
  <c r="D10" i="53" s="1"/>
  <c r="C13" i="53"/>
  <c r="S13" i="53"/>
  <c r="D13" i="53" s="1"/>
  <c r="C39" i="63"/>
  <c r="T39" i="63"/>
  <c r="D39" i="63" s="1"/>
  <c r="C16" i="63"/>
  <c r="T16" i="63"/>
  <c r="D16" i="63" s="1"/>
  <c r="T6" i="63"/>
  <c r="D6" i="63" s="1"/>
  <c r="C6" i="63"/>
  <c r="T54" i="63"/>
  <c r="D54" i="63" s="1"/>
  <c r="C54" i="63"/>
  <c r="T46" i="63"/>
  <c r="D46" i="63" s="1"/>
  <c r="C46" i="63"/>
  <c r="I6" i="63"/>
  <c r="D19" i="64"/>
  <c r="C58" i="62"/>
  <c r="F19" i="64" s="1"/>
  <c r="C59" i="62"/>
  <c r="B60" i="62"/>
  <c r="B61" i="62" s="1"/>
  <c r="D22" i="64" l="1"/>
  <c r="E20" i="64" s="1"/>
  <c r="E19" i="64"/>
  <c r="E21" i="64"/>
  <c r="M16" i="40" s="1"/>
  <c r="I7" i="63"/>
  <c r="I8" i="63" s="1"/>
  <c r="R69" i="63" l="1"/>
  <c r="R60" i="63"/>
  <c r="R51" i="63"/>
  <c r="R37" i="63"/>
  <c r="R28" i="63"/>
  <c r="R73" i="63"/>
  <c r="R55" i="63"/>
  <c r="R41" i="63"/>
  <c r="R32" i="63"/>
  <c r="R23" i="63"/>
  <c r="R18" i="63"/>
  <c r="R59" i="63"/>
  <c r="R36" i="63"/>
  <c r="R27" i="63"/>
  <c r="R13" i="63"/>
  <c r="R53" i="63"/>
  <c r="R52" i="63"/>
  <c r="R38" i="63"/>
  <c r="R29" i="63"/>
  <c r="R20" i="63"/>
  <c r="R11" i="63"/>
  <c r="R56" i="63"/>
  <c r="R17" i="63"/>
  <c r="R33" i="63"/>
  <c r="R44" i="63"/>
  <c r="R65" i="63"/>
  <c r="R34" i="63"/>
  <c r="R25" i="63"/>
  <c r="R7" i="63"/>
  <c r="R63" i="63"/>
  <c r="R24" i="63"/>
  <c r="R49" i="63"/>
  <c r="R31" i="63"/>
  <c r="R72" i="63"/>
  <c r="R30" i="63"/>
  <c r="R10" i="63"/>
  <c r="C63" i="62"/>
  <c r="B390" i="58"/>
  <c r="B332" i="58"/>
  <c r="B274" i="58"/>
  <c r="B215" i="58"/>
  <c r="B155" i="58"/>
  <c r="B98" i="58"/>
  <c r="G96" i="58"/>
  <c r="F96" i="58"/>
  <c r="E96" i="58"/>
  <c r="D96" i="58"/>
  <c r="C96" i="58"/>
  <c r="B96" i="58"/>
  <c r="G95" i="58"/>
  <c r="F95" i="58"/>
  <c r="E95" i="58"/>
  <c r="D95" i="58"/>
  <c r="C95" i="58"/>
  <c r="B95" i="58"/>
  <c r="G94" i="58"/>
  <c r="F94" i="58"/>
  <c r="E94" i="58"/>
  <c r="D94" i="58"/>
  <c r="C94" i="58"/>
  <c r="B94" i="58"/>
  <c r="G93" i="58"/>
  <c r="F93" i="58"/>
  <c r="E93" i="58"/>
  <c r="D93" i="58"/>
  <c r="C93" i="58"/>
  <c r="B93" i="58"/>
  <c r="G92" i="58"/>
  <c r="F92" i="58"/>
  <c r="E92" i="58"/>
  <c r="D92" i="58"/>
  <c r="C92" i="58"/>
  <c r="B92" i="58"/>
  <c r="G91" i="58"/>
  <c r="F91" i="58"/>
  <c r="E91" i="58"/>
  <c r="D91" i="58"/>
  <c r="C91" i="58"/>
  <c r="B91" i="58"/>
  <c r="G90" i="58"/>
  <c r="F90" i="58"/>
  <c r="E90" i="58"/>
  <c r="D90" i="58"/>
  <c r="C90" i="58"/>
  <c r="B90" i="58"/>
  <c r="G89" i="58"/>
  <c r="F89" i="58"/>
  <c r="E89" i="58"/>
  <c r="D89" i="58"/>
  <c r="C89" i="58"/>
  <c r="B89" i="58"/>
  <c r="G88" i="58"/>
  <c r="F88" i="58"/>
  <c r="E88" i="58"/>
  <c r="D88" i="58"/>
  <c r="C88" i="58"/>
  <c r="B88" i="58"/>
  <c r="G87" i="58"/>
  <c r="F87" i="58"/>
  <c r="E87" i="58"/>
  <c r="D87" i="58"/>
  <c r="C87" i="58"/>
  <c r="B87" i="58"/>
  <c r="G86" i="58"/>
  <c r="F86" i="58"/>
  <c r="E86" i="58"/>
  <c r="D86" i="58"/>
  <c r="C86" i="58"/>
  <c r="B86" i="58"/>
  <c r="G85" i="58"/>
  <c r="F85" i="58"/>
  <c r="E85" i="58"/>
  <c r="D85" i="58"/>
  <c r="C85" i="58"/>
  <c r="B85" i="58"/>
  <c r="G84" i="58"/>
  <c r="F84" i="58"/>
  <c r="E84" i="58"/>
  <c r="D84" i="58"/>
  <c r="C84" i="58"/>
  <c r="B84" i="58"/>
  <c r="G83" i="58"/>
  <c r="F83" i="58"/>
  <c r="E83" i="58"/>
  <c r="D83" i="58"/>
  <c r="C83" i="58"/>
  <c r="B83" i="58"/>
  <c r="G82" i="58"/>
  <c r="F82" i="58"/>
  <c r="E82" i="58"/>
  <c r="D82" i="58"/>
  <c r="C82" i="58"/>
  <c r="B82" i="58"/>
  <c r="G81" i="58"/>
  <c r="F81" i="58"/>
  <c r="E81" i="58"/>
  <c r="D81" i="58"/>
  <c r="C81" i="58"/>
  <c r="B81" i="58"/>
  <c r="G80" i="58"/>
  <c r="F80" i="58"/>
  <c r="E80" i="58"/>
  <c r="D80" i="58"/>
  <c r="C80" i="58"/>
  <c r="B80" i="58"/>
  <c r="G79" i="58"/>
  <c r="F79" i="58"/>
  <c r="E79" i="58"/>
  <c r="D79" i="58"/>
  <c r="C79" i="58"/>
  <c r="B79" i="58"/>
  <c r="G78" i="58"/>
  <c r="F78" i="58"/>
  <c r="E78" i="58"/>
  <c r="D78" i="58"/>
  <c r="C78" i="58"/>
  <c r="B78" i="58"/>
  <c r="G77" i="58"/>
  <c r="F77" i="58"/>
  <c r="E77" i="58"/>
  <c r="D77" i="58"/>
  <c r="C77" i="58"/>
  <c r="B77" i="58"/>
  <c r="G76" i="58"/>
  <c r="F76" i="58"/>
  <c r="E76" i="58"/>
  <c r="D76" i="58"/>
  <c r="C76" i="58"/>
  <c r="B76" i="58"/>
  <c r="G75" i="58"/>
  <c r="F75" i="58"/>
  <c r="E75" i="58"/>
  <c r="D75" i="58"/>
  <c r="C75" i="58"/>
  <c r="B75" i="58"/>
  <c r="G74" i="58"/>
  <c r="F74" i="58"/>
  <c r="E74" i="58"/>
  <c r="D74" i="58"/>
  <c r="C74" i="58"/>
  <c r="B74" i="58"/>
  <c r="G73" i="58"/>
  <c r="F73" i="58"/>
  <c r="E73" i="58"/>
  <c r="D73" i="58"/>
  <c r="C73" i="58"/>
  <c r="B73" i="58"/>
  <c r="G72" i="58"/>
  <c r="F72" i="58"/>
  <c r="E72" i="58"/>
  <c r="D72" i="58"/>
  <c r="C72" i="58"/>
  <c r="B72" i="58"/>
  <c r="G71" i="58"/>
  <c r="F71" i="58"/>
  <c r="E71" i="58"/>
  <c r="D71" i="58"/>
  <c r="C71" i="58"/>
  <c r="B71" i="58"/>
  <c r="G70" i="58"/>
  <c r="F70" i="58"/>
  <c r="E70" i="58"/>
  <c r="D70" i="58"/>
  <c r="C70" i="58"/>
  <c r="B70" i="58"/>
  <c r="G69" i="58"/>
  <c r="F69" i="58"/>
  <c r="E69" i="58"/>
  <c r="D69" i="58"/>
  <c r="C69" i="58"/>
  <c r="B69" i="58"/>
  <c r="G68" i="58"/>
  <c r="F68" i="58"/>
  <c r="E68" i="58"/>
  <c r="D68" i="58"/>
  <c r="C68" i="58"/>
  <c r="B68" i="58"/>
  <c r="G67" i="58"/>
  <c r="F67" i="58"/>
  <c r="E67" i="58"/>
  <c r="D67" i="58"/>
  <c r="C67" i="58"/>
  <c r="B67" i="58"/>
  <c r="G66" i="58"/>
  <c r="F66" i="58"/>
  <c r="E66" i="58"/>
  <c r="D66" i="58"/>
  <c r="C66" i="58"/>
  <c r="B66" i="58"/>
  <c r="G65" i="58"/>
  <c r="F65" i="58"/>
  <c r="E65" i="58"/>
  <c r="D65" i="58"/>
  <c r="C65" i="58"/>
  <c r="B65" i="58"/>
  <c r="G64" i="58"/>
  <c r="F64" i="58"/>
  <c r="E64" i="58"/>
  <c r="D64" i="58"/>
  <c r="C64" i="58"/>
  <c r="B64" i="58"/>
  <c r="G63" i="58"/>
  <c r="F63" i="58"/>
  <c r="E63" i="58"/>
  <c r="D63" i="58"/>
  <c r="C63" i="58"/>
  <c r="B63" i="58"/>
  <c r="G62" i="58"/>
  <c r="F62" i="58"/>
  <c r="E62" i="58"/>
  <c r="D62" i="58"/>
  <c r="C62" i="58"/>
  <c r="B62" i="58"/>
  <c r="G61" i="58"/>
  <c r="F61" i="58"/>
  <c r="E61" i="58"/>
  <c r="D61" i="58"/>
  <c r="C61" i="58"/>
  <c r="B61" i="58"/>
  <c r="G60" i="58"/>
  <c r="F60" i="58"/>
  <c r="E60" i="58"/>
  <c r="D60" i="58"/>
  <c r="C60" i="58"/>
  <c r="B60" i="58"/>
  <c r="G59" i="58"/>
  <c r="F59" i="58"/>
  <c r="E59" i="58"/>
  <c r="D59" i="58"/>
  <c r="C59" i="58"/>
  <c r="B59" i="58"/>
  <c r="G58" i="58"/>
  <c r="F58" i="58"/>
  <c r="E58" i="58"/>
  <c r="D58" i="58"/>
  <c r="C58" i="58"/>
  <c r="B58" i="58"/>
  <c r="G57" i="58"/>
  <c r="F57" i="58"/>
  <c r="E57" i="58"/>
  <c r="D57" i="58"/>
  <c r="C57" i="58"/>
  <c r="B57" i="58"/>
  <c r="G56" i="58"/>
  <c r="F56" i="58"/>
  <c r="E56" i="58"/>
  <c r="D56" i="58"/>
  <c r="C56" i="58"/>
  <c r="B56" i="58"/>
  <c r="G55" i="58"/>
  <c r="F55" i="58"/>
  <c r="E55" i="58"/>
  <c r="D55" i="58"/>
  <c r="C55" i="58"/>
  <c r="B55" i="58"/>
  <c r="G54" i="58"/>
  <c r="F54" i="58"/>
  <c r="E54" i="58"/>
  <c r="D54" i="58"/>
  <c r="C54" i="58"/>
  <c r="B54" i="58"/>
  <c r="G53" i="58"/>
  <c r="F53" i="58"/>
  <c r="E53" i="58"/>
  <c r="D53" i="58"/>
  <c r="C53" i="58"/>
  <c r="B53" i="58"/>
  <c r="G52" i="58"/>
  <c r="F52" i="58"/>
  <c r="E52" i="58"/>
  <c r="D52" i="58"/>
  <c r="C52" i="58"/>
  <c r="B52" i="58"/>
  <c r="G51" i="58"/>
  <c r="F51" i="58"/>
  <c r="E51" i="58"/>
  <c r="D51" i="58"/>
  <c r="C51" i="58"/>
  <c r="B51" i="58"/>
  <c r="G50" i="58"/>
  <c r="F50" i="58"/>
  <c r="E50" i="58"/>
  <c r="D50" i="58"/>
  <c r="C50" i="58"/>
  <c r="B50" i="58"/>
  <c r="G49" i="58"/>
  <c r="F49" i="58"/>
  <c r="E49" i="58"/>
  <c r="D49" i="58"/>
  <c r="C49" i="58"/>
  <c r="B49" i="58"/>
  <c r="G48" i="58"/>
  <c r="F48" i="58"/>
  <c r="E48" i="58"/>
  <c r="D48" i="58"/>
  <c r="C48" i="58"/>
  <c r="B48" i="58"/>
  <c r="G46" i="58"/>
  <c r="F46" i="58"/>
  <c r="E46" i="58"/>
  <c r="D46" i="58"/>
  <c r="C46" i="58"/>
  <c r="B46" i="58"/>
  <c r="G45" i="58"/>
  <c r="F45" i="58"/>
  <c r="E45" i="58"/>
  <c r="D45" i="58"/>
  <c r="C45" i="58"/>
  <c r="B45" i="58"/>
  <c r="G44" i="58"/>
  <c r="F44" i="58"/>
  <c r="E44" i="58"/>
  <c r="D44" i="58"/>
  <c r="C44" i="58"/>
  <c r="B44" i="58"/>
  <c r="G43" i="58"/>
  <c r="F43" i="58"/>
  <c r="E43" i="58"/>
  <c r="D43" i="58"/>
  <c r="C43" i="58"/>
  <c r="B43" i="58"/>
  <c r="G42" i="58"/>
  <c r="F42" i="58"/>
  <c r="E42" i="58"/>
  <c r="D42" i="58"/>
  <c r="C42" i="58"/>
  <c r="B42" i="58"/>
  <c r="G41" i="58"/>
  <c r="F41" i="58"/>
  <c r="E41" i="58"/>
  <c r="D41" i="58"/>
  <c r="C41" i="58"/>
  <c r="B41" i="58"/>
  <c r="G40" i="58"/>
  <c r="F40" i="58"/>
  <c r="E40" i="58"/>
  <c r="D40" i="58"/>
  <c r="C40" i="58"/>
  <c r="B40" i="58"/>
  <c r="G39" i="58"/>
  <c r="F39" i="58"/>
  <c r="E39" i="58"/>
  <c r="D39" i="58"/>
  <c r="C39" i="58"/>
  <c r="B39" i="58"/>
  <c r="G38" i="58"/>
  <c r="F38" i="58"/>
  <c r="E38" i="58"/>
  <c r="D38" i="58"/>
  <c r="C38" i="58"/>
  <c r="B38" i="58"/>
  <c r="G37" i="58"/>
  <c r="F37" i="58"/>
  <c r="E37" i="58"/>
  <c r="D37" i="58"/>
  <c r="C37" i="58"/>
  <c r="B37" i="58"/>
  <c r="G36" i="58"/>
  <c r="F36" i="58"/>
  <c r="E36" i="58"/>
  <c r="D36" i="58"/>
  <c r="C36" i="58"/>
  <c r="B36" i="58"/>
  <c r="G35" i="58"/>
  <c r="F35" i="58"/>
  <c r="E35" i="58"/>
  <c r="D35" i="58"/>
  <c r="C35" i="58"/>
  <c r="B35" i="58"/>
  <c r="G34" i="58"/>
  <c r="F34" i="58"/>
  <c r="E34" i="58"/>
  <c r="D34" i="58"/>
  <c r="C34" i="58"/>
  <c r="B34" i="58"/>
  <c r="G33" i="58"/>
  <c r="F33" i="58"/>
  <c r="E33" i="58"/>
  <c r="D33" i="58"/>
  <c r="C33" i="58"/>
  <c r="B33" i="58"/>
  <c r="G32" i="58"/>
  <c r="F32" i="58"/>
  <c r="E32" i="58"/>
  <c r="D32" i="58"/>
  <c r="C32" i="58"/>
  <c r="B32" i="58"/>
  <c r="G31" i="58"/>
  <c r="F31" i="58"/>
  <c r="E31" i="58"/>
  <c r="D31" i="58"/>
  <c r="C31" i="58"/>
  <c r="B31" i="58"/>
  <c r="G30" i="58"/>
  <c r="F30" i="58"/>
  <c r="E30" i="58"/>
  <c r="D30" i="58"/>
  <c r="C30" i="58"/>
  <c r="B30" i="58"/>
  <c r="G29" i="58"/>
  <c r="F29" i="58"/>
  <c r="E29" i="58"/>
  <c r="D29" i="58"/>
  <c r="C29" i="58"/>
  <c r="B29" i="58"/>
  <c r="G28" i="58"/>
  <c r="F28" i="58"/>
  <c r="E28" i="58"/>
  <c r="D28" i="58"/>
  <c r="C28" i="58"/>
  <c r="B28" i="58"/>
  <c r="G27" i="58"/>
  <c r="F27" i="58"/>
  <c r="E27" i="58"/>
  <c r="D27" i="58"/>
  <c r="C27" i="58"/>
  <c r="B27" i="58"/>
  <c r="G26" i="58"/>
  <c r="F26" i="58"/>
  <c r="E26" i="58"/>
  <c r="D26" i="58"/>
  <c r="C26" i="58"/>
  <c r="B26" i="58"/>
  <c r="G25" i="58"/>
  <c r="F25" i="58"/>
  <c r="E25" i="58"/>
  <c r="D25" i="58"/>
  <c r="C25" i="58"/>
  <c r="B25" i="58"/>
  <c r="G24" i="58"/>
  <c r="F24" i="58"/>
  <c r="E24" i="58"/>
  <c r="D24" i="58"/>
  <c r="C24" i="58"/>
  <c r="B24" i="58"/>
  <c r="G23" i="58"/>
  <c r="F23" i="58"/>
  <c r="E23" i="58"/>
  <c r="D23" i="58"/>
  <c r="C23" i="58"/>
  <c r="B23" i="58"/>
  <c r="G22" i="58"/>
  <c r="F22" i="58"/>
  <c r="E22" i="58"/>
  <c r="D22" i="58"/>
  <c r="C22" i="58"/>
  <c r="B22" i="58"/>
  <c r="G21" i="58"/>
  <c r="F21" i="58"/>
  <c r="E21" i="58"/>
  <c r="D21" i="58"/>
  <c r="C21" i="58"/>
  <c r="B21" i="58"/>
  <c r="G20" i="58"/>
  <c r="F20" i="58"/>
  <c r="E20" i="58"/>
  <c r="D20" i="58"/>
  <c r="C20" i="58"/>
  <c r="B20" i="58"/>
  <c r="G19" i="58"/>
  <c r="F19" i="58"/>
  <c r="E19" i="58"/>
  <c r="D19" i="58"/>
  <c r="C19" i="58"/>
  <c r="B19" i="58"/>
  <c r="G18" i="58"/>
  <c r="F18" i="58"/>
  <c r="E18" i="58"/>
  <c r="D18" i="58"/>
  <c r="C18" i="58"/>
  <c r="B18" i="58"/>
  <c r="G17" i="58"/>
  <c r="F17" i="58"/>
  <c r="E17" i="58"/>
  <c r="D17" i="58"/>
  <c r="C17" i="58"/>
  <c r="B17" i="58"/>
  <c r="G16" i="58"/>
  <c r="F16" i="58"/>
  <c r="E16" i="58"/>
  <c r="D16" i="58"/>
  <c r="C16" i="58"/>
  <c r="B16" i="58"/>
  <c r="G15" i="58"/>
  <c r="F15" i="58"/>
  <c r="E15" i="58"/>
  <c r="D15" i="58"/>
  <c r="C15" i="58"/>
  <c r="B15" i="58"/>
  <c r="G14" i="58"/>
  <c r="F14" i="58"/>
  <c r="E14" i="58"/>
  <c r="D14" i="58"/>
  <c r="C14" i="58"/>
  <c r="B14" i="58"/>
  <c r="G13" i="58"/>
  <c r="F13" i="58"/>
  <c r="E13" i="58"/>
  <c r="D13" i="58"/>
  <c r="C13" i="58"/>
  <c r="B13" i="58"/>
  <c r="G12" i="58"/>
  <c r="F12" i="58"/>
  <c r="E12" i="58"/>
  <c r="D12" i="58"/>
  <c r="C12" i="58"/>
  <c r="B12" i="58"/>
  <c r="G11" i="58"/>
  <c r="F11" i="58"/>
  <c r="E11" i="58"/>
  <c r="D11" i="58"/>
  <c r="C11" i="58"/>
  <c r="B11" i="58"/>
  <c r="G10" i="58"/>
  <c r="F10" i="58"/>
  <c r="E10" i="58"/>
  <c r="D10" i="58"/>
  <c r="C10" i="58"/>
  <c r="B10" i="58"/>
  <c r="G9" i="58"/>
  <c r="F9" i="58"/>
  <c r="E9" i="58"/>
  <c r="D9" i="58"/>
  <c r="C9" i="58"/>
  <c r="B9" i="58"/>
  <c r="G8" i="58"/>
  <c r="F8" i="58"/>
  <c r="E8" i="58"/>
  <c r="D8" i="58"/>
  <c r="C8" i="58"/>
  <c r="B8" i="58"/>
  <c r="G7" i="58"/>
  <c r="F7" i="58"/>
  <c r="E7" i="58"/>
  <c r="D7" i="58"/>
  <c r="C7" i="58"/>
  <c r="B7" i="58"/>
  <c r="G6" i="58"/>
  <c r="F6" i="58"/>
  <c r="E6" i="58"/>
  <c r="D6" i="58"/>
  <c r="C6" i="58"/>
  <c r="B6" i="58"/>
  <c r="G5" i="58"/>
  <c r="F5" i="58"/>
  <c r="E5" i="58"/>
  <c r="D5" i="58"/>
  <c r="C5" i="58"/>
  <c r="B5" i="58"/>
  <c r="G4" i="58"/>
  <c r="F4" i="58"/>
  <c r="E4" i="58"/>
  <c r="D4" i="58"/>
  <c r="C4" i="58"/>
  <c r="B4" i="58"/>
  <c r="G3" i="58"/>
  <c r="F3" i="58"/>
  <c r="E3" i="58"/>
  <c r="D3" i="58"/>
  <c r="C3" i="58"/>
  <c r="B3" i="58"/>
  <c r="G2" i="58"/>
  <c r="F2" i="58"/>
  <c r="E2" i="58"/>
  <c r="D2" i="58"/>
  <c r="C2" i="58"/>
  <c r="B2" i="58"/>
  <c r="C52" i="63" l="1"/>
  <c r="T52" i="63"/>
  <c r="D52" i="63" s="1"/>
  <c r="C49" i="63"/>
  <c r="T49" i="63"/>
  <c r="D49" i="63" s="1"/>
  <c r="C17" i="63"/>
  <c r="T17" i="63"/>
  <c r="D17" i="63" s="1"/>
  <c r="C13" i="63"/>
  <c r="T13" i="63"/>
  <c r="D13" i="63" s="1"/>
  <c r="C55" i="63"/>
  <c r="T55" i="63"/>
  <c r="D55" i="63" s="1"/>
  <c r="C44" i="63"/>
  <c r="T44" i="63"/>
  <c r="D44" i="63" s="1"/>
  <c r="C33" i="63"/>
  <c r="T33" i="63"/>
  <c r="D33" i="63" s="1"/>
  <c r="C24" i="63"/>
  <c r="T24" i="63"/>
  <c r="D24" i="63" s="1"/>
  <c r="C63" i="63"/>
  <c r="T63" i="63"/>
  <c r="D63" i="63" s="1"/>
  <c r="C56" i="63"/>
  <c r="T56" i="63"/>
  <c r="D56" i="63" s="1"/>
  <c r="C27" i="63"/>
  <c r="T27" i="63"/>
  <c r="D27" i="63" s="1"/>
  <c r="C73" i="63"/>
  <c r="T73" i="63"/>
  <c r="D73" i="63" s="1"/>
  <c r="C69" i="63"/>
  <c r="T69" i="63"/>
  <c r="D69" i="63" s="1"/>
  <c r="C53" i="63"/>
  <c r="T53" i="63"/>
  <c r="D53" i="63" s="1"/>
  <c r="C7" i="63"/>
  <c r="T7" i="63"/>
  <c r="D7" i="63" s="1"/>
  <c r="D80" i="63" s="1"/>
  <c r="C11" i="63"/>
  <c r="T11" i="63"/>
  <c r="D11" i="63" s="1"/>
  <c r="T36" i="63"/>
  <c r="D36" i="63" s="1"/>
  <c r="C36" i="63"/>
  <c r="C28" i="63"/>
  <c r="T28" i="63"/>
  <c r="D28" i="63" s="1"/>
  <c r="C31" i="63"/>
  <c r="T31" i="63"/>
  <c r="D31" i="63" s="1"/>
  <c r="C41" i="63"/>
  <c r="T41" i="63"/>
  <c r="D41" i="63" s="1"/>
  <c r="T10" i="63"/>
  <c r="D10" i="63" s="1"/>
  <c r="C10" i="63"/>
  <c r="C25" i="63"/>
  <c r="T25" i="63"/>
  <c r="D25" i="63" s="1"/>
  <c r="C20" i="63"/>
  <c r="T20" i="63"/>
  <c r="D20" i="63" s="1"/>
  <c r="C59" i="63"/>
  <c r="T59" i="63"/>
  <c r="D59" i="63" s="1"/>
  <c r="C37" i="63"/>
  <c r="T37" i="63"/>
  <c r="D37" i="63" s="1"/>
  <c r="T32" i="63"/>
  <c r="D32" i="63" s="1"/>
  <c r="C32" i="63"/>
  <c r="T30" i="63"/>
  <c r="D30" i="63" s="1"/>
  <c r="C30" i="63"/>
  <c r="T34" i="63"/>
  <c r="D34" i="63" s="1"/>
  <c r="C34" i="63"/>
  <c r="C29" i="63"/>
  <c r="T29" i="63"/>
  <c r="D29" i="63" s="1"/>
  <c r="T18" i="63"/>
  <c r="D18" i="63" s="1"/>
  <c r="C18" i="63"/>
  <c r="C51" i="63"/>
  <c r="T51" i="63"/>
  <c r="D51" i="63" s="1"/>
  <c r="T72" i="63"/>
  <c r="D72" i="63" s="1"/>
  <c r="C72" i="63"/>
  <c r="C65" i="63"/>
  <c r="T65" i="63"/>
  <c r="D65" i="63" s="1"/>
  <c r="T38" i="63"/>
  <c r="D38" i="63" s="1"/>
  <c r="C38" i="63"/>
  <c r="C23" i="63"/>
  <c r="T23" i="63"/>
  <c r="D23" i="63" s="1"/>
  <c r="C60" i="63"/>
  <c r="T60" i="63"/>
  <c r="D60" i="63" s="1"/>
  <c r="D606" i="58" l="1"/>
  <c r="F21" i="64"/>
  <c r="V12" i="59"/>
  <c r="V13" i="59"/>
  <c r="T11" i="59"/>
  <c r="T10" i="59"/>
  <c r="V10" i="59"/>
  <c r="V11" i="59"/>
  <c r="V15" i="59" s="1"/>
  <c r="T12" i="59"/>
  <c r="T13" i="59"/>
  <c r="AA5" i="59"/>
  <c r="AB5" i="59" s="1"/>
  <c r="AC5" i="59"/>
  <c r="AD5" i="59" s="1"/>
  <c r="AC4" i="59"/>
  <c r="AD4" i="59" s="1"/>
  <c r="AA6" i="59"/>
  <c r="AB6" i="59" s="1"/>
  <c r="AC6" i="59"/>
  <c r="AD6" i="59" s="1"/>
  <c r="AA7" i="59"/>
  <c r="AB7" i="59" s="1"/>
  <c r="AC7" i="59"/>
  <c r="AA8" i="59"/>
  <c r="AB8" i="59" s="1"/>
  <c r="AC8" i="59"/>
  <c r="AD8" i="59" s="1"/>
  <c r="AA9" i="59"/>
  <c r="AB9" i="59" s="1"/>
  <c r="AC9" i="59"/>
  <c r="AD9" i="59" s="1"/>
  <c r="N12" i="59"/>
  <c r="P12" i="59"/>
  <c r="N11" i="59"/>
  <c r="AA4" i="59"/>
  <c r="AB4" i="59" s="1"/>
  <c r="P11" i="59"/>
  <c r="AE4" i="59"/>
  <c r="P10" i="59"/>
  <c r="N13" i="59"/>
  <c r="P13" i="59"/>
  <c r="N15" i="59" l="1"/>
  <c r="O19" i="59"/>
  <c r="P15" i="59"/>
  <c r="R12" i="59"/>
  <c r="X10" i="59"/>
  <c r="X13" i="59"/>
  <c r="AA13" i="59"/>
  <c r="AB13" i="59" s="1"/>
  <c r="X11" i="59"/>
  <c r="X12" i="59"/>
  <c r="R11" i="59"/>
  <c r="AC13" i="59"/>
  <c r="AD13" i="59" s="1"/>
  <c r="R13" i="59"/>
  <c r="R10" i="59"/>
  <c r="M14" i="40"/>
  <c r="F22" i="64"/>
  <c r="G22" i="64" s="1"/>
  <c r="M9" i="40" s="1"/>
  <c r="AE6" i="59"/>
  <c r="Q19" i="59"/>
  <c r="V18" i="59"/>
  <c r="V19" i="59"/>
  <c r="AE8" i="59"/>
  <c r="AE7" i="59"/>
  <c r="T15" i="59"/>
  <c r="U11" i="59" s="1"/>
  <c r="AA11" i="59"/>
  <c r="AB11" i="59" s="1"/>
  <c r="AC11" i="59"/>
  <c r="AD11" i="59" s="1"/>
  <c r="AE5" i="59"/>
  <c r="AC12" i="59"/>
  <c r="AD12" i="59" s="1"/>
  <c r="AE9" i="59"/>
  <c r="AA12" i="59"/>
  <c r="AB12" i="59" s="1"/>
  <c r="J4" i="59"/>
  <c r="I4" i="59"/>
  <c r="H11" i="59"/>
  <c r="J5" i="59"/>
  <c r="I5" i="59"/>
  <c r="I6" i="59"/>
  <c r="R15" i="59" l="1"/>
  <c r="K6" i="59"/>
  <c r="K14" i="59"/>
  <c r="K15" i="59"/>
  <c r="K13" i="59"/>
  <c r="W11" i="59"/>
  <c r="X15" i="59"/>
  <c r="Q13" i="59"/>
  <c r="V20" i="59"/>
  <c r="AE11" i="59"/>
  <c r="W12" i="59"/>
  <c r="W13" i="59"/>
  <c r="U12" i="59"/>
  <c r="U7" i="59"/>
  <c r="W5" i="59"/>
  <c r="AE13" i="59"/>
  <c r="U13" i="59"/>
  <c r="U8" i="59"/>
  <c r="AE12" i="59"/>
  <c r="AA15" i="59"/>
  <c r="AB15" i="59" s="1"/>
  <c r="U6" i="59"/>
  <c r="U9" i="59"/>
  <c r="U5" i="59"/>
  <c r="U4" i="59"/>
  <c r="W6" i="59"/>
  <c r="W9" i="59"/>
  <c r="W7" i="59"/>
  <c r="W8" i="59"/>
  <c r="W4" i="59"/>
  <c r="K5" i="59"/>
  <c r="K4" i="59"/>
  <c r="O12" i="59"/>
  <c r="O18" i="59" s="1"/>
  <c r="O11" i="59"/>
  <c r="O13" i="59"/>
  <c r="K9" i="59"/>
  <c r="K8" i="59"/>
  <c r="Q12" i="59"/>
  <c r="AC15" i="59"/>
  <c r="AD15" i="59" s="1"/>
  <c r="Q4" i="59"/>
  <c r="Q7" i="59"/>
  <c r="Q6" i="59"/>
  <c r="Q9" i="59"/>
  <c r="Q5" i="59"/>
  <c r="Q8" i="59"/>
  <c r="Q11" i="59"/>
  <c r="K10" i="59"/>
  <c r="O4" i="59"/>
  <c r="O6" i="59"/>
  <c r="O9" i="59"/>
  <c r="O8" i="59"/>
  <c r="O5" i="59"/>
  <c r="O7" i="59"/>
  <c r="C11" i="59"/>
  <c r="E4" i="59"/>
  <c r="D4" i="59"/>
  <c r="E5" i="59"/>
  <c r="D5" i="59"/>
  <c r="D6" i="59"/>
  <c r="K7" i="59"/>
  <c r="B499" i="58"/>
  <c r="B444" i="58"/>
  <c r="F4" i="59" l="1"/>
  <c r="F14" i="59"/>
  <c r="F15" i="59"/>
  <c r="F13" i="59"/>
  <c r="Q18" i="59"/>
  <c r="AE15" i="59"/>
  <c r="F9" i="59"/>
  <c r="F6" i="59"/>
  <c r="F8" i="59"/>
  <c r="F10" i="59"/>
  <c r="F7" i="59"/>
  <c r="F5" i="59"/>
  <c r="B63" i="54"/>
  <c r="B64" i="44"/>
  <c r="G58" i="54" l="1"/>
  <c r="B60" i="54" l="1"/>
  <c r="H1" i="39" l="1"/>
  <c r="H1" i="38"/>
  <c r="H2" i="51"/>
  <c r="H2" i="52"/>
  <c r="H1" i="36"/>
  <c r="H5" i="56"/>
  <c r="H1" i="34" s="1"/>
  <c r="G5" i="56"/>
  <c r="H1" i="33" s="1"/>
  <c r="F5" i="56"/>
  <c r="E5" i="56"/>
  <c r="D5" i="56"/>
  <c r="C5" i="56"/>
  <c r="D2" i="56"/>
  <c r="E2" i="56" s="1"/>
  <c r="F2" i="56" s="1"/>
  <c r="G2" i="56" s="1"/>
  <c r="H2" i="56" s="1"/>
  <c r="I2" i="56" s="1"/>
  <c r="J2" i="56" s="1"/>
  <c r="K2" i="56" s="1"/>
  <c r="L2" i="56" s="1"/>
  <c r="M2" i="56" s="1"/>
  <c r="N2" i="56" s="1"/>
  <c r="O2" i="56" s="1"/>
  <c r="P2" i="56" s="1"/>
  <c r="Q71" i="52" l="1"/>
  <c r="Q63" i="52"/>
  <c r="Q55" i="52"/>
  <c r="Q47" i="52"/>
  <c r="Q39" i="52"/>
  <c r="Q23" i="52"/>
  <c r="Q15" i="52"/>
  <c r="Q7" i="52"/>
  <c r="Q69" i="52"/>
  <c r="Q53" i="52"/>
  <c r="Q45" i="52"/>
  <c r="Q37" i="52"/>
  <c r="Q13" i="52"/>
  <c r="Q68" i="52"/>
  <c r="Q60" i="52"/>
  <c r="Q52" i="52"/>
  <c r="Q36" i="52"/>
  <c r="Q28" i="52"/>
  <c r="Q12" i="52"/>
  <c r="Q67" i="52"/>
  <c r="Q51" i="52"/>
  <c r="Q35" i="52"/>
  <c r="Q27" i="52"/>
  <c r="Q19" i="52"/>
  <c r="Q73" i="52"/>
  <c r="Q65" i="52"/>
  <c r="Q57" i="52"/>
  <c r="Q49" i="52"/>
  <c r="Q41" i="52"/>
  <c r="Q17" i="52"/>
  <c r="Q9" i="52"/>
  <c r="Q70" i="52"/>
  <c r="Q48" i="52"/>
  <c r="Q6" i="52"/>
  <c r="Q66" i="52"/>
  <c r="Q46" i="52"/>
  <c r="Q24" i="52"/>
  <c r="Q58" i="52"/>
  <c r="Q16" i="52"/>
  <c r="Q74" i="52"/>
  <c r="Q32" i="52"/>
  <c r="Q10" i="52"/>
  <c r="Q8" i="52"/>
  <c r="S8" i="52" s="1"/>
  <c r="Q50" i="52"/>
  <c r="Q30" i="52"/>
  <c r="Q18" i="52"/>
  <c r="Q72" i="52"/>
  <c r="Q73" i="51"/>
  <c r="Q65" i="51"/>
  <c r="Q57" i="51"/>
  <c r="Q49" i="51"/>
  <c r="Q33" i="51"/>
  <c r="Q17" i="51"/>
  <c r="Q9" i="51"/>
  <c r="Q71" i="51"/>
  <c r="Q63" i="51"/>
  <c r="Q55" i="51"/>
  <c r="Q47" i="51"/>
  <c r="Q23" i="51"/>
  <c r="Q15" i="51"/>
  <c r="Q70" i="51"/>
  <c r="Q62" i="51"/>
  <c r="Q54" i="51"/>
  <c r="Q38" i="51"/>
  <c r="Q30" i="51"/>
  <c r="Q22" i="51"/>
  <c r="Q6" i="51"/>
  <c r="Q5" i="51"/>
  <c r="Q61" i="51"/>
  <c r="Q45" i="51"/>
  <c r="Q13" i="51"/>
  <c r="Q67" i="51"/>
  <c r="Q59" i="51"/>
  <c r="Q51" i="51"/>
  <c r="Q27" i="51"/>
  <c r="Q11" i="51"/>
  <c r="Q64" i="51"/>
  <c r="Q42" i="51"/>
  <c r="Q60" i="51"/>
  <c r="Q36" i="51"/>
  <c r="Q52" i="51"/>
  <c r="Q32" i="51"/>
  <c r="Q10" i="51"/>
  <c r="Q68" i="51"/>
  <c r="Q48" i="51"/>
  <c r="Q44" i="51"/>
  <c r="Q24" i="51"/>
  <c r="Q72" i="51"/>
  <c r="Q12" i="51"/>
  <c r="Q8" i="51"/>
  <c r="S8" i="51" s="1"/>
  <c r="C127" i="39"/>
  <c r="D127" i="39" s="1"/>
  <c r="C60" i="29" s="1"/>
  <c r="D388" i="58" s="1"/>
  <c r="C115" i="39"/>
  <c r="D115" i="39" s="1"/>
  <c r="C99" i="39"/>
  <c r="D99" i="39" s="1"/>
  <c r="C83" i="39"/>
  <c r="D83" i="39" s="1"/>
  <c r="C66" i="39"/>
  <c r="D66" i="39" s="1"/>
  <c r="C48" i="39"/>
  <c r="D48" i="39" s="1"/>
  <c r="C31" i="39"/>
  <c r="D31" i="39" s="1"/>
  <c r="C10" i="39"/>
  <c r="D10" i="39" s="1"/>
  <c r="C51" i="39"/>
  <c r="D51" i="39" s="1"/>
  <c r="C114" i="39"/>
  <c r="D114" i="39" s="1"/>
  <c r="C106" i="39"/>
  <c r="D106" i="39" s="1"/>
  <c r="C98" i="39"/>
  <c r="D98" i="39" s="1"/>
  <c r="C90" i="39"/>
  <c r="D90" i="39" s="1"/>
  <c r="C82" i="39"/>
  <c r="D82" i="39" s="1"/>
  <c r="C74" i="39"/>
  <c r="D74" i="39" s="1"/>
  <c r="C65" i="39"/>
  <c r="D65" i="39" s="1"/>
  <c r="C56" i="39"/>
  <c r="D56" i="39" s="1"/>
  <c r="C47" i="39"/>
  <c r="D47" i="39" s="1"/>
  <c r="C39" i="39"/>
  <c r="D39" i="39" s="1"/>
  <c r="C30" i="39"/>
  <c r="D30" i="39" s="1"/>
  <c r="C20" i="39"/>
  <c r="D20" i="39" s="1"/>
  <c r="C9" i="39"/>
  <c r="D9" i="39" s="1"/>
  <c r="C111" i="39"/>
  <c r="D111" i="39" s="1"/>
  <c r="C87" i="39"/>
  <c r="D87" i="39" s="1"/>
  <c r="C61" i="39"/>
  <c r="D61" i="39" s="1"/>
  <c r="C26" i="39"/>
  <c r="D26" i="39" s="1"/>
  <c r="C33" i="39"/>
  <c r="D33" i="39" s="1"/>
  <c r="C113" i="39"/>
  <c r="D113" i="39" s="1"/>
  <c r="C105" i="39"/>
  <c r="D105" i="39" s="1"/>
  <c r="C97" i="39"/>
  <c r="D97" i="39" s="1"/>
  <c r="C89" i="39"/>
  <c r="D89" i="39" s="1"/>
  <c r="C81" i="39"/>
  <c r="D81" i="39" s="1"/>
  <c r="C73" i="39"/>
  <c r="D73" i="39" s="1"/>
  <c r="C64" i="39"/>
  <c r="D64" i="39" s="1"/>
  <c r="C55" i="39"/>
  <c r="D55" i="39" s="1"/>
  <c r="C46" i="39"/>
  <c r="D46" i="39" s="1"/>
  <c r="C38" i="39"/>
  <c r="D38" i="39" s="1"/>
  <c r="C29" i="39"/>
  <c r="D29" i="39" s="1"/>
  <c r="C19" i="39"/>
  <c r="D19" i="39" s="1"/>
  <c r="C8" i="39"/>
  <c r="D8" i="39" s="1"/>
  <c r="C44" i="39"/>
  <c r="D44" i="39" s="1"/>
  <c r="C77" i="39"/>
  <c r="D77" i="39" s="1"/>
  <c r="C112" i="39"/>
  <c r="D112" i="39" s="1"/>
  <c r="C104" i="39"/>
  <c r="D104" i="39" s="1"/>
  <c r="C96" i="39"/>
  <c r="D96" i="39" s="1"/>
  <c r="C88" i="39"/>
  <c r="D88" i="39" s="1"/>
  <c r="C80" i="39"/>
  <c r="D80" i="39" s="1"/>
  <c r="C72" i="39"/>
  <c r="D72" i="39" s="1"/>
  <c r="C62" i="39"/>
  <c r="D62" i="39" s="1"/>
  <c r="C54" i="39"/>
  <c r="D54" i="39" s="1"/>
  <c r="C45" i="39"/>
  <c r="D45" i="39" s="1"/>
  <c r="C37" i="39"/>
  <c r="D37" i="39" s="1"/>
  <c r="C27" i="39"/>
  <c r="D27" i="39" s="1"/>
  <c r="C18" i="39"/>
  <c r="D18" i="39" s="1"/>
  <c r="C6" i="39"/>
  <c r="D6" i="39" s="1"/>
  <c r="C103" i="39"/>
  <c r="D103" i="39" s="1"/>
  <c r="C79" i="39"/>
  <c r="D79" i="39" s="1"/>
  <c r="C71" i="39"/>
  <c r="D71" i="39" s="1"/>
  <c r="C35" i="39"/>
  <c r="D35" i="39" s="1"/>
  <c r="C16" i="39"/>
  <c r="D16" i="39" s="1"/>
  <c r="C59" i="39"/>
  <c r="D59" i="39" s="1"/>
  <c r="C95" i="39"/>
  <c r="D95" i="39" s="1"/>
  <c r="C53" i="39"/>
  <c r="D53" i="39" s="1"/>
  <c r="C42" i="39"/>
  <c r="D42" i="39" s="1"/>
  <c r="C118" i="39"/>
  <c r="D118" i="39" s="1"/>
  <c r="C110" i="39"/>
  <c r="D110" i="39" s="1"/>
  <c r="C102" i="39"/>
  <c r="D102" i="39" s="1"/>
  <c r="C94" i="39"/>
  <c r="D94" i="39" s="1"/>
  <c r="C86" i="39"/>
  <c r="D86" i="39" s="1"/>
  <c r="C78" i="39"/>
  <c r="D78" i="39" s="1"/>
  <c r="C70" i="39"/>
  <c r="D70" i="39" s="1"/>
  <c r="C60" i="39"/>
  <c r="D60" i="39" s="1"/>
  <c r="C52" i="39"/>
  <c r="D52" i="39" s="1"/>
  <c r="C43" i="39"/>
  <c r="D43" i="39" s="1"/>
  <c r="C34" i="39"/>
  <c r="D34" i="39" s="1"/>
  <c r="C25" i="39"/>
  <c r="D25" i="39" s="1"/>
  <c r="C15" i="39"/>
  <c r="D15" i="39" s="1"/>
  <c r="C117" i="39"/>
  <c r="D117" i="39" s="1"/>
  <c r="C109" i="39"/>
  <c r="D109" i="39" s="1"/>
  <c r="C101" i="39"/>
  <c r="D101" i="39" s="1"/>
  <c r="C93" i="39"/>
  <c r="D93" i="39" s="1"/>
  <c r="C68" i="39"/>
  <c r="D68" i="39" s="1"/>
  <c r="C13" i="39"/>
  <c r="D13" i="39" s="1"/>
  <c r="C116" i="39"/>
  <c r="D116" i="39" s="1"/>
  <c r="C108" i="39"/>
  <c r="D108" i="39" s="1"/>
  <c r="C100" i="39"/>
  <c r="D100" i="39" s="1"/>
  <c r="C92" i="39"/>
  <c r="D92" i="39" s="1"/>
  <c r="C84" i="39"/>
  <c r="D84" i="39" s="1"/>
  <c r="C76" i="39"/>
  <c r="D76" i="39" s="1"/>
  <c r="C67" i="39"/>
  <c r="D67" i="39" s="1"/>
  <c r="C58" i="39"/>
  <c r="D58" i="39" s="1"/>
  <c r="C49" i="39"/>
  <c r="D49" i="39" s="1"/>
  <c r="C41" i="39"/>
  <c r="D41" i="39" s="1"/>
  <c r="C32" i="39"/>
  <c r="D32" i="39" s="1"/>
  <c r="C22" i="39"/>
  <c r="D22" i="39" s="1"/>
  <c r="C12" i="39"/>
  <c r="D12" i="39" s="1"/>
  <c r="C107" i="39"/>
  <c r="D107" i="39" s="1"/>
  <c r="C91" i="39"/>
  <c r="D91" i="39" s="1"/>
  <c r="C75" i="39"/>
  <c r="D75" i="39" s="1"/>
  <c r="C57" i="39"/>
  <c r="D57" i="39" s="1"/>
  <c r="C40" i="39"/>
  <c r="D40" i="39" s="1"/>
  <c r="C21" i="39"/>
  <c r="D21" i="39" s="1"/>
  <c r="C85" i="39"/>
  <c r="D85" i="39" s="1"/>
  <c r="C23" i="39"/>
  <c r="D23" i="39" s="1"/>
  <c r="H1" i="37"/>
  <c r="H1" i="35"/>
  <c r="S36" i="51" l="1"/>
  <c r="D36" i="51" s="1"/>
  <c r="C36" i="51"/>
  <c r="S52" i="52"/>
  <c r="D52" i="52" s="1"/>
  <c r="C52" i="52"/>
  <c r="C24" i="51"/>
  <c r="S24" i="51"/>
  <c r="D24" i="51" s="1"/>
  <c r="S60" i="51"/>
  <c r="D60" i="51" s="1"/>
  <c r="C60" i="51"/>
  <c r="S13" i="51"/>
  <c r="D13" i="51" s="1"/>
  <c r="C13" i="51"/>
  <c r="S54" i="51"/>
  <c r="D54" i="51" s="1"/>
  <c r="C54" i="51"/>
  <c r="C71" i="51"/>
  <c r="S71" i="51"/>
  <c r="D71" i="51" s="1"/>
  <c r="S72" i="52"/>
  <c r="D72" i="52" s="1"/>
  <c r="C72" i="52"/>
  <c r="S16" i="52"/>
  <c r="D16" i="52" s="1"/>
  <c r="C16" i="52"/>
  <c r="S9" i="52"/>
  <c r="D9" i="52" s="1"/>
  <c r="C9" i="52"/>
  <c r="S27" i="52"/>
  <c r="D27" i="52" s="1"/>
  <c r="C27" i="52"/>
  <c r="S60" i="52"/>
  <c r="D60" i="52" s="1"/>
  <c r="C60" i="52"/>
  <c r="S15" i="52"/>
  <c r="D15" i="52" s="1"/>
  <c r="C15" i="52"/>
  <c r="S73" i="51"/>
  <c r="D73" i="51" s="1"/>
  <c r="C73" i="51"/>
  <c r="S44" i="51"/>
  <c r="D44" i="51" s="1"/>
  <c r="C44" i="51"/>
  <c r="S42" i="51"/>
  <c r="D42" i="51" s="1"/>
  <c r="C42" i="51"/>
  <c r="S45" i="51"/>
  <c r="D45" i="51" s="1"/>
  <c r="C45" i="51"/>
  <c r="S62" i="51"/>
  <c r="D62" i="51" s="1"/>
  <c r="C62" i="51"/>
  <c r="S9" i="51"/>
  <c r="D9" i="51" s="1"/>
  <c r="C9" i="51"/>
  <c r="S18" i="52"/>
  <c r="D18" i="52" s="1"/>
  <c r="C18" i="52"/>
  <c r="S58" i="52"/>
  <c r="D58" i="52" s="1"/>
  <c r="C58" i="52"/>
  <c r="S17" i="52"/>
  <c r="D17" i="52" s="1"/>
  <c r="C17" i="52"/>
  <c r="S35" i="52"/>
  <c r="D35" i="52" s="1"/>
  <c r="C35" i="52"/>
  <c r="S68" i="52"/>
  <c r="D68" i="52" s="1"/>
  <c r="C68" i="52"/>
  <c r="S23" i="52"/>
  <c r="D23" i="52" s="1"/>
  <c r="C23" i="52"/>
  <c r="C72" i="51"/>
  <c r="S72" i="51"/>
  <c r="D72" i="51" s="1"/>
  <c r="S74" i="52"/>
  <c r="D74" i="52" s="1"/>
  <c r="C74" i="52"/>
  <c r="C48" i="51"/>
  <c r="S48" i="51"/>
  <c r="D48" i="51" s="1"/>
  <c r="C64" i="51"/>
  <c r="S64" i="51"/>
  <c r="D64" i="51" s="1"/>
  <c r="S61" i="51"/>
  <c r="D61" i="51" s="1"/>
  <c r="C61" i="51"/>
  <c r="S70" i="51"/>
  <c r="D70" i="51" s="1"/>
  <c r="C70" i="51"/>
  <c r="S17" i="51"/>
  <c r="D17" i="51" s="1"/>
  <c r="C17" i="51"/>
  <c r="S30" i="52"/>
  <c r="D30" i="52" s="1"/>
  <c r="C30" i="52"/>
  <c r="S24" i="52"/>
  <c r="D24" i="52" s="1"/>
  <c r="C24" i="52"/>
  <c r="S41" i="52"/>
  <c r="D41" i="52" s="1"/>
  <c r="C41" i="52"/>
  <c r="S51" i="52"/>
  <c r="D51" i="52" s="1"/>
  <c r="C51" i="52"/>
  <c r="S13" i="52"/>
  <c r="D13" i="52" s="1"/>
  <c r="C13" i="52"/>
  <c r="S39" i="52"/>
  <c r="D39" i="52" s="1"/>
  <c r="C39" i="52"/>
  <c r="S70" i="52"/>
  <c r="D70" i="52" s="1"/>
  <c r="C70" i="52"/>
  <c r="S68" i="51"/>
  <c r="D68" i="51" s="1"/>
  <c r="C68" i="51"/>
  <c r="C11" i="51"/>
  <c r="S11" i="51"/>
  <c r="D11" i="51" s="1"/>
  <c r="S5" i="51"/>
  <c r="D5" i="51" s="1"/>
  <c r="C5" i="51"/>
  <c r="C15" i="51"/>
  <c r="S15" i="51"/>
  <c r="D15" i="51" s="1"/>
  <c r="S33" i="51"/>
  <c r="D33" i="51" s="1"/>
  <c r="C33" i="51"/>
  <c r="S50" i="52"/>
  <c r="D50" i="52" s="1"/>
  <c r="C50" i="52"/>
  <c r="S46" i="52"/>
  <c r="D46" i="52" s="1"/>
  <c r="C46" i="52"/>
  <c r="S49" i="52"/>
  <c r="D49" i="52" s="1"/>
  <c r="C49" i="52"/>
  <c r="S67" i="52"/>
  <c r="D67" i="52" s="1"/>
  <c r="C67" i="52"/>
  <c r="S37" i="52"/>
  <c r="D37" i="52" s="1"/>
  <c r="C37" i="52"/>
  <c r="S47" i="52"/>
  <c r="D47" i="52" s="1"/>
  <c r="C47" i="52"/>
  <c r="S7" i="52"/>
  <c r="D7" i="52" s="1"/>
  <c r="C7" i="52"/>
  <c r="S10" i="51"/>
  <c r="D10" i="51" s="1"/>
  <c r="C10" i="51"/>
  <c r="C27" i="51"/>
  <c r="S27" i="51"/>
  <c r="D27" i="51" s="1"/>
  <c r="S6" i="51"/>
  <c r="D6" i="51" s="1"/>
  <c r="C6" i="51"/>
  <c r="C23" i="51"/>
  <c r="S23" i="51"/>
  <c r="D23" i="51" s="1"/>
  <c r="S49" i="51"/>
  <c r="D49" i="51" s="1"/>
  <c r="C49" i="51"/>
  <c r="S66" i="52"/>
  <c r="D66" i="52" s="1"/>
  <c r="C66" i="52"/>
  <c r="S57" i="52"/>
  <c r="D57" i="52" s="1"/>
  <c r="C57" i="52"/>
  <c r="S12" i="52"/>
  <c r="D12" i="52" s="1"/>
  <c r="C12" i="52"/>
  <c r="S45" i="52"/>
  <c r="D45" i="52" s="1"/>
  <c r="C45" i="52"/>
  <c r="S55" i="52"/>
  <c r="D55" i="52" s="1"/>
  <c r="C55" i="52"/>
  <c r="C67" i="51"/>
  <c r="S67" i="51"/>
  <c r="D67" i="51" s="1"/>
  <c r="S19" i="52"/>
  <c r="D19" i="52" s="1"/>
  <c r="C19" i="52"/>
  <c r="C32" i="51"/>
  <c r="S32" i="51"/>
  <c r="D32" i="51" s="1"/>
  <c r="C51" i="51"/>
  <c r="S51" i="51"/>
  <c r="D51" i="51" s="1"/>
  <c r="S22" i="51"/>
  <c r="D22" i="51" s="1"/>
  <c r="C22" i="51"/>
  <c r="C47" i="51"/>
  <c r="S47" i="51"/>
  <c r="D47" i="51" s="1"/>
  <c r="S57" i="51"/>
  <c r="D57" i="51" s="1"/>
  <c r="C57" i="51"/>
  <c r="S10" i="52"/>
  <c r="D10" i="52" s="1"/>
  <c r="C10" i="52"/>
  <c r="S6" i="52"/>
  <c r="D6" i="52" s="1"/>
  <c r="C6" i="52"/>
  <c r="S65" i="52"/>
  <c r="D65" i="52" s="1"/>
  <c r="C65" i="52"/>
  <c r="S28" i="52"/>
  <c r="D28" i="52" s="1"/>
  <c r="C28" i="52"/>
  <c r="S53" i="52"/>
  <c r="D53" i="52" s="1"/>
  <c r="C53" i="52"/>
  <c r="S63" i="52"/>
  <c r="D63" i="52" s="1"/>
  <c r="C63" i="52"/>
  <c r="S38" i="51"/>
  <c r="D38" i="51" s="1"/>
  <c r="C38" i="51"/>
  <c r="C63" i="51"/>
  <c r="S63" i="51"/>
  <c r="D63" i="51" s="1"/>
  <c r="S12" i="51"/>
  <c r="D12" i="51" s="1"/>
  <c r="C12" i="51"/>
  <c r="S52" i="51"/>
  <c r="D52" i="51" s="1"/>
  <c r="C52" i="51"/>
  <c r="C59" i="51"/>
  <c r="S59" i="51"/>
  <c r="D59" i="51" s="1"/>
  <c r="S30" i="51"/>
  <c r="D30" i="51" s="1"/>
  <c r="C30" i="51"/>
  <c r="C55" i="51"/>
  <c r="S55" i="51"/>
  <c r="D55" i="51" s="1"/>
  <c r="S65" i="51"/>
  <c r="D65" i="51" s="1"/>
  <c r="C65" i="51"/>
  <c r="S32" i="52"/>
  <c r="D32" i="52" s="1"/>
  <c r="C32" i="52"/>
  <c r="S48" i="52"/>
  <c r="D48" i="52" s="1"/>
  <c r="C48" i="52"/>
  <c r="S73" i="52"/>
  <c r="D73" i="52" s="1"/>
  <c r="C73" i="52"/>
  <c r="S36" i="52"/>
  <c r="D36" i="52" s="1"/>
  <c r="C36" i="52"/>
  <c r="S69" i="52"/>
  <c r="D69" i="52" s="1"/>
  <c r="C69" i="52"/>
  <c r="S71" i="52"/>
  <c r="D71" i="52" s="1"/>
  <c r="C71" i="52"/>
  <c r="B75" i="53"/>
  <c r="C59" i="54"/>
  <c r="B59" i="54"/>
  <c r="B61" i="54" s="1"/>
  <c r="C58" i="54"/>
  <c r="B58" i="54"/>
  <c r="G23" i="55"/>
  <c r="D13" i="55"/>
  <c r="E12" i="55" s="1"/>
  <c r="G11" i="55"/>
  <c r="L4" i="40" s="1"/>
  <c r="G10" i="55"/>
  <c r="L3" i="40" s="1"/>
  <c r="C5" i="55"/>
  <c r="L20" i="40" s="1"/>
  <c r="D20" i="55" l="1"/>
  <c r="L15" i="40" s="1"/>
  <c r="C552" i="58"/>
  <c r="D18" i="55"/>
  <c r="H8" i="53"/>
  <c r="F18" i="55"/>
  <c r="H9" i="53"/>
  <c r="D5" i="55"/>
  <c r="L5" i="40" s="1"/>
  <c r="B64" i="54"/>
  <c r="E11" i="55"/>
  <c r="E10" i="55"/>
  <c r="E18" i="55" l="1"/>
  <c r="E20" i="55"/>
  <c r="L16" i="40" s="1"/>
  <c r="C63" i="54"/>
  <c r="H10" i="53"/>
  <c r="Q73" i="53" l="1"/>
  <c r="Q65" i="53"/>
  <c r="Q33" i="53"/>
  <c r="Q25" i="53"/>
  <c r="Q69" i="53"/>
  <c r="Q61" i="53"/>
  <c r="Q37" i="53"/>
  <c r="Q21" i="53"/>
  <c r="Q64" i="53"/>
  <c r="Q32" i="53"/>
  <c r="Q42" i="53"/>
  <c r="Q31" i="53"/>
  <c r="Q72" i="53"/>
  <c r="Q51" i="53"/>
  <c r="Q30" i="53"/>
  <c r="Q19" i="53"/>
  <c r="Q27" i="53"/>
  <c r="Q7" i="53"/>
  <c r="Q56" i="53"/>
  <c r="Q35" i="53"/>
  <c r="Q60" i="53"/>
  <c r="Q28" i="53"/>
  <c r="Q55" i="53"/>
  <c r="Q18" i="53"/>
  <c r="Q15" i="53"/>
  <c r="Q68" i="53"/>
  <c r="Q39" i="53"/>
  <c r="Q12" i="53"/>
  <c r="Q8" i="53"/>
  <c r="S8" i="53" s="1"/>
  <c r="C60" i="44"/>
  <c r="B60" i="44"/>
  <c r="B65" i="44" s="1"/>
  <c r="S18" i="53" l="1"/>
  <c r="D18" i="53" s="1"/>
  <c r="C18" i="53"/>
  <c r="C55" i="53"/>
  <c r="S55" i="53"/>
  <c r="D55" i="53" s="1"/>
  <c r="S72" i="53"/>
  <c r="D72" i="53" s="1"/>
  <c r="C72" i="53"/>
  <c r="C19" i="53"/>
  <c r="S19" i="53"/>
  <c r="D19" i="53" s="1"/>
  <c r="C37" i="53"/>
  <c r="S37" i="53"/>
  <c r="D37" i="53" s="1"/>
  <c r="S28" i="53"/>
  <c r="D28" i="53" s="1"/>
  <c r="C28" i="53"/>
  <c r="C25" i="53"/>
  <c r="S25" i="53"/>
  <c r="D25" i="53" s="1"/>
  <c r="S30" i="53"/>
  <c r="D30" i="53" s="1"/>
  <c r="C30" i="53"/>
  <c r="C51" i="53"/>
  <c r="S51" i="53"/>
  <c r="D51" i="53" s="1"/>
  <c r="C69" i="53"/>
  <c r="S69" i="53"/>
  <c r="D69" i="53" s="1"/>
  <c r="C33" i="53"/>
  <c r="S33" i="53"/>
  <c r="D33" i="53" s="1"/>
  <c r="C21" i="53"/>
  <c r="S21" i="53"/>
  <c r="D21" i="53" s="1"/>
  <c r="C35" i="53"/>
  <c r="S35" i="53"/>
  <c r="D35" i="53" s="1"/>
  <c r="S56" i="53"/>
  <c r="D56" i="53" s="1"/>
  <c r="C56" i="53"/>
  <c r="S68" i="53"/>
  <c r="D68" i="53" s="1"/>
  <c r="C68" i="53"/>
  <c r="S32" i="53"/>
  <c r="D32" i="53" s="1"/>
  <c r="C32" i="53"/>
  <c r="C65" i="53"/>
  <c r="S65" i="53"/>
  <c r="D65" i="53" s="1"/>
  <c r="C61" i="53"/>
  <c r="S61" i="53"/>
  <c r="D61" i="53" s="1"/>
  <c r="S60" i="53"/>
  <c r="D60" i="53" s="1"/>
  <c r="C60" i="53"/>
  <c r="S12" i="53"/>
  <c r="D12" i="53" s="1"/>
  <c r="C12" i="53"/>
  <c r="C31" i="53"/>
  <c r="S31" i="53"/>
  <c r="D31" i="53" s="1"/>
  <c r="C39" i="53"/>
  <c r="S39" i="53"/>
  <c r="D39" i="53" s="1"/>
  <c r="S42" i="53"/>
  <c r="D42" i="53" s="1"/>
  <c r="C42" i="53"/>
  <c r="S7" i="53"/>
  <c r="D7" i="53" s="1"/>
  <c r="D75" i="53" s="1"/>
  <c r="D552" i="58" s="1"/>
  <c r="C7" i="53"/>
  <c r="C15" i="53"/>
  <c r="S15" i="53"/>
  <c r="D15" i="53" s="1"/>
  <c r="C27" i="53"/>
  <c r="S27" i="53"/>
  <c r="D27" i="53" s="1"/>
  <c r="S64" i="53"/>
  <c r="D64" i="53" s="1"/>
  <c r="C64" i="53"/>
  <c r="C73" i="53"/>
  <c r="S73" i="53"/>
  <c r="D73" i="53" s="1"/>
  <c r="B62" i="44"/>
  <c r="B81" i="52"/>
  <c r="D20" i="46" l="1"/>
  <c r="C443" i="58"/>
  <c r="F20" i="55"/>
  <c r="L14" i="40" s="1"/>
  <c r="B80" i="51"/>
  <c r="C498" i="58" s="1"/>
  <c r="C5" i="50" l="1"/>
  <c r="K20" i="40" l="1"/>
  <c r="D20" i="50" l="1"/>
  <c r="K15" i="40" s="1"/>
  <c r="C59" i="44"/>
  <c r="B59" i="44"/>
  <c r="F11" i="50"/>
  <c r="F18" i="50" l="1"/>
  <c r="H9" i="51"/>
  <c r="D18" i="50"/>
  <c r="H8" i="51"/>
  <c r="G23" i="50"/>
  <c r="D13" i="50"/>
  <c r="E12" i="50" s="1"/>
  <c r="G11" i="50"/>
  <c r="K4" i="40" s="1"/>
  <c r="G10" i="50"/>
  <c r="K3" i="40" s="1"/>
  <c r="H10" i="51" l="1"/>
  <c r="E20" i="50"/>
  <c r="K16" i="40" s="1"/>
  <c r="C64" i="44"/>
  <c r="E18" i="50"/>
  <c r="E11" i="50"/>
  <c r="D5" i="50"/>
  <c r="K5" i="40" s="1"/>
  <c r="E10" i="50"/>
  <c r="G10" i="46"/>
  <c r="F11" i="46"/>
  <c r="G11" i="46" s="1"/>
  <c r="D11" i="46"/>
  <c r="D13" i="46" s="1"/>
  <c r="T50" i="49"/>
  <c r="S50" i="49"/>
  <c r="R50" i="49"/>
  <c r="Q50" i="49"/>
  <c r="P50" i="49"/>
  <c r="O50" i="49"/>
  <c r="N50" i="49"/>
  <c r="M50" i="49"/>
  <c r="L50" i="49"/>
  <c r="M51" i="49" s="1"/>
  <c r="M39" i="49" s="1"/>
  <c r="C5" i="46" s="1"/>
  <c r="Q41" i="51" l="1"/>
  <c r="Q25" i="51"/>
  <c r="Q39" i="51"/>
  <c r="Q31" i="51"/>
  <c r="Q7" i="51"/>
  <c r="Q46" i="51"/>
  <c r="Q14" i="51"/>
  <c r="Q69" i="51"/>
  <c r="Q53" i="51"/>
  <c r="Q37" i="51"/>
  <c r="Q29" i="51"/>
  <c r="Q21" i="51"/>
  <c r="Q43" i="51"/>
  <c r="Q35" i="51"/>
  <c r="Q19" i="51"/>
  <c r="Q20" i="51"/>
  <c r="Q40" i="51"/>
  <c r="Q18" i="51"/>
  <c r="Q58" i="51"/>
  <c r="Q16" i="51"/>
  <c r="Q74" i="51"/>
  <c r="Q26" i="51"/>
  <c r="Q50" i="51"/>
  <c r="Q34" i="51"/>
  <c r="Q28" i="51"/>
  <c r="Q66" i="51"/>
  <c r="Q56" i="51"/>
  <c r="E12" i="46"/>
  <c r="E10" i="46"/>
  <c r="E11" i="46"/>
  <c r="J20" i="40"/>
  <c r="J4" i="40"/>
  <c r="J3" i="40"/>
  <c r="J15" i="40"/>
  <c r="C57" i="48"/>
  <c r="H9" i="52" s="1"/>
  <c r="B57" i="48"/>
  <c r="G23" i="46"/>
  <c r="D21" i="46"/>
  <c r="D5" i="46"/>
  <c r="J5" i="40" s="1"/>
  <c r="S69" i="51" l="1"/>
  <c r="D69" i="51" s="1"/>
  <c r="C69" i="51"/>
  <c r="S14" i="51"/>
  <c r="D14" i="51" s="1"/>
  <c r="C14" i="51"/>
  <c r="C7" i="51"/>
  <c r="S7" i="51"/>
  <c r="D7" i="51" s="1"/>
  <c r="S34" i="51"/>
  <c r="D34" i="51" s="1"/>
  <c r="C34" i="51"/>
  <c r="S50" i="51"/>
  <c r="D50" i="51" s="1"/>
  <c r="C50" i="51"/>
  <c r="S46" i="51"/>
  <c r="D46" i="51" s="1"/>
  <c r="C46" i="51"/>
  <c r="C16" i="51"/>
  <c r="S16" i="51"/>
  <c r="D16" i="51" s="1"/>
  <c r="C31" i="51"/>
  <c r="S31" i="51"/>
  <c r="D31" i="51" s="1"/>
  <c r="D80" i="51" s="1"/>
  <c r="S20" i="51"/>
  <c r="D20" i="51" s="1"/>
  <c r="C20" i="51"/>
  <c r="S26" i="51"/>
  <c r="D26" i="51" s="1"/>
  <c r="C26" i="51"/>
  <c r="S74" i="51"/>
  <c r="D74" i="51" s="1"/>
  <c r="C74" i="51"/>
  <c r="C56" i="51"/>
  <c r="S56" i="51"/>
  <c r="D56" i="51" s="1"/>
  <c r="C39" i="51"/>
  <c r="S39" i="51"/>
  <c r="D39" i="51" s="1"/>
  <c r="S29" i="51"/>
  <c r="D29" i="51" s="1"/>
  <c r="C29" i="51"/>
  <c r="S18" i="51"/>
  <c r="D18" i="51" s="1"/>
  <c r="C18" i="51"/>
  <c r="S37" i="51"/>
  <c r="D37" i="51" s="1"/>
  <c r="C37" i="51"/>
  <c r="S25" i="51"/>
  <c r="D25" i="51" s="1"/>
  <c r="C25" i="51"/>
  <c r="C19" i="51"/>
  <c r="S19" i="51"/>
  <c r="D19" i="51" s="1"/>
  <c r="C35" i="51"/>
  <c r="S35" i="51"/>
  <c r="D35" i="51" s="1"/>
  <c r="C43" i="51"/>
  <c r="S43" i="51"/>
  <c r="D43" i="51" s="1"/>
  <c r="S21" i="51"/>
  <c r="D21" i="51" s="1"/>
  <c r="C21" i="51"/>
  <c r="S58" i="51"/>
  <c r="D58" i="51" s="1"/>
  <c r="C58" i="51"/>
  <c r="S66" i="51"/>
  <c r="D66" i="51" s="1"/>
  <c r="C66" i="51"/>
  <c r="S28" i="51"/>
  <c r="D28" i="51" s="1"/>
  <c r="C28" i="51"/>
  <c r="C40" i="51"/>
  <c r="S40" i="51"/>
  <c r="D40" i="51" s="1"/>
  <c r="S53" i="51"/>
  <c r="D53" i="51" s="1"/>
  <c r="C53" i="51"/>
  <c r="S41" i="51"/>
  <c r="D41" i="51" s="1"/>
  <c r="C41" i="51"/>
  <c r="F21" i="55"/>
  <c r="G21" i="55" s="1"/>
  <c r="L9" i="40" s="1"/>
  <c r="F18" i="46"/>
  <c r="H8" i="52"/>
  <c r="H10" i="52" s="1"/>
  <c r="D18" i="46"/>
  <c r="Q31" i="52" l="1"/>
  <c r="Q61" i="52"/>
  <c r="Q29" i="52"/>
  <c r="Q21" i="52"/>
  <c r="Q5" i="52"/>
  <c r="Q44" i="52"/>
  <c r="Q20" i="52"/>
  <c r="Q75" i="52"/>
  <c r="Q59" i="52"/>
  <c r="Q43" i="52"/>
  <c r="Q11" i="52"/>
  <c r="Q33" i="52"/>
  <c r="Q25" i="52"/>
  <c r="Q26" i="52"/>
  <c r="Q64" i="52"/>
  <c r="Q42" i="52"/>
  <c r="Q22" i="52"/>
  <c r="Q38" i="52"/>
  <c r="Q54" i="52"/>
  <c r="Q62" i="52"/>
  <c r="Q56" i="52"/>
  <c r="Q40" i="52"/>
  <c r="Q34" i="52"/>
  <c r="Q14" i="52"/>
  <c r="F20" i="50"/>
  <c r="K14" i="40" s="1"/>
  <c r="D498" i="58"/>
  <c r="E18" i="46"/>
  <c r="E20" i="46"/>
  <c r="J16" i="40" s="1"/>
  <c r="C5" i="39"/>
  <c r="D5" i="39" s="1"/>
  <c r="C4" i="39"/>
  <c r="D4" i="39" s="1"/>
  <c r="C110" i="38"/>
  <c r="D110" i="38" s="1"/>
  <c r="C109" i="38"/>
  <c r="D109" i="38" s="1"/>
  <c r="C108" i="38"/>
  <c r="D108" i="38" s="1"/>
  <c r="C107" i="38"/>
  <c r="D107" i="38" s="1"/>
  <c r="C106" i="38"/>
  <c r="D106" i="38" s="1"/>
  <c r="C105" i="38"/>
  <c r="D105" i="38" s="1"/>
  <c r="C104" i="38"/>
  <c r="D104" i="38" s="1"/>
  <c r="C103" i="38"/>
  <c r="D103" i="38" s="1"/>
  <c r="C102" i="38"/>
  <c r="D102" i="38" s="1"/>
  <c r="C101" i="38"/>
  <c r="D101" i="38" s="1"/>
  <c r="C100" i="38"/>
  <c r="D100" i="38" s="1"/>
  <c r="C99" i="38"/>
  <c r="D99" i="38" s="1"/>
  <c r="C98" i="38"/>
  <c r="D98" i="38" s="1"/>
  <c r="C97" i="38"/>
  <c r="D97" i="38" s="1"/>
  <c r="C96" i="38"/>
  <c r="D96" i="38" s="1"/>
  <c r="C95" i="38"/>
  <c r="D95" i="38" s="1"/>
  <c r="C94" i="38"/>
  <c r="D94" i="38" s="1"/>
  <c r="C93" i="38"/>
  <c r="D93" i="38" s="1"/>
  <c r="C92" i="38"/>
  <c r="D92" i="38" s="1"/>
  <c r="C91" i="38"/>
  <c r="D91" i="38" s="1"/>
  <c r="C90" i="38"/>
  <c r="D90" i="38" s="1"/>
  <c r="C89" i="38"/>
  <c r="D89" i="38" s="1"/>
  <c r="C88" i="38"/>
  <c r="D88" i="38" s="1"/>
  <c r="C87" i="38"/>
  <c r="D87" i="38" s="1"/>
  <c r="C86" i="38"/>
  <c r="D86" i="38" s="1"/>
  <c r="C85" i="38"/>
  <c r="D85" i="38" s="1"/>
  <c r="C84" i="38"/>
  <c r="D84" i="38" s="1"/>
  <c r="C83" i="38"/>
  <c r="D83" i="38" s="1"/>
  <c r="C82" i="38"/>
  <c r="D82" i="38" s="1"/>
  <c r="C81" i="38"/>
  <c r="D81" i="38" s="1"/>
  <c r="C80" i="38"/>
  <c r="D80" i="38" s="1"/>
  <c r="C79" i="38"/>
  <c r="D79" i="38" s="1"/>
  <c r="C78" i="38"/>
  <c r="D78" i="38" s="1"/>
  <c r="C77" i="38"/>
  <c r="D77" i="38" s="1"/>
  <c r="C76" i="38"/>
  <c r="D76" i="38" s="1"/>
  <c r="C75" i="38"/>
  <c r="D75" i="38" s="1"/>
  <c r="C74" i="38"/>
  <c r="D74" i="38" s="1"/>
  <c r="C73" i="38"/>
  <c r="D73" i="38" s="1"/>
  <c r="C72" i="38"/>
  <c r="D72" i="38" s="1"/>
  <c r="C71" i="38"/>
  <c r="D71" i="38" s="1"/>
  <c r="C70" i="38"/>
  <c r="D70" i="38" s="1"/>
  <c r="C69" i="38"/>
  <c r="D69" i="38" s="1"/>
  <c r="C68" i="38"/>
  <c r="D68" i="38" s="1"/>
  <c r="C67" i="38"/>
  <c r="D67" i="38" s="1"/>
  <c r="C66" i="38"/>
  <c r="D66" i="38" s="1"/>
  <c r="C65" i="38"/>
  <c r="D65" i="38" s="1"/>
  <c r="C64" i="38"/>
  <c r="D64" i="38" s="1"/>
  <c r="C63" i="38"/>
  <c r="D63" i="38" s="1"/>
  <c r="C61" i="38"/>
  <c r="D61" i="38" s="1"/>
  <c r="C60" i="38"/>
  <c r="D60" i="38" s="1"/>
  <c r="C59" i="38"/>
  <c r="D59" i="38" s="1"/>
  <c r="C58" i="38"/>
  <c r="D58" i="38" s="1"/>
  <c r="C57" i="38"/>
  <c r="D57" i="38" s="1"/>
  <c r="C56" i="38"/>
  <c r="D56" i="38" s="1"/>
  <c r="C55" i="38"/>
  <c r="D55" i="38" s="1"/>
  <c r="C54" i="38"/>
  <c r="D54" i="38" s="1"/>
  <c r="C53" i="38"/>
  <c r="D53" i="38" s="1"/>
  <c r="C52" i="38"/>
  <c r="D52" i="38" s="1"/>
  <c r="C51" i="38"/>
  <c r="D51" i="38" s="1"/>
  <c r="C50" i="38"/>
  <c r="D50" i="38" s="1"/>
  <c r="C49" i="38"/>
  <c r="D49" i="38" s="1"/>
  <c r="C48" i="38"/>
  <c r="D48" i="38" s="1"/>
  <c r="C47" i="38"/>
  <c r="D47" i="38" s="1"/>
  <c r="C46" i="38"/>
  <c r="D46" i="38" s="1"/>
  <c r="C45" i="38"/>
  <c r="D45" i="38" s="1"/>
  <c r="C44" i="38"/>
  <c r="D44" i="38" s="1"/>
  <c r="C43" i="38"/>
  <c r="D43" i="38" s="1"/>
  <c r="C42" i="38"/>
  <c r="D42" i="38" s="1"/>
  <c r="C41" i="38"/>
  <c r="D41" i="38" s="1"/>
  <c r="C40" i="38"/>
  <c r="D40" i="38" s="1"/>
  <c r="C39" i="38"/>
  <c r="D39" i="38" s="1"/>
  <c r="C38" i="38"/>
  <c r="D38" i="38" s="1"/>
  <c r="C37" i="38"/>
  <c r="D37" i="38" s="1"/>
  <c r="C36" i="38"/>
  <c r="D36" i="38" s="1"/>
  <c r="C35" i="38"/>
  <c r="D35" i="38" s="1"/>
  <c r="C34" i="38"/>
  <c r="D34" i="38" s="1"/>
  <c r="C33" i="38"/>
  <c r="D33" i="38" s="1"/>
  <c r="C32" i="38"/>
  <c r="D32" i="38" s="1"/>
  <c r="C31" i="38"/>
  <c r="D31" i="38" s="1"/>
  <c r="C30" i="38"/>
  <c r="D30" i="38" s="1"/>
  <c r="C29" i="38"/>
  <c r="D29" i="38" s="1"/>
  <c r="C28" i="38"/>
  <c r="D28" i="38" s="1"/>
  <c r="C27" i="38"/>
  <c r="D27" i="38" s="1"/>
  <c r="C26" i="38"/>
  <c r="D26" i="38" s="1"/>
  <c r="C25" i="38"/>
  <c r="D25" i="38" s="1"/>
  <c r="C24" i="38"/>
  <c r="D24" i="38" s="1"/>
  <c r="C23" i="38"/>
  <c r="D23" i="38" s="1"/>
  <c r="C22" i="38"/>
  <c r="D22" i="38" s="1"/>
  <c r="C21" i="38"/>
  <c r="D21" i="38" s="1"/>
  <c r="C20" i="38"/>
  <c r="D20" i="38" s="1"/>
  <c r="C19" i="38"/>
  <c r="D19" i="38" s="1"/>
  <c r="C18" i="38"/>
  <c r="D18" i="38" s="1"/>
  <c r="C17" i="38"/>
  <c r="D17" i="38" s="1"/>
  <c r="C16" i="38"/>
  <c r="D16" i="38" s="1"/>
  <c r="C15" i="38"/>
  <c r="D15" i="38" s="1"/>
  <c r="C14" i="38"/>
  <c r="D14" i="38" s="1"/>
  <c r="C13" i="38"/>
  <c r="D13" i="38" s="1"/>
  <c r="C12" i="38"/>
  <c r="D12" i="38" s="1"/>
  <c r="C11" i="38"/>
  <c r="D11" i="38" s="1"/>
  <c r="C10" i="38"/>
  <c r="D10" i="38" s="1"/>
  <c r="C9" i="38"/>
  <c r="D9" i="38" s="1"/>
  <c r="C8" i="38"/>
  <c r="D8" i="38" s="1"/>
  <c r="C7" i="38"/>
  <c r="D7" i="38" s="1"/>
  <c r="C5" i="38"/>
  <c r="D5" i="38" s="1"/>
  <c r="C114" i="37"/>
  <c r="D114" i="37" s="1"/>
  <c r="C113" i="37"/>
  <c r="D113" i="37" s="1"/>
  <c r="C112" i="37"/>
  <c r="D112" i="37" s="1"/>
  <c r="C111" i="37"/>
  <c r="D111" i="37" s="1"/>
  <c r="C110" i="37"/>
  <c r="D110" i="37" s="1"/>
  <c r="C109" i="37"/>
  <c r="D109" i="37" s="1"/>
  <c r="C108" i="37"/>
  <c r="D108" i="37" s="1"/>
  <c r="C107" i="37"/>
  <c r="D107" i="37" s="1"/>
  <c r="C106" i="37"/>
  <c r="D106" i="37" s="1"/>
  <c r="C105" i="37"/>
  <c r="D105" i="37" s="1"/>
  <c r="C104" i="37"/>
  <c r="D104" i="37" s="1"/>
  <c r="C103" i="37"/>
  <c r="D103" i="37" s="1"/>
  <c r="C102" i="37"/>
  <c r="D102" i="37" s="1"/>
  <c r="C101" i="37"/>
  <c r="D101" i="37" s="1"/>
  <c r="C100" i="37"/>
  <c r="D100" i="37" s="1"/>
  <c r="C99" i="37"/>
  <c r="D99" i="37" s="1"/>
  <c r="C98" i="37"/>
  <c r="D98" i="37" s="1"/>
  <c r="C97" i="37"/>
  <c r="D97" i="37" s="1"/>
  <c r="C96" i="37"/>
  <c r="D96" i="37" s="1"/>
  <c r="C95" i="37"/>
  <c r="D95" i="37" s="1"/>
  <c r="C94" i="37"/>
  <c r="D94" i="37" s="1"/>
  <c r="C93" i="37"/>
  <c r="D93" i="37" s="1"/>
  <c r="C92" i="37"/>
  <c r="D92" i="37" s="1"/>
  <c r="C91" i="37"/>
  <c r="D91" i="37" s="1"/>
  <c r="C90" i="37"/>
  <c r="D90" i="37" s="1"/>
  <c r="C89" i="37"/>
  <c r="D89" i="37" s="1"/>
  <c r="C88" i="37"/>
  <c r="D88" i="37" s="1"/>
  <c r="C87" i="37"/>
  <c r="D87" i="37" s="1"/>
  <c r="C86" i="37"/>
  <c r="D86" i="37" s="1"/>
  <c r="C85" i="37"/>
  <c r="D85" i="37" s="1"/>
  <c r="C84" i="37"/>
  <c r="D84" i="37" s="1"/>
  <c r="C83" i="37"/>
  <c r="D83" i="37" s="1"/>
  <c r="C82" i="37"/>
  <c r="D82" i="37" s="1"/>
  <c r="C81" i="37"/>
  <c r="D81" i="37" s="1"/>
  <c r="C80" i="37"/>
  <c r="D80" i="37" s="1"/>
  <c r="C79" i="37"/>
  <c r="D79" i="37" s="1"/>
  <c r="C78" i="37"/>
  <c r="D78" i="37" s="1"/>
  <c r="C77" i="37"/>
  <c r="D77" i="37" s="1"/>
  <c r="C76" i="37"/>
  <c r="D76" i="37" s="1"/>
  <c r="C75" i="37"/>
  <c r="D75" i="37" s="1"/>
  <c r="C74" i="37"/>
  <c r="D74" i="37" s="1"/>
  <c r="C73" i="37"/>
  <c r="D73" i="37" s="1"/>
  <c r="C72" i="37"/>
  <c r="D72" i="37" s="1"/>
  <c r="C71" i="37"/>
  <c r="D71" i="37" s="1"/>
  <c r="C70" i="37"/>
  <c r="D70" i="37" s="1"/>
  <c r="C69" i="37"/>
  <c r="D69" i="37" s="1"/>
  <c r="C68" i="37"/>
  <c r="D68" i="37" s="1"/>
  <c r="C67" i="37"/>
  <c r="D67" i="37" s="1"/>
  <c r="C66" i="37"/>
  <c r="D66" i="37" s="1"/>
  <c r="C65" i="37"/>
  <c r="D65" i="37" s="1"/>
  <c r="C64" i="37"/>
  <c r="D64" i="37" s="1"/>
  <c r="C63" i="37"/>
  <c r="D63" i="37" s="1"/>
  <c r="C62" i="37"/>
  <c r="D62" i="37" s="1"/>
  <c r="C60" i="37"/>
  <c r="D60" i="37" s="1"/>
  <c r="C59" i="37"/>
  <c r="D59" i="37" s="1"/>
  <c r="C58" i="37"/>
  <c r="D58" i="37" s="1"/>
  <c r="C57" i="37"/>
  <c r="D57" i="37" s="1"/>
  <c r="C56" i="37"/>
  <c r="D56" i="37" s="1"/>
  <c r="C55" i="37"/>
  <c r="D55" i="37" s="1"/>
  <c r="C54" i="37"/>
  <c r="D54" i="37" s="1"/>
  <c r="C53" i="37"/>
  <c r="D53" i="37" s="1"/>
  <c r="C52" i="37"/>
  <c r="D52" i="37" s="1"/>
  <c r="C51" i="37"/>
  <c r="D51" i="37" s="1"/>
  <c r="C50" i="37"/>
  <c r="D50" i="37" s="1"/>
  <c r="C49" i="37"/>
  <c r="D49" i="37" s="1"/>
  <c r="C48" i="37"/>
  <c r="D48" i="37" s="1"/>
  <c r="C47" i="37"/>
  <c r="D47" i="37" s="1"/>
  <c r="C46" i="37"/>
  <c r="D46" i="37" s="1"/>
  <c r="C45" i="37"/>
  <c r="D45" i="37" s="1"/>
  <c r="C44" i="37"/>
  <c r="D44" i="37" s="1"/>
  <c r="C43" i="37"/>
  <c r="D43" i="37" s="1"/>
  <c r="C42" i="37"/>
  <c r="D42" i="37" s="1"/>
  <c r="C41" i="37"/>
  <c r="D41" i="37" s="1"/>
  <c r="C40" i="37"/>
  <c r="D40" i="37" s="1"/>
  <c r="C39" i="37"/>
  <c r="D39" i="37" s="1"/>
  <c r="C38" i="37"/>
  <c r="D38" i="37" s="1"/>
  <c r="C37" i="37"/>
  <c r="D37" i="37" s="1"/>
  <c r="C36" i="37"/>
  <c r="D36" i="37" s="1"/>
  <c r="C35" i="37"/>
  <c r="D35" i="37" s="1"/>
  <c r="C34" i="37"/>
  <c r="D34" i="37" s="1"/>
  <c r="C33" i="37"/>
  <c r="D33" i="37" s="1"/>
  <c r="C32" i="37"/>
  <c r="D32" i="37" s="1"/>
  <c r="C31" i="37"/>
  <c r="D31" i="37" s="1"/>
  <c r="C30" i="37"/>
  <c r="D30" i="37" s="1"/>
  <c r="C29" i="37"/>
  <c r="D29" i="37" s="1"/>
  <c r="C28" i="37"/>
  <c r="D28" i="37" s="1"/>
  <c r="C27" i="37"/>
  <c r="D27" i="37" s="1"/>
  <c r="C26" i="37"/>
  <c r="D26" i="37" s="1"/>
  <c r="C25" i="37"/>
  <c r="D25" i="37" s="1"/>
  <c r="C24" i="37"/>
  <c r="D24" i="37" s="1"/>
  <c r="C23" i="37"/>
  <c r="D23" i="37" s="1"/>
  <c r="C22" i="37"/>
  <c r="D22" i="37" s="1"/>
  <c r="C21" i="37"/>
  <c r="D21" i="37" s="1"/>
  <c r="C20" i="37"/>
  <c r="D20" i="37" s="1"/>
  <c r="C19" i="37"/>
  <c r="D19" i="37" s="1"/>
  <c r="C18" i="37"/>
  <c r="D18" i="37" s="1"/>
  <c r="C17" i="37"/>
  <c r="D17" i="37" s="1"/>
  <c r="C16" i="37"/>
  <c r="D16" i="37" s="1"/>
  <c r="C15" i="37"/>
  <c r="D15" i="37" s="1"/>
  <c r="C14" i="37"/>
  <c r="D14" i="37" s="1"/>
  <c r="C13" i="37"/>
  <c r="D13" i="37" s="1"/>
  <c r="C12" i="37"/>
  <c r="D12" i="37" s="1"/>
  <c r="C11" i="37"/>
  <c r="D11" i="37" s="1"/>
  <c r="C10" i="37"/>
  <c r="D10" i="37" s="1"/>
  <c r="C9" i="37"/>
  <c r="D9" i="37" s="1"/>
  <c r="C8" i="37"/>
  <c r="D8" i="37" s="1"/>
  <c r="C7" i="37"/>
  <c r="D7" i="37" s="1"/>
  <c r="C5" i="37"/>
  <c r="D5" i="37" s="1"/>
  <c r="C124" i="36"/>
  <c r="D124" i="36" s="1"/>
  <c r="C123" i="36"/>
  <c r="D123" i="36" s="1"/>
  <c r="C122" i="36"/>
  <c r="D122" i="36" s="1"/>
  <c r="C121" i="36"/>
  <c r="D121" i="36" s="1"/>
  <c r="C120" i="36"/>
  <c r="D120" i="36" s="1"/>
  <c r="C119" i="36"/>
  <c r="D119" i="36" s="1"/>
  <c r="C118" i="36"/>
  <c r="D118" i="36" s="1"/>
  <c r="C117" i="36"/>
  <c r="D117" i="36" s="1"/>
  <c r="C116" i="36"/>
  <c r="D116" i="36" s="1"/>
  <c r="C115" i="36"/>
  <c r="D115" i="36" s="1"/>
  <c r="C114" i="36"/>
  <c r="D114" i="36" s="1"/>
  <c r="C113" i="36"/>
  <c r="D113" i="36" s="1"/>
  <c r="C112" i="36"/>
  <c r="D112" i="36" s="1"/>
  <c r="C111" i="36"/>
  <c r="D111" i="36" s="1"/>
  <c r="C110" i="36"/>
  <c r="D110" i="36" s="1"/>
  <c r="C109" i="36"/>
  <c r="D109" i="36" s="1"/>
  <c r="C108" i="36"/>
  <c r="D108" i="36" s="1"/>
  <c r="C107" i="36"/>
  <c r="D107" i="36" s="1"/>
  <c r="C106" i="36"/>
  <c r="D106" i="36" s="1"/>
  <c r="C105" i="36"/>
  <c r="D105" i="36" s="1"/>
  <c r="C104" i="36"/>
  <c r="D104" i="36" s="1"/>
  <c r="C103" i="36"/>
  <c r="D103" i="36" s="1"/>
  <c r="C102" i="36"/>
  <c r="D102" i="36" s="1"/>
  <c r="C101" i="36"/>
  <c r="D101" i="36" s="1"/>
  <c r="C100" i="36"/>
  <c r="D100" i="36" s="1"/>
  <c r="C99" i="36"/>
  <c r="D99" i="36" s="1"/>
  <c r="C98" i="36"/>
  <c r="D98" i="36" s="1"/>
  <c r="C97" i="36"/>
  <c r="D97" i="36" s="1"/>
  <c r="C96" i="36"/>
  <c r="D96" i="36" s="1"/>
  <c r="C95" i="36"/>
  <c r="D95" i="36" s="1"/>
  <c r="C94" i="36"/>
  <c r="D94" i="36" s="1"/>
  <c r="C93" i="36"/>
  <c r="D93" i="36" s="1"/>
  <c r="C92" i="36"/>
  <c r="D92" i="36" s="1"/>
  <c r="C91" i="36"/>
  <c r="D91" i="36" s="1"/>
  <c r="C90" i="36"/>
  <c r="D90" i="36" s="1"/>
  <c r="C89" i="36"/>
  <c r="D89" i="36" s="1"/>
  <c r="C88" i="36"/>
  <c r="D88" i="36" s="1"/>
  <c r="C87" i="36"/>
  <c r="D87" i="36" s="1"/>
  <c r="C86" i="36"/>
  <c r="D86" i="36" s="1"/>
  <c r="C85" i="36"/>
  <c r="D85" i="36" s="1"/>
  <c r="C84" i="36"/>
  <c r="D84" i="36" s="1"/>
  <c r="C83" i="36"/>
  <c r="D83" i="36" s="1"/>
  <c r="C82" i="36"/>
  <c r="D82" i="36" s="1"/>
  <c r="C81" i="36"/>
  <c r="D81" i="36" s="1"/>
  <c r="C80" i="36"/>
  <c r="D80" i="36" s="1"/>
  <c r="C79" i="36"/>
  <c r="D79" i="36" s="1"/>
  <c r="C78" i="36"/>
  <c r="D78" i="36" s="1"/>
  <c r="C77" i="36"/>
  <c r="D77" i="36" s="1"/>
  <c r="C76" i="36"/>
  <c r="D76" i="36" s="1"/>
  <c r="C75" i="36"/>
  <c r="D75" i="36" s="1"/>
  <c r="C74" i="36"/>
  <c r="D74" i="36" s="1"/>
  <c r="C73" i="36"/>
  <c r="D73" i="36" s="1"/>
  <c r="C72" i="36"/>
  <c r="D72" i="36" s="1"/>
  <c r="C71" i="36"/>
  <c r="D71" i="36" s="1"/>
  <c r="C69" i="36"/>
  <c r="D69" i="36" s="1"/>
  <c r="C68" i="36"/>
  <c r="D68" i="36" s="1"/>
  <c r="C67" i="36"/>
  <c r="D67" i="36" s="1"/>
  <c r="C66" i="36"/>
  <c r="D66" i="36" s="1"/>
  <c r="C65" i="36"/>
  <c r="D65" i="36" s="1"/>
  <c r="C64" i="36"/>
  <c r="D64" i="36" s="1"/>
  <c r="C63" i="36"/>
  <c r="D63" i="36" s="1"/>
  <c r="C62" i="36"/>
  <c r="D62" i="36" s="1"/>
  <c r="C61" i="36"/>
  <c r="D61" i="36" s="1"/>
  <c r="C60" i="36"/>
  <c r="D60" i="36" s="1"/>
  <c r="C59" i="36"/>
  <c r="D59" i="36" s="1"/>
  <c r="C58" i="36"/>
  <c r="D58" i="36" s="1"/>
  <c r="C57" i="36"/>
  <c r="D57" i="36" s="1"/>
  <c r="C56" i="36"/>
  <c r="D56" i="36" s="1"/>
  <c r="C55" i="36"/>
  <c r="D55" i="36" s="1"/>
  <c r="C54" i="36"/>
  <c r="D54" i="36" s="1"/>
  <c r="C53" i="36"/>
  <c r="D53" i="36" s="1"/>
  <c r="C52" i="36"/>
  <c r="D52" i="36" s="1"/>
  <c r="C51" i="36"/>
  <c r="D51" i="36" s="1"/>
  <c r="C50" i="36"/>
  <c r="D50" i="36" s="1"/>
  <c r="C49" i="36"/>
  <c r="D49" i="36" s="1"/>
  <c r="C48" i="36"/>
  <c r="D48" i="36" s="1"/>
  <c r="C47" i="36"/>
  <c r="D47" i="36" s="1"/>
  <c r="C46" i="36"/>
  <c r="D46" i="36" s="1"/>
  <c r="C45" i="36"/>
  <c r="D45" i="36" s="1"/>
  <c r="C44" i="36"/>
  <c r="D44" i="36" s="1"/>
  <c r="C43" i="36"/>
  <c r="D43" i="36" s="1"/>
  <c r="C42" i="36"/>
  <c r="D42" i="36" s="1"/>
  <c r="C41" i="36"/>
  <c r="D41" i="36" s="1"/>
  <c r="C40" i="36"/>
  <c r="D40" i="36" s="1"/>
  <c r="C39" i="36"/>
  <c r="D39" i="36" s="1"/>
  <c r="C38" i="36"/>
  <c r="D38" i="36" s="1"/>
  <c r="C37" i="36"/>
  <c r="D37" i="36" s="1"/>
  <c r="C36" i="36"/>
  <c r="D36" i="36" s="1"/>
  <c r="C35" i="36"/>
  <c r="D35" i="36" s="1"/>
  <c r="C34" i="36"/>
  <c r="D34" i="36" s="1"/>
  <c r="C33" i="36"/>
  <c r="D33" i="36" s="1"/>
  <c r="C32" i="36"/>
  <c r="D32" i="36" s="1"/>
  <c r="C31" i="36"/>
  <c r="D31" i="36" s="1"/>
  <c r="C30" i="36"/>
  <c r="D30" i="36" s="1"/>
  <c r="C29" i="36"/>
  <c r="D29" i="36" s="1"/>
  <c r="C28" i="36"/>
  <c r="D28" i="36" s="1"/>
  <c r="C27" i="36"/>
  <c r="D27" i="36" s="1"/>
  <c r="C26" i="36"/>
  <c r="D26" i="36" s="1"/>
  <c r="C25" i="36"/>
  <c r="D25" i="36" s="1"/>
  <c r="C24" i="36"/>
  <c r="D24" i="36" s="1"/>
  <c r="C23" i="36"/>
  <c r="D23" i="36" s="1"/>
  <c r="C22" i="36"/>
  <c r="D22" i="36" s="1"/>
  <c r="C21" i="36"/>
  <c r="D21" i="36" s="1"/>
  <c r="C20" i="36"/>
  <c r="D20" i="36" s="1"/>
  <c r="C19" i="36"/>
  <c r="D19" i="36" s="1"/>
  <c r="C18" i="36"/>
  <c r="D18" i="36" s="1"/>
  <c r="C17" i="36"/>
  <c r="D17" i="36" s="1"/>
  <c r="C16" i="36"/>
  <c r="D16" i="36" s="1"/>
  <c r="C15" i="36"/>
  <c r="D15" i="36" s="1"/>
  <c r="C14" i="36"/>
  <c r="D14" i="36" s="1"/>
  <c r="C13" i="36"/>
  <c r="D13" i="36" s="1"/>
  <c r="C12" i="36"/>
  <c r="D12" i="36" s="1"/>
  <c r="C11" i="36"/>
  <c r="D11" i="36" s="1"/>
  <c r="C10" i="36"/>
  <c r="D10" i="36" s="1"/>
  <c r="C8" i="36"/>
  <c r="D8" i="36" s="1"/>
  <c r="C7" i="36"/>
  <c r="D7" i="36" s="1"/>
  <c r="C6" i="36"/>
  <c r="D6" i="36" s="1"/>
  <c r="C132" i="35"/>
  <c r="D132" i="35" s="1"/>
  <c r="C131" i="35"/>
  <c r="D131" i="35" s="1"/>
  <c r="C130" i="35"/>
  <c r="D130" i="35" s="1"/>
  <c r="C129" i="35"/>
  <c r="D129" i="35" s="1"/>
  <c r="C128" i="35"/>
  <c r="D128" i="35" s="1"/>
  <c r="C127" i="35"/>
  <c r="D127" i="35" s="1"/>
  <c r="C126" i="35"/>
  <c r="D126" i="35" s="1"/>
  <c r="C125" i="35"/>
  <c r="D125" i="35" s="1"/>
  <c r="C124" i="35"/>
  <c r="D124" i="35" s="1"/>
  <c r="C123" i="35"/>
  <c r="D123" i="35" s="1"/>
  <c r="C122" i="35"/>
  <c r="D122" i="35" s="1"/>
  <c r="C121" i="35"/>
  <c r="D121" i="35" s="1"/>
  <c r="C120" i="35"/>
  <c r="D120" i="35" s="1"/>
  <c r="C119" i="35"/>
  <c r="D119" i="35" s="1"/>
  <c r="C118" i="35"/>
  <c r="D118" i="35" s="1"/>
  <c r="C117" i="35"/>
  <c r="D117" i="35" s="1"/>
  <c r="C116" i="35"/>
  <c r="D116" i="35" s="1"/>
  <c r="C115" i="35"/>
  <c r="D115" i="35" s="1"/>
  <c r="C114" i="35"/>
  <c r="D114" i="35" s="1"/>
  <c r="C113" i="35"/>
  <c r="D113" i="35" s="1"/>
  <c r="C112" i="35"/>
  <c r="D112" i="35" s="1"/>
  <c r="C111" i="35"/>
  <c r="D111" i="35" s="1"/>
  <c r="C110" i="35"/>
  <c r="D110" i="35" s="1"/>
  <c r="C109" i="35"/>
  <c r="D109" i="35" s="1"/>
  <c r="C108" i="35"/>
  <c r="D108" i="35" s="1"/>
  <c r="C107" i="35"/>
  <c r="D107" i="35" s="1"/>
  <c r="C106" i="35"/>
  <c r="D106" i="35" s="1"/>
  <c r="C105" i="35"/>
  <c r="D105" i="35" s="1"/>
  <c r="C104" i="35"/>
  <c r="D104" i="35" s="1"/>
  <c r="C103" i="35"/>
  <c r="D103" i="35" s="1"/>
  <c r="C102" i="35"/>
  <c r="D102" i="35" s="1"/>
  <c r="C101" i="35"/>
  <c r="D101" i="35" s="1"/>
  <c r="C100" i="35"/>
  <c r="D100" i="35" s="1"/>
  <c r="C99" i="35"/>
  <c r="D99" i="35" s="1"/>
  <c r="C98" i="35"/>
  <c r="D98" i="35" s="1"/>
  <c r="C97" i="35"/>
  <c r="D97" i="35" s="1"/>
  <c r="C96" i="35"/>
  <c r="D96" i="35" s="1"/>
  <c r="C95" i="35"/>
  <c r="D95" i="35" s="1"/>
  <c r="C94" i="35"/>
  <c r="D94" i="35" s="1"/>
  <c r="C93" i="35"/>
  <c r="D93" i="35" s="1"/>
  <c r="C92" i="35"/>
  <c r="D92" i="35" s="1"/>
  <c r="C91" i="35"/>
  <c r="D91" i="35" s="1"/>
  <c r="C90" i="35"/>
  <c r="D90" i="35" s="1"/>
  <c r="C89" i="35"/>
  <c r="D89" i="35" s="1"/>
  <c r="C88" i="35"/>
  <c r="D88" i="35" s="1"/>
  <c r="C87" i="35"/>
  <c r="D87" i="35" s="1"/>
  <c r="C86" i="35"/>
  <c r="D86" i="35" s="1"/>
  <c r="C85" i="35"/>
  <c r="D85" i="35" s="1"/>
  <c r="C84" i="35"/>
  <c r="D84" i="35" s="1"/>
  <c r="C83" i="35"/>
  <c r="D83" i="35" s="1"/>
  <c r="C82" i="35"/>
  <c r="D82" i="35" s="1"/>
  <c r="C81" i="35"/>
  <c r="D81" i="35" s="1"/>
  <c r="C80" i="35"/>
  <c r="D80" i="35" s="1"/>
  <c r="C79" i="35"/>
  <c r="D79" i="35" s="1"/>
  <c r="C78" i="35"/>
  <c r="D78" i="35" s="1"/>
  <c r="C77" i="35"/>
  <c r="D77" i="35" s="1"/>
  <c r="C76" i="35"/>
  <c r="D76" i="35" s="1"/>
  <c r="C75" i="35"/>
  <c r="D75" i="35" s="1"/>
  <c r="C73" i="35"/>
  <c r="D73" i="35" s="1"/>
  <c r="C72" i="35"/>
  <c r="D72" i="35" s="1"/>
  <c r="C71" i="35"/>
  <c r="D71" i="35" s="1"/>
  <c r="C70" i="35"/>
  <c r="D70" i="35" s="1"/>
  <c r="C69" i="35"/>
  <c r="D69" i="35" s="1"/>
  <c r="C68" i="35"/>
  <c r="D68" i="35" s="1"/>
  <c r="C67" i="35"/>
  <c r="D67" i="35" s="1"/>
  <c r="C66" i="35"/>
  <c r="D66" i="35" s="1"/>
  <c r="C65" i="35"/>
  <c r="D65" i="35" s="1"/>
  <c r="C64" i="35"/>
  <c r="D64" i="35" s="1"/>
  <c r="C63" i="35"/>
  <c r="D63" i="35" s="1"/>
  <c r="C62" i="35"/>
  <c r="D62" i="35" s="1"/>
  <c r="C61" i="35"/>
  <c r="D61" i="35" s="1"/>
  <c r="C60" i="35"/>
  <c r="D60" i="35" s="1"/>
  <c r="C59" i="35"/>
  <c r="D59" i="35" s="1"/>
  <c r="C58" i="35"/>
  <c r="D58" i="35" s="1"/>
  <c r="C57" i="35"/>
  <c r="D57" i="35" s="1"/>
  <c r="C56" i="35"/>
  <c r="D56" i="35" s="1"/>
  <c r="C55" i="35"/>
  <c r="D55" i="35" s="1"/>
  <c r="C54" i="35"/>
  <c r="D54" i="35" s="1"/>
  <c r="C53" i="35"/>
  <c r="D53" i="35" s="1"/>
  <c r="C52" i="35"/>
  <c r="D52" i="35" s="1"/>
  <c r="C51" i="35"/>
  <c r="D51" i="35" s="1"/>
  <c r="C50" i="35"/>
  <c r="D50" i="35" s="1"/>
  <c r="C49" i="35"/>
  <c r="D49" i="35" s="1"/>
  <c r="C48" i="35"/>
  <c r="D48" i="35" s="1"/>
  <c r="C47" i="35"/>
  <c r="D47" i="35" s="1"/>
  <c r="C46" i="35"/>
  <c r="D46" i="35" s="1"/>
  <c r="C45" i="35"/>
  <c r="D45" i="35" s="1"/>
  <c r="C44" i="35"/>
  <c r="D44" i="35" s="1"/>
  <c r="C43" i="35"/>
  <c r="D43" i="35" s="1"/>
  <c r="C42" i="35"/>
  <c r="D42" i="35" s="1"/>
  <c r="C41" i="35"/>
  <c r="D41" i="35" s="1"/>
  <c r="C40" i="35"/>
  <c r="D40" i="35" s="1"/>
  <c r="C39" i="35"/>
  <c r="D39" i="35" s="1"/>
  <c r="C38" i="35"/>
  <c r="D38" i="35" s="1"/>
  <c r="C37" i="35"/>
  <c r="D37" i="35" s="1"/>
  <c r="C36" i="35"/>
  <c r="D36" i="35" s="1"/>
  <c r="C35" i="35"/>
  <c r="D35" i="35" s="1"/>
  <c r="C34" i="35"/>
  <c r="D34" i="35" s="1"/>
  <c r="C33" i="35"/>
  <c r="D33" i="35" s="1"/>
  <c r="C32" i="35"/>
  <c r="D32" i="35" s="1"/>
  <c r="C31" i="35"/>
  <c r="D31" i="35" s="1"/>
  <c r="C30" i="35"/>
  <c r="D30" i="35" s="1"/>
  <c r="C29" i="35"/>
  <c r="D29" i="35" s="1"/>
  <c r="C28" i="35"/>
  <c r="D28" i="35" s="1"/>
  <c r="C27" i="35"/>
  <c r="D27" i="35" s="1"/>
  <c r="C26" i="35"/>
  <c r="D26" i="35" s="1"/>
  <c r="C25" i="35"/>
  <c r="D25" i="35" s="1"/>
  <c r="C24" i="35"/>
  <c r="D24" i="35" s="1"/>
  <c r="C23" i="35"/>
  <c r="D23" i="35" s="1"/>
  <c r="C22" i="35"/>
  <c r="D22" i="35" s="1"/>
  <c r="C21" i="35"/>
  <c r="D21" i="35" s="1"/>
  <c r="C20" i="35"/>
  <c r="D20" i="35" s="1"/>
  <c r="C19" i="35"/>
  <c r="D19" i="35" s="1"/>
  <c r="C18" i="35"/>
  <c r="D18" i="35" s="1"/>
  <c r="C17" i="35"/>
  <c r="D17" i="35" s="1"/>
  <c r="C16" i="35"/>
  <c r="D16" i="35" s="1"/>
  <c r="C15" i="35"/>
  <c r="D15" i="35" s="1"/>
  <c r="C14" i="35"/>
  <c r="D14" i="35" s="1"/>
  <c r="C13" i="35"/>
  <c r="D13" i="35" s="1"/>
  <c r="C12" i="35"/>
  <c r="D12" i="35" s="1"/>
  <c r="C11" i="35"/>
  <c r="D11" i="35" s="1"/>
  <c r="C10" i="35"/>
  <c r="D10" i="35" s="1"/>
  <c r="C9" i="35"/>
  <c r="D9" i="35" s="1"/>
  <c r="C7" i="35"/>
  <c r="D7" i="35" s="1"/>
  <c r="C6" i="35"/>
  <c r="D6" i="35" s="1"/>
  <c r="C5" i="35"/>
  <c r="D5" i="35" s="1"/>
  <c r="C133" i="34"/>
  <c r="D133" i="34" s="1"/>
  <c r="C132" i="34"/>
  <c r="D132" i="34" s="1"/>
  <c r="C131" i="34"/>
  <c r="D131" i="34" s="1"/>
  <c r="C130" i="34"/>
  <c r="D130" i="34" s="1"/>
  <c r="C129" i="34"/>
  <c r="D129" i="34" s="1"/>
  <c r="C128" i="34"/>
  <c r="D128" i="34" s="1"/>
  <c r="C127" i="34"/>
  <c r="D127" i="34" s="1"/>
  <c r="C126" i="34"/>
  <c r="D126" i="34" s="1"/>
  <c r="C125" i="34"/>
  <c r="D125" i="34" s="1"/>
  <c r="C124" i="34"/>
  <c r="D124" i="34" s="1"/>
  <c r="C123" i="34"/>
  <c r="D123" i="34" s="1"/>
  <c r="C122" i="34"/>
  <c r="D122" i="34" s="1"/>
  <c r="C121" i="34"/>
  <c r="D121" i="34" s="1"/>
  <c r="C120" i="34"/>
  <c r="D120" i="34" s="1"/>
  <c r="C119" i="34"/>
  <c r="D119" i="34" s="1"/>
  <c r="C118" i="34"/>
  <c r="D118" i="34" s="1"/>
  <c r="C117" i="34"/>
  <c r="D117" i="34" s="1"/>
  <c r="C116" i="34"/>
  <c r="D116" i="34" s="1"/>
  <c r="C115" i="34"/>
  <c r="D115" i="34" s="1"/>
  <c r="C114" i="34"/>
  <c r="D114" i="34" s="1"/>
  <c r="C113" i="34"/>
  <c r="D113" i="34" s="1"/>
  <c r="C112" i="34"/>
  <c r="D112" i="34" s="1"/>
  <c r="C111" i="34"/>
  <c r="D111" i="34" s="1"/>
  <c r="C110" i="34"/>
  <c r="D110" i="34" s="1"/>
  <c r="C109" i="34"/>
  <c r="D109" i="34" s="1"/>
  <c r="C108" i="34"/>
  <c r="D108" i="34" s="1"/>
  <c r="C107" i="34"/>
  <c r="D107" i="34" s="1"/>
  <c r="C106" i="34"/>
  <c r="D106" i="34" s="1"/>
  <c r="C105" i="34"/>
  <c r="D105" i="34" s="1"/>
  <c r="C104" i="34"/>
  <c r="D104" i="34" s="1"/>
  <c r="C103" i="34"/>
  <c r="D103" i="34" s="1"/>
  <c r="C102" i="34"/>
  <c r="D102" i="34" s="1"/>
  <c r="C101" i="34"/>
  <c r="D101" i="34" s="1"/>
  <c r="C100" i="34"/>
  <c r="D100" i="34" s="1"/>
  <c r="C99" i="34"/>
  <c r="D99" i="34" s="1"/>
  <c r="C98" i="34"/>
  <c r="D98" i="34" s="1"/>
  <c r="C97" i="34"/>
  <c r="D97" i="34" s="1"/>
  <c r="C96" i="34"/>
  <c r="D96" i="34" s="1"/>
  <c r="C95" i="34"/>
  <c r="D95" i="34" s="1"/>
  <c r="C94" i="34"/>
  <c r="D94" i="34" s="1"/>
  <c r="C93" i="34"/>
  <c r="D93" i="34" s="1"/>
  <c r="C92" i="34"/>
  <c r="D92" i="34" s="1"/>
  <c r="C91" i="34"/>
  <c r="D91" i="34" s="1"/>
  <c r="C90" i="34"/>
  <c r="D90" i="34" s="1"/>
  <c r="C89" i="34"/>
  <c r="D89" i="34" s="1"/>
  <c r="C88" i="34"/>
  <c r="D88" i="34" s="1"/>
  <c r="C87" i="34"/>
  <c r="D87" i="34" s="1"/>
  <c r="C86" i="34"/>
  <c r="D86" i="34" s="1"/>
  <c r="C85" i="34"/>
  <c r="D85" i="34" s="1"/>
  <c r="C84" i="34"/>
  <c r="D84" i="34" s="1"/>
  <c r="C83" i="34"/>
  <c r="D83" i="34" s="1"/>
  <c r="C82" i="34"/>
  <c r="D82" i="34" s="1"/>
  <c r="C81" i="34"/>
  <c r="D81" i="34" s="1"/>
  <c r="C80" i="34"/>
  <c r="D80" i="34" s="1"/>
  <c r="C79" i="34"/>
  <c r="D79" i="34" s="1"/>
  <c r="C78" i="34"/>
  <c r="D78" i="34" s="1"/>
  <c r="C77" i="34"/>
  <c r="D77" i="34" s="1"/>
  <c r="C76" i="34"/>
  <c r="D76" i="34" s="1"/>
  <c r="C75" i="34"/>
  <c r="D75" i="34" s="1"/>
  <c r="C74" i="34"/>
  <c r="D74" i="34" s="1"/>
  <c r="C73" i="34"/>
  <c r="D73" i="34" s="1"/>
  <c r="C72" i="34"/>
  <c r="D72" i="34" s="1"/>
  <c r="C71" i="34"/>
  <c r="D71" i="34" s="1"/>
  <c r="C70" i="34"/>
  <c r="D70" i="34" s="1"/>
  <c r="C69" i="34"/>
  <c r="D69" i="34" s="1"/>
  <c r="C68" i="34"/>
  <c r="D68" i="34" s="1"/>
  <c r="C67" i="34"/>
  <c r="D67" i="34" s="1"/>
  <c r="C66" i="34"/>
  <c r="D66" i="34" s="1"/>
  <c r="C65" i="34"/>
  <c r="D65" i="34" s="1"/>
  <c r="C64" i="34"/>
  <c r="D64" i="34" s="1"/>
  <c r="C63" i="34"/>
  <c r="D63" i="34" s="1"/>
  <c r="C62" i="34"/>
  <c r="D62" i="34" s="1"/>
  <c r="C61" i="34"/>
  <c r="D61" i="34" s="1"/>
  <c r="C60" i="34"/>
  <c r="D60" i="34" s="1"/>
  <c r="D59" i="34"/>
  <c r="C59" i="34"/>
  <c r="C58" i="34"/>
  <c r="D58" i="34" s="1"/>
  <c r="C57" i="34"/>
  <c r="D57" i="34" s="1"/>
  <c r="C56" i="34"/>
  <c r="D56" i="34" s="1"/>
  <c r="D55" i="34"/>
  <c r="C55" i="34"/>
  <c r="C54" i="34"/>
  <c r="D54" i="34" s="1"/>
  <c r="C53" i="34"/>
  <c r="D53" i="34" s="1"/>
  <c r="C52" i="34"/>
  <c r="D52" i="34" s="1"/>
  <c r="D51" i="34"/>
  <c r="C51" i="34"/>
  <c r="C50" i="34"/>
  <c r="D50" i="34" s="1"/>
  <c r="C49" i="34"/>
  <c r="D49" i="34" s="1"/>
  <c r="C48" i="34"/>
  <c r="D48" i="34" s="1"/>
  <c r="C47" i="34"/>
  <c r="D47" i="34" s="1"/>
  <c r="C46" i="34"/>
  <c r="D46" i="34" s="1"/>
  <c r="C45" i="34"/>
  <c r="D45" i="34" s="1"/>
  <c r="C44" i="34"/>
  <c r="D44" i="34" s="1"/>
  <c r="D43" i="34"/>
  <c r="C43" i="34"/>
  <c r="C42" i="34"/>
  <c r="D42" i="34" s="1"/>
  <c r="C41" i="34"/>
  <c r="D41" i="34" s="1"/>
  <c r="C40" i="34"/>
  <c r="D40" i="34" s="1"/>
  <c r="C39" i="34"/>
  <c r="D39" i="34" s="1"/>
  <c r="C38" i="34"/>
  <c r="D38" i="34" s="1"/>
  <c r="C37" i="34"/>
  <c r="D37" i="34" s="1"/>
  <c r="C36" i="34"/>
  <c r="D36" i="34" s="1"/>
  <c r="C35" i="34"/>
  <c r="D35" i="34" s="1"/>
  <c r="C34" i="34"/>
  <c r="D34" i="34" s="1"/>
  <c r="C33" i="34"/>
  <c r="D33" i="34" s="1"/>
  <c r="C32" i="34"/>
  <c r="D32" i="34" s="1"/>
  <c r="C31" i="34"/>
  <c r="D31" i="34" s="1"/>
  <c r="C30" i="34"/>
  <c r="D30" i="34" s="1"/>
  <c r="C29" i="34"/>
  <c r="D29" i="34" s="1"/>
  <c r="C28" i="34"/>
  <c r="D28" i="34" s="1"/>
  <c r="C27" i="34"/>
  <c r="D27" i="34" s="1"/>
  <c r="C26" i="34"/>
  <c r="D26" i="34" s="1"/>
  <c r="C25" i="34"/>
  <c r="D25" i="34" s="1"/>
  <c r="C24" i="34"/>
  <c r="D24" i="34" s="1"/>
  <c r="C23" i="34"/>
  <c r="D23" i="34" s="1"/>
  <c r="C22" i="34"/>
  <c r="D22" i="34" s="1"/>
  <c r="C21" i="34"/>
  <c r="D21" i="34" s="1"/>
  <c r="C20" i="34"/>
  <c r="D20" i="34" s="1"/>
  <c r="C19" i="34"/>
  <c r="D19" i="34" s="1"/>
  <c r="C18" i="34"/>
  <c r="D18" i="34" s="1"/>
  <c r="C17" i="34"/>
  <c r="D17" i="34" s="1"/>
  <c r="C16" i="34"/>
  <c r="D16" i="34" s="1"/>
  <c r="C15" i="34"/>
  <c r="D15" i="34" s="1"/>
  <c r="C14" i="34"/>
  <c r="D14" i="34" s="1"/>
  <c r="C13" i="34"/>
  <c r="D13" i="34" s="1"/>
  <c r="C12" i="34"/>
  <c r="D12" i="34" s="1"/>
  <c r="C11" i="34"/>
  <c r="D11" i="34" s="1"/>
  <c r="C10" i="34"/>
  <c r="D10" i="34" s="1"/>
  <c r="C9" i="34"/>
  <c r="D9" i="34" s="1"/>
  <c r="C8" i="34"/>
  <c r="D8" i="34" s="1"/>
  <c r="C7" i="34"/>
  <c r="D7" i="34" s="1"/>
  <c r="C6" i="34"/>
  <c r="D6" i="34" s="1"/>
  <c r="C5" i="34"/>
  <c r="D5" i="34" s="1"/>
  <c r="C145" i="33"/>
  <c r="D145" i="33" s="1"/>
  <c r="C144" i="33"/>
  <c r="D144" i="33" s="1"/>
  <c r="C143" i="33"/>
  <c r="D143" i="33" s="1"/>
  <c r="C142" i="33"/>
  <c r="D142" i="33" s="1"/>
  <c r="C141" i="33"/>
  <c r="D141" i="33" s="1"/>
  <c r="C140" i="33"/>
  <c r="D140" i="33" s="1"/>
  <c r="C139" i="33"/>
  <c r="D139" i="33" s="1"/>
  <c r="C138" i="33"/>
  <c r="D138" i="33" s="1"/>
  <c r="C137" i="33"/>
  <c r="D137" i="33" s="1"/>
  <c r="C136" i="33"/>
  <c r="D136" i="33" s="1"/>
  <c r="C135" i="33"/>
  <c r="D135" i="33" s="1"/>
  <c r="C134" i="33"/>
  <c r="D134" i="33" s="1"/>
  <c r="C133" i="33"/>
  <c r="D133" i="33" s="1"/>
  <c r="C132" i="33"/>
  <c r="D132" i="33" s="1"/>
  <c r="C131" i="33"/>
  <c r="D131" i="33" s="1"/>
  <c r="C130" i="33"/>
  <c r="D130" i="33" s="1"/>
  <c r="C129" i="33"/>
  <c r="D129" i="33" s="1"/>
  <c r="C128" i="33"/>
  <c r="D128" i="33" s="1"/>
  <c r="C127" i="33"/>
  <c r="D127" i="33" s="1"/>
  <c r="C126" i="33"/>
  <c r="D126" i="33" s="1"/>
  <c r="C125" i="33"/>
  <c r="D125" i="33" s="1"/>
  <c r="C124" i="33"/>
  <c r="D124" i="33" s="1"/>
  <c r="C123" i="33"/>
  <c r="D123" i="33" s="1"/>
  <c r="C122" i="33"/>
  <c r="D122" i="33" s="1"/>
  <c r="C121" i="33"/>
  <c r="D121" i="33" s="1"/>
  <c r="C120" i="33"/>
  <c r="D120" i="33" s="1"/>
  <c r="C119" i="33"/>
  <c r="D119" i="33" s="1"/>
  <c r="C118" i="33"/>
  <c r="D118" i="33" s="1"/>
  <c r="C117" i="33"/>
  <c r="D117" i="33" s="1"/>
  <c r="C116" i="33"/>
  <c r="D116" i="33" s="1"/>
  <c r="C115" i="33"/>
  <c r="D115" i="33" s="1"/>
  <c r="C114" i="33"/>
  <c r="D114" i="33" s="1"/>
  <c r="C113" i="33"/>
  <c r="D113" i="33" s="1"/>
  <c r="C112" i="33"/>
  <c r="D112" i="33" s="1"/>
  <c r="C111" i="33"/>
  <c r="D111" i="33" s="1"/>
  <c r="C110" i="33"/>
  <c r="D110" i="33" s="1"/>
  <c r="C109" i="33"/>
  <c r="D109" i="33" s="1"/>
  <c r="C108" i="33"/>
  <c r="D108" i="33" s="1"/>
  <c r="C107" i="33"/>
  <c r="D107" i="33" s="1"/>
  <c r="C106" i="33"/>
  <c r="D106" i="33" s="1"/>
  <c r="C105" i="33"/>
  <c r="D105" i="33" s="1"/>
  <c r="C104" i="33"/>
  <c r="D104" i="33" s="1"/>
  <c r="C103" i="33"/>
  <c r="D103" i="33" s="1"/>
  <c r="C102" i="33"/>
  <c r="D102" i="33" s="1"/>
  <c r="C101" i="33"/>
  <c r="D101" i="33" s="1"/>
  <c r="C100" i="33"/>
  <c r="D100" i="33" s="1"/>
  <c r="C99" i="33"/>
  <c r="D99" i="33" s="1"/>
  <c r="C98" i="33"/>
  <c r="D98" i="33" s="1"/>
  <c r="C97" i="33"/>
  <c r="D97" i="33" s="1"/>
  <c r="C96" i="33"/>
  <c r="D96" i="33" s="1"/>
  <c r="C95" i="33"/>
  <c r="D95" i="33" s="1"/>
  <c r="C94" i="33"/>
  <c r="D94" i="33" s="1"/>
  <c r="C93" i="33"/>
  <c r="D93" i="33" s="1"/>
  <c r="C92" i="33"/>
  <c r="D92" i="33" s="1"/>
  <c r="C91" i="33"/>
  <c r="D91" i="33" s="1"/>
  <c r="C90" i="33"/>
  <c r="D90" i="33" s="1"/>
  <c r="C89" i="33"/>
  <c r="D89" i="33" s="1"/>
  <c r="C88" i="33"/>
  <c r="D88" i="33" s="1"/>
  <c r="C87" i="33"/>
  <c r="D87" i="33" s="1"/>
  <c r="C86" i="33"/>
  <c r="D86" i="33" s="1"/>
  <c r="C85" i="33"/>
  <c r="D85" i="33" s="1"/>
  <c r="C84" i="33"/>
  <c r="D84" i="33" s="1"/>
  <c r="C83" i="33"/>
  <c r="D83" i="33" s="1"/>
  <c r="C82" i="33"/>
  <c r="D82" i="33" s="1"/>
  <c r="C81" i="33"/>
  <c r="D81" i="33" s="1"/>
  <c r="D80" i="33"/>
  <c r="C80" i="33"/>
  <c r="C79" i="33"/>
  <c r="D79" i="33" s="1"/>
  <c r="C78" i="33"/>
  <c r="D78" i="33" s="1"/>
  <c r="C77" i="33"/>
  <c r="D77" i="33" s="1"/>
  <c r="C76" i="33"/>
  <c r="D76" i="33" s="1"/>
  <c r="C75" i="33"/>
  <c r="D75" i="33" s="1"/>
  <c r="C74" i="33"/>
  <c r="D74" i="33" s="1"/>
  <c r="C73" i="33"/>
  <c r="D73" i="33" s="1"/>
  <c r="C72" i="33"/>
  <c r="D72" i="33" s="1"/>
  <c r="C71" i="33"/>
  <c r="D71" i="33" s="1"/>
  <c r="C70" i="33"/>
  <c r="D70" i="33" s="1"/>
  <c r="C69" i="33"/>
  <c r="D69" i="33" s="1"/>
  <c r="D68" i="33"/>
  <c r="C68" i="33"/>
  <c r="C67" i="33"/>
  <c r="D67" i="33" s="1"/>
  <c r="C66" i="33"/>
  <c r="D66" i="33" s="1"/>
  <c r="C65" i="33"/>
  <c r="D65" i="33" s="1"/>
  <c r="D64" i="33"/>
  <c r="C64" i="33"/>
  <c r="C63" i="33"/>
  <c r="D63" i="33" s="1"/>
  <c r="C62" i="33"/>
  <c r="D62" i="33" s="1"/>
  <c r="C61" i="33"/>
  <c r="D61" i="33" s="1"/>
  <c r="C60" i="33"/>
  <c r="D60" i="33" s="1"/>
  <c r="C59" i="33"/>
  <c r="D59" i="33" s="1"/>
  <c r="C58" i="33"/>
  <c r="D58" i="33" s="1"/>
  <c r="C57" i="33"/>
  <c r="D57" i="33" s="1"/>
  <c r="C56" i="33"/>
  <c r="D56" i="33" s="1"/>
  <c r="C55" i="33"/>
  <c r="D55" i="33" s="1"/>
  <c r="C54" i="33"/>
  <c r="D54" i="33" s="1"/>
  <c r="C53" i="33"/>
  <c r="D53" i="33" s="1"/>
  <c r="C52" i="33"/>
  <c r="D52" i="33" s="1"/>
  <c r="C51" i="33"/>
  <c r="D51" i="33" s="1"/>
  <c r="C50" i="33"/>
  <c r="D50" i="33" s="1"/>
  <c r="C49" i="33"/>
  <c r="D49" i="33" s="1"/>
  <c r="C48" i="33"/>
  <c r="D48" i="33" s="1"/>
  <c r="C47" i="33"/>
  <c r="D47" i="33" s="1"/>
  <c r="C46" i="33"/>
  <c r="D46" i="33" s="1"/>
  <c r="C45" i="33"/>
  <c r="D45" i="33" s="1"/>
  <c r="C44" i="33"/>
  <c r="D44" i="33" s="1"/>
  <c r="C43" i="33"/>
  <c r="D43" i="33" s="1"/>
  <c r="C42" i="33"/>
  <c r="D42" i="33" s="1"/>
  <c r="C41" i="33"/>
  <c r="D41" i="33" s="1"/>
  <c r="C40" i="33"/>
  <c r="D40" i="33" s="1"/>
  <c r="C39" i="33"/>
  <c r="D39" i="33" s="1"/>
  <c r="C38" i="33"/>
  <c r="D38" i="33" s="1"/>
  <c r="C37" i="33"/>
  <c r="D37" i="33" s="1"/>
  <c r="C36" i="33"/>
  <c r="D36" i="33" s="1"/>
  <c r="C35" i="33"/>
  <c r="D35" i="33" s="1"/>
  <c r="C34" i="33"/>
  <c r="D34" i="33" s="1"/>
  <c r="C33" i="33"/>
  <c r="D33" i="33" s="1"/>
  <c r="C32" i="33"/>
  <c r="D32" i="33" s="1"/>
  <c r="C31" i="33"/>
  <c r="D31" i="33" s="1"/>
  <c r="C30" i="33"/>
  <c r="D30" i="33" s="1"/>
  <c r="C29" i="33"/>
  <c r="D29" i="33" s="1"/>
  <c r="C28" i="33"/>
  <c r="D28" i="33" s="1"/>
  <c r="C27" i="33"/>
  <c r="D27" i="33" s="1"/>
  <c r="C26" i="33"/>
  <c r="D26" i="33" s="1"/>
  <c r="C25" i="33"/>
  <c r="D25" i="33" s="1"/>
  <c r="C24" i="33"/>
  <c r="D24" i="33" s="1"/>
  <c r="C23" i="33"/>
  <c r="D23" i="33" s="1"/>
  <c r="C22" i="33"/>
  <c r="D22" i="33" s="1"/>
  <c r="C21" i="33"/>
  <c r="D21" i="33" s="1"/>
  <c r="D20" i="33"/>
  <c r="C20" i="33"/>
  <c r="C19" i="33"/>
  <c r="D19" i="33" s="1"/>
  <c r="C18" i="33"/>
  <c r="D18" i="33" s="1"/>
  <c r="C17" i="33"/>
  <c r="D17" i="33" s="1"/>
  <c r="D16" i="33"/>
  <c r="C16" i="33"/>
  <c r="C15" i="33"/>
  <c r="D15" i="33" s="1"/>
  <c r="C14" i="33"/>
  <c r="D14" i="33" s="1"/>
  <c r="C13" i="33"/>
  <c r="D13" i="33" s="1"/>
  <c r="C12" i="33"/>
  <c r="D12" i="33" s="1"/>
  <c r="C11" i="33"/>
  <c r="D11" i="33" s="1"/>
  <c r="C10" i="33"/>
  <c r="D10" i="33" s="1"/>
  <c r="C9" i="33"/>
  <c r="D9" i="33" s="1"/>
  <c r="C8" i="33"/>
  <c r="D8" i="33" s="1"/>
  <c r="C7" i="33"/>
  <c r="D7" i="33" s="1"/>
  <c r="C6" i="33"/>
  <c r="D6" i="33" s="1"/>
  <c r="C5" i="33"/>
  <c r="D5" i="33" s="1"/>
  <c r="S14" i="52" l="1"/>
  <c r="D14" i="52" s="1"/>
  <c r="C14" i="52"/>
  <c r="S42" i="52"/>
  <c r="D42" i="52" s="1"/>
  <c r="C42" i="52"/>
  <c r="S75" i="52"/>
  <c r="D75" i="52" s="1"/>
  <c r="C75" i="52"/>
  <c r="S20" i="52"/>
  <c r="D20" i="52" s="1"/>
  <c r="C20" i="52"/>
  <c r="S40" i="52"/>
  <c r="D40" i="52" s="1"/>
  <c r="C40" i="52"/>
  <c r="S26" i="52"/>
  <c r="D26" i="52" s="1"/>
  <c r="C26" i="52"/>
  <c r="S44" i="52"/>
  <c r="D44" i="52" s="1"/>
  <c r="C44" i="52"/>
  <c r="S34" i="52"/>
  <c r="D34" i="52" s="1"/>
  <c r="C34" i="52"/>
  <c r="S56" i="52"/>
  <c r="D56" i="52" s="1"/>
  <c r="C56" i="52"/>
  <c r="S25" i="52"/>
  <c r="D25" i="52" s="1"/>
  <c r="C25" i="52"/>
  <c r="S5" i="52"/>
  <c r="D5" i="52" s="1"/>
  <c r="D81" i="52" s="1"/>
  <c r="C5" i="52"/>
  <c r="S62" i="52"/>
  <c r="D62" i="52" s="1"/>
  <c r="C62" i="52"/>
  <c r="S33" i="52"/>
  <c r="D33" i="52" s="1"/>
  <c r="C33" i="52"/>
  <c r="S21" i="52"/>
  <c r="D21" i="52" s="1"/>
  <c r="C21" i="52"/>
  <c r="S64" i="52"/>
  <c r="D64" i="52" s="1"/>
  <c r="C64" i="52"/>
  <c r="S54" i="52"/>
  <c r="D54" i="52" s="1"/>
  <c r="C54" i="52"/>
  <c r="S11" i="52"/>
  <c r="D11" i="52" s="1"/>
  <c r="C11" i="52"/>
  <c r="S29" i="52"/>
  <c r="D29" i="52" s="1"/>
  <c r="C29" i="52"/>
  <c r="S38" i="52"/>
  <c r="D38" i="52" s="1"/>
  <c r="C38" i="52"/>
  <c r="S43" i="52"/>
  <c r="D43" i="52" s="1"/>
  <c r="C43" i="52"/>
  <c r="S61" i="52"/>
  <c r="D61" i="52" s="1"/>
  <c r="C61" i="52"/>
  <c r="S22" i="52"/>
  <c r="D22" i="52" s="1"/>
  <c r="C22" i="52"/>
  <c r="S59" i="52"/>
  <c r="D59" i="52" s="1"/>
  <c r="C59" i="52"/>
  <c r="S31" i="52"/>
  <c r="D31" i="52" s="1"/>
  <c r="C31" i="52"/>
  <c r="F21" i="50"/>
  <c r="G21" i="50" s="1"/>
  <c r="K9" i="40" s="1"/>
  <c r="C4" i="38"/>
  <c r="D4" i="38" s="1"/>
  <c r="C4" i="37"/>
  <c r="D4" i="37" s="1"/>
  <c r="C4" i="35"/>
  <c r="D4" i="35" s="1"/>
  <c r="C4" i="34"/>
  <c r="D4" i="34" s="1"/>
  <c r="C4" i="33"/>
  <c r="D4" i="33" s="1"/>
  <c r="F20" i="46" l="1"/>
  <c r="J14" i="40" s="1"/>
  <c r="D443" i="58"/>
  <c r="C23" i="40"/>
  <c r="F21" i="46" l="1"/>
  <c r="G21" i="46" s="1"/>
  <c r="J9" i="40" s="1"/>
  <c r="D124" i="39"/>
  <c r="B124" i="39"/>
  <c r="D113" i="38"/>
  <c r="B113" i="38"/>
  <c r="D117" i="37"/>
  <c r="B117" i="37"/>
  <c r="D127" i="36"/>
  <c r="B127" i="36"/>
  <c r="D146" i="35"/>
  <c r="B146" i="35"/>
  <c r="D136" i="34"/>
  <c r="B136" i="34"/>
  <c r="D148" i="33"/>
  <c r="B148" i="33"/>
  <c r="C62" i="29"/>
  <c r="F18" i="5" s="1"/>
  <c r="B62" i="29"/>
  <c r="D18" i="5" s="1"/>
  <c r="C63" i="28"/>
  <c r="F18" i="10" s="1"/>
  <c r="B63" i="28"/>
  <c r="D18" i="10" s="1"/>
  <c r="C64" i="27"/>
  <c r="F18" i="9" s="1"/>
  <c r="B64" i="27"/>
  <c r="D18" i="9" s="1"/>
  <c r="C65" i="26"/>
  <c r="F18" i="8" s="1"/>
  <c r="B65" i="26"/>
  <c r="C61" i="25"/>
  <c r="F18" i="16" s="1"/>
  <c r="B61" i="25"/>
  <c r="D18" i="16" s="1"/>
  <c r="C55" i="24"/>
  <c r="F18" i="15" s="1"/>
  <c r="B55" i="24"/>
  <c r="D18" i="15" s="1"/>
  <c r="C51" i="23"/>
  <c r="F18" i="14" s="1"/>
  <c r="B51" i="23"/>
  <c r="D18" i="14" s="1"/>
  <c r="D18" i="8" l="1"/>
  <c r="C214" i="58"/>
  <c r="D20" i="8"/>
  <c r="F15" i="40" s="1"/>
  <c r="F19" i="15"/>
  <c r="D14" i="40" s="1"/>
  <c r="D97" i="58"/>
  <c r="F20" i="8"/>
  <c r="F14" i="40" s="1"/>
  <c r="D214" i="58"/>
  <c r="F20" i="10"/>
  <c r="H14" i="40" s="1"/>
  <c r="D331" i="58"/>
  <c r="C47" i="58"/>
  <c r="D19" i="14"/>
  <c r="C15" i="40" s="1"/>
  <c r="C154" i="58"/>
  <c r="D20" i="16"/>
  <c r="E15" i="40" s="1"/>
  <c r="C273" i="58"/>
  <c r="D20" i="9"/>
  <c r="G15" i="40" s="1"/>
  <c r="D20" i="5"/>
  <c r="I15" i="40" s="1"/>
  <c r="C389" i="58"/>
  <c r="C97" i="58"/>
  <c r="D19" i="15"/>
  <c r="D15" i="40" s="1"/>
  <c r="C331" i="58"/>
  <c r="D20" i="10"/>
  <c r="H15" i="40" s="1"/>
  <c r="F19" i="14"/>
  <c r="C14" i="40" s="1"/>
  <c r="D47" i="58"/>
  <c r="F20" i="16"/>
  <c r="E14" i="40" s="1"/>
  <c r="D154" i="58"/>
  <c r="F20" i="9"/>
  <c r="G14" i="40" s="1"/>
  <c r="D273" i="58"/>
  <c r="F20" i="5"/>
  <c r="I14" i="40" s="1"/>
  <c r="D389" i="58"/>
  <c r="M50" i="17"/>
  <c r="K50" i="17"/>
  <c r="S49" i="17"/>
  <c r="R49" i="17"/>
  <c r="Q49" i="17"/>
  <c r="P49" i="17"/>
  <c r="O49" i="17"/>
  <c r="N49" i="17"/>
  <c r="M49" i="17"/>
  <c r="L49" i="17"/>
  <c r="K49" i="17"/>
  <c r="L50" i="17" s="1"/>
  <c r="L38" i="17" s="1"/>
  <c r="K6" i="17"/>
  <c r="K5" i="17"/>
  <c r="K4" i="17"/>
  <c r="K3" i="17"/>
  <c r="C24" i="40" l="1"/>
  <c r="C5" i="14"/>
  <c r="C20" i="40" s="1"/>
  <c r="C5" i="9"/>
  <c r="G20" i="40" s="1"/>
  <c r="C5" i="8"/>
  <c r="F20" i="40" s="1"/>
  <c r="C5" i="15"/>
  <c r="D20" i="40" s="1"/>
  <c r="C5" i="10"/>
  <c r="H20" i="40" s="1"/>
  <c r="C5" i="16"/>
  <c r="E20" i="40" s="1"/>
  <c r="C5" i="5"/>
  <c r="I20" i="40" s="1"/>
  <c r="N50" i="17"/>
  <c r="D11" i="5" l="1"/>
  <c r="F11" i="5"/>
  <c r="D11" i="10" l="1"/>
  <c r="F11" i="10"/>
  <c r="D11" i="9"/>
  <c r="F11" i="9"/>
  <c r="D11" i="8"/>
  <c r="F11" i="8"/>
  <c r="D11" i="16"/>
  <c r="F11" i="16"/>
  <c r="D11" i="15"/>
  <c r="F11" i="15"/>
  <c r="D11" i="14"/>
  <c r="F11" i="14"/>
  <c r="G22" i="14"/>
  <c r="G22" i="15"/>
  <c r="G23" i="16"/>
  <c r="G23" i="8"/>
  <c r="G23" i="9"/>
  <c r="G23" i="10"/>
  <c r="G23" i="5"/>
  <c r="D21" i="16" l="1"/>
  <c r="D13" i="16"/>
  <c r="D5" i="16" s="1"/>
  <c r="E5" i="40" s="1"/>
  <c r="E12" i="16"/>
  <c r="G11" i="16"/>
  <c r="E4" i="40" s="1"/>
  <c r="G10" i="16"/>
  <c r="E3" i="40" s="1"/>
  <c r="E10" i="16"/>
  <c r="D20" i="15"/>
  <c r="D13" i="15"/>
  <c r="E12" i="15" s="1"/>
  <c r="G11" i="15"/>
  <c r="D4" i="40" s="1"/>
  <c r="G10" i="15"/>
  <c r="D3" i="40" s="1"/>
  <c r="D20" i="14"/>
  <c r="D13" i="14"/>
  <c r="E11" i="14" s="1"/>
  <c r="G11" i="14"/>
  <c r="C4" i="40" s="1"/>
  <c r="G10" i="14"/>
  <c r="C3" i="40" s="1"/>
  <c r="D21" i="10"/>
  <c r="D13" i="10"/>
  <c r="E11" i="10" s="1"/>
  <c r="G11" i="10"/>
  <c r="H4" i="40" s="1"/>
  <c r="G10" i="10"/>
  <c r="H3" i="40" s="1"/>
  <c r="E10" i="10"/>
  <c r="D21" i="9"/>
  <c r="D13" i="9"/>
  <c r="E11" i="9" s="1"/>
  <c r="E12" i="9"/>
  <c r="G11" i="9"/>
  <c r="G4" i="40" s="1"/>
  <c r="G10" i="9"/>
  <c r="G3" i="40" s="1"/>
  <c r="E10" i="9"/>
  <c r="D5" i="9"/>
  <c r="G5" i="40" s="1"/>
  <c r="D21" i="8"/>
  <c r="D13" i="8"/>
  <c r="E11" i="8" s="1"/>
  <c r="E12" i="8"/>
  <c r="G11" i="8"/>
  <c r="F4" i="40" s="1"/>
  <c r="G10" i="8"/>
  <c r="F3" i="40" s="1"/>
  <c r="E10" i="8"/>
  <c r="D5" i="8"/>
  <c r="F5" i="40" s="1"/>
  <c r="D5" i="5"/>
  <c r="I5" i="40" s="1"/>
  <c r="D21" i="5"/>
  <c r="D13" i="5"/>
  <c r="E12" i="5"/>
  <c r="G11" i="5"/>
  <c r="I4" i="40" s="1"/>
  <c r="G10" i="5"/>
  <c r="I3" i="40" s="1"/>
  <c r="E10" i="5"/>
  <c r="D5" i="15" l="1"/>
  <c r="D5" i="40" s="1"/>
  <c r="D5" i="10"/>
  <c r="H5" i="40" s="1"/>
  <c r="E12" i="10"/>
  <c r="E11" i="16"/>
  <c r="E11" i="15"/>
  <c r="E10" i="15"/>
  <c r="E10" i="14"/>
  <c r="E12" i="14"/>
  <c r="D5" i="14"/>
  <c r="C5" i="40" s="1"/>
  <c r="E11" i="5"/>
  <c r="E20" i="8" l="1"/>
  <c r="F16" i="40" s="1"/>
  <c r="E18" i="8"/>
  <c r="E20" i="10"/>
  <c r="H16" i="40" s="1"/>
  <c r="E18" i="10"/>
  <c r="E20" i="16"/>
  <c r="E16" i="40" s="1"/>
  <c r="E18" i="16"/>
  <c r="F20" i="14"/>
  <c r="G20" i="14" s="1"/>
  <c r="C9" i="40" s="1"/>
  <c r="F21" i="10"/>
  <c r="G21" i="10" s="1"/>
  <c r="H9" i="40" s="1"/>
  <c r="F21" i="9"/>
  <c r="G21" i="9" s="1"/>
  <c r="G9" i="40" s="1"/>
  <c r="F21" i="8"/>
  <c r="G21" i="8" s="1"/>
  <c r="F9" i="40" s="1"/>
  <c r="F21" i="16"/>
  <c r="G21" i="16" s="1"/>
  <c r="E9" i="40" s="1"/>
  <c r="F20" i="15"/>
  <c r="G20" i="15" s="1"/>
  <c r="D9" i="40" s="1"/>
  <c r="F21" i="5"/>
  <c r="G21" i="5" s="1"/>
  <c r="I9" i="40" s="1"/>
  <c r="E20" i="5"/>
  <c r="I16" i="40" s="1"/>
  <c r="E18" i="5"/>
  <c r="E20" i="9"/>
  <c r="G16" i="40" s="1"/>
  <c r="E18" i="9"/>
  <c r="E18" i="14"/>
  <c r="E19" i="14"/>
  <c r="C16" i="40" s="1"/>
  <c r="E19" i="15"/>
  <c r="D16" i="40" s="1"/>
  <c r="E18" i="15"/>
</calcChain>
</file>

<file path=xl/comments1.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 ref="C73" authorId="0" shapeId="0">
      <text>
        <r>
          <rPr>
            <b/>
            <sz val="8"/>
            <color indexed="81"/>
            <rFont val="Tahoma"/>
            <family val="2"/>
          </rPr>
          <t>Puget Sound Energy:</t>
        </r>
        <r>
          <rPr>
            <sz val="8"/>
            <color indexed="81"/>
            <rFont val="Tahoma"/>
            <family val="2"/>
          </rPr>
          <t xml:space="preserve">
Update formula annually</t>
        </r>
      </text>
    </comment>
  </commentList>
</comments>
</file>

<file path=xl/comments10.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List>
</comments>
</file>

<file path=xl/comments11.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List>
</comments>
</file>

<file path=xl/comments12.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List>
</comments>
</file>

<file path=xl/comments13.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List>
</comments>
</file>

<file path=xl/comments14.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List>
</comments>
</file>

<file path=xl/comments15.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List>
</comments>
</file>

<file path=xl/comments2.xml><?xml version="1.0" encoding="utf-8"?>
<comments xmlns="http://schemas.openxmlformats.org/spreadsheetml/2006/main">
  <authors>
    <author>Puget Sound Energy</author>
  </authors>
  <commentList>
    <comment ref="H3" authorId="0" shapeId="0">
      <text>
        <r>
          <rPr>
            <b/>
            <sz val="9"/>
            <color indexed="81"/>
            <rFont val="Tahoma"/>
            <family val="2"/>
          </rPr>
          <t>Puget Sound Energy:</t>
        </r>
        <r>
          <rPr>
            <sz val="9"/>
            <color indexed="81"/>
            <rFont val="Tahoma"/>
            <family val="2"/>
          </rPr>
          <t xml:space="preserve">
Do not delete</t>
        </r>
      </text>
    </comment>
    <comment ref="G4" authorId="0" shapeId="0">
      <text>
        <r>
          <rPr>
            <b/>
            <sz val="9"/>
            <color indexed="81"/>
            <rFont val="Tahoma"/>
            <family val="2"/>
          </rPr>
          <t>Puget Sound Energy:</t>
        </r>
        <r>
          <rPr>
            <sz val="9"/>
            <color indexed="81"/>
            <rFont val="Tahoma"/>
            <family val="2"/>
          </rPr>
          <t xml:space="preserve">
Do not delete</t>
        </r>
      </text>
    </comment>
    <comment ref="H4" authorId="0" shapeId="0">
      <text>
        <r>
          <rPr>
            <b/>
            <sz val="9"/>
            <color indexed="81"/>
            <rFont val="Tahoma"/>
            <family val="2"/>
          </rPr>
          <t>Puget Sound Energy:</t>
        </r>
        <r>
          <rPr>
            <sz val="9"/>
            <color indexed="81"/>
            <rFont val="Tahoma"/>
            <family val="2"/>
          </rPr>
          <t xml:space="preserve">
Do not delete</t>
        </r>
      </text>
    </comment>
    <comment ref="I4" authorId="0" shapeId="0">
      <text>
        <r>
          <rPr>
            <b/>
            <sz val="9"/>
            <color indexed="81"/>
            <rFont val="Tahoma"/>
            <family val="2"/>
          </rPr>
          <t>Puget Sound Energy:</t>
        </r>
        <r>
          <rPr>
            <sz val="9"/>
            <color indexed="81"/>
            <rFont val="Tahoma"/>
            <family val="2"/>
          </rPr>
          <t xml:space="preserve">
Do not delete</t>
        </r>
      </text>
    </comment>
    <comment ref="J4" authorId="0" shapeId="0">
      <text>
        <r>
          <rPr>
            <b/>
            <sz val="9"/>
            <color indexed="81"/>
            <rFont val="Tahoma"/>
            <family val="2"/>
          </rPr>
          <t>Puget Sound Energy:</t>
        </r>
        <r>
          <rPr>
            <sz val="9"/>
            <color indexed="81"/>
            <rFont val="Tahoma"/>
            <family val="2"/>
          </rPr>
          <t xml:space="preserve">
Do not delete</t>
        </r>
      </text>
    </comment>
  </commentList>
</comments>
</file>

<file path=xl/comments3.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 ref="C76" authorId="0" shapeId="0">
      <text>
        <r>
          <rPr>
            <b/>
            <sz val="8"/>
            <color indexed="81"/>
            <rFont val="Tahoma"/>
            <family val="2"/>
          </rPr>
          <t>Puget Sound Energy:</t>
        </r>
        <r>
          <rPr>
            <sz val="8"/>
            <color indexed="81"/>
            <rFont val="Tahoma"/>
            <family val="2"/>
          </rPr>
          <t xml:space="preserve">
Update formula annually</t>
        </r>
      </text>
    </comment>
  </commentList>
</comments>
</file>

<file path=xl/comments4.xml><?xml version="1.0" encoding="utf-8"?>
<comments xmlns="http://schemas.openxmlformats.org/spreadsheetml/2006/main">
  <authors>
    <author>Puget Sound Energy</author>
  </authors>
  <commentList>
    <comment ref="H3" authorId="0" shapeId="0">
      <text>
        <r>
          <rPr>
            <b/>
            <sz val="9"/>
            <color indexed="81"/>
            <rFont val="Tahoma"/>
            <family val="2"/>
          </rPr>
          <t>Puget Sound Energy:</t>
        </r>
        <r>
          <rPr>
            <sz val="9"/>
            <color indexed="81"/>
            <rFont val="Tahoma"/>
            <family val="2"/>
          </rPr>
          <t xml:space="preserve">
Do not delete</t>
        </r>
      </text>
    </comment>
    <comment ref="G4" authorId="0" shapeId="0">
      <text>
        <r>
          <rPr>
            <b/>
            <sz val="9"/>
            <color indexed="81"/>
            <rFont val="Tahoma"/>
            <family val="2"/>
          </rPr>
          <t>Puget Sound Energy:</t>
        </r>
        <r>
          <rPr>
            <sz val="9"/>
            <color indexed="81"/>
            <rFont val="Tahoma"/>
            <family val="2"/>
          </rPr>
          <t xml:space="preserve">
Do not delete</t>
        </r>
      </text>
    </comment>
    <comment ref="H4" authorId="0" shapeId="0">
      <text>
        <r>
          <rPr>
            <b/>
            <sz val="9"/>
            <color indexed="81"/>
            <rFont val="Tahoma"/>
            <family val="2"/>
          </rPr>
          <t>Puget Sound Energy:</t>
        </r>
        <r>
          <rPr>
            <sz val="9"/>
            <color indexed="81"/>
            <rFont val="Tahoma"/>
            <family val="2"/>
          </rPr>
          <t xml:space="preserve">
Do not delete</t>
        </r>
      </text>
    </comment>
    <comment ref="I4" authorId="0" shapeId="0">
      <text>
        <r>
          <rPr>
            <b/>
            <sz val="9"/>
            <color indexed="81"/>
            <rFont val="Tahoma"/>
            <family val="2"/>
          </rPr>
          <t>Puget Sound Energy:</t>
        </r>
        <r>
          <rPr>
            <sz val="9"/>
            <color indexed="81"/>
            <rFont val="Tahoma"/>
            <family val="2"/>
          </rPr>
          <t xml:space="preserve">
Do not delete</t>
        </r>
      </text>
    </comment>
    <comment ref="J4" authorId="0" shapeId="0">
      <text>
        <r>
          <rPr>
            <b/>
            <sz val="9"/>
            <color indexed="81"/>
            <rFont val="Tahoma"/>
            <family val="2"/>
          </rPr>
          <t>Puget Sound Energy:</t>
        </r>
        <r>
          <rPr>
            <sz val="9"/>
            <color indexed="81"/>
            <rFont val="Tahoma"/>
            <family val="2"/>
          </rPr>
          <t xml:space="preserve">
Do not delete</t>
        </r>
      </text>
    </comment>
  </commentList>
</comments>
</file>

<file path=xl/comments5.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 ref="C63" authorId="0" shapeId="0">
      <text>
        <r>
          <rPr>
            <b/>
            <sz val="8"/>
            <color indexed="81"/>
            <rFont val="Tahoma"/>
            <family val="2"/>
          </rPr>
          <t>Puget Sound Energy:</t>
        </r>
        <r>
          <rPr>
            <sz val="8"/>
            <color indexed="81"/>
            <rFont val="Tahoma"/>
            <family val="2"/>
          </rPr>
          <t xml:space="preserve">
Update formula annually</t>
        </r>
      </text>
    </comment>
  </commentList>
</comments>
</file>

<file path=xl/comments6.xml><?xml version="1.0" encoding="utf-8"?>
<comments xmlns="http://schemas.openxmlformats.org/spreadsheetml/2006/main">
  <authors>
    <author>Puget Sound Energy</author>
  </authors>
  <commentList>
    <comment ref="H3" authorId="0" shapeId="0">
      <text>
        <r>
          <rPr>
            <b/>
            <sz val="9"/>
            <color indexed="81"/>
            <rFont val="Tahoma"/>
            <family val="2"/>
          </rPr>
          <t>Puget Sound Energy:</t>
        </r>
        <r>
          <rPr>
            <sz val="9"/>
            <color indexed="81"/>
            <rFont val="Tahoma"/>
            <family val="2"/>
          </rPr>
          <t xml:space="preserve">
Do not delete</t>
        </r>
      </text>
    </comment>
    <comment ref="G4" authorId="0" shapeId="0">
      <text>
        <r>
          <rPr>
            <b/>
            <sz val="9"/>
            <color indexed="81"/>
            <rFont val="Tahoma"/>
            <family val="2"/>
          </rPr>
          <t>Puget Sound Energy:</t>
        </r>
        <r>
          <rPr>
            <sz val="9"/>
            <color indexed="81"/>
            <rFont val="Tahoma"/>
            <family val="2"/>
          </rPr>
          <t xml:space="preserve">
Do not delete</t>
        </r>
      </text>
    </comment>
    <comment ref="H4" authorId="0" shapeId="0">
      <text>
        <r>
          <rPr>
            <b/>
            <sz val="9"/>
            <color indexed="81"/>
            <rFont val="Tahoma"/>
            <family val="2"/>
          </rPr>
          <t>Puget Sound Energy:</t>
        </r>
        <r>
          <rPr>
            <sz val="9"/>
            <color indexed="81"/>
            <rFont val="Tahoma"/>
            <family val="2"/>
          </rPr>
          <t xml:space="preserve">
Do not delete</t>
        </r>
      </text>
    </comment>
    <comment ref="I4" authorId="0" shapeId="0">
      <text>
        <r>
          <rPr>
            <b/>
            <sz val="9"/>
            <color indexed="81"/>
            <rFont val="Tahoma"/>
            <family val="2"/>
          </rPr>
          <t>Puget Sound Energy:</t>
        </r>
        <r>
          <rPr>
            <sz val="9"/>
            <color indexed="81"/>
            <rFont val="Tahoma"/>
            <family val="2"/>
          </rPr>
          <t xml:space="preserve">
Do not delete</t>
        </r>
      </text>
    </comment>
    <comment ref="J4" authorId="0" shapeId="0">
      <text>
        <r>
          <rPr>
            <b/>
            <sz val="9"/>
            <color indexed="81"/>
            <rFont val="Tahoma"/>
            <family val="2"/>
          </rPr>
          <t>Puget Sound Energy:</t>
        </r>
        <r>
          <rPr>
            <sz val="9"/>
            <color indexed="81"/>
            <rFont val="Tahoma"/>
            <family val="2"/>
          </rPr>
          <t xml:space="preserve">
Do not delete</t>
        </r>
      </text>
    </comment>
  </commentList>
</comments>
</file>

<file path=xl/comments7.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 ref="C63" authorId="0" shapeId="0">
      <text>
        <r>
          <rPr>
            <b/>
            <sz val="8"/>
            <color indexed="81"/>
            <rFont val="Tahoma"/>
            <family val="2"/>
          </rPr>
          <t>Puget Sound Energy:</t>
        </r>
        <r>
          <rPr>
            <sz val="8"/>
            <color indexed="81"/>
            <rFont val="Tahoma"/>
            <family val="2"/>
          </rPr>
          <t xml:space="preserve">
Update formula annually</t>
        </r>
      </text>
    </comment>
  </commentList>
</comments>
</file>

<file path=xl/comments8.xml><?xml version="1.0" encoding="utf-8"?>
<comments xmlns="http://schemas.openxmlformats.org/spreadsheetml/2006/main">
  <authors>
    <author>Puget Sound Energy</author>
  </authors>
  <commentList>
    <comment ref="H2" authorId="0" shapeId="0">
      <text>
        <r>
          <rPr>
            <b/>
            <sz val="8"/>
            <color indexed="81"/>
            <rFont val="Tahoma"/>
            <family val="2"/>
          </rPr>
          <t>Puget Sound Energy:</t>
        </r>
        <r>
          <rPr>
            <sz val="8"/>
            <color indexed="81"/>
            <rFont val="Tahoma"/>
            <family val="2"/>
          </rPr>
          <t xml:space="preserve">
Update link annually</t>
        </r>
      </text>
    </comment>
    <comment ref="H8" authorId="0" shapeId="0">
      <text>
        <r>
          <rPr>
            <b/>
            <sz val="8"/>
            <color indexed="81"/>
            <rFont val="Tahoma"/>
            <family val="2"/>
          </rPr>
          <t>Puget Sound Energy:</t>
        </r>
        <r>
          <rPr>
            <sz val="8"/>
            <color indexed="81"/>
            <rFont val="Tahoma"/>
            <family val="2"/>
          </rPr>
          <t xml:space="preserve">
Update link annually</t>
        </r>
      </text>
    </comment>
    <comment ref="H9" authorId="0" shapeId="0">
      <text>
        <r>
          <rPr>
            <b/>
            <sz val="8"/>
            <color indexed="81"/>
            <rFont val="Tahoma"/>
            <family val="2"/>
          </rPr>
          <t>Puget Sound Energy:</t>
        </r>
        <r>
          <rPr>
            <sz val="8"/>
            <color indexed="81"/>
            <rFont val="Tahoma"/>
            <family val="2"/>
          </rPr>
          <t xml:space="preserve">
Update link annually</t>
        </r>
      </text>
    </comment>
  </commentList>
</comments>
</file>

<file path=xl/comments9.xml><?xml version="1.0" encoding="utf-8"?>
<comments xmlns="http://schemas.openxmlformats.org/spreadsheetml/2006/main">
  <authors>
    <author>Puget Sound Energy</author>
  </authors>
  <commentList>
    <comment ref="G2" authorId="0" shapeId="0">
      <text>
        <r>
          <rPr>
            <b/>
            <sz val="9"/>
            <color indexed="81"/>
            <rFont val="Tahoma"/>
            <family val="2"/>
          </rPr>
          <t>Puget Sound Energy:</t>
        </r>
        <r>
          <rPr>
            <sz val="9"/>
            <color indexed="81"/>
            <rFont val="Tahoma"/>
            <family val="2"/>
          </rPr>
          <t xml:space="preserve">
Do not delete
</t>
        </r>
      </text>
    </comment>
    <comment ref="H2" authorId="0" shapeId="0">
      <text>
        <r>
          <rPr>
            <b/>
            <sz val="9"/>
            <color indexed="81"/>
            <rFont val="Tahoma"/>
            <family val="2"/>
          </rPr>
          <t>Puget Sound Energy:</t>
        </r>
        <r>
          <rPr>
            <sz val="9"/>
            <color indexed="81"/>
            <rFont val="Tahoma"/>
            <family val="2"/>
          </rPr>
          <t xml:space="preserve">
Do not delete</t>
        </r>
      </text>
    </comment>
  </commentList>
</comments>
</file>

<file path=xl/sharedStrings.xml><?xml version="1.0" encoding="utf-8"?>
<sst xmlns="http://schemas.openxmlformats.org/spreadsheetml/2006/main" count="7421" uniqueCount="648">
  <si>
    <t>Resource</t>
  </si>
  <si>
    <t xml:space="preserve">Fuel Mix </t>
  </si>
  <si>
    <t>WA Dept. of Commerce Fuel Mix Report =</t>
  </si>
  <si>
    <r>
      <t>Short Tons CO</t>
    </r>
    <r>
      <rPr>
        <vertAlign val="subscript"/>
        <sz val="11"/>
        <color theme="1"/>
        <rFont val="Calibri"/>
        <family val="2"/>
        <scheme val="minor"/>
      </rPr>
      <t>2</t>
    </r>
  </si>
  <si>
    <r>
      <t>Tons CO</t>
    </r>
    <r>
      <rPr>
        <vertAlign val="subscript"/>
        <sz val="11"/>
        <color theme="1"/>
        <rFont val="Calibri"/>
        <family val="2"/>
        <scheme val="minor"/>
      </rPr>
      <t>2</t>
    </r>
  </si>
  <si>
    <t xml:space="preserve">Short </t>
  </si>
  <si>
    <r>
      <t>lbs CO</t>
    </r>
    <r>
      <rPr>
        <vertAlign val="subscript"/>
        <sz val="11"/>
        <color theme="1"/>
        <rFont val="Calibri"/>
        <family val="2"/>
        <scheme val="minor"/>
      </rPr>
      <t>2</t>
    </r>
    <r>
      <rPr>
        <sz val="11"/>
        <color theme="1"/>
        <rFont val="Calibri"/>
        <family val="2"/>
        <scheme val="minor"/>
      </rPr>
      <t xml:space="preserve"> per MWh</t>
    </r>
  </si>
  <si>
    <r>
      <t>lbs CO</t>
    </r>
    <r>
      <rPr>
        <b/>
        <vertAlign val="subscript"/>
        <sz val="11"/>
        <color theme="1"/>
        <rFont val="Calibri"/>
        <family val="2"/>
        <scheme val="minor"/>
      </rPr>
      <t>2</t>
    </r>
    <r>
      <rPr>
        <b/>
        <sz val="11"/>
        <color theme="1"/>
        <rFont val="Calibri"/>
        <family val="2"/>
        <scheme val="minor"/>
      </rPr>
      <t>/MWh</t>
    </r>
  </si>
  <si>
    <r>
      <t>Tons CO</t>
    </r>
    <r>
      <rPr>
        <b/>
        <vertAlign val="subscript"/>
        <sz val="11"/>
        <color theme="1"/>
        <rFont val="Calibri"/>
        <family val="2"/>
        <scheme val="minor"/>
      </rPr>
      <t>2</t>
    </r>
  </si>
  <si>
    <t>For Year</t>
  </si>
  <si>
    <t>Known Resources Serving WA Customers</t>
  </si>
  <si>
    <t>Summary Energy and Emissions Intensity Report</t>
  </si>
  <si>
    <t>Residential Customers</t>
  </si>
  <si>
    <t>Total Load Served</t>
  </si>
  <si>
    <t>MWh at Meter</t>
  </si>
  <si>
    <t>Utility :</t>
  </si>
  <si>
    <t>Reporting for year :</t>
  </si>
  <si>
    <t xml:space="preserve">Commercial Customers </t>
  </si>
  <si>
    <t xml:space="preserve">Industrial Customers </t>
  </si>
  <si>
    <t>Busbar MWh</t>
  </si>
  <si>
    <t>Customer</t>
  </si>
  <si>
    <t>Population Served :</t>
  </si>
  <si>
    <t>See UTC Docket UE-131723, General Order R-581, Page 7, Paragraph 19.</t>
  </si>
  <si>
    <t>Avista</t>
  </si>
  <si>
    <t>Pacific Power</t>
  </si>
  <si>
    <t>Puget Sound Energy</t>
  </si>
  <si>
    <t>1990</t>
  </si>
  <si>
    <r>
      <t>1990 Short Tons CO</t>
    </r>
    <r>
      <rPr>
        <vertAlign val="subscript"/>
        <sz val="11"/>
        <color theme="1"/>
        <rFont val="Calibri"/>
        <family val="2"/>
        <scheme val="minor"/>
      </rPr>
      <t>2</t>
    </r>
  </si>
  <si>
    <t>MWh Proportion</t>
  </si>
  <si>
    <t>Percent of</t>
  </si>
  <si>
    <t>Total Load</t>
  </si>
  <si>
    <t>WA MWh</t>
  </si>
  <si>
    <t>Unknown Resources For WA Customers</t>
  </si>
  <si>
    <t>Known Resources Serving WA</t>
  </si>
  <si>
    <t>Unknown Resources Serving WA</t>
  </si>
  <si>
    <t>Count</t>
  </si>
  <si>
    <t>Energy Intensity Metrics</t>
  </si>
  <si>
    <t>Emissions Intensity Metrics</t>
  </si>
  <si>
    <r>
      <t>% of 1990 CO</t>
    </r>
    <r>
      <rPr>
        <b/>
        <vertAlign val="subscript"/>
        <sz val="11"/>
        <color theme="1"/>
        <rFont val="Calibri"/>
        <family val="2"/>
        <scheme val="minor"/>
      </rPr>
      <t>2</t>
    </r>
  </si>
  <si>
    <t>MWh per Capita</t>
  </si>
  <si>
    <t>MWh per</t>
  </si>
  <si>
    <t>People</t>
  </si>
  <si>
    <t>Kittitas County, Washington</t>
  </si>
  <si>
    <t>Kitsap County, Washington</t>
  </si>
  <si>
    <t>King County, Washington</t>
  </si>
  <si>
    <t>Jefferson County, Washington</t>
  </si>
  <si>
    <t>Island County, Washington</t>
  </si>
  <si>
    <t>Pierce County, Washington</t>
  </si>
  <si>
    <t>Skagit County, Washington</t>
  </si>
  <si>
    <t>Whatcom County, Washington</t>
  </si>
  <si>
    <t>Thurston County, Washington</t>
  </si>
  <si>
    <t>http://www.census.gov/quickfacts/table/HSD310214/53073,53067,53033,53031,53029,53057</t>
  </si>
  <si>
    <t>Population</t>
  </si>
  <si>
    <t>Population estimates, July 1, 2015,  (V2015)</t>
  </si>
  <si>
    <t>Population estimates, July 1, 2014,  (V2014)</t>
  </si>
  <si>
    <t>Population estimates base, April 1, 2010,  (V2015)</t>
  </si>
  <si>
    <t>Population estimates base, April 1, 2010,  (V2014)</t>
  </si>
  <si>
    <t>Population, percent change - April 1, 2010 (estimates base) to July 1, 2015,  (V2015)</t>
  </si>
  <si>
    <t>Population, percent change - April 1, 2010 (estimates base) to July 1, 2014,  (V2014)</t>
  </si>
  <si>
    <t>Population, Census, April 1, 2010</t>
  </si>
  <si>
    <t>Age and Sex</t>
  </si>
  <si>
    <t>Persons under 5 years, percent, July 1, 2014,  (V2014)</t>
  </si>
  <si>
    <t>Persons under 5 years, percent, April 1, 2010</t>
  </si>
  <si>
    <t>Persons under 18 years, percent, July 1, 2014,  (V2014)</t>
  </si>
  <si>
    <t>Persons under 18 years, percent, April 1, 2010</t>
  </si>
  <si>
    <t>Persons 65 years and over, percent,  July 1, 2014,  (V2014)</t>
  </si>
  <si>
    <t>Persons 65 years and over, percent, April 1, 2010</t>
  </si>
  <si>
    <t>Female persons, percent,  July 1, 2014,  (V2014)</t>
  </si>
  <si>
    <t>Female persons, percent, April 1, 2010</t>
  </si>
  <si>
    <t>Race and Hispanic Origin</t>
  </si>
  <si>
    <t>White alone, percent, July 1, 2014,  (V2014)  (a)</t>
  </si>
  <si>
    <t>White alone, percent, April 1, 2010  (a)</t>
  </si>
  <si>
    <t>Black or African American alone, percent, July 1, 2014,  (V2014)  (a)</t>
  </si>
  <si>
    <t>Black or African American alone, percent, April 1, 2010  (a)</t>
  </si>
  <si>
    <t>American Indian and Alaska Native alone, percent, July 1, 2014,  (V2014)  (a)</t>
  </si>
  <si>
    <t>American Indian and Alaska Native alone, percent, April 1, 2010  (a)</t>
  </si>
  <si>
    <t>Asian alone, percent, July 1, 2014,  (V2014)  (a)</t>
  </si>
  <si>
    <t>Asian alone, percent, April 1, 2010  (a)</t>
  </si>
  <si>
    <t>Native Hawaiian and Other Pacific Islander alone, percent, July 1, 2014,  (V2014)  (a)</t>
  </si>
  <si>
    <t>Native Hawaiian and Other Pacific Islander alone, percent, April 1, 2010  (a)</t>
  </si>
  <si>
    <t>Two or More Races, percent, July 1, 2014,  (V2014)</t>
  </si>
  <si>
    <t>Two or More Races, percent, April 1, 2010</t>
  </si>
  <si>
    <t>Hispanic or Latino, percent, July 1, 2014,  (V2014)  (b)</t>
  </si>
  <si>
    <t>Hispanic or Latino, percent, April 1, 2010  (b)</t>
  </si>
  <si>
    <t>White alone, not Hispanic or Latino, percent, July 1, 2014,  (V2014)</t>
  </si>
  <si>
    <t>White alone, not Hispanic or Latino, percent, April 1, 2010</t>
  </si>
  <si>
    <t>Population Characteristics</t>
  </si>
  <si>
    <t>Veterans, 2010-2014</t>
  </si>
  <si>
    <t>Foreign born persons, percent, 2010-2014</t>
  </si>
  <si>
    <t>Housing</t>
  </si>
  <si>
    <t>Housing units,  July 1, 2014,  (V2014)</t>
  </si>
  <si>
    <t>Housing units, April 1, 2010</t>
  </si>
  <si>
    <t>Owner-occupied housing unit rate, 2010-2014</t>
  </si>
  <si>
    <t>Median value of owner-occupied housing units, 2010-2014</t>
  </si>
  <si>
    <t>Median selected monthly owner costs -with a mortgage, 2010-2014</t>
  </si>
  <si>
    <t>Median selected monthly owner costs -without a mortgage, 2010-2014</t>
  </si>
  <si>
    <t>Median gross rent, 2010-2014</t>
  </si>
  <si>
    <t>Building permits, 2014</t>
  </si>
  <si>
    <t>Families and Living Arrangements</t>
  </si>
  <si>
    <t>Households, 2010-2014</t>
  </si>
  <si>
    <t>Persons per household, 2010-2014</t>
  </si>
  <si>
    <t>Living in same house 1 year ago, percent of persons age 1 year+, 2010-2014</t>
  </si>
  <si>
    <t>simple average</t>
  </si>
  <si>
    <t>weighted average</t>
  </si>
  <si>
    <t>Language other than English spoken at home, percent of persons age 5 years+, 2010-2014</t>
  </si>
  <si>
    <t>W/o Jefferson</t>
  </si>
  <si>
    <t>Education</t>
  </si>
  <si>
    <t>High school graduate or higher, percent of persons age 25 years+, 2010-2014</t>
  </si>
  <si>
    <t>Bachelor's degree or higher, percent of persons age 25 years+, 2010-2014</t>
  </si>
  <si>
    <t>Health</t>
  </si>
  <si>
    <t>With a disability, under age 65 years, percent, 2010-2014</t>
  </si>
  <si>
    <t>Persons  without health insurance, under age 65 years, percent</t>
  </si>
  <si>
    <t>Economy</t>
  </si>
  <si>
    <t>In civilian labor force, total, percent of population age 16 years+, 2010-2014</t>
  </si>
  <si>
    <t>In civilian labor force, female, percent of population age 16 years+, 2010-2014</t>
  </si>
  <si>
    <t xml:space="preserve">Total accommodation and food services sales, 2012 ($1,000) </t>
  </si>
  <si>
    <t>D</t>
  </si>
  <si>
    <t xml:space="preserve">Total health care and social assistance receipts/revenue, 2012 ($1,000) </t>
  </si>
  <si>
    <t xml:space="preserve">Total manufacturers shipments, 2012 ($1,000) </t>
  </si>
  <si>
    <t xml:space="preserve">Total merchant wholesaler sales, 2012 ($1,000) </t>
  </si>
  <si>
    <t xml:space="preserve">Total retail sales, 2012 ($1,000) </t>
  </si>
  <si>
    <t xml:space="preserve">Total retail sales per capita, 2012 </t>
  </si>
  <si>
    <t>Transportation</t>
  </si>
  <si>
    <t>Mean travel time to work (minutes), workers age 16 years+, 2010-2014</t>
  </si>
  <si>
    <t>Income and Poverty</t>
  </si>
  <si>
    <t>Median household income (in 2014 dollars), 2010-2014</t>
  </si>
  <si>
    <t>Per capita income in past 12 months (in 2014 dollars), 2010-2014</t>
  </si>
  <si>
    <t>Persons in poverty, percent</t>
  </si>
  <si>
    <t>Businesses</t>
  </si>
  <si>
    <t>Total employer establishments, 2013</t>
  </si>
  <si>
    <t>Total employment, 2013</t>
  </si>
  <si>
    <t>Total annual payroll, 2013</t>
  </si>
  <si>
    <t>Total employment, percent change, 2012-2013</t>
  </si>
  <si>
    <t>Z</t>
  </si>
  <si>
    <t>Total nonemployer establishments, 2013</t>
  </si>
  <si>
    <t>All firms, 2012</t>
  </si>
  <si>
    <t>Men-owned firms, 2012</t>
  </si>
  <si>
    <t>Women-owned firms, 2012</t>
  </si>
  <si>
    <t>Minority-owned firms, 2012</t>
  </si>
  <si>
    <t>Nonminority-owned firms, 2012</t>
  </si>
  <si>
    <t>Veteran-owned firms, 2012</t>
  </si>
  <si>
    <t>Nonveteran-owned firms, 2012</t>
  </si>
  <si>
    <t>Geography</t>
  </si>
  <si>
    <t>Population per square mile, 2010</t>
  </si>
  <si>
    <t>Land area in square miles, 2010</t>
  </si>
  <si>
    <t>FIPS Code</t>
  </si>
  <si>
    <t>"53037"</t>
  </si>
  <si>
    <t>"53035"</t>
  </si>
  <si>
    <t>"53033"</t>
  </si>
  <si>
    <t>"53031"</t>
  </si>
  <si>
    <t>"53029"</t>
  </si>
  <si>
    <t>"53053"</t>
  </si>
  <si>
    <t>"53057"</t>
  </si>
  <si>
    <t>"53073"</t>
  </si>
  <si>
    <t>"53067"</t>
  </si>
  <si>
    <t>This geographic level of poverty and health estimates are not comparable to other geographic levels of these estimates</t>
  </si>
  <si>
    <t>Some estimates presented here come from sample data, and thus have sampling errors that may render some apparent differences between geographies statistically indistinguishable. Click the Quick Info &lt;img style="height:14px;width:14px;" src="/quickfacts/assets/images/info-grey2-selected_hover.png" alt="'i'"&gt; icon to the left of each row in TABLE view to learn about sampling error.</t>
  </si>
  <si>
    <t>The vintage year (e.g., V2015) refers to the final year of the series (2010 thru 2015). Different vintage years of estimates are not comparable.</t>
  </si>
  <si>
    <t>(a) Includes persons reporting only one race</t>
  </si>
  <si>
    <t>(b) Hispanics may be of any race, so also are included in applicable race categories</t>
  </si>
  <si>
    <t>(c) Economic Census - Puerto Rico data are not comparable to U.S. Economic Census data</t>
  </si>
  <si>
    <t>D: Suppressed to avoid disclosure of confidential information</t>
  </si>
  <si>
    <t>F: Fewer than 25 firms</t>
  </si>
  <si>
    <t>FN: Footnote on this item in place of data</t>
  </si>
  <si>
    <t>NA: Not available</t>
  </si>
  <si>
    <t>S: Suppressed; does not meet publication standards</t>
  </si>
  <si>
    <t>X: Not applicable</t>
  </si>
  <si>
    <t>Z: Value greater than zero but less than half unit of measure shown</t>
  </si>
  <si>
    <t>QuickFacts data are derived from: Population Estimates, American Community Survey, Census of Population and Housing, Current Population Survey, Small Area Health Insurance Estimates, Small Area Income and Poverty Estimates, State and County Housing Unit Estimates, County Business Patterns, Nonemployer Statistics, Economic Census, Survey of Business Owners, Building Permits.</t>
  </si>
  <si>
    <t>Persons per household factor</t>
  </si>
  <si>
    <t>Deferral Offsets</t>
  </si>
  <si>
    <t>Avista Nichols Pump</t>
  </si>
  <si>
    <t>Black Creek Hydro</t>
  </si>
  <si>
    <t>BPA</t>
  </si>
  <si>
    <t>Cargill Power Markets</t>
  </si>
  <si>
    <t>Constellation Power Source, Inc.</t>
  </si>
  <si>
    <t>Deviation</t>
  </si>
  <si>
    <t>Douglas County PUD #1</t>
  </si>
  <si>
    <t>Morgan Stanley CG</t>
  </si>
  <si>
    <t>Pacific Gas &amp; Elec - Exchange</t>
  </si>
  <si>
    <t>Powerex Corp.</t>
  </si>
  <si>
    <t>Seattle City Light Marketing</t>
  </si>
  <si>
    <t>Shell Energy (Coral Pwr)</t>
  </si>
  <si>
    <t>Tacoma Power</t>
  </si>
  <si>
    <t>TransAlta Energy Marketing</t>
  </si>
  <si>
    <t>Citigroup Energy Inc</t>
  </si>
  <si>
    <t>Exelon Generation Co LLC</t>
  </si>
  <si>
    <t>Avista Corp. WWP Division</t>
  </si>
  <si>
    <t>Barclays Bank Plc</t>
  </si>
  <si>
    <t>Black Hills Power</t>
  </si>
  <si>
    <t>BNP Paribas Energy Trading</t>
  </si>
  <si>
    <t>Book Outs - EITF 03-11</t>
  </si>
  <si>
    <t>BP Energy Co.</t>
  </si>
  <si>
    <t>British Columbia Transmission Corp</t>
  </si>
  <si>
    <t>Brookfield Energy Marketing</t>
  </si>
  <si>
    <t>Burbank, City of</t>
  </si>
  <si>
    <t>CAISO EESC Load Undistributed Costs</t>
  </si>
  <si>
    <t>California ISO</t>
  </si>
  <si>
    <t>Calpine Energy Services</t>
  </si>
  <si>
    <t>Chelan County PUD #1</t>
  </si>
  <si>
    <t>City of Idaho Falls</t>
  </si>
  <si>
    <t>Clark Public Utilities</t>
  </si>
  <si>
    <t>Clatskanie PUD</t>
  </si>
  <si>
    <t>Conoco, Inc.</t>
  </si>
  <si>
    <t>CP Energy Marketing (Epcor)</t>
  </si>
  <si>
    <t>Credit Suisse Energy, LLC</t>
  </si>
  <si>
    <t>DB Energy Trading LLC</t>
  </si>
  <si>
    <t>Eagle Energy Partners</t>
  </si>
  <si>
    <t>EDF Trading NA LLC</t>
  </si>
  <si>
    <t>Endure Energy LLC</t>
  </si>
  <si>
    <t>ENMAX Energy Marketing, Inc.</t>
  </si>
  <si>
    <t>Eugene Water &amp; Electric</t>
  </si>
  <si>
    <t>Fortis Energy Marketing &amp; Trading</t>
  </si>
  <si>
    <t>Grant County PUD #2</t>
  </si>
  <si>
    <t>Hinson Power Company</t>
  </si>
  <si>
    <t>Iberdrola Renewables (PPM Energy)</t>
  </si>
  <si>
    <t>Idaho Falls Power</t>
  </si>
  <si>
    <t>Idaho Power Company</t>
  </si>
  <si>
    <t>Integrys Energy Services, Inc</t>
  </si>
  <si>
    <t>Interchange-out deviation</t>
  </si>
  <si>
    <t>J. Aron &amp; Company</t>
  </si>
  <si>
    <t>JP Morgan Ventures Energy</t>
  </si>
  <si>
    <t>Los Angeles Dept. Water &amp; Power</t>
  </si>
  <si>
    <t>Merrill Lynch Commodities</t>
  </si>
  <si>
    <t>Modesto Irrigation District</t>
  </si>
  <si>
    <t>N. California Power Agency</t>
  </si>
  <si>
    <t>Natur Ener USA</t>
  </si>
  <si>
    <t>NextEra Energy Power Marketing</t>
  </si>
  <si>
    <t>Noble Americas Energy Solutions</t>
  </si>
  <si>
    <t>Noble Americas Gas &amp; Power</t>
  </si>
  <si>
    <t>NorthPoint Energy Solutions, Inc.</t>
  </si>
  <si>
    <t>Northwestern Energy</t>
  </si>
  <si>
    <t>Occidental Power Services</t>
  </si>
  <si>
    <t>Okanogan PUD</t>
  </si>
  <si>
    <t>Pacific Northwest Generatin Coop.</t>
  </si>
  <si>
    <t>Pacific Summit Energy LLC</t>
  </si>
  <si>
    <t>Pacificorp</t>
  </si>
  <si>
    <t>PG&amp;E Energy Trading</t>
  </si>
  <si>
    <t>Portland General Electric</t>
  </si>
  <si>
    <t>Public Service of Colorado</t>
  </si>
  <si>
    <t>Rainbow Energy Marketing</t>
  </si>
  <si>
    <t>Redding, City of</t>
  </si>
  <si>
    <t>Sacramento Municipal</t>
  </si>
  <si>
    <t>San Diego Gas &amp; Electric</t>
  </si>
  <si>
    <t>Sempra Energy Trading</t>
  </si>
  <si>
    <t>Sierra Pacific Power</t>
  </si>
  <si>
    <t>Silicon Valley Pwr - Santa Clara</t>
  </si>
  <si>
    <t>Snohomish County PUD #1</t>
  </si>
  <si>
    <t>Southern Cal - Edison</t>
  </si>
  <si>
    <t>Talen Energy (PPL Energy Plus)</t>
  </si>
  <si>
    <t>Tenaska</t>
  </si>
  <si>
    <t>Tenaska Power Services Co.</t>
  </si>
  <si>
    <t>The Energy Authority</t>
  </si>
  <si>
    <t>TransCanada Energy Marketing</t>
  </si>
  <si>
    <t>TransCanada Energy Sales Ltd</t>
  </si>
  <si>
    <t>Tri-State Generation and Transmissi</t>
  </si>
  <si>
    <t>Turlock Irrigation District</t>
  </si>
  <si>
    <t>Vitol Inc.</t>
  </si>
  <si>
    <t>Western Area Power Association</t>
  </si>
  <si>
    <t>Williams Power Company</t>
  </si>
  <si>
    <t>Fortis BC</t>
  </si>
  <si>
    <t>Nevada Power Company</t>
  </si>
  <si>
    <t>Electron</t>
  </si>
  <si>
    <t>Lower Baker</t>
  </si>
  <si>
    <t>Snoqualmie Falls #1</t>
  </si>
  <si>
    <t>Snoqualmie Falls #2</t>
  </si>
  <si>
    <t>Upper Baker</t>
  </si>
  <si>
    <t>Crystal Mountain</t>
  </si>
  <si>
    <t>Encogen</t>
  </si>
  <si>
    <t>Ferndale Co-Generation</t>
  </si>
  <si>
    <t>Freddie #1</t>
  </si>
  <si>
    <t>Fredonia</t>
  </si>
  <si>
    <t>Fredonia 3 &amp; 4</t>
  </si>
  <si>
    <t>Fredrickson 1 &amp; 2</t>
  </si>
  <si>
    <t>Goldendale</t>
  </si>
  <si>
    <t>Hopkins Ridge (W184)</t>
  </si>
  <si>
    <t>Lower Snake River</t>
  </si>
  <si>
    <t>Mint Farm</t>
  </si>
  <si>
    <t>Sumas</t>
  </si>
  <si>
    <t>Whitehorn 2&amp;3</t>
  </si>
  <si>
    <t>Wild Horse (W183)</t>
  </si>
  <si>
    <t>Colstrip 1 &amp; 2</t>
  </si>
  <si>
    <t>Colstrip 3 &amp; 4</t>
  </si>
  <si>
    <t>3 Bar G Wind Turbine #3 LLC</t>
  </si>
  <si>
    <t>BC Hydro (Point Roberts)</t>
  </si>
  <si>
    <t>Bio Energy Washington (BEW)</t>
  </si>
  <si>
    <t>Black Creek Hydro Inc</t>
  </si>
  <si>
    <t>BPA Firm - WNP#3 Exchange</t>
  </si>
  <si>
    <t>CC Solar 1 and CC Solar 2</t>
  </si>
  <si>
    <t>Chelan PUD - RI &amp; RR</t>
  </si>
  <si>
    <t>Chelan PUD - Rock Island Syst #2</t>
  </si>
  <si>
    <t>Chelan PUD - Rocky Reach</t>
  </si>
  <si>
    <t>Douglas PUD - Wells Project</t>
  </si>
  <si>
    <t>Edaleen Dairy LLC</t>
  </si>
  <si>
    <t>Farm Power Lynden LLC</t>
  </si>
  <si>
    <t>Farm Power Rexville LLC</t>
  </si>
  <si>
    <t>Grant PUD - Priest Rapids</t>
  </si>
  <si>
    <t>Grant PUD - Priest Rapids Project</t>
  </si>
  <si>
    <t>Grant PUD - Wanapum</t>
  </si>
  <si>
    <t>Island Community Solar LLC</t>
  </si>
  <si>
    <t>Klamath Falls (Iberdrola)</t>
  </si>
  <si>
    <t>Klondike Wind Power III</t>
  </si>
  <si>
    <t>Knudsen Wind Turbine #1</t>
  </si>
  <si>
    <t>NWestern Energy(MPC) Firm Contract</t>
  </si>
  <si>
    <t>Qualco Energy</t>
  </si>
  <si>
    <t>Rainier Bio Gas</t>
  </si>
  <si>
    <t>Skookumchuck Hydro</t>
  </si>
  <si>
    <t>Smith Creek Hydro</t>
  </si>
  <si>
    <t>Snohomish PUD Conservation</t>
  </si>
  <si>
    <t>Swauk Wind</t>
  </si>
  <si>
    <t>Transalta Centralia Generation LLC</t>
  </si>
  <si>
    <t>Van Dyk - S Holsteins</t>
  </si>
  <si>
    <t>VanderHaak Dairy Digester</t>
  </si>
  <si>
    <t>WASCO Hydro</t>
  </si>
  <si>
    <t>BIO FUEL WA</t>
  </si>
  <si>
    <t>Electron Hydro, LLC</t>
  </si>
  <si>
    <t>Emerald City Renewables</t>
  </si>
  <si>
    <t>Hutchinson Creek</t>
  </si>
  <si>
    <t>Koma Kulshan Associates</t>
  </si>
  <si>
    <t>Lake Washington -- Finn Hill</t>
  </si>
  <si>
    <t>March Point Cogen. - 1 &amp; 2</t>
  </si>
  <si>
    <t>Nooksack</t>
  </si>
  <si>
    <t>Port Townsend Paper Co.</t>
  </si>
  <si>
    <t>Puyallup Energy Recovery Company</t>
  </si>
  <si>
    <t>Spokane MSW</t>
  </si>
  <si>
    <t>Sygitowicz Creek</t>
  </si>
  <si>
    <t>Twin Falls Hydro</t>
  </si>
  <si>
    <t>Weeks Falls</t>
  </si>
  <si>
    <t>MWh / Residential Customer</t>
  </si>
  <si>
    <t>MWh / Commercial Customer</t>
  </si>
  <si>
    <t>MWh per capita</t>
  </si>
  <si>
    <t>Ratio of Annual CO2 : 1990 CO2</t>
  </si>
  <si>
    <t>Annual Emissions (see other file)</t>
  </si>
  <si>
    <t>Annual MWh delivered from Unknown Generation</t>
  </si>
  <si>
    <t>% Load Served by Unknown Generation</t>
  </si>
  <si>
    <t>Population Served</t>
  </si>
  <si>
    <t>1990 Population Served</t>
  </si>
  <si>
    <t>1990 Residential Customers Served</t>
  </si>
  <si>
    <t>(from 1990 10k)</t>
  </si>
  <si>
    <t>Transalta Contract - Source "Other" and Bookouts</t>
  </si>
  <si>
    <t>Insert Blue Blanks with actual numbers (no links or calculations)</t>
  </si>
  <si>
    <t>Transalta Centralia Generation LLC - Bookout Source Other Adjustment</t>
  </si>
  <si>
    <t>BPA - NWPP Reserve Sharing Energy</t>
  </si>
  <si>
    <t>GRIDFORCE ENERGY MANAGEMENT, LLC.</t>
  </si>
  <si>
    <t>CAISO PRSC Undistributed Costs</t>
  </si>
  <si>
    <t>Colstrip - Energy Imbalance Market</t>
  </si>
  <si>
    <t>Fredonia - Energy Imbalance Market</t>
  </si>
  <si>
    <t>MID-C for Energy Imbalance Market</t>
  </si>
  <si>
    <t>Snoqualmie-Energy Imbalance Market</t>
  </si>
  <si>
    <t>https://www.census.gov/quickfacts/table/PST045216/53057,53053,53029,53033,53035,53037</t>
  </si>
  <si>
    <t>Population estimates, July 1, 2016,  (V2016)</t>
  </si>
  <si>
    <t>Population estimates base, April 1, 2010,  (V2016)</t>
  </si>
  <si>
    <t>Population, percent change - April 1, 2010 (estimates base) to July 1, 2016,  (V2016)</t>
  </si>
  <si>
    <t>Persons under 5 years, percent, July 1, 2015,  (V2015)</t>
  </si>
  <si>
    <t>Persons under 18 years, percent, July 1, 2015,  (V2015)</t>
  </si>
  <si>
    <t>Persons 65 years and over, percent,  July 1, 2015,  (V2015)</t>
  </si>
  <si>
    <t>Female persons, percent,  July 1, 2015,  (V2015)</t>
  </si>
  <si>
    <t>White alone, percent, July 1, 2015,  (V2015)  (a)</t>
  </si>
  <si>
    <t>Black or African American alone, percent, July 1, 2015,  (V2015)  (a)</t>
  </si>
  <si>
    <t>American Indian and Alaska Native alone, percent, July 1, 2015,  (V2015)  (a)</t>
  </si>
  <si>
    <t>Asian alone, percent, July 1, 2015,  (V2015)  (a)</t>
  </si>
  <si>
    <t>Native Hawaiian and Other Pacific Islander alone, percent, July 1, 2015,  (V2015)  (a)</t>
  </si>
  <si>
    <t>Two or More Races, percent, July 1, 2015,  (V2015)</t>
  </si>
  <si>
    <t>Hispanic or Latino, percent, July 1, 2015,  (V2015)  (b)</t>
  </si>
  <si>
    <t>White alone, not Hispanic or Latino, percent, July 1, 2015,  (V2015)</t>
  </si>
  <si>
    <t>Veterans, 2011-2015</t>
  </si>
  <si>
    <t>Foreign born persons, percent, 2011-2015</t>
  </si>
  <si>
    <t>Housing units,  July 1, 2015,  (V2015)</t>
  </si>
  <si>
    <t>Owner-occupied housing unit rate, 2011-2015</t>
  </si>
  <si>
    <t>Median value of owner-occupied housing units, 2011-2015</t>
  </si>
  <si>
    <t>Median selected monthly owner costs -with a mortgage, 2011-2015</t>
  </si>
  <si>
    <t>Median selected monthly owner costs -without a mortgage, 2011-2015</t>
  </si>
  <si>
    <t>Median gross rent, 2011-2015</t>
  </si>
  <si>
    <t>Building permits, 2015</t>
  </si>
  <si>
    <t>Households, 2011-2015</t>
  </si>
  <si>
    <t>Persons per household, 2011-2015</t>
  </si>
  <si>
    <t>Living in same house 1 year ago, percent of persons age 1 year+, 2011-2015</t>
  </si>
  <si>
    <t>Language other than English spoken at home, percent of persons age 5 years+, 2011-2015</t>
  </si>
  <si>
    <t>High school graduate or higher, percent of persons age 25 years+, 2011-2015</t>
  </si>
  <si>
    <t>Bachelor's degree or higher, percent of persons age 25 years+, 2011-2015</t>
  </si>
  <si>
    <t>With a disability, under age 65 years, percent, 2011-2015</t>
  </si>
  <si>
    <t>In civilian labor force, total, percent of population age 16 years+, 2011-2015</t>
  </si>
  <si>
    <t>In civilian labor force, female, percent of population age 16 years+, 2011-2015</t>
  </si>
  <si>
    <t>Total accommodation and food services sales, 2012 ($1,000)  (c)</t>
  </si>
  <si>
    <t>Total health care and social assistance receipts/revenue, 2012 ($1,000)  (c)</t>
  </si>
  <si>
    <t>Total manufacturers shipments, 2012 ($1,000)  (c)</t>
  </si>
  <si>
    <t>Total merchant wholesaler sales, 2012 ($1,000)  (c)</t>
  </si>
  <si>
    <t>Total retail sales, 2012 ($1,000)  (c)</t>
  </si>
  <si>
    <t>Total retail sales per capita, 2012  (c)</t>
  </si>
  <si>
    <t>Mean travel time to work (minutes), workers age 16 years+, 2011-2015</t>
  </si>
  <si>
    <t>Median household income (in 2015 dollars), 2011-2015</t>
  </si>
  <si>
    <t>Per capita income in past 12 months (in 2015 dollars), 2011-2015</t>
  </si>
  <si>
    <t>Total employer establishments, 2015</t>
  </si>
  <si>
    <t>Total employment, 2015</t>
  </si>
  <si>
    <t>Total annual payroll, 2015 ($1,000)</t>
  </si>
  <si>
    <t>Total employment, percent change, 2014-2015</t>
  </si>
  <si>
    <t>Total nonemployer establishments, 2014</t>
  </si>
  <si>
    <t>Energy Keepers Inc.</t>
  </si>
  <si>
    <t>Blocks Dairy Farm</t>
  </si>
  <si>
    <t>Ikea Solar</t>
  </si>
  <si>
    <t>Previous reports rate = 1,024 lb/MWh, total emissions:</t>
  </si>
  <si>
    <t>short tons</t>
  </si>
  <si>
    <t>Previous reports rate = 1,046 lb/MWh, total emissions:</t>
  </si>
  <si>
    <t>Persons per household factor 2017 =</t>
  </si>
  <si>
    <t>Encogen 1</t>
  </si>
  <si>
    <t>Encogen 2</t>
  </si>
  <si>
    <t>Encogen 3</t>
  </si>
  <si>
    <t>Ferndale 1</t>
  </si>
  <si>
    <t>Ferndale 2</t>
  </si>
  <si>
    <t>Frederickson 1</t>
  </si>
  <si>
    <t>Frederickson 2</t>
  </si>
  <si>
    <t>Fredonia 1</t>
  </si>
  <si>
    <t>Fredonia 2</t>
  </si>
  <si>
    <t>Fredonia 3</t>
  </si>
  <si>
    <t>Fredonia 4</t>
  </si>
  <si>
    <t>Frederickson Unit 1</t>
  </si>
  <si>
    <t>Whitehorn 2</t>
  </si>
  <si>
    <t>Whitehorn 3</t>
  </si>
  <si>
    <t>MWh</t>
  </si>
  <si>
    <t>Total:</t>
  </si>
  <si>
    <t>MWh at Meter - Source 10k</t>
  </si>
  <si>
    <t>Busbar MWh - Calculated</t>
  </si>
  <si>
    <t>Notes:</t>
  </si>
  <si>
    <t>PSE-Owned &amp; Firm Resources Serving WA Customers</t>
  </si>
  <si>
    <t>Type</t>
  </si>
  <si>
    <t>Fuel</t>
  </si>
  <si>
    <t>Hydro</t>
  </si>
  <si>
    <t>Coal</t>
  </si>
  <si>
    <t>Diesel</t>
  </si>
  <si>
    <t>Gas</t>
  </si>
  <si>
    <t>Wind</t>
  </si>
  <si>
    <t>Biogas</t>
  </si>
  <si>
    <t>System</t>
  </si>
  <si>
    <t>Solar</t>
  </si>
  <si>
    <t>Net-by-Counterparty MWh</t>
  </si>
  <si>
    <r>
      <t>Fuel Mix lbs CO</t>
    </r>
    <r>
      <rPr>
        <b/>
        <vertAlign val="subscript"/>
        <sz val="11"/>
        <color theme="1"/>
        <rFont val="Calibri"/>
        <family val="2"/>
        <scheme val="minor"/>
      </rPr>
      <t>2</t>
    </r>
    <r>
      <rPr>
        <b/>
        <sz val="11"/>
        <color theme="1"/>
        <rFont val="Calibri"/>
        <family val="2"/>
        <scheme val="minor"/>
      </rPr>
      <t>/MWh</t>
    </r>
  </si>
  <si>
    <t>Unknown Resources Serving WA Customers</t>
  </si>
  <si>
    <t>PSE-Own Plus Firm PPA MWh=</t>
  </si>
  <si>
    <t>PSE-Own Plus Firm PPA CO2=</t>
  </si>
  <si>
    <t>PSE-Own Plus Firm PPA Rate=</t>
  </si>
  <si>
    <t xml:space="preserve"> Firm Renewable Total:</t>
  </si>
  <si>
    <t xml:space="preserve">% Firm Renewable: </t>
  </si>
  <si>
    <t>Firm Total:</t>
  </si>
  <si>
    <t>Table 3. Unknown Resources Serving WA Customers</t>
  </si>
  <si>
    <t>Columbia River Long Term Contracts</t>
  </si>
  <si>
    <t>of Total Delivery</t>
  </si>
  <si>
    <t>of Total Firm Only</t>
  </si>
  <si>
    <t>Persons per household factor 2018 =</t>
  </si>
  <si>
    <t>Fuel Mix Disclosure Aggregate Totals</t>
  </si>
  <si>
    <t>Total MWh</t>
  </si>
  <si>
    <t>Total CO2 (metric ton)</t>
  </si>
  <si>
    <t>Calculated Emission Rate (lb CO2/MWh)</t>
  </si>
  <si>
    <t>Notes</t>
  </si>
  <si>
    <t>A. Burrell worksheet</t>
  </si>
  <si>
    <t>A. Burrell worksheet, verified by K.Frankiewich</t>
  </si>
  <si>
    <t>Error in Commerce xls, corrected value provided by K.Frankiewich</t>
  </si>
  <si>
    <t>K.Faretra calc. using Table 6 &amp; 7 Fuel Mix data; verified by K.Frankiewich</t>
  </si>
  <si>
    <t>K.Faretra calc. using Table 6 &amp; 7 Fuel Mix data</t>
  </si>
  <si>
    <t>PSE Owned</t>
  </si>
  <si>
    <t>Assigned Rate</t>
  </si>
  <si>
    <t>No</t>
  </si>
  <si>
    <t>Yes</t>
  </si>
  <si>
    <t>Unspecified</t>
  </si>
  <si>
    <t>Renew</t>
  </si>
  <si>
    <t>Own</t>
  </si>
  <si>
    <t>Firm</t>
  </si>
  <si>
    <t>Year</t>
  </si>
  <si>
    <t>Grand Total</t>
  </si>
  <si>
    <t>Row Labels</t>
  </si>
  <si>
    <t>Columbia Contract</t>
  </si>
  <si>
    <t>Number of Customer Served (average) from 2018 Form 10-k</t>
  </si>
  <si>
    <t>Energy Sales (MWh) from 2018 Form 10-k</t>
  </si>
  <si>
    <t>Group</t>
  </si>
  <si>
    <t>Non-Firm</t>
  </si>
  <si>
    <t>Sum of WA MWh</t>
  </si>
  <si>
    <t>Source</t>
  </si>
  <si>
    <t>MWh Total</t>
  </si>
  <si>
    <t>PSE Owned Coal</t>
  </si>
  <si>
    <t>PSE Owned Gas</t>
  </si>
  <si>
    <t>Firm Coal</t>
  </si>
  <si>
    <t>Firm Renewable</t>
  </si>
  <si>
    <t>Total</t>
  </si>
  <si>
    <t>PSE Own plus Firm PPA</t>
  </si>
  <si>
    <t>Total PSE Only</t>
  </si>
  <si>
    <t>Total Firm Only</t>
  </si>
  <si>
    <t>Total Unspecified Only</t>
  </si>
  <si>
    <t>PSE Owned Renewable</t>
  </si>
  <si>
    <t>Firm Unspecified</t>
  </si>
  <si>
    <t>MWh % of Total</t>
  </si>
  <si>
    <t>MWh % of PSE Thermal Only</t>
  </si>
  <si>
    <t>MWh % of PSE All-owned Total</t>
  </si>
  <si>
    <t>PSE Owned All Other</t>
  </si>
  <si>
    <t>Firm All Other</t>
  </si>
  <si>
    <t>PSE Owned Plus Firm PPA</t>
  </si>
  <si>
    <t>Total (Own, Firm Unspecified)</t>
  </si>
  <si>
    <t>Energy MWh</t>
  </si>
  <si>
    <t>%</t>
  </si>
  <si>
    <t>Intensity (lb/MWh)</t>
  </si>
  <si>
    <t>Column Labels</t>
  </si>
  <si>
    <t>Firm Gas</t>
  </si>
  <si>
    <t>Market Unspecified</t>
  </si>
  <si>
    <t>Owned Gas</t>
  </si>
  <si>
    <t>Owned Coal</t>
  </si>
  <si>
    <t>1990 Baseline</t>
  </si>
  <si>
    <t>Commerce rate not available as of 1.30.2020. Using CETA rate going forward.</t>
  </si>
  <si>
    <t>CETA/ECY Default</t>
  </si>
  <si>
    <t>lb CO2e/MWh</t>
  </si>
  <si>
    <t>Colstrip Unit 1</t>
  </si>
  <si>
    <t>Colstrip Unit 2</t>
  </si>
  <si>
    <t>Colstrip Unit 3</t>
  </si>
  <si>
    <t>Colstrip Unit 4</t>
  </si>
  <si>
    <r>
      <t>lbs CO</t>
    </r>
    <r>
      <rPr>
        <vertAlign val="subscript"/>
        <sz val="11"/>
        <color theme="1"/>
        <rFont val="Calibri"/>
        <family val="2"/>
        <scheme val="minor"/>
      </rPr>
      <t>2</t>
    </r>
    <r>
      <rPr>
        <sz val="11"/>
        <color theme="1"/>
        <rFont val="Calibri"/>
        <family val="2"/>
        <scheme val="minor"/>
      </rPr>
      <t>e per MWh</t>
    </r>
  </si>
  <si>
    <t>Check link annually</t>
  </si>
  <si>
    <t>2.06.2020, all up to date, just need actual emissions for Known resources for correct net-by calculations</t>
  </si>
  <si>
    <t>Total Busbar MWh</t>
  </si>
  <si>
    <t>Persons per household factor =</t>
  </si>
  <si>
    <t>Number of Customer Served (average) from Form 10-k</t>
  </si>
  <si>
    <t>Energy Sales (MWh) from Form 10-k</t>
  </si>
  <si>
    <t>CO2 (metric tons)</t>
  </si>
  <si>
    <t>CO2e (metric tons)</t>
  </si>
  <si>
    <t>Metric Tons</t>
  </si>
  <si>
    <r>
      <t>Metric Tons CO</t>
    </r>
    <r>
      <rPr>
        <b/>
        <vertAlign val="subscript"/>
        <sz val="11"/>
        <color theme="1"/>
        <rFont val="Calibri"/>
        <family val="2"/>
        <scheme val="minor"/>
      </rPr>
      <t>2</t>
    </r>
  </si>
  <si>
    <t>Metric</t>
  </si>
  <si>
    <r>
      <t>Total Metric Tons (CO</t>
    </r>
    <r>
      <rPr>
        <vertAlign val="subscript"/>
        <sz val="11"/>
        <color theme="1"/>
        <rFont val="Calibri"/>
        <family val="2"/>
        <scheme val="minor"/>
      </rPr>
      <t>2</t>
    </r>
    <r>
      <rPr>
        <sz val="11"/>
        <color theme="1"/>
        <rFont val="Calibri"/>
        <family val="2"/>
        <scheme val="minor"/>
      </rPr>
      <t>):</t>
    </r>
  </si>
  <si>
    <r>
      <t>1990 Metric Tons CO</t>
    </r>
    <r>
      <rPr>
        <vertAlign val="subscript"/>
        <sz val="11"/>
        <color theme="1"/>
        <rFont val="Calibri"/>
        <family val="2"/>
        <scheme val="minor"/>
      </rPr>
      <t>2</t>
    </r>
  </si>
  <si>
    <r>
      <t>Metric Tons CO</t>
    </r>
    <r>
      <rPr>
        <vertAlign val="subscript"/>
        <sz val="11"/>
        <color theme="1"/>
        <rFont val="Calibri"/>
        <family val="2"/>
        <scheme val="minor"/>
      </rPr>
      <t>2</t>
    </r>
  </si>
  <si>
    <t>Metric Ton Total</t>
  </si>
  <si>
    <t>Metric Ton % of PSE All-owned Total</t>
  </si>
  <si>
    <t>Metric Ton % of PSE Thermal Only</t>
  </si>
  <si>
    <t>Metric Ton % of Total</t>
  </si>
  <si>
    <t>Emissions Metric Ton</t>
  </si>
  <si>
    <t>New rate per ECY/CETA</t>
  </si>
  <si>
    <t>City of Roseville</t>
  </si>
  <si>
    <t>DTE Energy Trading</t>
  </si>
  <si>
    <t>Skookumchuck Wind PPA</t>
  </si>
  <si>
    <t>KERR DAM-ENERGY KEEPER</t>
  </si>
  <si>
    <t>Port of Coupeville</t>
  </si>
  <si>
    <t>Total CO2</t>
  </si>
  <si>
    <t>Total CH4</t>
  </si>
  <si>
    <t>Total N2O</t>
  </si>
  <si>
    <t>Check formulas annually</t>
  </si>
  <si>
    <t>Metric Tons CO2e</t>
  </si>
  <si>
    <t>EPA Methodology</t>
  </si>
  <si>
    <t>EIA Methodology</t>
  </si>
  <si>
    <r>
      <t>Tons CO</t>
    </r>
    <r>
      <rPr>
        <b/>
        <vertAlign val="subscript"/>
        <sz val="11"/>
        <color theme="1"/>
        <rFont val="Calibri"/>
        <family val="2"/>
        <scheme val="minor"/>
      </rPr>
      <t>2</t>
    </r>
    <r>
      <rPr>
        <b/>
        <sz val="11"/>
        <color theme="1"/>
        <rFont val="Calibri"/>
        <family val="2"/>
        <scheme val="minor"/>
      </rPr>
      <t>e</t>
    </r>
  </si>
  <si>
    <r>
      <t>Total Metric Tons</t>
    </r>
    <r>
      <rPr>
        <sz val="11"/>
        <color theme="1"/>
        <rFont val="Calibri"/>
        <family val="2"/>
        <scheme val="minor"/>
      </rPr>
      <t>:</t>
    </r>
  </si>
  <si>
    <t>PSE Only</t>
  </si>
  <si>
    <t>Other Customers</t>
  </si>
  <si>
    <t xml:space="preserve">Notes: </t>
  </si>
  <si>
    <t>The Centralia transmission loss factor is zero because firm purchases from the plant represent energy tallies to serve load. Busbar energy tallies represent the total load PSE served (to Washington) generated and purchased, net of bilateral sales, as reported in PSE’s Energy Accounting (EA) database, i.e., Busbar MWh. All other firm contracts are renewable and require no transmission loss considerations. See WAC 173-444-050(5)(b)(ii).</t>
  </si>
  <si>
    <t>User Note: Cells C8, C9, H8, H9 require a "link to pivot table" update every year</t>
  </si>
  <si>
    <t>Tons CO2e</t>
  </si>
  <si>
    <t>Current 10 year look back, converted to metric tons CO2e beginning 2011:</t>
  </si>
  <si>
    <t>Sum of Tons CO2e</t>
  </si>
  <si>
    <t>Check total</t>
  </si>
  <si>
    <t>Annual Emissions CO2e from Unknown Generation</t>
  </si>
  <si>
    <t>CH4</t>
  </si>
  <si>
    <t>N2O</t>
  </si>
  <si>
    <t>EIA Net Gen. (MWh)</t>
  </si>
  <si>
    <t>MMBtu Elec. Gen.</t>
  </si>
  <si>
    <t>AR4</t>
  </si>
  <si>
    <r>
      <t>lbs CO</t>
    </r>
    <r>
      <rPr>
        <vertAlign val="subscript"/>
        <sz val="10"/>
        <color theme="1"/>
        <rFont val="Calibri"/>
        <family val="2"/>
        <scheme val="minor"/>
      </rPr>
      <t>2</t>
    </r>
    <r>
      <rPr>
        <sz val="10"/>
        <color theme="1"/>
        <rFont val="Calibri"/>
        <family val="2"/>
        <scheme val="minor"/>
      </rPr>
      <t>e per MWh</t>
    </r>
  </si>
  <si>
    <r>
      <t>Tons CO</t>
    </r>
    <r>
      <rPr>
        <b/>
        <vertAlign val="subscript"/>
        <sz val="10"/>
        <color theme="1"/>
        <rFont val="Calibri"/>
        <family val="2"/>
        <scheme val="minor"/>
      </rPr>
      <t>2equiv.</t>
    </r>
  </si>
  <si>
    <t>CO2e reported in eGGRT</t>
  </si>
  <si>
    <t>Whitehorn 2 &amp; 3</t>
  </si>
  <si>
    <t>Previous Rates</t>
  </si>
  <si>
    <t>System Check</t>
  </si>
  <si>
    <t>EPA (see rates)</t>
  </si>
  <si>
    <t>Whitehorn</t>
  </si>
  <si>
    <t>Ferndale</t>
  </si>
  <si>
    <t>Frederickson</t>
  </si>
  <si>
    <t>Colstrip Unit</t>
  </si>
  <si>
    <t>Colstrip</t>
  </si>
  <si>
    <t>eGGRT</t>
  </si>
  <si>
    <t>EPA (CAMD), see PSE Comprehensive Inventory (PSE share)</t>
  </si>
  <si>
    <t>Rate Metric Ton CO2e/MWh</t>
  </si>
  <si>
    <t>PSE Share Metric Ton CO2equiv.</t>
  </si>
  <si>
    <t>Plant CO2e (eGGRT)</t>
  </si>
  <si>
    <t>Metric Ton</t>
  </si>
  <si>
    <r>
      <t>Fuel Mix lbs CO</t>
    </r>
    <r>
      <rPr>
        <b/>
        <vertAlign val="subscript"/>
        <sz val="10"/>
        <color theme="1"/>
        <rFont val="Calibri"/>
        <family val="2"/>
        <scheme val="minor"/>
      </rPr>
      <t>2</t>
    </r>
    <r>
      <rPr>
        <b/>
        <sz val="10"/>
        <color theme="1"/>
        <rFont val="Calibri"/>
        <family val="2"/>
        <scheme val="minor"/>
      </rPr>
      <t>/MWh</t>
    </r>
  </si>
  <si>
    <r>
      <t>Metric Tons CO</t>
    </r>
    <r>
      <rPr>
        <b/>
        <vertAlign val="subscript"/>
        <sz val="10"/>
        <color theme="1"/>
        <rFont val="Calibri"/>
        <family val="2"/>
        <scheme val="minor"/>
      </rPr>
      <t>2equiv.</t>
    </r>
  </si>
  <si>
    <r>
      <t>lbs CO</t>
    </r>
    <r>
      <rPr>
        <vertAlign val="subscript"/>
        <sz val="10"/>
        <color theme="1"/>
        <rFont val="Calibri"/>
        <family val="2"/>
        <scheme val="minor"/>
      </rPr>
      <t>2equiv.</t>
    </r>
    <r>
      <rPr>
        <sz val="10"/>
        <color theme="1"/>
        <rFont val="Calibri"/>
        <family val="2"/>
        <scheme val="minor"/>
      </rPr>
      <t xml:space="preserve"> per MWh</t>
    </r>
  </si>
  <si>
    <t>= Need to update with current year data</t>
  </si>
  <si>
    <t>Skagit</t>
  </si>
  <si>
    <t>Pierce</t>
  </si>
  <si>
    <t>Island</t>
  </si>
  <si>
    <t>King</t>
  </si>
  <si>
    <t>Kitsap</t>
  </si>
  <si>
    <t>Kittitas</t>
  </si>
  <si>
    <t>Thurston</t>
  </si>
  <si>
    <t>Whatcom</t>
  </si>
  <si>
    <t>Per House</t>
  </si>
  <si>
    <t>2016-2020 Census Bureau, Updated July 2021</t>
  </si>
  <si>
    <t>Weighted Average</t>
  </si>
  <si>
    <t>Lund Hill Solar, LLC</t>
  </si>
  <si>
    <t>Penstemon Solar</t>
  </si>
  <si>
    <t>Sierra Pacific Industries</t>
  </si>
  <si>
    <t>Biomass</t>
  </si>
  <si>
    <t>Owned</t>
  </si>
  <si>
    <t>Purchase</t>
  </si>
  <si>
    <t>Party</t>
  </si>
  <si>
    <t>Market</t>
  </si>
  <si>
    <t>EIM</t>
  </si>
  <si>
    <t>CONSTELLATION ENERGY</t>
  </si>
  <si>
    <t>Assigned Rate to Market</t>
  </si>
  <si>
    <t>Total Check</t>
  </si>
  <si>
    <t>Coal Contract System Option</t>
  </si>
  <si>
    <t xml:space="preserve">End Point for Pivot </t>
  </si>
  <si>
    <t>Purchases - Secondary</t>
  </si>
  <si>
    <t>Interchange - In</t>
  </si>
  <si>
    <t>Interchange - Out</t>
  </si>
  <si>
    <t>Sales for Resale</t>
  </si>
  <si>
    <t>Generation - Steam</t>
  </si>
  <si>
    <t>Generation - Oil/Gas/Wind</t>
  </si>
  <si>
    <t>Cargill (Financial)</t>
  </si>
  <si>
    <t>Citigroup Energy (Financial)</t>
  </si>
  <si>
    <t>EDF Trading (Financial)</t>
  </si>
  <si>
    <t>Exelon Generation (Financial)</t>
  </si>
  <si>
    <t>Morgan Stanley CG (Financial)</t>
  </si>
  <si>
    <t>Shell Energy NA (Financial)</t>
  </si>
  <si>
    <t>Linked to Firm (Market Option)</t>
  </si>
  <si>
    <t>Interchange</t>
  </si>
  <si>
    <t>Metric Tons (CO2e)</t>
  </si>
  <si>
    <t>EA db</t>
  </si>
  <si>
    <t>GADS</t>
  </si>
  <si>
    <t>WUTC Coal Contract Rpt</t>
  </si>
  <si>
    <t>MWh (check link annually)</t>
  </si>
  <si>
    <t>Metric Tons CO2e (check link annually)</t>
  </si>
  <si>
    <t>Formula</t>
  </si>
  <si>
    <t>2021 v. 2020</t>
  </si>
  <si>
    <t>Snips for Reference:</t>
  </si>
  <si>
    <t>Scratch Calculations:</t>
  </si>
  <si>
    <t>Firm Renewable Total:</t>
  </si>
  <si>
    <t>WAC 173-444-040(4)</t>
  </si>
  <si>
    <t>Unspecified Rate</t>
  </si>
  <si>
    <t>Transmission Losses (unspecified)</t>
  </si>
  <si>
    <t>WAC 173-444-040(5)</t>
  </si>
  <si>
    <t>PSE Own + Firm (MWh)</t>
  </si>
  <si>
    <t xml:space="preserve">Firm + Market % (MWh) </t>
  </si>
  <si>
    <t>PSE Own + Firm (CO2e)</t>
  </si>
  <si>
    <t xml:space="preserve">Firm + Market % (CO2e) </t>
  </si>
  <si>
    <t>2020/2021 CO2e % Diff:</t>
  </si>
  <si>
    <t>Total (Own, Firm, Unspecified)</t>
  </si>
  <si>
    <t>Total (from energy)</t>
  </si>
  <si>
    <t>Unspecified MWh Firm</t>
  </si>
  <si>
    <t>Unspecified MWh Market</t>
  </si>
  <si>
    <t>Comparison to Previous Year (Emissions in CO2e)</t>
  </si>
  <si>
    <t>Summary of Total Energy Delivered, Total Emissions (CO2e)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</si>
</sst>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_(* #,##0.0_);_(* \(#,##0.0\);_(* &quot;-&quot;??_);_(@_)"/>
    <numFmt numFmtId="165" formatCode="_(* #,##0_);_(* \(#,##0\);_(* &quot;-&quot;??_);_(@_)"/>
    <numFmt numFmtId="166" formatCode="0.0%"/>
    <numFmt numFmtId="167" formatCode="0.0"/>
    <numFmt numFmtId="168" formatCode="#,##0.0"/>
    <numFmt numFmtId="169" formatCode="0.000%"/>
    <numFmt numFmtId="170" formatCode="#,##0.00000"/>
    <numFmt numFmtId="171" formatCode="#,##0.000"/>
    <numFmt numFmtId="172" formatCode="#,##0.0000"/>
    <numFmt numFmtId="173" formatCode="0.0000%"/>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vertAlign val="subscript"/>
      <sz val="11"/>
      <color theme="1"/>
      <name val="Calibri"/>
      <family val="2"/>
      <scheme val="minor"/>
    </font>
    <font>
      <b/>
      <vertAlign val="subscript"/>
      <sz val="11"/>
      <color theme="1"/>
      <name val="Calibri"/>
      <family val="2"/>
      <scheme val="minor"/>
    </font>
    <font>
      <u/>
      <sz val="11"/>
      <color theme="10"/>
      <name val="Calibri"/>
      <family val="2"/>
      <scheme val="minor"/>
    </font>
    <font>
      <b/>
      <u/>
      <sz val="12"/>
      <color theme="10"/>
      <name val="Calibri"/>
      <family val="2"/>
      <scheme val="minor"/>
    </font>
    <font>
      <i/>
      <sz val="11"/>
      <color theme="1"/>
      <name val="Calibri"/>
      <family val="2"/>
      <scheme val="minor"/>
    </font>
    <font>
      <b/>
      <i/>
      <sz val="11"/>
      <color theme="1"/>
      <name val="Calibri"/>
      <family val="2"/>
      <scheme val="minor"/>
    </font>
    <font>
      <i/>
      <sz val="14"/>
      <color theme="1"/>
      <name val="Calibri"/>
      <family val="2"/>
      <scheme val="minor"/>
    </font>
    <font>
      <sz val="11"/>
      <color theme="0"/>
      <name val="Calibri"/>
      <family val="2"/>
      <scheme val="minor"/>
    </font>
    <font>
      <b/>
      <sz val="12"/>
      <color rgb="FF7030A0"/>
      <name val="Calibri"/>
      <family val="2"/>
      <scheme val="minor"/>
    </font>
    <font>
      <sz val="10"/>
      <name val="Arial"/>
      <family val="2"/>
    </font>
    <font>
      <sz val="11"/>
      <color indexed="8"/>
      <name val="Calibri"/>
      <family val="2"/>
    </font>
    <font>
      <sz val="10"/>
      <color rgb="FF000000"/>
      <name val="Arial"/>
      <family val="2"/>
    </font>
    <font>
      <sz val="11"/>
      <color rgb="FFFF0000"/>
      <name val="Calibri"/>
      <family val="2"/>
      <scheme val="minor"/>
    </font>
    <font>
      <sz val="10"/>
      <color indexed="8"/>
      <name val="Calibri"/>
      <family val="2"/>
    </font>
    <font>
      <sz val="10"/>
      <color theme="1"/>
      <name val="Calibri"/>
      <family val="2"/>
      <scheme val="minor"/>
    </font>
    <font>
      <i/>
      <sz val="10"/>
      <color indexed="8"/>
      <name val="Calibri"/>
      <family val="2"/>
    </font>
    <font>
      <sz val="11"/>
      <name val="Calibri"/>
      <family val="2"/>
      <scheme val="minor"/>
    </font>
    <font>
      <b/>
      <sz val="12"/>
      <color theme="1"/>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1"/>
      <color rgb="FF0000FF"/>
      <name val="Calibri"/>
      <family val="2"/>
      <scheme val="minor"/>
    </font>
    <font>
      <sz val="10"/>
      <color rgb="FF0000FF"/>
      <name val="Calibri"/>
      <family val="2"/>
      <scheme val="minor"/>
    </font>
    <font>
      <sz val="8"/>
      <color theme="1"/>
      <name val="Calibri"/>
      <family val="2"/>
      <scheme val="minor"/>
    </font>
    <font>
      <sz val="11"/>
      <color rgb="FF1F497D"/>
      <name val="Calibri"/>
      <family val="2"/>
      <scheme val="minor"/>
    </font>
    <font>
      <b/>
      <sz val="10"/>
      <color theme="1"/>
      <name val="Calibri"/>
      <family val="2"/>
      <scheme val="minor"/>
    </font>
    <font>
      <i/>
      <sz val="10"/>
      <color rgb="FF0000FF"/>
      <name val="Calibri"/>
      <family val="2"/>
      <scheme val="minor"/>
    </font>
    <font>
      <i/>
      <sz val="11"/>
      <color rgb="FFFF0000"/>
      <name val="Calibri"/>
      <family val="2"/>
      <scheme val="minor"/>
    </font>
    <font>
      <sz val="10"/>
      <color rgb="FFFF0000"/>
      <name val="Calibri"/>
      <family val="2"/>
      <scheme val="minor"/>
    </font>
    <font>
      <vertAlign val="subscript"/>
      <sz val="10"/>
      <color theme="1"/>
      <name val="Calibri"/>
      <family val="2"/>
      <scheme val="minor"/>
    </font>
    <font>
      <b/>
      <vertAlign val="subscript"/>
      <sz val="10"/>
      <color theme="1"/>
      <name val="Calibri"/>
      <family val="2"/>
      <scheme val="minor"/>
    </font>
    <font>
      <i/>
      <sz val="10"/>
      <color theme="1"/>
      <name val="Calibri"/>
      <family val="2"/>
      <scheme val="minor"/>
    </font>
    <font>
      <b/>
      <u/>
      <sz val="10"/>
      <color theme="10"/>
      <name val="Calibri"/>
      <family val="2"/>
      <scheme val="minor"/>
    </font>
    <font>
      <sz val="10"/>
      <name val="Calibri"/>
      <family val="2"/>
      <scheme val="minor"/>
    </font>
    <font>
      <sz val="10"/>
      <color indexed="8"/>
      <name val="Calibri"/>
      <family val="2"/>
      <scheme val="minor"/>
    </font>
    <font>
      <i/>
      <sz val="8"/>
      <color theme="1"/>
      <name val="Calibri"/>
      <family val="2"/>
      <scheme val="minor"/>
    </font>
    <font>
      <i/>
      <sz val="10"/>
      <color rgb="FFFF0000"/>
      <name val="Calibri"/>
      <family val="2"/>
      <scheme val="minor"/>
    </font>
    <font>
      <i/>
      <sz val="11"/>
      <color theme="1" tint="0.499984740745262"/>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7"/>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5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2" fillId="3" borderId="0" applyNumberFormat="0" applyBorder="0" applyAlignment="0" applyProtection="0"/>
    <xf numFmtId="43" fontId="14" fillId="0" borderId="0" applyFont="0" applyFill="0" applyBorder="0" applyAlignment="0" applyProtection="0"/>
    <xf numFmtId="0" fontId="15" fillId="0" borderId="0" applyFill="0" applyProtection="0"/>
    <xf numFmtId="0" fontId="14" fillId="0" borderId="0"/>
    <xf numFmtId="0" fontId="16" fillId="0" borderId="0"/>
    <xf numFmtId="0" fontId="14" fillId="0" borderId="0"/>
    <xf numFmtId="9" fontId="14" fillId="0" borderId="0" applyFont="0" applyFill="0" applyBorder="0" applyAlignment="0" applyProtection="0"/>
  </cellStyleXfs>
  <cellXfs count="656">
    <xf numFmtId="0" fontId="0" fillId="0" borderId="0" xfId="0"/>
    <xf numFmtId="0" fontId="0" fillId="0" borderId="0" xfId="0" applyFont="1"/>
    <xf numFmtId="0" fontId="4" fillId="0" borderId="0" xfId="0" applyFont="1"/>
    <xf numFmtId="0" fontId="0" fillId="0" borderId="0" xfId="0" applyAlignment="1">
      <alignment horizontal="center"/>
    </xf>
    <xf numFmtId="0" fontId="4" fillId="0" borderId="1" xfId="0" applyFont="1" applyBorder="1"/>
    <xf numFmtId="0" fontId="0" fillId="0" borderId="0" xfId="0" applyBorder="1"/>
    <xf numFmtId="0" fontId="3" fillId="0" borderId="0" xfId="0" applyFont="1" applyAlignment="1">
      <alignment horizontal="center"/>
    </xf>
    <xf numFmtId="0" fontId="8" fillId="0" borderId="0" xfId="3" applyFont="1"/>
    <xf numFmtId="0" fontId="0" fillId="0" borderId="2" xfId="0" applyBorder="1"/>
    <xf numFmtId="165" fontId="0" fillId="0" borderId="2" xfId="1" applyNumberFormat="1" applyFont="1" applyBorder="1"/>
    <xf numFmtId="0" fontId="2" fillId="0" borderId="3" xfId="0" applyFont="1" applyBorder="1" applyAlignment="1">
      <alignment horizontal="center"/>
    </xf>
    <xf numFmtId="0" fontId="2" fillId="0" borderId="4" xfId="0" applyFont="1" applyBorder="1" applyAlignment="1">
      <alignment horizontal="center"/>
    </xf>
    <xf numFmtId="0" fontId="0" fillId="0" borderId="4" xfId="0" applyFont="1" applyBorder="1"/>
    <xf numFmtId="165" fontId="0" fillId="0" borderId="4" xfId="1" applyNumberFormat="1" applyFont="1" applyBorder="1"/>
    <xf numFmtId="0" fontId="0" fillId="0" borderId="5" xfId="0" applyBorder="1"/>
    <xf numFmtId="165" fontId="0" fillId="0" borderId="5" xfId="1" applyNumberFormat="1" applyFont="1" applyBorder="1"/>
    <xf numFmtId="0" fontId="0" fillId="0" borderId="1" xfId="0" applyBorder="1"/>
    <xf numFmtId="166" fontId="0" fillId="0" borderId="2" xfId="2" applyNumberFormat="1" applyFont="1" applyBorder="1" applyAlignment="1">
      <alignment horizontal="center"/>
    </xf>
    <xf numFmtId="0" fontId="0" fillId="0" borderId="2" xfId="0" applyBorder="1" applyAlignment="1">
      <alignment horizontal="center"/>
    </xf>
    <xf numFmtId="0" fontId="2" fillId="0" borderId="7" xfId="0" applyFont="1" applyBorder="1" applyAlignment="1">
      <alignment horizontal="center"/>
    </xf>
    <xf numFmtId="43" fontId="0" fillId="0" borderId="0" xfId="0" applyNumberFormat="1" applyBorder="1" applyAlignment="1">
      <alignment horizontal="center"/>
    </xf>
    <xf numFmtId="165" fontId="0" fillId="0" borderId="0" xfId="1" applyNumberFormat="1" applyFont="1" applyFill="1" applyBorder="1"/>
    <xf numFmtId="0" fontId="0" fillId="0" borderId="0" xfId="0" applyAlignment="1">
      <alignment horizontal="right"/>
    </xf>
    <xf numFmtId="0" fontId="0" fillId="0" borderId="4" xfId="0" applyBorder="1" applyAlignment="1">
      <alignment horizontal="center"/>
    </xf>
    <xf numFmtId="0" fontId="9" fillId="0" borderId="0" xfId="0" applyFont="1"/>
    <xf numFmtId="0" fontId="9" fillId="0" borderId="0" xfId="0" applyFont="1" applyAlignment="1">
      <alignment horizontal="right"/>
    </xf>
    <xf numFmtId="165" fontId="9" fillId="0" borderId="2" xfId="1" applyNumberFormat="1" applyFont="1" applyBorder="1"/>
    <xf numFmtId="0" fontId="0" fillId="0" borderId="3" xfId="0" quotePrefix="1" applyFont="1" applyBorder="1" applyAlignment="1">
      <alignment horizontal="center"/>
    </xf>
    <xf numFmtId="0" fontId="0" fillId="0" borderId="4" xfId="0" applyFont="1" applyBorder="1" applyAlignment="1">
      <alignment horizontal="center"/>
    </xf>
    <xf numFmtId="0" fontId="10" fillId="0" borderId="0" xfId="0" applyFont="1"/>
    <xf numFmtId="0" fontId="0" fillId="0" borderId="8" xfId="0" applyBorder="1" applyAlignment="1">
      <alignment horizontal="center"/>
    </xf>
    <xf numFmtId="0" fontId="0" fillId="2" borderId="2" xfId="0" applyFill="1" applyBorder="1"/>
    <xf numFmtId="165" fontId="0" fillId="2" borderId="2" xfId="1" applyNumberFormat="1" applyFont="1" applyFill="1" applyBorder="1"/>
    <xf numFmtId="0" fontId="0" fillId="2" borderId="5" xfId="0" applyFont="1" applyFill="1" applyBorder="1"/>
    <xf numFmtId="165" fontId="0" fillId="2" borderId="5" xfId="1" applyNumberFormat="1" applyFont="1" applyFill="1" applyBorder="1"/>
    <xf numFmtId="0" fontId="0" fillId="2" borderId="2" xfId="0" applyFill="1" applyBorder="1" applyAlignment="1">
      <alignment horizontal="center"/>
    </xf>
    <xf numFmtId="0" fontId="2" fillId="0" borderId="2" xfId="0" applyFont="1" applyFill="1" applyBorder="1" applyAlignment="1">
      <alignment horizontal="center"/>
    </xf>
    <xf numFmtId="0" fontId="7" fillId="0" borderId="2" xfId="3" applyBorder="1"/>
    <xf numFmtId="165" fontId="0" fillId="2" borderId="4" xfId="1" applyNumberFormat="1" applyFont="1" applyFill="1" applyBorder="1"/>
    <xf numFmtId="0" fontId="0" fillId="0" borderId="11" xfId="0" applyBorder="1"/>
    <xf numFmtId="0" fontId="0" fillId="0" borderId="12" xfId="0" applyBorder="1"/>
    <xf numFmtId="0" fontId="0" fillId="0" borderId="13" xfId="0" applyBorder="1" applyAlignment="1">
      <alignment horizontal="center"/>
    </xf>
    <xf numFmtId="0" fontId="0" fillId="0" borderId="15" xfId="0" applyBorder="1"/>
    <xf numFmtId="0" fontId="0" fillId="0" borderId="18" xfId="0" applyBorder="1"/>
    <xf numFmtId="0" fontId="0" fillId="0" borderId="19" xfId="0" applyBorder="1"/>
    <xf numFmtId="166" fontId="0" fillId="0" borderId="21" xfId="2" applyNumberFormat="1" applyFont="1" applyBorder="1"/>
    <xf numFmtId="0" fontId="0" fillId="0" borderId="21" xfId="0" applyBorder="1"/>
    <xf numFmtId="0" fontId="0" fillId="0" borderId="22" xfId="0" applyBorder="1"/>
    <xf numFmtId="0" fontId="2" fillId="0" borderId="23" xfId="0" applyFont="1" applyBorder="1" applyAlignment="1">
      <alignment horizontal="center"/>
    </xf>
    <xf numFmtId="0" fontId="0" fillId="0" borderId="14" xfId="0" applyBorder="1"/>
    <xf numFmtId="0" fontId="0" fillId="0" borderId="24" xfId="0" applyBorder="1"/>
    <xf numFmtId="0" fontId="0" fillId="0" borderId="21" xfId="0" applyBorder="1" applyAlignment="1">
      <alignment horizontal="left"/>
    </xf>
    <xf numFmtId="0" fontId="2" fillId="0" borderId="14" xfId="0" applyFont="1" applyBorder="1" applyAlignment="1">
      <alignment horizontal="center"/>
    </xf>
    <xf numFmtId="0" fontId="2" fillId="0" borderId="16" xfId="0" applyFont="1" applyFill="1" applyBorder="1" applyAlignment="1">
      <alignment horizontal="center"/>
    </xf>
    <xf numFmtId="164" fontId="2" fillId="0" borderId="17" xfId="0" applyNumberFormat="1" applyFont="1" applyBorder="1"/>
    <xf numFmtId="165" fontId="2" fillId="0" borderId="2" xfId="1" applyNumberFormat="1" applyFont="1" applyBorder="1"/>
    <xf numFmtId="166" fontId="2" fillId="0" borderId="2" xfId="2" applyNumberFormat="1" applyFont="1" applyBorder="1" applyAlignment="1">
      <alignment horizontal="center"/>
    </xf>
    <xf numFmtId="0" fontId="11" fillId="0" borderId="0" xfId="0" applyFont="1" applyBorder="1"/>
    <xf numFmtId="0" fontId="11" fillId="0" borderId="0" xfId="0" applyFont="1"/>
    <xf numFmtId="0" fontId="0" fillId="0" borderId="25" xfId="0" applyBorder="1"/>
    <xf numFmtId="0" fontId="0" fillId="0" borderId="26" xfId="0" applyBorder="1"/>
    <xf numFmtId="0" fontId="0" fillId="2" borderId="27" xfId="0" applyFill="1" applyBorder="1"/>
    <xf numFmtId="43" fontId="2" fillId="0" borderId="29" xfId="0" applyNumberFormat="1" applyFont="1" applyBorder="1" applyAlignment="1">
      <alignment vertical="center"/>
    </xf>
    <xf numFmtId="0" fontId="0" fillId="0" borderId="0" xfId="0" applyBorder="1" applyAlignment="1">
      <alignment horizontal="center"/>
    </xf>
    <xf numFmtId="0" fontId="0" fillId="0" borderId="0" xfId="0" applyFill="1" applyBorder="1" applyAlignment="1">
      <alignment horizontal="center"/>
    </xf>
    <xf numFmtId="0" fontId="0" fillId="2" borderId="30" xfId="0" applyFill="1" applyBorder="1"/>
    <xf numFmtId="165" fontId="0" fillId="2" borderId="2" xfId="1" applyNumberFormat="1" applyFont="1" applyFill="1" applyBorder="1" applyAlignment="1"/>
    <xf numFmtId="165" fontId="0" fillId="0" borderId="20" xfId="0" applyNumberFormat="1" applyBorder="1" applyAlignment="1"/>
    <xf numFmtId="0" fontId="2" fillId="0" borderId="18" xfId="0" applyFont="1" applyBorder="1" applyAlignment="1">
      <alignment horizontal="center"/>
    </xf>
    <xf numFmtId="0" fontId="0" fillId="0" borderId="31" xfId="0" applyBorder="1"/>
    <xf numFmtId="165" fontId="2" fillId="0" borderId="8" xfId="1" applyNumberFormat="1" applyFont="1" applyBorder="1"/>
    <xf numFmtId="165" fontId="2" fillId="0" borderId="31" xfId="0" applyNumberFormat="1" applyFont="1" applyBorder="1"/>
    <xf numFmtId="0" fontId="2" fillId="0" borderId="32" xfId="0" applyFont="1" applyBorder="1" applyAlignment="1">
      <alignment horizontal="center"/>
    </xf>
    <xf numFmtId="166" fontId="2" fillId="0" borderId="33" xfId="2" applyNumberFormat="1" applyFont="1" applyBorder="1" applyAlignment="1">
      <alignment horizontal="center"/>
    </xf>
    <xf numFmtId="165" fontId="12" fillId="3" borderId="20" xfId="4" applyNumberFormat="1" applyBorder="1" applyAlignment="1">
      <alignment horizontal="center"/>
    </xf>
    <xf numFmtId="0" fontId="0" fillId="0" borderId="0" xfId="0" applyAlignment="1">
      <alignment wrapText="1"/>
    </xf>
    <xf numFmtId="0" fontId="0" fillId="0" borderId="0" xfId="0" applyFill="1" applyAlignment="1" applyProtection="1">
      <alignment wrapText="1"/>
    </xf>
    <xf numFmtId="0" fontId="13" fillId="0" borderId="0" xfId="0" applyFont="1" applyAlignment="1"/>
    <xf numFmtId="0" fontId="0" fillId="0" borderId="0" xfId="0" applyFill="1" applyAlignment="1" applyProtection="1">
      <alignment horizontal="right"/>
    </xf>
    <xf numFmtId="167" fontId="0" fillId="0" borderId="0" xfId="0" applyNumberFormat="1" applyFill="1" applyAlignment="1" applyProtection="1">
      <alignment horizontal="right"/>
    </xf>
    <xf numFmtId="165" fontId="0" fillId="0" borderId="0" xfId="1" applyNumberFormat="1" applyFont="1"/>
    <xf numFmtId="165" fontId="0" fillId="0" borderId="0" xfId="1" applyNumberFormat="1" applyFont="1" applyFill="1" applyAlignment="1" applyProtection="1">
      <alignment horizontal="right"/>
    </xf>
    <xf numFmtId="43" fontId="0" fillId="0" borderId="0" xfId="0" applyNumberFormat="1"/>
    <xf numFmtId="0" fontId="0" fillId="4" borderId="0" xfId="0" applyFill="1" applyAlignment="1">
      <alignment wrapText="1"/>
    </xf>
    <xf numFmtId="0" fontId="0" fillId="4" borderId="0" xfId="0" applyFill="1"/>
    <xf numFmtId="2" fontId="0" fillId="4" borderId="0" xfId="0" applyNumberFormat="1" applyFill="1" applyAlignment="1" applyProtection="1">
      <alignment horizontal="right"/>
    </xf>
    <xf numFmtId="43" fontId="0" fillId="0" borderId="0" xfId="1" applyFont="1"/>
    <xf numFmtId="2" fontId="0" fillId="0" borderId="0" xfId="0" applyNumberFormat="1" applyFill="1" applyAlignment="1" applyProtection="1">
      <alignment horizontal="right"/>
    </xf>
    <xf numFmtId="0" fontId="0" fillId="0" borderId="0" xfId="0" applyFill="1" applyProtection="1"/>
    <xf numFmtId="0" fontId="0" fillId="5" borderId="0" xfId="0" applyFill="1"/>
    <xf numFmtId="43" fontId="0" fillId="5" borderId="0" xfId="0" applyNumberFormat="1" applyFill="1"/>
    <xf numFmtId="165" fontId="0" fillId="0" borderId="37" xfId="1" applyNumberFormat="1" applyFont="1" applyBorder="1"/>
    <xf numFmtId="165" fontId="0" fillId="0" borderId="37" xfId="0" applyNumberFormat="1" applyBorder="1"/>
    <xf numFmtId="1" fontId="0" fillId="0" borderId="2" xfId="0" applyNumberFormat="1" applyBorder="1"/>
    <xf numFmtId="4" fontId="0" fillId="0" borderId="0" xfId="0" applyNumberFormat="1"/>
    <xf numFmtId="166" fontId="0" fillId="0" borderId="0" xfId="2" applyNumberFormat="1" applyFont="1"/>
    <xf numFmtId="3" fontId="0" fillId="0" borderId="0" xfId="0" applyNumberFormat="1"/>
    <xf numFmtId="3" fontId="0" fillId="2" borderId="2" xfId="1" applyNumberFormat="1" applyFont="1" applyFill="1" applyBorder="1"/>
    <xf numFmtId="165" fontId="0" fillId="0" borderId="0" xfId="0" applyNumberFormat="1"/>
    <xf numFmtId="165" fontId="2" fillId="2" borderId="2" xfId="1" applyNumberFormat="1" applyFont="1" applyFill="1" applyBorder="1"/>
    <xf numFmtId="0" fontId="18" fillId="0" borderId="0" xfId="6" applyFont="1" applyFill="1" applyProtection="1"/>
    <xf numFmtId="0" fontId="19" fillId="0" borderId="0" xfId="0" applyFont="1" applyFill="1" applyProtection="1"/>
    <xf numFmtId="0" fontId="18" fillId="0" borderId="0" xfId="6" applyFont="1" applyFill="1" applyBorder="1" applyProtection="1"/>
    <xf numFmtId="0" fontId="19" fillId="0" borderId="0" xfId="0" applyFont="1" applyFill="1" applyBorder="1" applyProtection="1"/>
    <xf numFmtId="0" fontId="20" fillId="0" borderId="0" xfId="6" applyFont="1" applyFill="1" applyProtection="1"/>
    <xf numFmtId="0" fontId="18" fillId="0" borderId="0" xfId="6" applyFont="1" applyFill="1" applyAlignment="1" applyProtection="1">
      <alignment horizontal="right"/>
    </xf>
    <xf numFmtId="0" fontId="19" fillId="0" borderId="0" xfId="0" applyFont="1" applyFill="1" applyAlignment="1" applyProtection="1">
      <alignment horizontal="right"/>
    </xf>
    <xf numFmtId="167" fontId="18" fillId="0" borderId="0" xfId="6" applyNumberFormat="1" applyFont="1" applyFill="1" applyAlignment="1" applyProtection="1">
      <alignment horizontal="right"/>
    </xf>
    <xf numFmtId="167" fontId="19" fillId="0" borderId="0" xfId="0" applyNumberFormat="1" applyFont="1" applyFill="1" applyAlignment="1" applyProtection="1">
      <alignment horizontal="right"/>
    </xf>
    <xf numFmtId="0" fontId="19" fillId="0" borderId="0" xfId="0" applyFont="1"/>
    <xf numFmtId="0" fontId="19" fillId="5" borderId="0" xfId="0" applyFont="1" applyFill="1"/>
    <xf numFmtId="43" fontId="19" fillId="5" borderId="0" xfId="0" applyNumberFormat="1" applyFont="1" applyFill="1"/>
    <xf numFmtId="43" fontId="19" fillId="0" borderId="0" xfId="0" applyNumberFormat="1" applyFont="1"/>
    <xf numFmtId="2" fontId="18" fillId="0" borderId="0" xfId="6" applyNumberFormat="1" applyFont="1" applyFill="1" applyAlignment="1" applyProtection="1">
      <alignment horizontal="right"/>
    </xf>
    <xf numFmtId="2" fontId="19" fillId="0" borderId="0" xfId="0" applyNumberFormat="1" applyFont="1" applyFill="1" applyAlignment="1" applyProtection="1">
      <alignment horizontal="right"/>
    </xf>
    <xf numFmtId="43" fontId="19" fillId="0" borderId="0" xfId="1" applyFont="1"/>
    <xf numFmtId="0" fontId="19" fillId="0" borderId="0" xfId="0" applyFont="1" applyAlignment="1">
      <alignment wrapText="1"/>
    </xf>
    <xf numFmtId="3" fontId="1" fillId="2" borderId="4" xfId="1" applyNumberFormat="1" applyFont="1" applyFill="1" applyBorder="1"/>
    <xf numFmtId="3" fontId="1" fillId="2" borderId="2" xfId="1" applyNumberFormat="1" applyFont="1" applyFill="1" applyBorder="1"/>
    <xf numFmtId="3" fontId="1" fillId="2" borderId="2" xfId="1" applyNumberFormat="1" applyFont="1" applyFill="1" applyBorder="1" applyAlignment="1"/>
    <xf numFmtId="3" fontId="0" fillId="0" borderId="20" xfId="0" applyNumberFormat="1" applyBorder="1" applyAlignment="1"/>
    <xf numFmtId="165" fontId="0" fillId="6" borderId="10" xfId="1" applyNumberFormat="1" applyFont="1" applyFill="1" applyBorder="1"/>
    <xf numFmtId="0" fontId="0" fillId="0" borderId="0" xfId="0" applyAlignment="1">
      <alignment horizontal="left"/>
    </xf>
    <xf numFmtId="165" fontId="0" fillId="0" borderId="0" xfId="1" applyNumberFormat="1" applyFont="1" applyAlignment="1">
      <alignment horizontal="left"/>
    </xf>
    <xf numFmtId="4" fontId="0" fillId="0" borderId="0" xfId="0" applyNumberFormat="1" applyFill="1"/>
    <xf numFmtId="0" fontId="0" fillId="0" borderId="0" xfId="0" applyFill="1"/>
    <xf numFmtId="166" fontId="0" fillId="0" borderId="0" xfId="2" applyNumberFormat="1" applyFont="1" applyFill="1"/>
    <xf numFmtId="165" fontId="0" fillId="0" borderId="0" xfId="1" applyNumberFormat="1" applyFont="1" applyFill="1"/>
    <xf numFmtId="166" fontId="0" fillId="0" borderId="0" xfId="0" applyNumberFormat="1" applyFill="1"/>
    <xf numFmtId="3" fontId="0" fillId="0" borderId="0" xfId="0" applyNumberFormat="1" applyFill="1"/>
    <xf numFmtId="165" fontId="21" fillId="6" borderId="20" xfId="4" applyNumberFormat="1" applyFont="1" applyFill="1" applyBorder="1" applyAlignment="1">
      <alignment horizontal="center"/>
    </xf>
    <xf numFmtId="0" fontId="0" fillId="0" borderId="0" xfId="0" applyAlignment="1">
      <alignment vertical="center"/>
    </xf>
    <xf numFmtId="0" fontId="17" fillId="0" borderId="0" xfId="0" applyFont="1" applyAlignment="1">
      <alignment vertical="center"/>
    </xf>
    <xf numFmtId="0" fontId="0" fillId="0" borderId="2" xfId="0" applyFill="1" applyBorder="1" applyAlignment="1">
      <alignment vertical="center"/>
    </xf>
    <xf numFmtId="0" fontId="0" fillId="0" borderId="0" xfId="0" applyBorder="1" applyAlignment="1">
      <alignment vertical="center"/>
    </xf>
    <xf numFmtId="0" fontId="2" fillId="0" borderId="0" xfId="0" applyFont="1" applyAlignment="1">
      <alignment horizontal="right" vertical="center"/>
    </xf>
    <xf numFmtId="0" fontId="0" fillId="0" borderId="0" xfId="0" applyAlignment="1">
      <alignment horizontal="center" vertical="center"/>
    </xf>
    <xf numFmtId="3" fontId="0" fillId="0" borderId="2" xfId="1" applyNumberFormat="1" applyFont="1" applyFill="1" applyBorder="1" applyAlignment="1">
      <alignment horizontal="center" vertical="center"/>
    </xf>
    <xf numFmtId="3" fontId="0" fillId="0" borderId="0" xfId="1" applyNumberFormat="1" applyFont="1" applyFill="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0" fontId="2" fillId="0" borderId="2" xfId="0" applyFont="1" applyFill="1" applyBorder="1" applyAlignment="1">
      <alignment horizontal="center" vertical="center"/>
    </xf>
    <xf numFmtId="0" fontId="0" fillId="2" borderId="2" xfId="0" applyFill="1" applyBorder="1" applyAlignment="1">
      <alignment horizontal="center" vertical="center"/>
    </xf>
    <xf numFmtId="0" fontId="2" fillId="0" borderId="0" xfId="0" applyFont="1" applyBorder="1" applyAlignment="1">
      <alignment horizontal="right" vertical="center"/>
    </xf>
    <xf numFmtId="0" fontId="4" fillId="0" borderId="1" xfId="0" applyFont="1" applyBorder="1" applyAlignment="1">
      <alignment vertical="center"/>
    </xf>
    <xf numFmtId="165" fontId="2" fillId="0" borderId="0" xfId="0" applyNumberFormat="1" applyFont="1" applyBorder="1" applyAlignment="1">
      <alignment horizontal="center" vertical="center"/>
    </xf>
    <xf numFmtId="165" fontId="2" fillId="0" borderId="0" xfId="1" applyNumberFormat="1" applyFont="1" applyBorder="1" applyAlignment="1">
      <alignment horizontal="center" vertical="center"/>
    </xf>
    <xf numFmtId="3" fontId="0" fillId="0" borderId="2" xfId="0" applyNumberFormat="1" applyBorder="1" applyAlignment="1">
      <alignment horizontal="center" vertical="center"/>
    </xf>
    <xf numFmtId="3" fontId="0" fillId="0" borderId="2" xfId="1" applyNumberFormat="1" applyFont="1" applyBorder="1" applyAlignment="1">
      <alignment horizontal="center" vertical="center"/>
    </xf>
    <xf numFmtId="3" fontId="0" fillId="6" borderId="2" xfId="1" applyNumberFormat="1" applyFont="1" applyFill="1" applyBorder="1" applyAlignment="1">
      <alignment horizontal="center" vertical="center"/>
    </xf>
    <xf numFmtId="3" fontId="7" fillId="0" borderId="2" xfId="3" applyNumberFormat="1" applyBorder="1" applyAlignment="1">
      <alignment horizontal="center" vertical="center"/>
    </xf>
    <xf numFmtId="3" fontId="0" fillId="0" borderId="0" xfId="0" applyNumberFormat="1" applyAlignment="1">
      <alignment horizontal="center" vertical="center"/>
    </xf>
    <xf numFmtId="0" fontId="4" fillId="0" borderId="0" xfId="0" applyFont="1" applyFill="1" applyBorder="1" applyAlignment="1">
      <alignment horizontal="left" vertical="center"/>
    </xf>
    <xf numFmtId="0" fontId="8" fillId="0" borderId="0" xfId="3" applyFont="1" applyBorder="1" applyAlignment="1">
      <alignment vertical="center"/>
    </xf>
    <xf numFmtId="168" fontId="2" fillId="0" borderId="17" xfId="0" applyNumberFormat="1" applyFont="1" applyBorder="1" applyAlignment="1">
      <alignment horizontal="center"/>
    </xf>
    <xf numFmtId="168" fontId="0" fillId="0" borderId="18" xfId="0" applyNumberFormat="1" applyBorder="1" applyAlignment="1">
      <alignment horizontal="center"/>
    </xf>
    <xf numFmtId="3" fontId="1" fillId="6" borderId="4" xfId="1" applyNumberFormat="1" applyFont="1" applyFill="1" applyBorder="1" applyAlignment="1">
      <alignment horizontal="center"/>
    </xf>
    <xf numFmtId="3" fontId="0" fillId="6" borderId="2" xfId="1" applyNumberFormat="1" applyFont="1" applyFill="1" applyBorder="1" applyAlignment="1">
      <alignment horizontal="center"/>
    </xf>
    <xf numFmtId="3" fontId="1" fillId="6" borderId="2" xfId="1" applyNumberFormat="1" applyFont="1" applyFill="1" applyBorder="1" applyAlignment="1">
      <alignment horizontal="center"/>
    </xf>
    <xf numFmtId="3" fontId="0" fillId="0" borderId="20" xfId="0" applyNumberFormat="1" applyBorder="1" applyAlignment="1">
      <alignment horizontal="center"/>
    </xf>
    <xf numFmtId="39" fontId="2" fillId="0" borderId="29" xfId="0" applyNumberFormat="1" applyFont="1" applyBorder="1" applyAlignment="1">
      <alignment horizontal="center" vertical="center"/>
    </xf>
    <xf numFmtId="37" fontId="0" fillId="6" borderId="2" xfId="1" applyNumberFormat="1" applyFont="1" applyFill="1" applyBorder="1" applyAlignment="1">
      <alignment horizontal="center"/>
    </xf>
    <xf numFmtId="37" fontId="1" fillId="6" borderId="8" xfId="1" applyNumberFormat="1" applyFont="1" applyFill="1" applyBorder="1" applyAlignment="1">
      <alignment horizontal="center"/>
    </xf>
    <xf numFmtId="37" fontId="2" fillId="0" borderId="31" xfId="0" applyNumberFormat="1" applyFont="1" applyBorder="1" applyAlignment="1">
      <alignment horizontal="center"/>
    </xf>
    <xf numFmtId="37" fontId="1" fillId="6" borderId="2" xfId="1" applyNumberFormat="1" applyFont="1" applyFill="1" applyBorder="1" applyAlignment="1">
      <alignment horizontal="center"/>
    </xf>
    <xf numFmtId="0" fontId="0" fillId="0" borderId="34" xfId="0" applyBorder="1" applyAlignment="1">
      <alignment horizontal="right"/>
    </xf>
    <xf numFmtId="0" fontId="0" fillId="0" borderId="26" xfId="0" applyBorder="1" applyAlignment="1">
      <alignment horizontal="right"/>
    </xf>
    <xf numFmtId="37" fontId="0" fillId="2" borderId="2" xfId="1" applyNumberFormat="1" applyFont="1" applyFill="1" applyBorder="1" applyAlignment="1">
      <alignment horizontal="center"/>
    </xf>
    <xf numFmtId="0" fontId="0" fillId="0" borderId="21" xfId="0" applyBorder="1" applyAlignment="1">
      <alignment horizontal="right"/>
    </xf>
    <xf numFmtId="3" fontId="0" fillId="0" borderId="0" xfId="0" applyNumberFormat="1" applyFill="1" applyBorder="1" applyAlignment="1">
      <alignment horizontal="center" vertical="center"/>
    </xf>
    <xf numFmtId="3" fontId="0" fillId="0" borderId="41" xfId="0" applyNumberFormat="1" applyFill="1" applyBorder="1" applyAlignment="1">
      <alignment horizontal="center" vertical="center"/>
    </xf>
    <xf numFmtId="3" fontId="0" fillId="0" borderId="1" xfId="0" applyNumberFormat="1" applyFill="1" applyBorder="1" applyAlignment="1">
      <alignment horizontal="center" vertical="center"/>
    </xf>
    <xf numFmtId="0" fontId="0" fillId="0" borderId="0" xfId="0" applyFill="1" applyAlignment="1">
      <alignment vertical="center"/>
    </xf>
    <xf numFmtId="3" fontId="19" fillId="0" borderId="0" xfId="0" applyNumberFormat="1" applyFont="1" applyFill="1" applyAlignment="1">
      <alignment horizontal="left" vertical="center"/>
    </xf>
    <xf numFmtId="0" fontId="22" fillId="0" borderId="0" xfId="0" applyFont="1" applyAlignment="1">
      <alignment vertical="center"/>
    </xf>
    <xf numFmtId="0" fontId="0" fillId="0" borderId="2" xfId="0" applyBorder="1" applyAlignment="1">
      <alignment vertical="center"/>
    </xf>
    <xf numFmtId="0" fontId="0" fillId="0" borderId="2" xfId="0" applyBorder="1" applyAlignment="1">
      <alignment horizontal="right" vertical="center" wrapText="1"/>
    </xf>
    <xf numFmtId="0" fontId="0" fillId="0" borderId="3" xfId="0" applyBorder="1" applyAlignment="1">
      <alignment horizontal="right" vertical="center" wrapText="1"/>
    </xf>
    <xf numFmtId="0" fontId="19" fillId="0" borderId="4" xfId="0" applyFont="1" applyBorder="1" applyAlignment="1">
      <alignment horizontal="right" vertical="center"/>
    </xf>
    <xf numFmtId="0" fontId="19" fillId="0" borderId="4" xfId="0" applyFont="1" applyBorder="1" applyAlignment="1">
      <alignment vertical="center" wrapText="1"/>
    </xf>
    <xf numFmtId="0" fontId="19" fillId="0" borderId="0" xfId="0" applyFont="1" applyAlignment="1">
      <alignment vertical="center"/>
    </xf>
    <xf numFmtId="1" fontId="0" fillId="0" borderId="0" xfId="0" applyNumberFormat="1" applyAlignment="1">
      <alignment vertical="center"/>
    </xf>
    <xf numFmtId="0" fontId="4" fillId="0" borderId="0" xfId="0" applyFont="1" applyFill="1" applyAlignment="1">
      <alignment horizontal="left"/>
    </xf>
    <xf numFmtId="3" fontId="0" fillId="0" borderId="0" xfId="0" applyNumberFormat="1" applyAlignment="1">
      <alignment vertical="center"/>
    </xf>
    <xf numFmtId="3" fontId="21" fillId="0" borderId="2" xfId="1"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37" fontId="0" fillId="0" borderId="2" xfId="1" applyNumberFormat="1" applyFont="1" applyFill="1" applyBorder="1" applyAlignment="1">
      <alignment horizontal="center"/>
    </xf>
    <xf numFmtId="37" fontId="1" fillId="0" borderId="2" xfId="1" applyNumberFormat="1" applyFont="1" applyFill="1" applyBorder="1" applyAlignment="1">
      <alignment horizontal="center"/>
    </xf>
    <xf numFmtId="37" fontId="1" fillId="0" borderId="8" xfId="1" applyNumberFormat="1" applyFont="1" applyFill="1" applyBorder="1" applyAlignment="1">
      <alignment horizontal="center"/>
    </xf>
    <xf numFmtId="0" fontId="0" fillId="0" borderId="0" xfId="0" applyAlignment="1">
      <alignment horizontal="left" vertical="center"/>
    </xf>
    <xf numFmtId="0" fontId="17" fillId="0" borderId="0" xfId="0" applyFont="1" applyAlignment="1">
      <alignment horizontal="left" vertical="center"/>
    </xf>
    <xf numFmtId="0" fontId="4" fillId="2" borderId="3" xfId="0" applyFont="1" applyFill="1" applyBorder="1" applyAlignment="1">
      <alignment horizontal="left" vertical="center" wrapText="1"/>
    </xf>
    <xf numFmtId="0" fontId="2" fillId="2" borderId="3" xfId="0" applyFont="1" applyFill="1" applyBorder="1" applyAlignment="1">
      <alignment horizontal="center" vertical="center"/>
    </xf>
    <xf numFmtId="0" fontId="0" fillId="0" borderId="0" xfId="0" applyFill="1" applyAlignment="1">
      <alignment horizontal="center" vertical="center"/>
    </xf>
    <xf numFmtId="3" fontId="0" fillId="0" borderId="0" xfId="0" applyNumberFormat="1" applyBorder="1" applyAlignment="1">
      <alignment horizontal="center" vertical="center"/>
    </xf>
    <xf numFmtId="3" fontId="0" fillId="0" borderId="41" xfId="0" applyNumberFormat="1" applyBorder="1" applyAlignment="1">
      <alignment horizontal="center" vertical="center"/>
    </xf>
    <xf numFmtId="3" fontId="0" fillId="0" borderId="2" xfId="0" applyNumberFormat="1" applyFill="1" applyBorder="1" applyAlignment="1">
      <alignment horizontal="center" vertical="center"/>
    </xf>
    <xf numFmtId="3" fontId="1" fillId="0" borderId="4" xfId="1" applyNumberFormat="1" applyFont="1" applyFill="1" applyBorder="1" applyAlignment="1">
      <alignment horizontal="center"/>
    </xf>
    <xf numFmtId="3" fontId="0" fillId="0" borderId="2" xfId="1" applyNumberFormat="1" applyFont="1" applyFill="1" applyBorder="1" applyAlignment="1">
      <alignment horizontal="center"/>
    </xf>
    <xf numFmtId="3" fontId="1" fillId="0" borderId="2" xfId="1" applyNumberFormat="1" applyFont="1" applyFill="1" applyBorder="1" applyAlignment="1">
      <alignment horizontal="center"/>
    </xf>
    <xf numFmtId="0" fontId="2" fillId="2" borderId="4" xfId="0" applyFont="1" applyFill="1" applyBorder="1" applyAlignment="1">
      <alignment horizontal="center" vertical="center"/>
    </xf>
    <xf numFmtId="0" fontId="4" fillId="0" borderId="0" xfId="0" applyFont="1" applyFill="1"/>
    <xf numFmtId="0" fontId="0" fillId="0" borderId="2" xfId="0" applyFill="1" applyBorder="1"/>
    <xf numFmtId="165" fontId="0" fillId="0" borderId="2" xfId="1" applyNumberFormat="1" applyFont="1" applyFill="1" applyBorder="1"/>
    <xf numFmtId="0" fontId="0" fillId="0" borderId="2" xfId="0" applyFont="1" applyFill="1" applyBorder="1"/>
    <xf numFmtId="0" fontId="0" fillId="0" borderId="5" xfId="0" applyFont="1" applyFill="1" applyBorder="1"/>
    <xf numFmtId="165" fontId="0" fillId="0" borderId="5" xfId="1" applyNumberFormat="1" applyFont="1" applyFill="1" applyBorder="1"/>
    <xf numFmtId="0" fontId="0" fillId="0" borderId="0" xfId="0" applyFont="1" applyFill="1"/>
    <xf numFmtId="165" fontId="0" fillId="0" borderId="6" xfId="0" applyNumberFormat="1" applyFill="1" applyBorder="1"/>
    <xf numFmtId="0" fontId="0" fillId="0" borderId="0" xfId="0" applyFill="1" applyBorder="1"/>
    <xf numFmtId="0" fontId="2" fillId="2" borderId="42"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4" xfId="0" applyBorder="1" applyAlignment="1">
      <alignment vertical="center"/>
    </xf>
    <xf numFmtId="0" fontId="4" fillId="2" borderId="4" xfId="0" applyFont="1" applyFill="1" applyBorder="1" applyAlignment="1">
      <alignment horizontal="left" vertical="center" wrapText="1"/>
    </xf>
    <xf numFmtId="0" fontId="2" fillId="0" borderId="0" xfId="0" applyFont="1" applyAlignment="1">
      <alignment horizontal="center" vertical="center"/>
    </xf>
    <xf numFmtId="0" fontId="0" fillId="0" borderId="0" xfId="0" applyFill="1" applyAlignment="1">
      <alignment horizont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3" fontId="0" fillId="0" borderId="39" xfId="0" applyNumberFormat="1" applyBorder="1" applyAlignment="1">
      <alignment horizontal="center" vertical="center"/>
    </xf>
    <xf numFmtId="3" fontId="0" fillId="0" borderId="43" xfId="0" applyNumberFormat="1" applyBorder="1" applyAlignment="1">
      <alignment horizontal="center" vertical="center"/>
    </xf>
    <xf numFmtId="3" fontId="0" fillId="0" borderId="1" xfId="0" applyNumberFormat="1" applyBorder="1" applyAlignment="1">
      <alignment horizontal="center" vertical="center"/>
    </xf>
    <xf numFmtId="3" fontId="0" fillId="0" borderId="40" xfId="0" applyNumberFormat="1" applyBorder="1" applyAlignment="1">
      <alignment horizontal="center" vertical="center"/>
    </xf>
    <xf numFmtId="3" fontId="0" fillId="0" borderId="36" xfId="0" applyNumberFormat="1" applyBorder="1" applyAlignment="1">
      <alignment horizontal="center" vertical="center"/>
    </xf>
    <xf numFmtId="3" fontId="0" fillId="0" borderId="8" xfId="0" applyNumberFormat="1" applyBorder="1" applyAlignment="1">
      <alignment horizontal="center" vertical="center"/>
    </xf>
    <xf numFmtId="9" fontId="0" fillId="0" borderId="42" xfId="2" applyFont="1" applyBorder="1" applyAlignment="1">
      <alignment horizontal="center" vertical="center"/>
    </xf>
    <xf numFmtId="9" fontId="0" fillId="0" borderId="44" xfId="2" applyFont="1" applyBorder="1" applyAlignment="1">
      <alignment horizontal="center" vertical="center"/>
    </xf>
    <xf numFmtId="9" fontId="0" fillId="0" borderId="7" xfId="2" applyFont="1" applyBorder="1" applyAlignment="1">
      <alignment horizontal="center" vertical="center"/>
    </xf>
    <xf numFmtId="0" fontId="0" fillId="0" borderId="3" xfId="0" applyBorder="1" applyAlignment="1">
      <alignment vertical="center"/>
    </xf>
    <xf numFmtId="0" fontId="0" fillId="0" borderId="45" xfId="0" applyBorder="1" applyAlignment="1">
      <alignment vertical="center"/>
    </xf>
    <xf numFmtId="166" fontId="0" fillId="0" borderId="41" xfId="2" applyNumberFormat="1" applyFont="1" applyBorder="1" applyAlignment="1">
      <alignment horizontal="center" vertical="center"/>
    </xf>
    <xf numFmtId="166" fontId="0" fillId="0" borderId="42" xfId="2" applyNumberFormat="1" applyFont="1" applyBorder="1" applyAlignment="1">
      <alignment horizontal="center" vertical="center"/>
    </xf>
    <xf numFmtId="166" fontId="0" fillId="0" borderId="0" xfId="2" applyNumberFormat="1" applyFont="1" applyBorder="1" applyAlignment="1">
      <alignment horizontal="center" vertical="center"/>
    </xf>
    <xf numFmtId="166" fontId="0" fillId="0" borderId="44" xfId="2" applyNumberFormat="1" applyFont="1" applyBorder="1" applyAlignment="1">
      <alignment horizontal="center" vertical="center"/>
    </xf>
    <xf numFmtId="166" fontId="0" fillId="0" borderId="1" xfId="2" applyNumberFormat="1" applyFont="1" applyBorder="1" applyAlignment="1">
      <alignment horizontal="center" vertical="center"/>
    </xf>
    <xf numFmtId="166" fontId="0" fillId="0" borderId="7" xfId="2" applyNumberFormat="1" applyFont="1" applyBorder="1" applyAlignment="1">
      <alignment horizontal="center" vertical="center"/>
    </xf>
    <xf numFmtId="166" fontId="0" fillId="0" borderId="41" xfId="0" applyNumberFormat="1" applyBorder="1" applyAlignment="1">
      <alignment horizontal="center" vertical="center"/>
    </xf>
    <xf numFmtId="166" fontId="0" fillId="0" borderId="0" xfId="0" applyNumberFormat="1" applyBorder="1" applyAlignment="1">
      <alignment horizontal="center" vertical="center"/>
    </xf>
    <xf numFmtId="166" fontId="0" fillId="0" borderId="1" xfId="0" applyNumberFormat="1" applyBorder="1" applyAlignment="1">
      <alignment horizontal="center" vertical="center"/>
    </xf>
    <xf numFmtId="166" fontId="0" fillId="0" borderId="36" xfId="0" applyNumberFormat="1" applyBorder="1" applyAlignment="1">
      <alignment horizontal="center" vertical="center"/>
    </xf>
    <xf numFmtId="166" fontId="0" fillId="0" borderId="9" xfId="2" applyNumberFormat="1" applyFont="1" applyBorder="1" applyAlignment="1">
      <alignment horizontal="center" vertical="center"/>
    </xf>
    <xf numFmtId="166" fontId="0" fillId="0" borderId="36" xfId="2" applyNumberFormat="1" applyFont="1" applyBorder="1" applyAlignment="1">
      <alignment horizontal="center" vertical="center"/>
    </xf>
    <xf numFmtId="0" fontId="0" fillId="0" borderId="8" xfId="0" applyBorder="1" applyAlignment="1">
      <alignment vertical="center"/>
    </xf>
    <xf numFmtId="0" fontId="0" fillId="0" borderId="36" xfId="0" applyBorder="1" applyAlignment="1">
      <alignment horizontal="left" vertical="center"/>
    </xf>
    <xf numFmtId="0" fontId="0" fillId="0" borderId="9" xfId="0" applyBorder="1" applyAlignment="1">
      <alignment horizontal="left" vertical="center"/>
    </xf>
    <xf numFmtId="0" fontId="0" fillId="0" borderId="39" xfId="0" applyBorder="1" applyAlignment="1">
      <alignment vertical="center"/>
    </xf>
    <xf numFmtId="0" fontId="0" fillId="0" borderId="43" xfId="0" applyBorder="1" applyAlignment="1">
      <alignment vertical="center"/>
    </xf>
    <xf numFmtId="0" fontId="0" fillId="0" borderId="40" xfId="0" applyBorder="1" applyAlignment="1">
      <alignment vertical="center"/>
    </xf>
    <xf numFmtId="172" fontId="0" fillId="0" borderId="9" xfId="0" applyNumberFormat="1" applyBorder="1" applyAlignment="1">
      <alignment horizontal="center" vertical="center"/>
    </xf>
    <xf numFmtId="9" fontId="0" fillId="0" borderId="9" xfId="2" applyNumberFormat="1" applyFont="1" applyBorder="1" applyAlignment="1">
      <alignment horizontal="center" vertical="center"/>
    </xf>
    <xf numFmtId="173" fontId="0" fillId="0" borderId="9" xfId="2" applyNumberFormat="1" applyFont="1" applyBorder="1" applyAlignment="1">
      <alignment horizontal="center" vertical="center"/>
    </xf>
    <xf numFmtId="0" fontId="0" fillId="0" borderId="36" xfId="0" applyBorder="1" applyAlignment="1">
      <alignment horizontal="center" vertical="center"/>
    </xf>
    <xf numFmtId="0" fontId="0" fillId="0" borderId="9" xfId="0" applyBorder="1" applyAlignment="1">
      <alignment horizontal="center" vertical="center"/>
    </xf>
    <xf numFmtId="0" fontId="10" fillId="0" borderId="8" xfId="0" applyFont="1" applyBorder="1" applyAlignment="1">
      <alignment vertical="center"/>
    </xf>
    <xf numFmtId="0" fontId="10" fillId="0" borderId="36" xfId="0" applyFont="1" applyBorder="1" applyAlignment="1">
      <alignment horizontal="left" vertical="center"/>
    </xf>
    <xf numFmtId="0" fontId="10" fillId="0" borderId="8" xfId="0" applyFont="1" applyBorder="1" applyAlignment="1">
      <alignment horizontal="left" vertical="center"/>
    </xf>
    <xf numFmtId="0" fontId="2" fillId="0" borderId="7" xfId="0" applyFont="1" applyFill="1" applyBorder="1" applyAlignment="1">
      <alignment horizontal="center"/>
    </xf>
    <xf numFmtId="165" fontId="21" fillId="0" borderId="2" xfId="4" applyNumberFormat="1" applyFont="1" applyFill="1" applyBorder="1" applyAlignment="1">
      <alignment horizontal="center"/>
    </xf>
    <xf numFmtId="0" fontId="0" fillId="0" borderId="8" xfId="0" applyFill="1" applyBorder="1"/>
    <xf numFmtId="0" fontId="0" fillId="0" borderId="9" xfId="0" applyFill="1" applyBorder="1" applyAlignment="1">
      <alignment horizontal="right"/>
    </xf>
    <xf numFmtId="0" fontId="0" fillId="0" borderId="9" xfId="0" applyFill="1" applyBorder="1"/>
    <xf numFmtId="0" fontId="0" fillId="0" borderId="2" xfId="0" applyFill="1" applyBorder="1" applyAlignment="1">
      <alignment horizontal="center"/>
    </xf>
    <xf numFmtId="0" fontId="2" fillId="0" borderId="44" xfId="0" applyFont="1" applyFill="1" applyBorder="1" applyAlignment="1">
      <alignment horizontal="center"/>
    </xf>
    <xf numFmtId="39" fontId="2" fillId="0" borderId="2" xfId="0" applyNumberFormat="1" applyFont="1" applyFill="1" applyBorder="1" applyAlignment="1">
      <alignment horizontal="center" vertical="center"/>
    </xf>
    <xf numFmtId="43" fontId="0" fillId="0" borderId="0" xfId="0" applyNumberFormat="1" applyFill="1" applyBorder="1" applyAlignment="1">
      <alignment horizontal="center"/>
    </xf>
    <xf numFmtId="0" fontId="11" fillId="0" borderId="0" xfId="0" applyFont="1" applyFill="1" applyBorder="1"/>
    <xf numFmtId="0" fontId="0" fillId="0" borderId="39" xfId="0" applyFill="1" applyBorder="1"/>
    <xf numFmtId="0" fontId="0" fillId="0" borderId="41" xfId="0" applyFill="1" applyBorder="1"/>
    <xf numFmtId="0" fontId="0" fillId="0" borderId="3" xfId="0" applyFill="1" applyBorder="1" applyAlignment="1">
      <alignment horizontal="center"/>
    </xf>
    <xf numFmtId="0" fontId="2" fillId="0" borderId="42" xfId="0" applyFont="1" applyFill="1" applyBorder="1" applyAlignment="1">
      <alignment horizontal="center"/>
    </xf>
    <xf numFmtId="0" fontId="0" fillId="0" borderId="40" xfId="0" applyFill="1" applyBorder="1"/>
    <xf numFmtId="0" fontId="0" fillId="0" borderId="1" xfId="0" applyFill="1" applyBorder="1"/>
    <xf numFmtId="0" fontId="0" fillId="0" borderId="8" xfId="0" applyFill="1" applyBorder="1" applyAlignment="1">
      <alignment horizontal="center"/>
    </xf>
    <xf numFmtId="0" fontId="0" fillId="0" borderId="4" xfId="0" applyFill="1" applyBorder="1" applyAlignment="1">
      <alignment horizontal="center"/>
    </xf>
    <xf numFmtId="166" fontId="0" fillId="0" borderId="2" xfId="2" applyNumberFormat="1" applyFont="1" applyFill="1" applyBorder="1" applyAlignment="1">
      <alignment horizontal="center"/>
    </xf>
    <xf numFmtId="168" fontId="2" fillId="0" borderId="2" xfId="0" applyNumberFormat="1" applyFont="1" applyFill="1" applyBorder="1" applyAlignment="1">
      <alignment horizontal="center"/>
    </xf>
    <xf numFmtId="168" fontId="0" fillId="0" borderId="44" xfId="0" applyNumberFormat="1" applyFill="1" applyBorder="1" applyAlignment="1">
      <alignment horizontal="center"/>
    </xf>
    <xf numFmtId="0" fontId="0" fillId="0" borderId="8" xfId="0" applyFill="1" applyBorder="1" applyAlignment="1">
      <alignment horizontal="right"/>
    </xf>
    <xf numFmtId="3" fontId="0" fillId="0" borderId="2" xfId="0" applyNumberFormat="1" applyFill="1" applyBorder="1" applyAlignment="1">
      <alignment horizontal="center"/>
    </xf>
    <xf numFmtId="166" fontId="0" fillId="0" borderId="1" xfId="2" applyNumberFormat="1" applyFont="1" applyFill="1" applyBorder="1"/>
    <xf numFmtId="0" fontId="0" fillId="0" borderId="7" xfId="0" applyFill="1" applyBorder="1"/>
    <xf numFmtId="0" fontId="11" fillId="0" borderId="0" xfId="0" applyFont="1" applyFill="1"/>
    <xf numFmtId="0" fontId="0" fillId="0" borderId="42" xfId="0" applyFill="1" applyBorder="1"/>
    <xf numFmtId="0" fontId="0" fillId="0" borderId="43" xfId="0" applyFill="1" applyBorder="1"/>
    <xf numFmtId="0" fontId="0" fillId="0" borderId="44" xfId="0" applyFill="1" applyBorder="1"/>
    <xf numFmtId="166" fontId="2" fillId="0" borderId="2" xfId="2" applyNumberFormat="1" applyFont="1" applyFill="1" applyBorder="1" applyAlignment="1">
      <alignment horizontal="center"/>
    </xf>
    <xf numFmtId="0" fontId="0" fillId="0" borderId="1" xfId="0" applyFill="1" applyBorder="1" applyAlignment="1">
      <alignment horizontal="right"/>
    </xf>
    <xf numFmtId="37" fontId="2" fillId="0" borderId="8" xfId="0" applyNumberFormat="1" applyFont="1" applyFill="1" applyBorder="1" applyAlignment="1">
      <alignment horizontal="center"/>
    </xf>
    <xf numFmtId="166" fontId="2" fillId="0" borderId="4" xfId="2" applyNumberFormat="1" applyFont="1" applyFill="1" applyBorder="1" applyAlignment="1">
      <alignment horizontal="center"/>
    </xf>
    <xf numFmtId="37" fontId="0" fillId="0" borderId="0" xfId="0" applyNumberFormat="1" applyFill="1"/>
    <xf numFmtId="0" fontId="0" fillId="0" borderId="0" xfId="0" applyFill="1" applyAlignment="1">
      <alignment horizontal="right"/>
    </xf>
    <xf numFmtId="0" fontId="0" fillId="0" borderId="0" xfId="0" pivotButton="1"/>
    <xf numFmtId="0" fontId="0" fillId="0" borderId="0" xfId="0" applyAlignment="1">
      <alignment horizontal="left" indent="1"/>
    </xf>
    <xf numFmtId="0" fontId="0" fillId="0" borderId="8" xfId="0" applyFill="1" applyBorder="1" applyAlignment="1">
      <alignment vertical="center"/>
    </xf>
    <xf numFmtId="3" fontId="0" fillId="0" borderId="36" xfId="0" applyNumberFormat="1" applyFill="1" applyBorder="1" applyAlignment="1">
      <alignment horizontal="center" vertical="center"/>
    </xf>
    <xf numFmtId="0" fontId="10" fillId="0" borderId="1" xfId="0" applyFont="1" applyBorder="1" applyAlignment="1">
      <alignment vertical="center"/>
    </xf>
    <xf numFmtId="9" fontId="0" fillId="0" borderId="0" xfId="2" applyFont="1" applyAlignment="1">
      <alignment vertical="center"/>
    </xf>
    <xf numFmtId="166" fontId="0" fillId="0" borderId="36" xfId="2" applyNumberFormat="1" applyFont="1" applyFill="1" applyBorder="1" applyAlignment="1">
      <alignment horizontal="center" vertical="center"/>
    </xf>
    <xf numFmtId="3" fontId="0" fillId="0" borderId="3" xfId="0" applyNumberFormat="1" applyBorder="1" applyAlignment="1">
      <alignment horizontal="center" vertical="center"/>
    </xf>
    <xf numFmtId="3" fontId="0" fillId="0" borderId="2" xfId="0" applyNumberFormat="1" applyBorder="1" applyAlignment="1">
      <alignment horizontal="center" vertical="center" wrapText="1"/>
    </xf>
    <xf numFmtId="0" fontId="0" fillId="0" borderId="7" xfId="0" applyBorder="1" applyAlignment="1">
      <alignment vertical="center"/>
    </xf>
    <xf numFmtId="0" fontId="19" fillId="0" borderId="42" xfId="0" applyFont="1" applyBorder="1" applyAlignment="1">
      <alignment vertical="center"/>
    </xf>
    <xf numFmtId="3" fontId="0" fillId="0" borderId="0" xfId="0" applyNumberFormat="1" applyFont="1" applyBorder="1" applyAlignment="1">
      <alignment horizontal="center" vertical="center"/>
    </xf>
    <xf numFmtId="37" fontId="2" fillId="0" borderId="0" xfId="0" applyNumberFormat="1" applyFont="1" applyBorder="1" applyAlignment="1">
      <alignment horizontal="center" vertical="center"/>
    </xf>
    <xf numFmtId="37" fontId="2" fillId="0" borderId="0" xfId="1" applyNumberFormat="1" applyFont="1" applyBorder="1" applyAlignment="1">
      <alignment horizontal="center" vertical="center"/>
    </xf>
    <xf numFmtId="3" fontId="0" fillId="0" borderId="0" xfId="0" applyNumberFormat="1" applyBorder="1" applyAlignment="1">
      <alignment vertical="center"/>
    </xf>
    <xf numFmtId="0" fontId="17" fillId="0" borderId="0" xfId="0" applyFont="1" applyBorder="1" applyAlignment="1">
      <alignment vertical="center"/>
    </xf>
    <xf numFmtId="0" fontId="0" fillId="0" borderId="0" xfId="0" applyAlignment="1">
      <alignment horizontal="left" indent="2"/>
    </xf>
    <xf numFmtId="0" fontId="17" fillId="0" borderId="0" xfId="0" applyFont="1" applyBorder="1" applyAlignment="1">
      <alignment horizontal="left" vertical="center"/>
    </xf>
    <xf numFmtId="0" fontId="0" fillId="9" borderId="0" xfId="0" applyFill="1" applyAlignment="1">
      <alignment vertical="center"/>
    </xf>
    <xf numFmtId="0" fontId="0" fillId="9" borderId="0" xfId="0" applyFill="1" applyBorder="1" applyAlignment="1">
      <alignment vertical="center"/>
    </xf>
    <xf numFmtId="0" fontId="0" fillId="9" borderId="0" xfId="0" applyFill="1" applyAlignment="1">
      <alignment horizontal="center" vertical="center"/>
    </xf>
    <xf numFmtId="0" fontId="3" fillId="9" borderId="0" xfId="0" applyFont="1" applyFill="1" applyAlignment="1">
      <alignment horizontal="center" vertical="center"/>
    </xf>
    <xf numFmtId="3" fontId="19" fillId="9" borderId="0" xfId="0" applyNumberFormat="1" applyFont="1" applyFill="1" applyAlignment="1">
      <alignment horizontal="left" vertical="center"/>
    </xf>
    <xf numFmtId="3" fontId="0" fillId="0" borderId="0" xfId="1" applyNumberFormat="1" applyFont="1" applyBorder="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horizontal="right" vertical="center"/>
    </xf>
    <xf numFmtId="3" fontId="21" fillId="0" borderId="41" xfId="0" applyNumberFormat="1" applyFont="1" applyFill="1" applyBorder="1" applyAlignment="1">
      <alignment horizontal="center" vertical="center"/>
    </xf>
    <xf numFmtId="3" fontId="21" fillId="0" borderId="0" xfId="0" applyNumberFormat="1" applyFont="1" applyFill="1" applyBorder="1" applyAlignment="1">
      <alignment horizontal="center" vertical="center"/>
    </xf>
    <xf numFmtId="0" fontId="0" fillId="0" borderId="8" xfId="0" applyFill="1" applyBorder="1" applyAlignment="1">
      <alignment horizontal="right"/>
    </xf>
    <xf numFmtId="0" fontId="0" fillId="0" borderId="9" xfId="0" applyFill="1" applyBorder="1" applyAlignment="1">
      <alignment horizontal="right"/>
    </xf>
    <xf numFmtId="37" fontId="27" fillId="0" borderId="2" xfId="1" applyNumberFormat="1" applyFont="1" applyFill="1" applyBorder="1" applyAlignment="1">
      <alignment horizontal="center"/>
    </xf>
    <xf numFmtId="37" fontId="27" fillId="0" borderId="8" xfId="1" applyNumberFormat="1" applyFont="1" applyFill="1" applyBorder="1" applyAlignment="1">
      <alignment horizontal="center"/>
    </xf>
    <xf numFmtId="0" fontId="0" fillId="0" borderId="1" xfId="0" applyFill="1" applyBorder="1" applyAlignment="1">
      <alignment horizontal="right" wrapText="1"/>
    </xf>
    <xf numFmtId="43" fontId="2" fillId="0" borderId="0" xfId="0" applyNumberFormat="1" applyFont="1" applyBorder="1" applyAlignment="1">
      <alignment horizontal="center" vertical="center"/>
    </xf>
    <xf numFmtId="39" fontId="2" fillId="0" borderId="0" xfId="0" applyNumberFormat="1" applyFont="1" applyBorder="1" applyAlignment="1">
      <alignment horizontal="center" vertical="center"/>
    </xf>
    <xf numFmtId="0" fontId="28" fillId="0" borderId="0" xfId="0" applyFont="1" applyAlignment="1">
      <alignment horizontal="center" vertical="center"/>
    </xf>
    <xf numFmtId="0" fontId="28" fillId="0" borderId="0" xfId="0" applyFont="1" applyBorder="1" applyAlignment="1">
      <alignment vertical="center"/>
    </xf>
    <xf numFmtId="3" fontId="27" fillId="0" borderId="2" xfId="1" applyNumberFormat="1" applyFont="1" applyFill="1" applyBorder="1" applyAlignment="1">
      <alignment horizontal="center"/>
    </xf>
    <xf numFmtId="3" fontId="27" fillId="0" borderId="4" xfId="1" applyNumberFormat="1" applyFont="1" applyFill="1" applyBorder="1" applyAlignment="1">
      <alignment horizontal="center"/>
    </xf>
    <xf numFmtId="0" fontId="0" fillId="0" borderId="9" xfId="0" applyFill="1" applyBorder="1" applyAlignment="1">
      <alignment horizontal="right"/>
    </xf>
    <xf numFmtId="0" fontId="29" fillId="0" borderId="0" xfId="0" applyFont="1" applyAlignment="1">
      <alignment horizontal="center" vertical="center" wrapText="1"/>
    </xf>
    <xf numFmtId="0" fontId="0" fillId="10" borderId="0" xfId="0" applyFont="1" applyFill="1"/>
    <xf numFmtId="0" fontId="0" fillId="0" borderId="0" xfId="0" quotePrefix="1" applyFill="1"/>
    <xf numFmtId="3" fontId="21" fillId="0" borderId="0" xfId="1" applyNumberFormat="1" applyFont="1" applyFill="1" applyBorder="1" applyAlignment="1">
      <alignment horizontal="center" vertical="center"/>
    </xf>
    <xf numFmtId="0" fontId="9" fillId="0" borderId="9" xfId="0" applyFont="1" applyFill="1" applyBorder="1" applyAlignment="1">
      <alignment horizontal="right"/>
    </xf>
    <xf numFmtId="0" fontId="0" fillId="0" borderId="8" xfId="0" applyFill="1" applyBorder="1" applyAlignment="1">
      <alignment horizontal="right"/>
    </xf>
    <xf numFmtId="0" fontId="0" fillId="0" borderId="36" xfId="0" applyFill="1" applyBorder="1" applyAlignment="1">
      <alignment horizontal="right"/>
    </xf>
    <xf numFmtId="0" fontId="0" fillId="0" borderId="9" xfId="0" applyFill="1" applyBorder="1" applyAlignment="1">
      <alignment horizontal="right"/>
    </xf>
    <xf numFmtId="166" fontId="0" fillId="0" borderId="0" xfId="0" applyNumberFormat="1" applyAlignment="1">
      <alignment horizontal="center" vertical="center"/>
    </xf>
    <xf numFmtId="0" fontId="0" fillId="0" borderId="8" xfId="0" applyFill="1" applyBorder="1" applyAlignment="1"/>
    <xf numFmtId="0" fontId="0" fillId="0" borderId="36" xfId="0" applyFill="1" applyBorder="1" applyAlignment="1"/>
    <xf numFmtId="0" fontId="0" fillId="0" borderId="9" xfId="0" applyFill="1" applyBorder="1" applyAlignment="1"/>
    <xf numFmtId="0" fontId="0" fillId="0" borderId="8" xfId="0" applyFill="1" applyBorder="1" applyAlignment="1">
      <alignment horizontal="left"/>
    </xf>
    <xf numFmtId="0" fontId="0" fillId="0" borderId="36" xfId="0" applyFill="1" applyBorder="1" applyAlignment="1">
      <alignment horizontal="left"/>
    </xf>
    <xf numFmtId="0" fontId="0" fillId="0" borderId="9" xfId="0" applyFill="1" applyBorder="1" applyAlignment="1">
      <alignment horizontal="left"/>
    </xf>
    <xf numFmtId="4" fontId="27" fillId="8" borderId="0" xfId="0" applyNumberFormat="1" applyFont="1" applyFill="1" applyAlignment="1">
      <alignment horizontal="left"/>
    </xf>
    <xf numFmtId="0" fontId="0" fillId="0" borderId="36" xfId="0" applyFill="1" applyBorder="1"/>
    <xf numFmtId="0" fontId="30" fillId="8" borderId="0" xfId="0" applyFont="1" applyFill="1"/>
    <xf numFmtId="0" fontId="19" fillId="0" borderId="2" xfId="0" applyFont="1" applyBorder="1" applyAlignment="1">
      <alignment horizontal="left" vertical="center"/>
    </xf>
    <xf numFmtId="3" fontId="19" fillId="0" borderId="2" xfId="0" applyNumberFormat="1" applyFont="1" applyBorder="1" applyAlignment="1">
      <alignment horizontal="center" vertical="center"/>
    </xf>
    <xf numFmtId="0" fontId="19" fillId="0" borderId="0" xfId="0" applyFont="1" applyFill="1" applyBorder="1" applyAlignment="1">
      <alignment horizontal="left" vertical="center" wrapText="1"/>
    </xf>
    <xf numFmtId="3" fontId="19" fillId="0" borderId="0" xfId="1" applyNumberFormat="1" applyFont="1" applyFill="1" applyBorder="1" applyAlignment="1">
      <alignment horizontal="center" vertical="center"/>
    </xf>
    <xf numFmtId="3" fontId="19" fillId="0" borderId="0" xfId="0" applyNumberFormat="1" applyFont="1" applyBorder="1" applyAlignment="1">
      <alignment horizontal="center" vertical="center"/>
    </xf>
    <xf numFmtId="3" fontId="19" fillId="0" borderId="0" xfId="0" applyNumberFormat="1" applyFont="1" applyAlignment="1">
      <alignment horizontal="center" vertical="center"/>
    </xf>
    <xf numFmtId="0" fontId="31" fillId="0" borderId="39" xfId="0" applyFont="1" applyFill="1" applyBorder="1" applyAlignment="1">
      <alignment horizontal="left" vertical="center" wrapText="1"/>
    </xf>
    <xf numFmtId="3" fontId="19" fillId="0" borderId="41" xfId="0" applyNumberFormat="1" applyFont="1" applyFill="1" applyBorder="1" applyAlignment="1">
      <alignment horizontal="center" vertical="center"/>
    </xf>
    <xf numFmtId="3" fontId="19" fillId="0" borderId="41" xfId="0" applyNumberFormat="1" applyFont="1" applyBorder="1" applyAlignment="1">
      <alignment horizontal="center" vertical="center"/>
    </xf>
    <xf numFmtId="3" fontId="19" fillId="0" borderId="42" xfId="0" applyNumberFormat="1" applyFont="1" applyBorder="1" applyAlignment="1">
      <alignment horizontal="center" vertical="center"/>
    </xf>
    <xf numFmtId="0" fontId="31" fillId="0" borderId="43" xfId="0" applyFont="1" applyFill="1" applyBorder="1" applyAlignment="1">
      <alignment horizontal="left" vertical="center" wrapText="1"/>
    </xf>
    <xf numFmtId="3" fontId="19" fillId="0" borderId="0" xfId="0" applyNumberFormat="1" applyFont="1" applyFill="1" applyBorder="1" applyAlignment="1">
      <alignment horizontal="center" vertical="center"/>
    </xf>
    <xf numFmtId="3" fontId="32" fillId="0" borderId="0" xfId="0" applyNumberFormat="1" applyFont="1" applyBorder="1" applyAlignment="1">
      <alignment horizontal="center" vertical="center"/>
    </xf>
    <xf numFmtId="3" fontId="19" fillId="0" borderId="44" xfId="0" applyNumberFormat="1" applyFont="1" applyBorder="1" applyAlignment="1">
      <alignment horizontal="center" vertical="center"/>
    </xf>
    <xf numFmtId="0" fontId="32" fillId="0" borderId="0" xfId="0" applyFont="1" applyBorder="1" applyAlignment="1">
      <alignment horizontal="center" vertical="center"/>
    </xf>
    <xf numFmtId="0" fontId="19" fillId="0" borderId="44" xfId="0" applyFont="1" applyBorder="1" applyAlignment="1">
      <alignment horizontal="center" vertical="center"/>
    </xf>
    <xf numFmtId="0" fontId="31" fillId="0" borderId="40" xfId="0" applyFont="1" applyFill="1" applyBorder="1" applyAlignment="1">
      <alignment horizontal="left" vertical="center" wrapText="1"/>
    </xf>
    <xf numFmtId="9" fontId="19" fillId="0" borderId="1" xfId="2" applyFont="1" applyFill="1" applyBorder="1" applyAlignment="1">
      <alignment horizontal="center" vertical="center"/>
    </xf>
    <xf numFmtId="3" fontId="19" fillId="0"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xf>
    <xf numFmtId="3" fontId="33" fillId="0" borderId="0" xfId="0" applyNumberFormat="1" applyFont="1" applyAlignment="1">
      <alignment horizontal="left" vertical="center"/>
    </xf>
    <xf numFmtId="0" fontId="19" fillId="0" borderId="0" xfId="0" applyFont="1" applyAlignment="1">
      <alignment horizontal="center" vertical="center"/>
    </xf>
    <xf numFmtId="0" fontId="31" fillId="0" borderId="0" xfId="0" applyFont="1" applyAlignment="1">
      <alignment horizontal="left" vertical="center"/>
    </xf>
    <xf numFmtId="0" fontId="31" fillId="0" borderId="0" xfId="0" applyFont="1" applyFill="1" applyAlignment="1">
      <alignment horizontal="center" vertical="center"/>
    </xf>
    <xf numFmtId="0" fontId="34" fillId="0" borderId="0" xfId="0" applyFont="1" applyAlignment="1">
      <alignment horizontal="center" vertical="center"/>
    </xf>
    <xf numFmtId="0" fontId="19" fillId="9" borderId="0" xfId="0" applyFont="1" applyFill="1" applyAlignment="1">
      <alignment horizontal="center" vertical="center"/>
    </xf>
    <xf numFmtId="0" fontId="31" fillId="2" borderId="3" xfId="0" applyFont="1" applyFill="1" applyBorder="1" applyAlignment="1">
      <alignment horizontal="left" vertical="center" wrapText="1"/>
    </xf>
    <xf numFmtId="0" fontId="31" fillId="2" borderId="42" xfId="0" applyFont="1" applyFill="1" applyBorder="1" applyAlignment="1">
      <alignment horizontal="center" vertical="center"/>
    </xf>
    <xf numFmtId="0" fontId="31" fillId="2" borderId="3" xfId="0" applyFont="1" applyFill="1" applyBorder="1" applyAlignment="1">
      <alignment horizontal="center" vertical="center"/>
    </xf>
    <xf numFmtId="0" fontId="19" fillId="0" borderId="0" xfId="0" applyFont="1" applyFill="1" applyBorder="1" applyAlignment="1">
      <alignment horizontal="center" vertical="center" wrapText="1"/>
    </xf>
    <xf numFmtId="3" fontId="19" fillId="0" borderId="0" xfId="0" applyNumberFormat="1" applyFont="1" applyBorder="1" applyAlignment="1">
      <alignment horizontal="right" vertical="center"/>
    </xf>
    <xf numFmtId="0" fontId="19" fillId="0" borderId="0" xfId="0" applyFont="1" applyBorder="1" applyAlignment="1">
      <alignment horizontal="left" vertical="center"/>
    </xf>
    <xf numFmtId="0" fontId="31" fillId="2" borderId="4" xfId="0" applyFont="1" applyFill="1" applyBorder="1" applyAlignment="1">
      <alignment horizontal="left" vertical="center" wrapText="1"/>
    </xf>
    <xf numFmtId="0" fontId="31" fillId="2" borderId="7" xfId="0" applyFont="1" applyFill="1" applyBorder="1" applyAlignment="1">
      <alignment horizontal="center" vertical="center"/>
    </xf>
    <xf numFmtId="0" fontId="31" fillId="2" borderId="4"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31" fillId="0" borderId="0" xfId="0" applyFont="1" applyAlignment="1">
      <alignment vertical="center"/>
    </xf>
    <xf numFmtId="168" fontId="19" fillId="0" borderId="0" xfId="0" applyNumberFormat="1" applyFont="1" applyAlignment="1">
      <alignment horizontal="center" vertical="center"/>
    </xf>
    <xf numFmtId="3" fontId="19" fillId="0" borderId="0" xfId="0" applyNumberFormat="1" applyFont="1" applyFill="1" applyAlignment="1">
      <alignment horizontal="center" vertical="center"/>
    </xf>
    <xf numFmtId="0" fontId="19" fillId="0" borderId="0" xfId="0" applyFont="1" applyFill="1" applyAlignment="1">
      <alignment horizontal="center" vertical="center"/>
    </xf>
    <xf numFmtId="4" fontId="19" fillId="0" borderId="41" xfId="0" applyNumberFormat="1" applyFont="1" applyFill="1" applyBorder="1" applyAlignment="1">
      <alignment horizontal="center" vertical="center"/>
    </xf>
    <xf numFmtId="3" fontId="32" fillId="0" borderId="0" xfId="0" applyNumberFormat="1"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horizontal="left" vertical="center" wrapText="1"/>
    </xf>
    <xf numFmtId="3" fontId="19" fillId="0" borderId="0" xfId="0" applyNumberFormat="1" applyFont="1" applyFill="1" applyAlignment="1">
      <alignment horizontal="right" vertical="center"/>
    </xf>
    <xf numFmtId="166" fontId="28" fillId="0" borderId="0" xfId="2" applyNumberFormat="1" applyFont="1" applyFill="1" applyAlignment="1">
      <alignment horizontal="right" vertical="center"/>
    </xf>
    <xf numFmtId="0" fontId="34" fillId="0" borderId="0" xfId="0" applyFont="1" applyFill="1" applyAlignment="1">
      <alignment horizontal="left" vertical="center"/>
    </xf>
    <xf numFmtId="166" fontId="19" fillId="0" borderId="0" xfId="2" applyNumberFormat="1" applyFont="1" applyFill="1" applyAlignment="1">
      <alignment horizontal="right" vertical="center"/>
    </xf>
    <xf numFmtId="0" fontId="31" fillId="0" borderId="0" xfId="0" applyFont="1" applyAlignment="1">
      <alignment horizontal="left" vertical="center" wrapText="1"/>
    </xf>
    <xf numFmtId="0" fontId="31" fillId="0" borderId="0" xfId="0" applyFont="1" applyFill="1" applyAlignment="1">
      <alignment vertical="center"/>
    </xf>
    <xf numFmtId="0" fontId="31" fillId="0" borderId="0" xfId="0" applyFont="1" applyFill="1" applyAlignment="1">
      <alignment horizontal="left" vertical="center"/>
    </xf>
    <xf numFmtId="0" fontId="19" fillId="0" borderId="0" xfId="0" applyFont="1" applyFill="1" applyAlignment="1">
      <alignment vertical="center"/>
    </xf>
    <xf numFmtId="0" fontId="19" fillId="0" borderId="0" xfId="0" applyFont="1" applyFill="1" applyAlignment="1">
      <alignment horizontal="center" vertical="center" wrapText="1"/>
    </xf>
    <xf numFmtId="0" fontId="19" fillId="0" borderId="2" xfId="0" applyFont="1" applyFill="1" applyBorder="1" applyAlignment="1">
      <alignment vertical="center"/>
    </xf>
    <xf numFmtId="165" fontId="19" fillId="0" borderId="2" xfId="1" applyNumberFormat="1" applyFont="1" applyFill="1" applyBorder="1" applyAlignment="1">
      <alignment vertical="center"/>
    </xf>
    <xf numFmtId="4" fontId="19" fillId="0" borderId="0" xfId="0" applyNumberFormat="1" applyFont="1" applyFill="1" applyAlignment="1">
      <alignment vertical="center"/>
    </xf>
    <xf numFmtId="0" fontId="19" fillId="0" borderId="5" xfId="0" applyFont="1" applyFill="1" applyBorder="1" applyAlignment="1">
      <alignment vertical="center"/>
    </xf>
    <xf numFmtId="165" fontId="19" fillId="0" borderId="5" xfId="1" applyNumberFormat="1" applyFont="1" applyFill="1" applyBorder="1" applyAlignment="1">
      <alignment vertical="center"/>
    </xf>
    <xf numFmtId="165" fontId="19" fillId="0" borderId="6" xfId="0" applyNumberFormat="1" applyFont="1" applyFill="1" applyBorder="1" applyAlignment="1">
      <alignment vertical="center"/>
    </xf>
    <xf numFmtId="0" fontId="31" fillId="0" borderId="0" xfId="0" applyFont="1" applyFill="1"/>
    <xf numFmtId="0" fontId="31" fillId="0" borderId="0" xfId="0" applyFont="1" applyFill="1" applyAlignment="1">
      <alignment horizontal="left"/>
    </xf>
    <xf numFmtId="0" fontId="19" fillId="0" borderId="0" xfId="0" applyFont="1" applyFill="1"/>
    <xf numFmtId="0" fontId="19" fillId="0" borderId="0" xfId="0" applyFont="1" applyFill="1" applyAlignment="1">
      <alignment horizontal="center"/>
    </xf>
    <xf numFmtId="0" fontId="19" fillId="0" borderId="2" xfId="0" applyFont="1" applyFill="1" applyBorder="1"/>
    <xf numFmtId="165" fontId="19" fillId="0" borderId="2" xfId="1" applyNumberFormat="1" applyFont="1" applyFill="1" applyBorder="1"/>
    <xf numFmtId="0" fontId="19" fillId="0" borderId="5" xfId="0" applyFont="1" applyFill="1" applyBorder="1"/>
    <xf numFmtId="165" fontId="19" fillId="0" borderId="5" xfId="1" applyNumberFormat="1" applyFont="1" applyFill="1" applyBorder="1"/>
    <xf numFmtId="165" fontId="19" fillId="0" borderId="6" xfId="0" applyNumberFormat="1" applyFont="1" applyFill="1" applyBorder="1"/>
    <xf numFmtId="0" fontId="34" fillId="0" borderId="0" xfId="0" applyFont="1" applyFill="1"/>
    <xf numFmtId="3" fontId="19" fillId="0" borderId="0" xfId="0" applyNumberFormat="1" applyFont="1" applyFill="1" applyAlignment="1">
      <alignment horizontal="center"/>
    </xf>
    <xf numFmtId="165" fontId="19" fillId="0" borderId="0" xfId="0" applyNumberFormat="1" applyFont="1" applyFill="1" applyBorder="1"/>
    <xf numFmtId="3" fontId="19" fillId="0" borderId="0" xfId="0" applyNumberFormat="1"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center"/>
    </xf>
    <xf numFmtId="0" fontId="19" fillId="0" borderId="2" xfId="0" applyFont="1" applyFill="1" applyBorder="1" applyAlignment="1">
      <alignment vertical="center" wrapText="1"/>
    </xf>
    <xf numFmtId="3" fontId="19" fillId="0" borderId="2" xfId="1" applyNumberFormat="1" applyFont="1" applyFill="1" applyBorder="1" applyAlignment="1">
      <alignment horizontal="center" vertical="center"/>
    </xf>
    <xf numFmtId="0" fontId="19" fillId="0" borderId="2" xfId="0" applyFont="1" applyBorder="1" applyAlignment="1">
      <alignment horizontal="center" vertical="center"/>
    </xf>
    <xf numFmtId="0" fontId="19" fillId="0" borderId="0" xfId="0" applyFont="1" applyFill="1" applyBorder="1" applyAlignment="1">
      <alignment vertical="center" wrapText="1"/>
    </xf>
    <xf numFmtId="0" fontId="31" fillId="0" borderId="39" xfId="0" applyFont="1" applyFill="1" applyBorder="1" applyAlignment="1">
      <alignment horizontal="right"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31" fillId="0" borderId="43" xfId="0" applyFont="1" applyFill="1" applyBorder="1" applyAlignment="1">
      <alignment horizontal="right" vertical="center" wrapText="1"/>
    </xf>
    <xf numFmtId="0" fontId="31" fillId="0" borderId="40" xfId="0" applyFont="1" applyFill="1" applyBorder="1" applyAlignment="1">
      <alignment horizontal="right" vertical="center" wrapText="1"/>
    </xf>
    <xf numFmtId="0" fontId="19" fillId="0" borderId="0" xfId="0" applyFont="1" applyBorder="1" applyAlignment="1">
      <alignment vertical="center" wrapText="1"/>
    </xf>
    <xf numFmtId="0" fontId="19" fillId="0" borderId="0" xfId="0" applyFont="1" applyAlignment="1">
      <alignment vertical="center" wrapText="1"/>
    </xf>
    <xf numFmtId="3" fontId="19" fillId="0" borderId="0" xfId="0" applyNumberFormat="1" applyFont="1" applyAlignment="1">
      <alignment horizontal="right" vertical="center"/>
    </xf>
    <xf numFmtId="166" fontId="19" fillId="0" borderId="0" xfId="2" applyNumberFormat="1" applyFont="1" applyAlignment="1">
      <alignment horizontal="right" vertical="center"/>
    </xf>
    <xf numFmtId="3" fontId="19" fillId="0" borderId="0" xfId="0" applyNumberFormat="1" applyFont="1" applyAlignment="1">
      <alignment horizontal="left" vertical="center"/>
    </xf>
    <xf numFmtId="0" fontId="19" fillId="0" borderId="4" xfId="0" applyFont="1" applyBorder="1" applyAlignment="1">
      <alignment vertical="center"/>
    </xf>
    <xf numFmtId="3" fontId="19" fillId="0" borderId="4" xfId="0" applyNumberFormat="1" applyFont="1" applyBorder="1" applyAlignment="1">
      <alignment horizontal="center" vertical="center"/>
    </xf>
    <xf numFmtId="0" fontId="19" fillId="0" borderId="2" xfId="0" applyFont="1" applyBorder="1" applyAlignment="1">
      <alignment vertical="center"/>
    </xf>
    <xf numFmtId="0" fontId="34" fillId="0" borderId="0" xfId="0" applyFont="1" applyAlignment="1">
      <alignment horizontal="left" vertical="center"/>
    </xf>
    <xf numFmtId="0" fontId="19" fillId="0" borderId="0" xfId="0" applyFont="1" applyBorder="1" applyAlignment="1">
      <alignment vertical="center"/>
    </xf>
    <xf numFmtId="3" fontId="19" fillId="0" borderId="2" xfId="0" applyNumberFormat="1" applyFont="1" applyFill="1" applyBorder="1" applyAlignment="1">
      <alignment horizontal="center" vertical="center"/>
    </xf>
    <xf numFmtId="3" fontId="28" fillId="0" borderId="0" xfId="0" applyNumberFormat="1" applyFont="1" applyFill="1" applyAlignment="1">
      <alignment horizontal="center" vertical="center"/>
    </xf>
    <xf numFmtId="0" fontId="19" fillId="0" borderId="2" xfId="0" applyFont="1" applyFill="1" applyBorder="1" applyAlignment="1">
      <alignment horizontal="center" vertical="center"/>
    </xf>
    <xf numFmtId="3" fontId="28" fillId="0" borderId="2" xfId="0" applyNumberFormat="1" applyFont="1" applyBorder="1" applyAlignment="1">
      <alignment horizontal="center" vertical="center"/>
    </xf>
    <xf numFmtId="3" fontId="28" fillId="0" borderId="2" xfId="0" applyNumberFormat="1" applyFont="1" applyFill="1" applyBorder="1" applyAlignment="1">
      <alignment horizontal="center" vertical="center"/>
    </xf>
    <xf numFmtId="0" fontId="19" fillId="0" borderId="8" xfId="0" applyFont="1" applyBorder="1" applyAlignment="1">
      <alignment horizontal="center" vertical="center"/>
    </xf>
    <xf numFmtId="0" fontId="19" fillId="0" borderId="36" xfId="0" applyFont="1" applyBorder="1" applyAlignment="1">
      <alignment horizontal="center" vertical="center"/>
    </xf>
    <xf numFmtId="0" fontId="19" fillId="0" borderId="9" xfId="0" applyFont="1" applyBorder="1" applyAlignment="1">
      <alignment horizontal="center" vertical="center"/>
    </xf>
    <xf numFmtId="0" fontId="19" fillId="0" borderId="43" xfId="0" applyFont="1" applyBorder="1" applyAlignment="1">
      <alignment horizontal="center" vertical="center"/>
    </xf>
    <xf numFmtId="0" fontId="19" fillId="0" borderId="40" xfId="0" applyFont="1" applyBorder="1" applyAlignment="1">
      <alignment horizontal="left" vertical="center" wrapText="1"/>
    </xf>
    <xf numFmtId="165" fontId="19" fillId="0" borderId="0" xfId="0" applyNumberFormat="1" applyFont="1" applyFill="1" applyAlignment="1">
      <alignment vertical="center"/>
    </xf>
    <xf numFmtId="4" fontId="19" fillId="0" borderId="0" xfId="1" applyNumberFormat="1" applyFont="1"/>
    <xf numFmtId="4" fontId="19" fillId="0" borderId="0" xfId="0" applyNumberFormat="1" applyFont="1"/>
    <xf numFmtId="37" fontId="19" fillId="11" borderId="0" xfId="1" applyNumberFormat="1" applyFont="1" applyFill="1" applyAlignment="1">
      <alignment horizontal="center" vertical="center"/>
    </xf>
    <xf numFmtId="3" fontId="0" fillId="0" borderId="3" xfId="0" quotePrefix="1" applyNumberFormat="1" applyBorder="1" applyAlignment="1">
      <alignment horizontal="center" vertical="center"/>
    </xf>
    <xf numFmtId="0" fontId="0" fillId="0" borderId="8" xfId="0" applyFill="1" applyBorder="1" applyAlignment="1">
      <alignment horizontal="right"/>
    </xf>
    <xf numFmtId="0" fontId="0" fillId="0" borderId="36" xfId="0" applyFill="1" applyBorder="1" applyAlignment="1">
      <alignment horizontal="right"/>
    </xf>
    <xf numFmtId="0" fontId="19" fillId="0" borderId="0" xfId="0" applyFont="1" applyAlignment="1">
      <alignment horizontal="left" vertical="center" wrapText="1"/>
    </xf>
    <xf numFmtId="37" fontId="19" fillId="0" borderId="0" xfId="1" applyNumberFormat="1" applyFont="1" applyBorder="1" applyAlignment="1">
      <alignment horizontal="center"/>
    </xf>
    <xf numFmtId="0" fontId="37" fillId="0" borderId="0" xfId="0" applyFont="1" applyFill="1" applyAlignment="1">
      <alignment horizontal="left" vertical="center"/>
    </xf>
    <xf numFmtId="37" fontId="19" fillId="0" borderId="0" xfId="1" applyNumberFormat="1" applyFont="1" applyAlignment="1">
      <alignment horizontal="center"/>
    </xf>
    <xf numFmtId="3" fontId="19" fillId="12" borderId="2" xfId="0" applyNumberFormat="1" applyFont="1" applyFill="1" applyBorder="1" applyAlignment="1">
      <alignment horizontal="center" vertical="center"/>
    </xf>
    <xf numFmtId="0" fontId="19" fillId="0" borderId="0" xfId="0" applyFont="1" applyAlignment="1"/>
    <xf numFmtId="3" fontId="19" fillId="0" borderId="0" xfId="0" applyNumberFormat="1" applyFont="1" applyAlignment="1">
      <alignment vertical="center"/>
    </xf>
    <xf numFmtId="0" fontId="19" fillId="0" borderId="0" xfId="0" applyFont="1" applyAlignment="1">
      <alignment horizontal="center"/>
    </xf>
    <xf numFmtId="165" fontId="19" fillId="12" borderId="2" xfId="1" applyNumberFormat="1" applyFont="1" applyFill="1" applyBorder="1"/>
    <xf numFmtId="3" fontId="19" fillId="12" borderId="2" xfId="1" applyNumberFormat="1" applyFont="1" applyFill="1" applyBorder="1" applyAlignment="1">
      <alignment horizontal="center" vertical="center"/>
    </xf>
    <xf numFmtId="4" fontId="19" fillId="0" borderId="0" xfId="0" applyNumberFormat="1" applyFont="1" applyAlignment="1"/>
    <xf numFmtId="4" fontId="19" fillId="0" borderId="0" xfId="0" applyNumberFormat="1" applyFont="1" applyFill="1"/>
    <xf numFmtId="4" fontId="19" fillId="0" borderId="0" xfId="0" applyNumberFormat="1" applyFont="1" applyAlignment="1">
      <alignment vertical="center"/>
    </xf>
    <xf numFmtId="4" fontId="19" fillId="0" borderId="0" xfId="0" applyNumberFormat="1" applyFont="1" applyAlignment="1">
      <alignment horizontal="center" vertical="center"/>
    </xf>
    <xf numFmtId="3" fontId="19" fillId="11" borderId="0" xfId="0" applyNumberFormat="1" applyFont="1" applyFill="1" applyAlignment="1">
      <alignment horizontal="center"/>
    </xf>
    <xf numFmtId="4" fontId="19" fillId="11" borderId="0" xfId="0" applyNumberFormat="1" applyFont="1" applyFill="1" applyAlignment="1">
      <alignment horizontal="center" vertical="center"/>
    </xf>
    <xf numFmtId="0" fontId="31" fillId="0" borderId="0" xfId="0" applyFont="1" applyAlignment="1">
      <alignment horizontal="center" vertical="center" wrapText="1"/>
    </xf>
    <xf numFmtId="0" fontId="31" fillId="0" borderId="0" xfId="0" applyFont="1" applyBorder="1" applyAlignment="1">
      <alignment horizontal="center" vertical="center" wrapText="1"/>
    </xf>
    <xf numFmtId="0" fontId="19" fillId="9" borderId="0" xfId="0" applyFont="1" applyFill="1" applyAlignment="1">
      <alignment horizontal="center" vertical="center" wrapText="1"/>
    </xf>
    <xf numFmtId="0" fontId="31" fillId="0" borderId="0" xfId="0" applyFont="1" applyAlignment="1">
      <alignment vertical="center" wrapText="1"/>
    </xf>
    <xf numFmtId="0" fontId="19" fillId="0" borderId="0" xfId="0" applyFont="1" applyAlignment="1">
      <alignment horizontal="left" vertical="center"/>
    </xf>
    <xf numFmtId="0" fontId="19" fillId="9" borderId="0" xfId="0" applyFont="1" applyFill="1" applyAlignment="1">
      <alignment vertical="center"/>
    </xf>
    <xf numFmtId="0" fontId="31" fillId="0" borderId="1" xfId="0" applyFont="1" applyBorder="1" applyAlignment="1">
      <alignment vertical="center"/>
    </xf>
    <xf numFmtId="0" fontId="31" fillId="0" borderId="0" xfId="0" applyFont="1" applyFill="1" applyBorder="1" applyAlignment="1">
      <alignment horizontal="left" vertical="center"/>
    </xf>
    <xf numFmtId="0" fontId="19" fillId="9" borderId="0" xfId="0" applyFont="1" applyFill="1" applyBorder="1" applyAlignment="1">
      <alignment vertical="center"/>
    </xf>
    <xf numFmtId="0" fontId="34" fillId="0" borderId="0" xfId="0" applyFont="1" applyBorder="1" applyAlignment="1">
      <alignment vertical="center"/>
    </xf>
    <xf numFmtId="0" fontId="31" fillId="0" borderId="0" xfId="0" applyFont="1" applyFill="1" applyBorder="1" applyAlignment="1">
      <alignment horizontal="center" vertical="center" wrapText="1"/>
    </xf>
    <xf numFmtId="0" fontId="38" fillId="0" borderId="0" xfId="3" applyFont="1" applyBorder="1" applyAlignment="1">
      <alignment vertical="center"/>
    </xf>
    <xf numFmtId="0" fontId="28" fillId="0" borderId="0" xfId="0" applyFont="1" applyAlignment="1">
      <alignment vertical="center"/>
    </xf>
    <xf numFmtId="0" fontId="34" fillId="0" borderId="0" xfId="0" applyFont="1" applyBorder="1" applyAlignment="1">
      <alignment horizontal="left" vertical="center"/>
    </xf>
    <xf numFmtId="0" fontId="28" fillId="0" borderId="1" xfId="0" applyFont="1" applyFill="1" applyBorder="1" applyAlignment="1">
      <alignment horizontal="center" vertical="center" wrapText="1"/>
    </xf>
    <xf numFmtId="3" fontId="19" fillId="0" borderId="2" xfId="1" applyNumberFormat="1" applyFont="1" applyBorder="1" applyAlignment="1">
      <alignment horizontal="center" vertical="center"/>
    </xf>
    <xf numFmtId="3" fontId="19" fillId="0" borderId="0" xfId="1" applyNumberFormat="1" applyFont="1" applyBorder="1" applyAlignment="1">
      <alignment horizontal="center" vertical="center"/>
    </xf>
    <xf numFmtId="0" fontId="31" fillId="0" borderId="0" xfId="0" applyFont="1" applyBorder="1" applyAlignment="1">
      <alignment horizontal="right" vertical="center"/>
    </xf>
    <xf numFmtId="3" fontId="39" fillId="0" borderId="0" xfId="1" applyNumberFormat="1" applyFont="1" applyFill="1" applyBorder="1" applyAlignment="1">
      <alignment horizontal="center" vertical="center"/>
    </xf>
    <xf numFmtId="3" fontId="19" fillId="0" borderId="0" xfId="0" applyNumberFormat="1" applyFont="1" applyBorder="1" applyAlignment="1">
      <alignment vertical="center"/>
    </xf>
    <xf numFmtId="37" fontId="31" fillId="0" borderId="0" xfId="0" applyNumberFormat="1" applyFont="1" applyBorder="1" applyAlignment="1">
      <alignment horizontal="center" vertical="center"/>
    </xf>
    <xf numFmtId="37" fontId="31" fillId="0" borderId="0" xfId="1" applyNumberFormat="1" applyFont="1" applyBorder="1" applyAlignment="1">
      <alignment horizontal="center" vertical="center"/>
    </xf>
    <xf numFmtId="171" fontId="0" fillId="0" borderId="0" xfId="0" applyNumberFormat="1" applyAlignment="1">
      <alignment horizontal="center" vertical="center"/>
    </xf>
    <xf numFmtId="0" fontId="19" fillId="0" borderId="0" xfId="0" applyFont="1" applyAlignment="1">
      <alignment horizontal="left" vertical="center" wrapText="1"/>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2" fontId="0" fillId="0" borderId="0" xfId="0" applyNumberFormat="1" applyAlignment="1">
      <alignment horizontal="center" vertical="center"/>
    </xf>
    <xf numFmtId="3" fontId="19" fillId="8" borderId="2" xfId="0" applyNumberFormat="1" applyFont="1" applyFill="1" applyBorder="1" applyAlignment="1">
      <alignment horizontal="center" vertical="center"/>
    </xf>
    <xf numFmtId="43" fontId="19" fillId="0" borderId="2" xfId="1" applyNumberFormat="1" applyFont="1" applyFill="1" applyBorder="1" applyAlignment="1">
      <alignment vertical="center"/>
    </xf>
    <xf numFmtId="37" fontId="19" fillId="0" borderId="0" xfId="1" applyNumberFormat="1" applyFont="1" applyBorder="1" applyAlignment="1">
      <alignment horizontal="center" vertical="center"/>
    </xf>
    <xf numFmtId="0" fontId="40" fillId="0" borderId="2" xfId="0" applyFont="1" applyFill="1" applyBorder="1" applyAlignment="1">
      <alignment horizontal="left" vertical="center"/>
    </xf>
    <xf numFmtId="168" fontId="19" fillId="0" borderId="0" xfId="0" applyNumberFormat="1" applyFont="1" applyFill="1" applyAlignment="1">
      <alignment horizontal="center" vertical="center"/>
    </xf>
    <xf numFmtId="0" fontId="31" fillId="0" borderId="0" xfId="0" applyFont="1" applyAlignment="1">
      <alignment horizontal="right" vertical="center"/>
    </xf>
    <xf numFmtId="0" fontId="28" fillId="0" borderId="0" xfId="0" applyFont="1" applyFill="1" applyAlignment="1">
      <alignment horizontal="center" vertical="center"/>
    </xf>
    <xf numFmtId="0" fontId="28" fillId="0" borderId="0" xfId="0" applyFont="1" applyFill="1" applyAlignment="1">
      <alignment vertical="center"/>
    </xf>
    <xf numFmtId="3" fontId="19" fillId="0" borderId="0" xfId="0" applyNumberFormat="1" applyFont="1" applyFill="1" applyAlignment="1">
      <alignment vertical="center"/>
    </xf>
    <xf numFmtId="3" fontId="19" fillId="0" borderId="0"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horizontal="right" vertical="center"/>
    </xf>
    <xf numFmtId="3" fontId="31" fillId="0" borderId="0" xfId="0" applyNumberFormat="1" applyFont="1" applyAlignment="1">
      <alignment horizontal="left" vertical="center"/>
    </xf>
    <xf numFmtId="37" fontId="31" fillId="0" borderId="0" xfId="0" applyNumberFormat="1" applyFont="1" applyBorder="1" applyAlignment="1">
      <alignment horizontal="left" vertical="center"/>
    </xf>
    <xf numFmtId="4" fontId="19" fillId="0" borderId="0" xfId="0" applyNumberFormat="1" applyFont="1" applyAlignment="1">
      <alignment horizontal="center"/>
    </xf>
    <xf numFmtId="0" fontId="37" fillId="0" borderId="0" xfId="0" applyFont="1" applyFill="1"/>
    <xf numFmtId="0" fontId="19" fillId="5" borderId="0" xfId="0" applyFont="1" applyFill="1" applyAlignment="1">
      <alignment vertical="center"/>
    </xf>
    <xf numFmtId="0" fontId="41" fillId="0" borderId="0" xfId="0" applyFont="1" applyAlignment="1">
      <alignment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xf>
    <xf numFmtId="0" fontId="28" fillId="0" borderId="1" xfId="0" applyFont="1" applyBorder="1" applyAlignment="1">
      <alignment vertical="center"/>
    </xf>
    <xf numFmtId="0" fontId="39" fillId="0" borderId="1" xfId="0" applyFont="1" applyFill="1" applyBorder="1" applyAlignment="1">
      <alignment horizontal="center" vertical="center"/>
    </xf>
    <xf numFmtId="0" fontId="39" fillId="0" borderId="1" xfId="0" applyFont="1" applyFill="1" applyBorder="1" applyAlignment="1">
      <alignment horizontal="center" vertical="center" wrapText="1"/>
    </xf>
    <xf numFmtId="0" fontId="28" fillId="0" borderId="1" xfId="0" applyFont="1" applyFill="1" applyBorder="1" applyAlignment="1">
      <alignment horizontal="right" vertical="center"/>
    </xf>
    <xf numFmtId="0" fontId="28" fillId="0" borderId="1" xfId="0" applyFont="1" applyBorder="1" applyAlignment="1">
      <alignment horizontal="right" vertical="center"/>
    </xf>
    <xf numFmtId="0" fontId="39" fillId="0" borderId="0" xfId="0" applyFont="1" applyFill="1" applyAlignment="1">
      <alignment vertical="center"/>
    </xf>
    <xf numFmtId="0" fontId="39" fillId="0" borderId="0" xfId="0" applyFont="1" applyAlignment="1">
      <alignment vertical="center"/>
    </xf>
    <xf numFmtId="0" fontId="34" fillId="0" borderId="0" xfId="0" applyFont="1" applyAlignment="1">
      <alignment horizontal="right" vertical="center"/>
    </xf>
    <xf numFmtId="0" fontId="31" fillId="0" borderId="0" xfId="0" applyFont="1" applyAlignment="1">
      <alignment horizontal="right" vertical="center" wrapText="1"/>
    </xf>
    <xf numFmtId="0" fontId="19" fillId="0" borderId="0" xfId="0" applyFont="1" applyAlignment="1">
      <alignment horizontal="right" vertical="center"/>
    </xf>
    <xf numFmtId="4" fontId="19" fillId="0" borderId="0" xfId="0" applyNumberFormat="1" applyFont="1" applyAlignment="1">
      <alignment horizontal="right" vertical="center"/>
    </xf>
    <xf numFmtId="4" fontId="19" fillId="0" borderId="0" xfId="0" applyNumberFormat="1" applyFont="1" applyAlignment="1">
      <alignment horizontal="right"/>
    </xf>
    <xf numFmtId="37" fontId="19" fillId="0" borderId="0" xfId="1" applyNumberFormat="1" applyFont="1" applyBorder="1" applyAlignment="1">
      <alignment horizontal="right"/>
    </xf>
    <xf numFmtId="3" fontId="28" fillId="0" borderId="0" xfId="0" applyNumberFormat="1" applyFont="1" applyFill="1" applyAlignment="1">
      <alignment horizontal="right" vertical="center"/>
    </xf>
    <xf numFmtId="0" fontId="19" fillId="0" borderId="0" xfId="0" applyFont="1" applyFill="1" applyAlignment="1">
      <alignment horizontal="right"/>
    </xf>
    <xf numFmtId="0" fontId="19" fillId="8" borderId="2" xfId="0" applyFont="1" applyFill="1" applyBorder="1" applyAlignment="1">
      <alignment horizontal="left" vertical="center"/>
    </xf>
    <xf numFmtId="3" fontId="19" fillId="8" borderId="0" xfId="0" applyNumberFormat="1" applyFont="1" applyFill="1" applyAlignment="1">
      <alignment horizontal="center" vertical="center"/>
    </xf>
    <xf numFmtId="168" fontId="19" fillId="8" borderId="0" xfId="0" applyNumberFormat="1" applyFont="1" applyFill="1" applyAlignment="1">
      <alignment horizontal="center" vertical="center"/>
    </xf>
    <xf numFmtId="3" fontId="40" fillId="8" borderId="2" xfId="0" applyNumberFormat="1" applyFont="1" applyFill="1" applyBorder="1" applyAlignment="1">
      <alignment horizontal="center" vertical="center"/>
    </xf>
    <xf numFmtId="171" fontId="19" fillId="8" borderId="0" xfId="0" applyNumberFormat="1" applyFont="1" applyFill="1" applyAlignment="1">
      <alignment horizontal="center" vertical="center"/>
    </xf>
    <xf numFmtId="3" fontId="32" fillId="8" borderId="0" xfId="0" applyNumberFormat="1" applyFont="1" applyFill="1" applyBorder="1" applyAlignment="1">
      <alignment horizontal="left" vertical="center"/>
    </xf>
    <xf numFmtId="0" fontId="19" fillId="8" borderId="0" xfId="0" applyFont="1" applyFill="1" applyAlignment="1">
      <alignment horizontal="center" vertical="center"/>
    </xf>
    <xf numFmtId="0" fontId="42" fillId="0" borderId="0" xfId="0" applyFont="1" applyFill="1" applyAlignment="1">
      <alignment horizontal="center" vertical="center"/>
    </xf>
    <xf numFmtId="0" fontId="0" fillId="0" borderId="1" xfId="0" applyFont="1" applyFill="1" applyBorder="1" applyAlignment="1">
      <alignment horizontal="lef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3" fontId="1" fillId="0" borderId="0" xfId="1" applyNumberFormat="1" applyFont="1" applyFill="1" applyBorder="1" applyAlignment="1">
      <alignment vertical="center"/>
    </xf>
    <xf numFmtId="3" fontId="0" fillId="0" borderId="0" xfId="1" applyNumberFormat="1"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3" fontId="1" fillId="0" borderId="1" xfId="1" applyNumberFormat="1" applyFont="1" applyFill="1" applyBorder="1" applyAlignment="1">
      <alignment vertical="center"/>
    </xf>
    <xf numFmtId="3" fontId="0" fillId="0" borderId="1" xfId="1" applyNumberFormat="1" applyFont="1" applyFill="1" applyBorder="1" applyAlignment="1">
      <alignment vertical="center"/>
    </xf>
    <xf numFmtId="0" fontId="33" fillId="0" borderId="0" xfId="0" applyFont="1" applyAlignment="1">
      <alignment horizontal="left" vertical="center"/>
    </xf>
    <xf numFmtId="0" fontId="33" fillId="0" borderId="0" xfId="0" applyFont="1" applyAlignment="1">
      <alignment vertical="center"/>
    </xf>
    <xf numFmtId="0" fontId="0" fillId="7" borderId="8" xfId="0" applyFill="1" applyBorder="1" applyAlignment="1">
      <alignment vertical="center"/>
    </xf>
    <xf numFmtId="167" fontId="0" fillId="7" borderId="36" xfId="0" applyNumberFormat="1" applyFill="1" applyBorder="1" applyAlignment="1">
      <alignment vertical="center"/>
    </xf>
    <xf numFmtId="0" fontId="0" fillId="7" borderId="36" xfId="0" applyFill="1" applyBorder="1" applyAlignment="1">
      <alignment vertical="center"/>
    </xf>
    <xf numFmtId="3" fontId="0" fillId="7" borderId="36" xfId="0" applyNumberFormat="1" applyFill="1" applyBorder="1" applyAlignment="1">
      <alignment vertical="center"/>
    </xf>
    <xf numFmtId="3" fontId="0" fillId="7" borderId="9" xfId="0" applyNumberFormat="1" applyFill="1" applyBorder="1" applyAlignment="1">
      <alignment vertical="center"/>
    </xf>
    <xf numFmtId="0" fontId="19" fillId="0" borderId="43" xfId="0" applyFont="1" applyBorder="1" applyAlignment="1">
      <alignment vertical="center"/>
    </xf>
    <xf numFmtId="0" fontId="19" fillId="0" borderId="44" xfId="0" applyFont="1" applyBorder="1" applyAlignment="1">
      <alignment vertical="center"/>
    </xf>
    <xf numFmtId="0" fontId="19" fillId="0" borderId="40" xfId="0" applyFont="1" applyBorder="1" applyAlignment="1">
      <alignment vertical="center"/>
    </xf>
    <xf numFmtId="0" fontId="19" fillId="0" borderId="1" xfId="0" applyFont="1" applyBorder="1" applyAlignment="1">
      <alignment vertical="center"/>
    </xf>
    <xf numFmtId="0" fontId="19" fillId="0" borderId="7" xfId="0" applyFont="1" applyBorder="1" applyAlignment="1">
      <alignment vertical="center"/>
    </xf>
    <xf numFmtId="0" fontId="19" fillId="0" borderId="39" xfId="0" applyFont="1" applyBorder="1" applyAlignment="1">
      <alignment vertical="center"/>
    </xf>
    <xf numFmtId="0" fontId="19" fillId="0" borderId="41" xfId="0" applyFont="1" applyBorder="1" applyAlignment="1">
      <alignment horizontal="left" vertical="center"/>
    </xf>
    <xf numFmtId="0" fontId="19" fillId="0" borderId="41" xfId="0" applyFont="1" applyBorder="1" applyAlignment="1">
      <alignment vertical="center"/>
    </xf>
    <xf numFmtId="9" fontId="19" fillId="0" borderId="1" xfId="0" applyNumberFormat="1" applyFont="1" applyBorder="1" applyAlignment="1">
      <alignment horizontal="center" vertical="center"/>
    </xf>
    <xf numFmtId="171" fontId="0" fillId="0" borderId="42" xfId="0" applyNumberFormat="1" applyBorder="1" applyAlignment="1">
      <alignment horizontal="center" vertical="center"/>
    </xf>
    <xf numFmtId="169" fontId="0" fillId="0" borderId="41" xfId="2" applyNumberFormat="1" applyFont="1" applyBorder="1" applyAlignment="1">
      <alignment horizontal="center" vertical="center"/>
    </xf>
    <xf numFmtId="172" fontId="0" fillId="0" borderId="7" xfId="0" applyNumberFormat="1" applyBorder="1" applyAlignment="1">
      <alignment horizontal="center" vertical="center"/>
    </xf>
    <xf numFmtId="37" fontId="0" fillId="0" borderId="40" xfId="1" applyNumberFormat="1" applyFont="1" applyBorder="1" applyAlignment="1">
      <alignment horizontal="center" vertical="center"/>
    </xf>
    <xf numFmtId="3" fontId="43" fillId="0" borderId="40" xfId="0" applyNumberFormat="1" applyFont="1" applyBorder="1" applyAlignment="1">
      <alignment horizontal="center" vertical="center"/>
    </xf>
    <xf numFmtId="168" fontId="0" fillId="0" borderId="4" xfId="0" applyNumberFormat="1" applyBorder="1" applyAlignment="1">
      <alignment horizontal="center" vertical="center"/>
    </xf>
    <xf numFmtId="168" fontId="0" fillId="0" borderId="3" xfId="0" applyNumberFormat="1" applyBorder="1" applyAlignment="1">
      <alignment horizontal="center" vertical="center"/>
    </xf>
    <xf numFmtId="168" fontId="0" fillId="0" borderId="45" xfId="0" applyNumberFormat="1" applyBorder="1" applyAlignment="1">
      <alignment horizontal="center" vertical="center"/>
    </xf>
    <xf numFmtId="168" fontId="0" fillId="0" borderId="4" xfId="0" applyNumberFormat="1" applyBorder="1" applyAlignment="1">
      <alignment vertical="center"/>
    </xf>
    <xf numFmtId="168" fontId="0" fillId="0" borderId="2" xfId="0" applyNumberFormat="1" applyBorder="1" applyAlignment="1">
      <alignment horizontal="center" vertical="center"/>
    </xf>
    <xf numFmtId="0" fontId="29" fillId="0" borderId="0" xfId="0" applyFont="1" applyAlignment="1">
      <alignment vertical="center"/>
    </xf>
    <xf numFmtId="3" fontId="29" fillId="0" borderId="0" xfId="0" applyNumberFormat="1" applyFont="1" applyAlignment="1">
      <alignment horizontal="right" vertical="center"/>
    </xf>
    <xf numFmtId="166" fontId="29" fillId="0" borderId="0" xfId="2" applyNumberFormat="1" applyFont="1" applyAlignment="1">
      <alignment horizontal="left" vertical="center"/>
    </xf>
    <xf numFmtId="3" fontId="29" fillId="0" borderId="0" xfId="0" applyNumberFormat="1" applyFont="1" applyAlignment="1">
      <alignment horizontal="center" vertical="center"/>
    </xf>
    <xf numFmtId="0" fontId="29" fillId="0" borderId="0" xfId="0" applyFont="1" applyAlignment="1">
      <alignment horizontal="right" vertical="center"/>
    </xf>
    <xf numFmtId="3" fontId="29" fillId="0" borderId="0" xfId="0" applyNumberFormat="1" applyFont="1" applyAlignment="1">
      <alignment horizontal="left" vertical="center"/>
    </xf>
    <xf numFmtId="0" fontId="29" fillId="0" borderId="0" xfId="0" applyNumberFormat="1" applyFont="1" applyAlignment="1">
      <alignment horizontal="center" vertical="center"/>
    </xf>
    <xf numFmtId="9" fontId="29" fillId="0" borderId="0" xfId="2" applyFont="1" applyAlignment="1">
      <alignment horizontal="left" vertical="center"/>
    </xf>
    <xf numFmtId="0" fontId="29" fillId="0" borderId="0" xfId="0" applyFont="1" applyBorder="1" applyAlignment="1">
      <alignment vertical="center"/>
    </xf>
    <xf numFmtId="0" fontId="29" fillId="0" borderId="0" xfId="0" applyFont="1" applyBorder="1" applyAlignment="1">
      <alignment horizontal="center" vertical="center"/>
    </xf>
    <xf numFmtId="3" fontId="29" fillId="0" borderId="0" xfId="0" applyNumberFormat="1" applyFont="1" applyBorder="1" applyAlignment="1">
      <alignment horizontal="center" vertical="center"/>
    </xf>
    <xf numFmtId="168" fontId="0" fillId="0" borderId="7" xfId="0" applyNumberFormat="1" applyBorder="1" applyAlignment="1">
      <alignment horizontal="center" vertical="center"/>
    </xf>
    <xf numFmtId="168" fontId="0" fillId="0" borderId="42" xfId="0" applyNumberFormat="1" applyBorder="1" applyAlignment="1">
      <alignment horizontal="center" vertical="center"/>
    </xf>
    <xf numFmtId="168" fontId="0" fillId="0" borderId="44" xfId="0" applyNumberFormat="1" applyBorder="1" applyAlignment="1">
      <alignment horizontal="center" vertical="center"/>
    </xf>
    <xf numFmtId="168" fontId="0" fillId="0" borderId="9" xfId="0" applyNumberFormat="1" applyFill="1" applyBorder="1" applyAlignment="1">
      <alignment horizontal="center" vertical="center"/>
    </xf>
    <xf numFmtId="168" fontId="0" fillId="0" borderId="9" xfId="0" applyNumberFormat="1" applyBorder="1" applyAlignment="1">
      <alignment horizontal="center" vertical="center"/>
    </xf>
    <xf numFmtId="0" fontId="37" fillId="0" borderId="0" xfId="0" applyFont="1" applyAlignment="1">
      <alignment vertical="center"/>
    </xf>
    <xf numFmtId="0" fontId="0" fillId="0" borderId="0" xfId="0" applyFill="1" applyBorder="1" applyAlignment="1">
      <alignment vertical="center" wrapText="1"/>
    </xf>
    <xf numFmtId="3" fontId="43" fillId="0" borderId="0" xfId="0" applyNumberFormat="1" applyFont="1" applyFill="1" applyBorder="1" applyAlignment="1">
      <alignment horizontal="center" vertical="center"/>
    </xf>
    <xf numFmtId="166" fontId="0" fillId="0" borderId="0" xfId="0" applyNumberFormat="1" applyFill="1" applyBorder="1" applyAlignment="1">
      <alignment horizontal="center" vertical="center"/>
    </xf>
    <xf numFmtId="166" fontId="0" fillId="0" borderId="0" xfId="2" applyNumberFormat="1" applyFont="1" applyFill="1" applyBorder="1" applyAlignment="1">
      <alignment horizontal="center" vertical="center"/>
    </xf>
    <xf numFmtId="170" fontId="0" fillId="0" borderId="0" xfId="0" applyNumberFormat="1" applyFill="1" applyBorder="1" applyAlignment="1">
      <alignment horizontal="center" vertical="center"/>
    </xf>
    <xf numFmtId="10" fontId="0" fillId="0" borderId="44" xfId="2" applyNumberFormat="1" applyFont="1" applyBorder="1" applyAlignment="1">
      <alignment horizontal="center" vertical="center"/>
    </xf>
    <xf numFmtId="10" fontId="29" fillId="0" borderId="0" xfId="2" applyNumberFormat="1" applyFont="1" applyAlignment="1">
      <alignment horizontal="left" vertical="center"/>
    </xf>
    <xf numFmtId="10" fontId="0" fillId="0" borderId="42" xfId="2" applyNumberFormat="1" applyFont="1" applyBorder="1" applyAlignment="1">
      <alignment horizontal="center" vertical="center"/>
    </xf>
    <xf numFmtId="0" fontId="10" fillId="0" borderId="0" xfId="0" applyFont="1" applyFill="1" applyAlignment="1">
      <alignment horizontal="left" vertical="center"/>
    </xf>
    <xf numFmtId="0" fontId="0" fillId="13" borderId="3" xfId="0" applyFill="1" applyBorder="1" applyAlignment="1">
      <alignment horizontal="center" vertical="center" wrapText="1"/>
    </xf>
    <xf numFmtId="4" fontId="0" fillId="13" borderId="45" xfId="0" applyNumberFormat="1" applyFill="1" applyBorder="1" applyAlignment="1">
      <alignment horizontal="center" vertical="center"/>
    </xf>
    <xf numFmtId="170" fontId="0" fillId="13" borderId="45" xfId="0" applyNumberFormat="1" applyFill="1" applyBorder="1" applyAlignment="1">
      <alignment horizontal="center" vertical="center"/>
    </xf>
    <xf numFmtId="4" fontId="0" fillId="13" borderId="4" xfId="0" applyNumberFormat="1" applyFill="1" applyBorder="1" applyAlignment="1">
      <alignment horizontal="center" vertical="center"/>
    </xf>
    <xf numFmtId="0" fontId="0" fillId="0" borderId="41" xfId="0" applyBorder="1" applyAlignment="1">
      <alignment horizontal="center" vertical="center" wrapText="1"/>
    </xf>
    <xf numFmtId="168" fontId="0" fillId="0" borderId="39" xfId="0" applyNumberFormat="1" applyBorder="1" applyAlignment="1">
      <alignment horizontal="center" vertical="center"/>
    </xf>
    <xf numFmtId="168" fontId="0" fillId="0" borderId="43" xfId="0" applyNumberFormat="1" applyBorder="1" applyAlignment="1">
      <alignment horizontal="center" vertical="center"/>
    </xf>
    <xf numFmtId="168" fontId="0" fillId="0" borderId="40" xfId="0" applyNumberFormat="1" applyBorder="1" applyAlignment="1">
      <alignment horizontal="center" vertical="center"/>
    </xf>
    <xf numFmtId="168" fontId="0" fillId="0" borderId="40" xfId="0" applyNumberFormat="1" applyBorder="1" applyAlignment="1">
      <alignment vertical="center"/>
    </xf>
    <xf numFmtId="3" fontId="43" fillId="0" borderId="1" xfId="0" applyNumberFormat="1" applyFont="1" applyBorder="1" applyAlignment="1">
      <alignment horizontal="center" vertical="center"/>
    </xf>
    <xf numFmtId="0" fontId="0" fillId="0" borderId="8" xfId="0" applyFill="1" applyBorder="1" applyAlignment="1">
      <alignment horizontal="right"/>
    </xf>
    <xf numFmtId="0" fontId="0" fillId="0" borderId="9" xfId="0" applyFill="1" applyBorder="1" applyAlignment="1">
      <alignment horizontal="right"/>
    </xf>
    <xf numFmtId="0" fontId="0" fillId="0" borderId="36" xfId="0" applyFill="1" applyBorder="1" applyAlignment="1">
      <alignment horizontal="right"/>
    </xf>
    <xf numFmtId="0" fontId="0" fillId="0" borderId="8" xfId="0" applyFill="1" applyBorder="1" applyAlignment="1">
      <alignment horizontal="right"/>
    </xf>
    <xf numFmtId="0" fontId="0" fillId="0" borderId="9" xfId="0" applyFill="1" applyBorder="1" applyAlignment="1">
      <alignment horizontal="right"/>
    </xf>
    <xf numFmtId="0" fontId="2" fillId="0" borderId="8" xfId="0" applyFont="1" applyFill="1" applyBorder="1" applyAlignment="1">
      <alignment horizontal="right"/>
    </xf>
    <xf numFmtId="0" fontId="2" fillId="0" borderId="36" xfId="0" applyFont="1" applyFill="1" applyBorder="1" applyAlignment="1">
      <alignment horizontal="right"/>
    </xf>
    <xf numFmtId="0" fontId="0" fillId="0" borderId="36" xfId="0" applyFill="1" applyBorder="1" applyAlignment="1">
      <alignment horizontal="right"/>
    </xf>
    <xf numFmtId="0" fontId="19" fillId="0" borderId="0" xfId="0" applyFont="1" applyAlignment="1">
      <alignment horizontal="left" vertical="center" wrapText="1"/>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9" fillId="0" borderId="28" xfId="0" applyFont="1" applyBorder="1" applyAlignment="1">
      <alignment horizontal="right"/>
    </xf>
    <xf numFmtId="0" fontId="9" fillId="0" borderId="36" xfId="0" applyFont="1" applyBorder="1" applyAlignment="1">
      <alignment horizontal="right"/>
    </xf>
    <xf numFmtId="0" fontId="9" fillId="0" borderId="9" xfId="0" applyFont="1" applyBorder="1" applyAlignment="1">
      <alignment horizontal="right"/>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28" xfId="0" applyBorder="1" applyAlignment="1">
      <alignment horizontal="right"/>
    </xf>
    <xf numFmtId="0" fontId="0" fillId="0" borderId="36" xfId="0" applyBorder="1" applyAlignment="1">
      <alignment horizontal="right"/>
    </xf>
    <xf numFmtId="0" fontId="0" fillId="0" borderId="9"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38" xfId="0" applyBorder="1" applyAlignment="1">
      <alignment horizontal="right"/>
    </xf>
    <xf numFmtId="0" fontId="0" fillId="0" borderId="28" xfId="0" applyBorder="1" applyAlignment="1">
      <alignment horizontal="center"/>
    </xf>
    <xf numFmtId="0" fontId="0" fillId="0" borderId="36" xfId="0" applyBorder="1" applyAlignment="1">
      <alignment horizontal="center"/>
    </xf>
    <xf numFmtId="0" fontId="0" fillId="0" borderId="9"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1" xfId="0" applyBorder="1" applyAlignment="1">
      <alignment horizontal="center"/>
    </xf>
  </cellXfs>
  <cellStyles count="11">
    <cellStyle name="Accent4" xfId="4" builtinId="41"/>
    <cellStyle name="Comma" xfId="1" builtinId="3"/>
    <cellStyle name="Comma 2" xfId="5"/>
    <cellStyle name="Hyperlink" xfId="3" builtinId="8"/>
    <cellStyle name="Normal" xfId="0" builtinId="0"/>
    <cellStyle name="Normal 2" xfId="6"/>
    <cellStyle name="Normal 3" xfId="7"/>
    <cellStyle name="Normal 4" xfId="8"/>
    <cellStyle name="Normal 5" xfId="9"/>
    <cellStyle name="Percent" xfId="2" builtinId="5"/>
    <cellStyle name="Percent 2" xfId="1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worksheet" Target="worksheets/sheet35.xml"/><Relationship Id="rId21" Type="http://schemas.openxmlformats.org/officeDocument/2006/relationships/worksheet" Target="worksheets/sheet17.xml"/><Relationship Id="rId34" Type="http://schemas.openxmlformats.org/officeDocument/2006/relationships/worksheet" Target="worksheets/sheet30.xml"/><Relationship Id="rId42" Type="http://schemas.openxmlformats.org/officeDocument/2006/relationships/worksheet" Target="worksheets/sheet38.xml"/><Relationship Id="rId47" Type="http://schemas.openxmlformats.org/officeDocument/2006/relationships/worksheet" Target="worksheets/sheet43.xml"/><Relationship Id="rId50" Type="http://schemas.openxmlformats.org/officeDocument/2006/relationships/worksheet" Target="worksheets/sheet46.xml"/><Relationship Id="rId55" Type="http://schemas.openxmlformats.org/officeDocument/2006/relationships/styles" Target="styles.xml"/><Relationship Id="rId7" Type="http://schemas.openxmlformats.org/officeDocument/2006/relationships/worksheet" Target="worksheets/sheet3.xml"/><Relationship Id="rId2" Type="http://schemas.openxmlformats.org/officeDocument/2006/relationships/chartsheet" Target="chartsheets/sheet2.xml"/><Relationship Id="rId16" Type="http://schemas.openxmlformats.org/officeDocument/2006/relationships/worksheet" Target="worksheets/sheet12.xml"/><Relationship Id="rId29" Type="http://schemas.openxmlformats.org/officeDocument/2006/relationships/worksheet" Target="worksheets/sheet25.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worksheet" Target="worksheets/sheet33.xml"/><Relationship Id="rId40" Type="http://schemas.openxmlformats.org/officeDocument/2006/relationships/worksheet" Target="worksheets/sheet36.xml"/><Relationship Id="rId45" Type="http://schemas.openxmlformats.org/officeDocument/2006/relationships/worksheet" Target="worksheets/sheet41.xml"/><Relationship Id="rId53" Type="http://schemas.openxmlformats.org/officeDocument/2006/relationships/pivotCacheDefinition" Target="pivotCache/pivotCacheDefinition1.xml"/><Relationship Id="rId58" Type="http://schemas.openxmlformats.org/officeDocument/2006/relationships/customXml" Target="../customXml/item1.xml"/><Relationship Id="rId5" Type="http://schemas.openxmlformats.org/officeDocument/2006/relationships/worksheet" Target="worksheets/sheet1.xml"/><Relationship Id="rId61" Type="http://schemas.openxmlformats.org/officeDocument/2006/relationships/customXml" Target="../customXml/item4.xml"/><Relationship Id="rId19" Type="http://schemas.openxmlformats.org/officeDocument/2006/relationships/worksheet" Target="worksheets/sheet15.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43" Type="http://schemas.openxmlformats.org/officeDocument/2006/relationships/worksheet" Target="worksheets/sheet39.xml"/><Relationship Id="rId48" Type="http://schemas.openxmlformats.org/officeDocument/2006/relationships/worksheet" Target="worksheets/sheet44.xml"/><Relationship Id="rId56" Type="http://schemas.openxmlformats.org/officeDocument/2006/relationships/sharedStrings" Target="sharedStrings.xml"/><Relationship Id="rId8" Type="http://schemas.openxmlformats.org/officeDocument/2006/relationships/worksheet" Target="worksheets/sheet4.xml"/><Relationship Id="rId51" Type="http://schemas.openxmlformats.org/officeDocument/2006/relationships/worksheet" Target="worksheets/sheet47.xml"/><Relationship Id="rId3" Type="http://schemas.openxmlformats.org/officeDocument/2006/relationships/chartsheet" Target="chartsheets/sheet3.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worksheet" Target="worksheets/sheet34.xml"/><Relationship Id="rId46" Type="http://schemas.openxmlformats.org/officeDocument/2006/relationships/worksheet" Target="worksheets/sheet42.xml"/><Relationship Id="rId59" Type="http://schemas.openxmlformats.org/officeDocument/2006/relationships/customXml" Target="../customXml/item2.xml"/><Relationship Id="rId20" Type="http://schemas.openxmlformats.org/officeDocument/2006/relationships/worksheet" Target="worksheets/sheet16.xml"/><Relationship Id="rId41" Type="http://schemas.openxmlformats.org/officeDocument/2006/relationships/worksheet" Target="worksheets/sheet37.xml"/><Relationship Id="rId54"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2.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worksheet" Target="worksheets/sheet32.xml"/><Relationship Id="rId49" Type="http://schemas.openxmlformats.org/officeDocument/2006/relationships/worksheet" Target="worksheets/sheet45.xml"/><Relationship Id="rId57" Type="http://schemas.openxmlformats.org/officeDocument/2006/relationships/calcChain" Target="calcChain.xml"/><Relationship Id="rId10" Type="http://schemas.openxmlformats.org/officeDocument/2006/relationships/worksheet" Target="worksheets/sheet6.xml"/><Relationship Id="rId31" Type="http://schemas.openxmlformats.org/officeDocument/2006/relationships/worksheet" Target="worksheets/sheet27.xml"/><Relationship Id="rId44" Type="http://schemas.openxmlformats.org/officeDocument/2006/relationships/worksheet" Target="worksheets/sheet40.xml"/><Relationship Id="rId52" Type="http://schemas.openxmlformats.org/officeDocument/2006/relationships/worksheet" Target="worksheets/sheet48.xml"/><Relationship Id="rId60" Type="http://schemas.openxmlformats.org/officeDocument/2006/relationships/customXml" Target="../customXml/item3.xml"/><Relationship Id="rId4" Type="http://schemas.openxmlformats.org/officeDocument/2006/relationships/chartsheet" Target="chartsheets/sheet4.xml"/><Relationship Id="rId9"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 Total Emissions by Resource Type</a:t>
            </a:r>
          </a:p>
        </c:rich>
      </c:tx>
      <c:layout/>
      <c:overlay val="0"/>
    </c:title>
    <c:autoTitleDeleted val="0"/>
    <c:plotArea>
      <c:layout/>
      <c:barChart>
        <c:barDir val="col"/>
        <c:grouping val="stacked"/>
        <c:varyColors val="0"/>
        <c:ser>
          <c:idx val="5"/>
          <c:order val="0"/>
          <c:tx>
            <c:strRef>
              <c:f>'Pivot table for 10 yr look back'!$B$26</c:f>
              <c:strCache>
                <c:ptCount val="1"/>
                <c:pt idx="0">
                  <c:v>Market Unspecified</c:v>
                </c:pt>
              </c:strCache>
            </c:strRef>
          </c:tx>
          <c:spPr>
            <a:solidFill>
              <a:schemeClr val="accent1">
                <a:lumMod val="50000"/>
              </a:schemeClr>
            </a:solidFill>
          </c:spPr>
          <c:invertIfNegative val="0"/>
          <c:cat>
            <c:numRef>
              <c:f>'Pivot table for 10 yr look back'!$C$25:$L$25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'Pivot table for 10 yr look back'!$C$26:$L$26</c:f>
              <c:numCache>
                <c:formatCode>#,##0</c:formatCode>
                <c:ptCount val="10"/>
                <c:pt idx="0">
                  <c:v>3180464.3357250034</c:v>
                </c:pt>
                <c:pt idx="1">
                  <c:v>2479135.0759489988</c:v>
                </c:pt>
                <c:pt idx="2">
                  <c:v>2700474.7980889999</c:v>
                </c:pt>
                <c:pt idx="3">
                  <c:v>1505988.7890739983</c:v>
                </c:pt>
                <c:pt idx="4">
                  <c:v>1515124.9085044775</c:v>
                </c:pt>
                <c:pt idx="5">
                  <c:v>1958569.5986324535</c:v>
                </c:pt>
                <c:pt idx="6">
                  <c:v>1535394.7838640928</c:v>
                </c:pt>
                <c:pt idx="7">
                  <c:v>744608.3509279727</c:v>
                </c:pt>
                <c:pt idx="8">
                  <c:v>1040097.3339918386</c:v>
                </c:pt>
                <c:pt idx="9">
                  <c:v>550038.77191587386</c:v>
                </c:pt>
              </c:numCache>
            </c:numRef>
          </c:val>
          <c:extLst>
            <c:ext xmlns:c16="http://schemas.microsoft.com/office/drawing/2014/chart" uri="{C3380CC4-5D6E-409C-BE32-E72D297353CC}">
              <c16:uniqueId val="{00000000-61D3-4088-8669-CAC2593DE373}"/>
            </c:ext>
          </c:extLst>
        </c:ser>
        <c:ser>
          <c:idx val="4"/>
          <c:order val="1"/>
          <c:tx>
            <c:strRef>
              <c:f>'Pivot table for 10 yr look back'!$B$27</c:f>
              <c:strCache>
                <c:ptCount val="1"/>
                <c:pt idx="0">
                  <c:v>Firm Unspecified</c:v>
                </c:pt>
              </c:strCache>
            </c:strRef>
          </c:tx>
          <c:spPr>
            <a:solidFill>
              <a:schemeClr val="accent4">
                <a:lumMod val="75000"/>
              </a:schemeClr>
            </a:solidFill>
          </c:spPr>
          <c:invertIfNegative val="0"/>
          <c:cat>
            <c:numRef>
              <c:f>'Pivot table for 10 yr look back'!$C$25:$L$25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'Pivot table for 10 yr look back'!$C$27:$L$27</c:f>
              <c:numCache>
                <c:formatCode>#,##0</c:formatCode>
                <c:ptCount val="10"/>
                <c:pt idx="0">
                  <c:v>567640.17505299998</c:v>
                </c:pt>
                <c:pt idx="1">
                  <c:v>296342.84058999998</c:v>
                </c:pt>
                <c:pt idx="2">
                  <c:v>256355.53097299999</c:v>
                </c:pt>
                <c:pt idx="3">
                  <c:v>429525.422211</c:v>
                </c:pt>
                <c:pt idx="4">
                  <c:v>604479.53026100004</c:v>
                </c:pt>
                <c:pt idx="5">
                  <c:v>667109.664506</c:v>
                </c:pt>
                <c:pt idx="6">
                  <c:v>562500.45024499996</c:v>
                </c:pt>
                <c:pt idx="7">
                  <c:v>205822.090742</c:v>
                </c:pt>
                <c:pt idx="8">
                  <c:v>308618.64254999999</c:v>
                </c:pt>
                <c:pt idx="9">
                  <c:v>323060.08759499993</c:v>
                </c:pt>
              </c:numCache>
            </c:numRef>
          </c:val>
          <c:extLst>
            <c:ext xmlns:c16="http://schemas.microsoft.com/office/drawing/2014/chart" uri="{C3380CC4-5D6E-409C-BE32-E72D297353CC}">
              <c16:uniqueId val="{00000001-61D3-4088-8669-CAC2593DE373}"/>
            </c:ext>
          </c:extLst>
        </c:ser>
        <c:ser>
          <c:idx val="3"/>
          <c:order val="2"/>
          <c:tx>
            <c:strRef>
              <c:f>'Pivot table for 10 yr look back'!$B$28</c:f>
              <c:strCache>
                <c:ptCount val="1"/>
                <c:pt idx="0">
                  <c:v>Firm Gas</c:v>
                </c:pt>
              </c:strCache>
            </c:strRef>
          </c:tx>
          <c:spPr>
            <a:solidFill>
              <a:schemeClr val="accent2">
                <a:lumMod val="75000"/>
              </a:schemeClr>
            </a:solidFill>
          </c:spPr>
          <c:invertIfNegative val="0"/>
          <c:cat>
            <c:numRef>
              <c:f>'Pivot table for 10 yr look back'!$C$25:$L$25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'Pivot table for 10 yr look back'!$C$28:$L$28</c:f>
              <c:numCache>
                <c:formatCode>#,##0</c:formatCode>
                <c:ptCount val="10"/>
                <c:pt idx="0">
                  <c:v>200.65128985758764</c:v>
                </c:pt>
                <c:pt idx="1">
                  <c:v>3332.3110876300752</c:v>
                </c:pt>
                <c:pt idx="2">
                  <c:v>489.07460504942117</c:v>
                </c:pt>
                <c:pt idx="3">
                  <c:v>167.3206793882141</c:v>
                </c:pt>
                <c:pt idx="4">
                  <c:v>85.701345321881092</c:v>
                </c:pt>
                <c:pt idx="5">
                  <c:v>0</c:v>
                </c:pt>
                <c:pt idx="6">
                  <c:v>0</c:v>
                </c:pt>
                <c:pt idx="7">
                  <c:v>0</c:v>
                </c:pt>
                <c:pt idx="8">
                  <c:v>0</c:v>
                </c:pt>
                <c:pt idx="9">
                  <c:v>0</c:v>
                </c:pt>
              </c:numCache>
            </c:numRef>
          </c:val>
          <c:extLst>
            <c:ext xmlns:c16="http://schemas.microsoft.com/office/drawing/2014/chart" uri="{C3380CC4-5D6E-409C-BE32-E72D297353CC}">
              <c16:uniqueId val="{00000002-61D3-4088-8669-CAC2593DE373}"/>
            </c:ext>
          </c:extLst>
        </c:ser>
        <c:ser>
          <c:idx val="2"/>
          <c:order val="3"/>
          <c:tx>
            <c:strRef>
              <c:f>'Pivot table for 10 yr look back'!$B$29</c:f>
              <c:strCache>
                <c:ptCount val="1"/>
                <c:pt idx="0">
                  <c:v>Owned Gas</c:v>
                </c:pt>
              </c:strCache>
            </c:strRef>
          </c:tx>
          <c:spPr>
            <a:solidFill>
              <a:schemeClr val="accent6">
                <a:lumMod val="75000"/>
              </a:schemeClr>
            </a:solidFill>
          </c:spPr>
          <c:invertIfNegative val="0"/>
          <c:cat>
            <c:numRef>
              <c:f>'Pivot table for 10 yr look back'!$C$25:$L$25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'Pivot table for 10 yr look back'!$C$29:$L$29</c:f>
              <c:numCache>
                <c:formatCode>#,##0</c:formatCode>
                <c:ptCount val="10"/>
                <c:pt idx="0">
                  <c:v>1098379.8381781611</c:v>
                </c:pt>
                <c:pt idx="1">
                  <c:v>2265895.8998421612</c:v>
                </c:pt>
                <c:pt idx="2">
                  <c:v>1786146.1764373847</c:v>
                </c:pt>
                <c:pt idx="3">
                  <c:v>2487588.7567587276</c:v>
                </c:pt>
                <c:pt idx="4">
                  <c:v>1872980.7044060677</c:v>
                </c:pt>
                <c:pt idx="5">
                  <c:v>1731008.1532937544</c:v>
                </c:pt>
                <c:pt idx="6">
                  <c:v>1825473.686141856</c:v>
                </c:pt>
                <c:pt idx="7">
                  <c:v>2874338.0208480805</c:v>
                </c:pt>
                <c:pt idx="8">
                  <c:v>2704187.4963006009</c:v>
                </c:pt>
                <c:pt idx="9">
                  <c:v>3170831.4517041831</c:v>
                </c:pt>
              </c:numCache>
            </c:numRef>
          </c:val>
          <c:extLst>
            <c:ext xmlns:c16="http://schemas.microsoft.com/office/drawing/2014/chart" uri="{C3380CC4-5D6E-409C-BE32-E72D297353CC}">
              <c16:uniqueId val="{00000003-61D3-4088-8669-CAC2593DE373}"/>
            </c:ext>
          </c:extLst>
        </c:ser>
        <c:ser>
          <c:idx val="1"/>
          <c:order val="4"/>
          <c:tx>
            <c:strRef>
              <c:f>'Pivot table for 10 yr look back'!$B$30</c:f>
              <c:strCache>
                <c:ptCount val="1"/>
                <c:pt idx="0">
                  <c:v>Firm Coal</c:v>
                </c:pt>
              </c:strCache>
            </c:strRef>
          </c:tx>
          <c:spPr>
            <a:solidFill>
              <a:schemeClr val="tx2">
                <a:lumMod val="50000"/>
              </a:schemeClr>
            </a:solidFill>
          </c:spPr>
          <c:invertIfNegative val="0"/>
          <c:cat>
            <c:numRef>
              <c:f>'Pivot table for 10 yr look back'!$C$25:$L$25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'Pivot table for 10 yr look back'!$C$30:$L$30</c:f>
              <c:numCache>
                <c:formatCode>#,##0</c:formatCode>
                <c:ptCount val="10"/>
                <c:pt idx="0">
                  <c:v>0</c:v>
                </c:pt>
                <c:pt idx="1">
                  <c:v>0</c:v>
                </c:pt>
                <c:pt idx="2">
                  <c:v>148214.00602028202</c:v>
                </c:pt>
                <c:pt idx="3">
                  <c:v>1280439.9362013757</c:v>
                </c:pt>
                <c:pt idx="4">
                  <c:v>1746187.5739582172</c:v>
                </c:pt>
                <c:pt idx="5">
                  <c:v>2271967.6970738624</c:v>
                </c:pt>
                <c:pt idx="6">
                  <c:v>2348792.2063809587</c:v>
                </c:pt>
                <c:pt idx="7">
                  <c:v>3395866.6580467108</c:v>
                </c:pt>
                <c:pt idx="8">
                  <c:v>2671660.3659544718</c:v>
                </c:pt>
                <c:pt idx="9">
                  <c:v>2459357.6459853058</c:v>
                </c:pt>
              </c:numCache>
            </c:numRef>
          </c:val>
          <c:extLst>
            <c:ext xmlns:c16="http://schemas.microsoft.com/office/drawing/2014/chart" uri="{C3380CC4-5D6E-409C-BE32-E72D297353CC}">
              <c16:uniqueId val="{00000004-61D3-4088-8669-CAC2593DE373}"/>
            </c:ext>
          </c:extLst>
        </c:ser>
        <c:ser>
          <c:idx val="0"/>
          <c:order val="5"/>
          <c:tx>
            <c:strRef>
              <c:f>'Pivot table for 10 yr look back'!$B$31</c:f>
              <c:strCache>
                <c:ptCount val="1"/>
                <c:pt idx="0">
                  <c:v>Owned Coal</c:v>
                </c:pt>
              </c:strCache>
            </c:strRef>
          </c:tx>
          <c:spPr>
            <a:solidFill>
              <a:schemeClr val="bg1">
                <a:lumMod val="50000"/>
              </a:schemeClr>
            </a:solidFill>
          </c:spPr>
          <c:invertIfNegative val="0"/>
          <c:cat>
            <c:numRef>
              <c:f>'Pivot table for 10 yr look back'!$C$25:$L$25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'Pivot table for 10 yr look back'!$C$31:$L$31</c:f>
              <c:numCache>
                <c:formatCode>#,##0</c:formatCode>
                <c:ptCount val="10"/>
                <c:pt idx="0">
                  <c:v>4135425.0249789529</c:v>
                </c:pt>
                <c:pt idx="1">
                  <c:v>4704400.4330650484</c:v>
                </c:pt>
                <c:pt idx="2">
                  <c:v>4890063.0296316901</c:v>
                </c:pt>
                <c:pt idx="3">
                  <c:v>5034544.2730927812</c:v>
                </c:pt>
                <c:pt idx="4">
                  <c:v>4642920.9501864174</c:v>
                </c:pt>
                <c:pt idx="5">
                  <c:v>4486831.9138267459</c:v>
                </c:pt>
                <c:pt idx="6">
                  <c:v>4255200.8134401999</c:v>
                </c:pt>
                <c:pt idx="7">
                  <c:v>4531771.9809035081</c:v>
                </c:pt>
                <c:pt idx="8">
                  <c:v>2089804.868038378</c:v>
                </c:pt>
                <c:pt idx="9">
                  <c:v>2508424.2849246645</c:v>
                </c:pt>
              </c:numCache>
            </c:numRef>
          </c:val>
          <c:extLst>
            <c:ext xmlns:c16="http://schemas.microsoft.com/office/drawing/2014/chart" uri="{C3380CC4-5D6E-409C-BE32-E72D297353CC}">
              <c16:uniqueId val="{00000005-61D3-4088-8669-CAC2593DE373}"/>
            </c:ext>
          </c:extLst>
        </c:ser>
        <c:dLbls>
          <c:showLegendKey val="0"/>
          <c:showVal val="0"/>
          <c:showCatName val="0"/>
          <c:showSerName val="0"/>
          <c:showPercent val="0"/>
          <c:showBubbleSize val="0"/>
        </c:dLbls>
        <c:gapWidth val="150"/>
        <c:overlap val="100"/>
        <c:axId val="186419456"/>
        <c:axId val="186437632"/>
      </c:barChart>
      <c:lineChart>
        <c:grouping val="standard"/>
        <c:varyColors val="0"/>
        <c:ser>
          <c:idx val="6"/>
          <c:order val="6"/>
          <c:tx>
            <c:strRef>
              <c:f>'Pivot table for 10 yr look back'!$B$32</c:f>
              <c:strCache>
                <c:ptCount val="1"/>
                <c:pt idx="0">
                  <c:v>1990 Baseline</c:v>
                </c:pt>
              </c:strCache>
            </c:strRef>
          </c:tx>
          <c:spPr>
            <a:ln>
              <a:solidFill>
                <a:srgbClr val="FF0000"/>
              </a:solidFill>
            </a:ln>
          </c:spPr>
          <c:marker>
            <c:symbol val="none"/>
          </c:marker>
          <c:cat>
            <c:numRef>
              <c:f>'Pivot table for 10 yr look back'!$C$25:$L$25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'Pivot table for 10 yr look back'!$C$32:$L$32</c:f>
              <c:numCache>
                <c:formatCode>#,##0</c:formatCode>
                <c:ptCount val="10"/>
                <c:pt idx="0">
                  <c:v>6301362.9860207997</c:v>
                </c:pt>
                <c:pt idx="1">
                  <c:v>6301362.9860207997</c:v>
                </c:pt>
                <c:pt idx="2">
                  <c:v>6301362.9860207997</c:v>
                </c:pt>
                <c:pt idx="3">
                  <c:v>6301362.9860207997</c:v>
                </c:pt>
                <c:pt idx="4">
                  <c:v>6301362.9860207997</c:v>
                </c:pt>
                <c:pt idx="5">
                  <c:v>6301362.9860207997</c:v>
                </c:pt>
                <c:pt idx="6">
                  <c:v>6301362.9860207997</c:v>
                </c:pt>
                <c:pt idx="7">
                  <c:v>6301362.9860207997</c:v>
                </c:pt>
                <c:pt idx="8">
                  <c:v>6301362.9860207997</c:v>
                </c:pt>
                <c:pt idx="9">
                  <c:v>6301362.9860207997</c:v>
                </c:pt>
              </c:numCache>
            </c:numRef>
          </c:val>
          <c:smooth val="0"/>
          <c:extLst>
            <c:ext xmlns:c16="http://schemas.microsoft.com/office/drawing/2014/chart" uri="{C3380CC4-5D6E-409C-BE32-E72D297353CC}">
              <c16:uniqueId val="{00000006-61D3-4088-8669-CAC2593DE373}"/>
            </c:ext>
          </c:extLst>
        </c:ser>
        <c:dLbls>
          <c:showLegendKey val="0"/>
          <c:showVal val="0"/>
          <c:showCatName val="0"/>
          <c:showSerName val="0"/>
          <c:showPercent val="0"/>
          <c:showBubbleSize val="0"/>
        </c:dLbls>
        <c:marker val="1"/>
        <c:smooth val="0"/>
        <c:axId val="186419456"/>
        <c:axId val="186437632"/>
      </c:lineChart>
      <c:catAx>
        <c:axId val="186419456"/>
        <c:scaling>
          <c:orientation val="minMax"/>
        </c:scaling>
        <c:delete val="0"/>
        <c:axPos val="b"/>
        <c:numFmt formatCode="General" sourceLinked="1"/>
        <c:majorTickMark val="out"/>
        <c:minorTickMark val="none"/>
        <c:tickLblPos val="nextTo"/>
        <c:crossAx val="186437632"/>
        <c:crosses val="autoZero"/>
        <c:auto val="1"/>
        <c:lblAlgn val="ctr"/>
        <c:lblOffset val="100"/>
        <c:noMultiLvlLbl val="0"/>
      </c:catAx>
      <c:valAx>
        <c:axId val="186437632"/>
        <c:scaling>
          <c:orientation val="minMax"/>
          <c:max val="13000000"/>
          <c:min val="0"/>
        </c:scaling>
        <c:delete val="0"/>
        <c:axPos val="l"/>
        <c:majorGridlines/>
        <c:title>
          <c:tx>
            <c:rich>
              <a:bodyPr rot="-5400000" vert="horz"/>
              <a:lstStyle/>
              <a:p>
                <a:pPr>
                  <a:defRPr/>
                </a:pPr>
                <a:r>
                  <a:rPr lang="en-US"/>
                  <a:t>Metric</a:t>
                </a:r>
                <a:r>
                  <a:rPr lang="en-US" baseline="0"/>
                  <a:t> </a:t>
                </a:r>
                <a:r>
                  <a:rPr lang="en-US"/>
                  <a:t>Tons C</a:t>
                </a:r>
                <a:r>
                  <a:rPr lang="en-US" baseline="0"/>
                  <a:t>O2e</a:t>
                </a:r>
              </a:p>
            </c:rich>
          </c:tx>
          <c:layout/>
          <c:overlay val="0"/>
        </c:title>
        <c:numFmt formatCode="#,##0" sourceLinked="1"/>
        <c:majorTickMark val="out"/>
        <c:minorTickMark val="none"/>
        <c:tickLblPos val="nextTo"/>
        <c:crossAx val="186419456"/>
        <c:crosses val="autoZero"/>
        <c:crossBetween val="between"/>
      </c:valAx>
      <c:dTable>
        <c:showHorzBorder val="1"/>
        <c:showVertBorder val="1"/>
        <c:showOutline val="1"/>
        <c:showKeys val="1"/>
      </c:dTable>
      <c:spPr>
        <a:ln>
          <a:solidFill>
            <a:schemeClr val="bg2">
              <a:lumMod val="75000"/>
            </a:schemeClr>
          </a:solidFill>
        </a:ln>
      </c:spPr>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2. Energy</a:t>
            </a:r>
            <a:r>
              <a:rPr lang="en-US" baseline="0"/>
              <a:t> Intensity Metrics</a:t>
            </a:r>
          </a:p>
        </c:rich>
      </c:tx>
      <c:layout/>
      <c:overlay val="0"/>
    </c:title>
    <c:autoTitleDeleted val="0"/>
    <c:plotArea>
      <c:layout/>
      <c:barChart>
        <c:barDir val="col"/>
        <c:grouping val="clustered"/>
        <c:varyColors val="0"/>
        <c:ser>
          <c:idx val="0"/>
          <c:order val="0"/>
          <c:tx>
            <c:strRef>
              <c:f>'Chart Data'!$B$3</c:f>
              <c:strCache>
                <c:ptCount val="1"/>
                <c:pt idx="0">
                  <c:v>MWh / Residential Customer</c:v>
                </c:pt>
              </c:strCache>
            </c:strRef>
          </c:tx>
          <c:invertIfNegative val="0"/>
          <c:cat>
            <c:numRef>
              <c:extLst>
                <c:ext xmlns:c15="http://schemas.microsoft.com/office/drawing/2012/chart" uri="{02D57815-91ED-43cb-92C2-25804820EDAC}">
                  <c15:fullRef>
                    <c15:sqref>'Chart Data'!$C$2:$O$2</c15:sqref>
                  </c15:fullRef>
                </c:ext>
              </c:extLst>
              <c:f>'Chart Data'!$F$2:$O$2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'Chart Data'!$C$3:$O$3</c15:sqref>
                  </c15:fullRef>
                </c:ext>
              </c:extLst>
              <c:f>'Chart Data'!$F$3:$O$3</c:f>
              <c:numCache>
                <c:formatCode>#,##0.00</c:formatCode>
                <c:ptCount val="10"/>
                <c:pt idx="0">
                  <c:v>11.170064059780811</c:v>
                </c:pt>
                <c:pt idx="1">
                  <c:v>11.202725385720049</c:v>
                </c:pt>
                <c:pt idx="2">
                  <c:v>10.838319239560825</c:v>
                </c:pt>
                <c:pt idx="3">
                  <c:v>10.47012247252351</c:v>
                </c:pt>
                <c:pt idx="4">
                  <c:v>10.404103016129147</c:v>
                </c:pt>
                <c:pt idx="5">
                  <c:v>10.888618742928173</c:v>
                </c:pt>
                <c:pt idx="6">
                  <c:v>10.387551035352185</c:v>
                </c:pt>
                <c:pt idx="7">
                  <c:v>10.494025505744256</c:v>
                </c:pt>
                <c:pt idx="8">
                  <c:v>10.558012920403696</c:v>
                </c:pt>
                <c:pt idx="9">
                  <c:v>10.900997790180119</c:v>
                </c:pt>
              </c:numCache>
            </c:numRef>
          </c:val>
          <c:extLst>
            <c:ext xmlns:c16="http://schemas.microsoft.com/office/drawing/2014/chart" uri="{C3380CC4-5D6E-409C-BE32-E72D297353CC}">
              <c16:uniqueId val="{00000000-EBB8-4BCD-B519-FD4C5D379EBF}"/>
            </c:ext>
          </c:extLst>
        </c:ser>
        <c:ser>
          <c:idx val="1"/>
          <c:order val="1"/>
          <c:tx>
            <c:strRef>
              <c:f>'Chart Data'!$B$4</c:f>
              <c:strCache>
                <c:ptCount val="1"/>
                <c:pt idx="0">
                  <c:v>MWh / Commercial Customer</c:v>
                </c:pt>
              </c:strCache>
            </c:strRef>
          </c:tx>
          <c:invertIfNegative val="0"/>
          <c:cat>
            <c:numRef>
              <c:extLst>
                <c:ext xmlns:c15="http://schemas.microsoft.com/office/drawing/2012/chart" uri="{02D57815-91ED-43cb-92C2-25804820EDAC}">
                  <c15:fullRef>
                    <c15:sqref>'Chart Data'!$C$2:$O$2</c15:sqref>
                  </c15:fullRef>
                </c:ext>
              </c:extLst>
              <c:f>'Chart Data'!$F$2:$O$2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'Chart Data'!$C$4:$O$4</c15:sqref>
                  </c15:fullRef>
                </c:ext>
              </c:extLst>
              <c:f>'Chart Data'!$F$4:$O$4</c:f>
              <c:numCache>
                <c:formatCode>#,##0.00</c:formatCode>
                <c:ptCount val="10"/>
                <c:pt idx="0">
                  <c:v>74.278990279337734</c:v>
                </c:pt>
                <c:pt idx="1">
                  <c:v>72.631499852117116</c:v>
                </c:pt>
                <c:pt idx="2">
                  <c:v>71.015493223187221</c:v>
                </c:pt>
                <c:pt idx="3">
                  <c:v>70.253674225146312</c:v>
                </c:pt>
                <c:pt idx="4">
                  <c:v>65.073030573128406</c:v>
                </c:pt>
                <c:pt idx="5">
                  <c:v>67.486131321830541</c:v>
                </c:pt>
                <c:pt idx="6">
                  <c:v>69.328891303504207</c:v>
                </c:pt>
                <c:pt idx="7">
                  <c:v>68.009734962753186</c:v>
                </c:pt>
                <c:pt idx="8">
                  <c:v>60.663377226482538</c:v>
                </c:pt>
                <c:pt idx="9">
                  <c:v>63.37300970727329</c:v>
                </c:pt>
              </c:numCache>
            </c:numRef>
          </c:val>
          <c:extLst>
            <c:ext xmlns:c16="http://schemas.microsoft.com/office/drawing/2014/chart" uri="{C3380CC4-5D6E-409C-BE32-E72D297353CC}">
              <c16:uniqueId val="{00000001-EBB8-4BCD-B519-FD4C5D379EBF}"/>
            </c:ext>
          </c:extLst>
        </c:ser>
        <c:ser>
          <c:idx val="2"/>
          <c:order val="2"/>
          <c:tx>
            <c:strRef>
              <c:f>'Chart Data'!$B$5</c:f>
              <c:strCache>
                <c:ptCount val="1"/>
                <c:pt idx="0">
                  <c:v>MWh per capita</c:v>
                </c:pt>
              </c:strCache>
            </c:strRef>
          </c:tx>
          <c:invertIfNegative val="0"/>
          <c:cat>
            <c:numRef>
              <c:extLst>
                <c:ext xmlns:c15="http://schemas.microsoft.com/office/drawing/2012/chart" uri="{02D57815-91ED-43cb-92C2-25804820EDAC}">
                  <c15:fullRef>
                    <c15:sqref>'Chart Data'!$C$2:$O$2</c15:sqref>
                  </c15:fullRef>
                </c:ext>
              </c:extLst>
              <c:f>'Chart Data'!$F$2:$O$2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'Chart Data'!$C$5:$O$5</c15:sqref>
                  </c15:fullRef>
                </c:ext>
              </c:extLst>
              <c:f>'Chart Data'!$F$5:$O$5</c:f>
              <c:numCache>
                <c:formatCode>#,##0.00</c:formatCode>
                <c:ptCount val="10"/>
                <c:pt idx="0">
                  <c:v>8.8227268118390558</c:v>
                </c:pt>
                <c:pt idx="1">
                  <c:v>8.8172598907468096</c:v>
                </c:pt>
                <c:pt idx="2">
                  <c:v>8.6361694561803777</c:v>
                </c:pt>
                <c:pt idx="3">
                  <c:v>8.4786888416563748</c:v>
                </c:pt>
                <c:pt idx="4">
                  <c:v>8.2899454688770735</c:v>
                </c:pt>
                <c:pt idx="5">
                  <c:v>8.4125580571510721</c:v>
                </c:pt>
                <c:pt idx="6">
                  <c:v>8.1777274816219432</c:v>
                </c:pt>
                <c:pt idx="7">
                  <c:v>8.1499796301425764</c:v>
                </c:pt>
                <c:pt idx="8">
                  <c:v>7.7484830829288018</c:v>
                </c:pt>
                <c:pt idx="9">
                  <c:v>8.0423001851006433</c:v>
                </c:pt>
              </c:numCache>
            </c:numRef>
          </c:val>
          <c:extLst>
            <c:ext xmlns:c16="http://schemas.microsoft.com/office/drawing/2014/chart" uri="{C3380CC4-5D6E-409C-BE32-E72D297353CC}">
              <c16:uniqueId val="{00000002-EBB8-4BCD-B519-FD4C5D379EBF}"/>
            </c:ext>
          </c:extLst>
        </c:ser>
        <c:dLbls>
          <c:showLegendKey val="0"/>
          <c:showVal val="0"/>
          <c:showCatName val="0"/>
          <c:showSerName val="0"/>
          <c:showPercent val="0"/>
          <c:showBubbleSize val="0"/>
        </c:dLbls>
        <c:gapWidth val="150"/>
        <c:axId val="184018816"/>
        <c:axId val="184020352"/>
      </c:barChart>
      <c:catAx>
        <c:axId val="184018816"/>
        <c:scaling>
          <c:orientation val="minMax"/>
        </c:scaling>
        <c:delete val="0"/>
        <c:axPos val="b"/>
        <c:numFmt formatCode="General" sourceLinked="1"/>
        <c:majorTickMark val="out"/>
        <c:minorTickMark val="none"/>
        <c:tickLblPos val="nextTo"/>
        <c:crossAx val="184020352"/>
        <c:crosses val="autoZero"/>
        <c:auto val="1"/>
        <c:lblAlgn val="ctr"/>
        <c:lblOffset val="100"/>
        <c:noMultiLvlLbl val="0"/>
      </c:catAx>
      <c:valAx>
        <c:axId val="184020352"/>
        <c:scaling>
          <c:orientation val="minMax"/>
        </c:scaling>
        <c:delete val="0"/>
        <c:axPos val="l"/>
        <c:majorGridlines/>
        <c:title>
          <c:tx>
            <c:rich>
              <a:bodyPr rot="-5400000" vert="horz"/>
              <a:lstStyle/>
              <a:p>
                <a:pPr>
                  <a:defRPr/>
                </a:pPr>
                <a:r>
                  <a:rPr lang="en-US"/>
                  <a:t>MWh per Customer/Capita</a:t>
                </a:r>
              </a:p>
            </c:rich>
          </c:tx>
          <c:layout/>
          <c:overlay val="0"/>
        </c:title>
        <c:numFmt formatCode="#,##0.00" sourceLinked="1"/>
        <c:majorTickMark val="out"/>
        <c:minorTickMark val="none"/>
        <c:tickLblPos val="nextTo"/>
        <c:crossAx val="184018816"/>
        <c:crosses val="autoZero"/>
        <c:crossBetween val="between"/>
      </c:valAx>
      <c:dTable>
        <c:showHorzBorder val="1"/>
        <c:showVertBorder val="1"/>
        <c:showOutline val="1"/>
        <c:showKeys val="1"/>
      </c:dTable>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3.</a:t>
            </a:r>
            <a:r>
              <a:rPr lang="en-US" baseline="0"/>
              <a:t> </a:t>
            </a:r>
            <a:r>
              <a:rPr lang="en-US"/>
              <a:t>Ratio of Annual CO2 : 1990 CO2</a:t>
            </a:r>
          </a:p>
        </c:rich>
      </c:tx>
      <c:layout/>
      <c:overlay val="0"/>
    </c:title>
    <c:autoTitleDeleted val="0"/>
    <c:plotArea>
      <c:layout/>
      <c:barChart>
        <c:barDir val="col"/>
        <c:grouping val="clustered"/>
        <c:varyColors val="0"/>
        <c:ser>
          <c:idx val="0"/>
          <c:order val="0"/>
          <c:tx>
            <c:strRef>
              <c:f>'Chart Data'!$B$9</c:f>
              <c:strCache>
                <c:ptCount val="1"/>
                <c:pt idx="0">
                  <c:v>Ratio of Annual CO2 : 1990 CO2</c:v>
                </c:pt>
              </c:strCache>
            </c:strRef>
          </c:tx>
          <c:invertIfNegative val="0"/>
          <c:cat>
            <c:numRef>
              <c:extLst>
                <c:ext xmlns:c15="http://schemas.microsoft.com/office/drawing/2012/chart" uri="{02D57815-91ED-43cb-92C2-25804820EDAC}">
                  <c15:fullRef>
                    <c15:sqref>'Chart Data'!$C$8:$O$8</c15:sqref>
                  </c15:fullRef>
                </c:ext>
              </c:extLst>
              <c:f>'Chart Data'!$F$8:$O$8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'Chart Data'!$C$9:$O$9</c15:sqref>
                  </c15:fullRef>
                </c:ext>
              </c:extLst>
              <c:f>'Chart Data'!$F$9:$O$9</c:f>
              <c:numCache>
                <c:formatCode>0.0%</c:formatCode>
                <c:ptCount val="10"/>
                <c:pt idx="0">
                  <c:v>1.4254233639851022</c:v>
                </c:pt>
                <c:pt idx="1">
                  <c:v>1.5471425122091289</c:v>
                </c:pt>
                <c:pt idx="2">
                  <c:v>1.5523217179293789</c:v>
                </c:pt>
                <c:pt idx="3">
                  <c:v>1.7041161605575574</c:v>
                </c:pt>
                <c:pt idx="4">
                  <c:v>1.647545045681841</c:v>
                </c:pt>
                <c:pt idx="5">
                  <c:v>1.7639813881523514</c:v>
                </c:pt>
                <c:pt idx="6">
                  <c:v>1.6706483920108131</c:v>
                </c:pt>
                <c:pt idx="7">
                  <c:v>1.8650579450097211</c:v>
                </c:pt>
                <c:pt idx="8">
                  <c:v>1.3988035170151987</c:v>
                </c:pt>
                <c:pt idx="9">
                  <c:v>1.4301211122287318</c:v>
                </c:pt>
              </c:numCache>
            </c:numRef>
          </c:val>
          <c:extLst>
            <c:ext xmlns:c16="http://schemas.microsoft.com/office/drawing/2014/chart" uri="{C3380CC4-5D6E-409C-BE32-E72D297353CC}">
              <c16:uniqueId val="{00000000-06AD-49B1-B67A-F83CC4E1CEA3}"/>
            </c:ext>
          </c:extLst>
        </c:ser>
        <c:dLbls>
          <c:showLegendKey val="0"/>
          <c:showVal val="0"/>
          <c:showCatName val="0"/>
          <c:showSerName val="0"/>
          <c:showPercent val="0"/>
          <c:showBubbleSize val="0"/>
        </c:dLbls>
        <c:gapWidth val="150"/>
        <c:axId val="184067584"/>
        <c:axId val="184069120"/>
      </c:barChart>
      <c:catAx>
        <c:axId val="184067584"/>
        <c:scaling>
          <c:orientation val="minMax"/>
        </c:scaling>
        <c:delete val="0"/>
        <c:axPos val="b"/>
        <c:numFmt formatCode="General" sourceLinked="1"/>
        <c:majorTickMark val="out"/>
        <c:minorTickMark val="none"/>
        <c:tickLblPos val="nextTo"/>
        <c:crossAx val="184069120"/>
        <c:crosses val="autoZero"/>
        <c:auto val="1"/>
        <c:lblAlgn val="ctr"/>
        <c:lblOffset val="100"/>
        <c:noMultiLvlLbl val="0"/>
      </c:catAx>
      <c:valAx>
        <c:axId val="184069120"/>
        <c:scaling>
          <c:orientation val="minMax"/>
        </c:scaling>
        <c:delete val="0"/>
        <c:axPos val="l"/>
        <c:majorGridlines/>
        <c:numFmt formatCode="0.0%" sourceLinked="1"/>
        <c:majorTickMark val="out"/>
        <c:minorTickMark val="none"/>
        <c:tickLblPos val="nextTo"/>
        <c:crossAx val="184067584"/>
        <c:crosses val="autoZero"/>
        <c:crossBetween val="between"/>
      </c:valAx>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4. Unknown Resources: </a:t>
            </a:r>
          </a:p>
          <a:p>
            <a:pPr>
              <a:defRPr/>
            </a:pPr>
            <a:r>
              <a:rPr lang="en-US"/>
              <a:t>Generation Delivered and Attributed Emissions</a:t>
            </a:r>
          </a:p>
        </c:rich>
      </c:tx>
      <c:layout/>
      <c:overlay val="0"/>
    </c:title>
    <c:autoTitleDeleted val="0"/>
    <c:plotArea>
      <c:layout>
        <c:manualLayout>
          <c:layoutTarget val="inner"/>
          <c:xMode val="edge"/>
          <c:yMode val="edge"/>
          <c:x val="0.11681885762708223"/>
          <c:y val="0.12165875752724326"/>
          <c:w val="0.63817116321820189"/>
          <c:h val="0.83167022039497041"/>
        </c:manualLayout>
      </c:layout>
      <c:barChart>
        <c:barDir val="col"/>
        <c:grouping val="clustered"/>
        <c:varyColors val="0"/>
        <c:ser>
          <c:idx val="2"/>
          <c:order val="2"/>
          <c:tx>
            <c:strRef>
              <c:f>'Chart Data'!$B$16</c:f>
              <c:strCache>
                <c:ptCount val="1"/>
                <c:pt idx="0">
                  <c:v>% Load Served by Unknown Generation</c:v>
                </c:pt>
              </c:strCache>
            </c:strRef>
          </c:tx>
          <c:spPr>
            <a:solidFill>
              <a:schemeClr val="bg1"/>
            </a:solidFill>
          </c:spPr>
          <c:invertIfNegative val="0"/>
          <c:dLbls>
            <c:spPr>
              <a:noFill/>
              <a:ln>
                <a:noFill/>
              </a:ln>
              <a:effectLst/>
            </c:spPr>
            <c:txPr>
              <a:bodyPr/>
              <a:lstStyle/>
              <a:p>
                <a:pPr>
                  <a:defRPr sz="1100">
                    <a:latin typeface="Arial Black" panose="020B0A040201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'Chart Data'!$C$13:$O$13</c15:sqref>
                  </c15:fullRef>
                </c:ext>
              </c:extLst>
              <c:f>'Chart Data'!$F$13:$O$13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'Chart Data'!$C$16:$O$16</c15:sqref>
                  </c15:fullRef>
                </c:ext>
              </c:extLst>
              <c:f>'Chart Data'!$F$16:$O$16</c:f>
              <c:numCache>
                <c:formatCode>0.0%</c:formatCode>
                <c:ptCount val="10"/>
                <c:pt idx="0">
                  <c:v>0.33131840923678346</c:v>
                </c:pt>
                <c:pt idx="1">
                  <c:v>0.25103249591587212</c:v>
                </c:pt>
                <c:pt idx="2">
                  <c:v>0.27751751516322698</c:v>
                </c:pt>
                <c:pt idx="3">
                  <c:v>0.15644205200828806</c:v>
                </c:pt>
                <c:pt idx="4">
                  <c:v>0.16124529337124363</c:v>
                </c:pt>
                <c:pt idx="5">
                  <c:v>0.20137045808129767</c:v>
                </c:pt>
                <c:pt idx="6">
                  <c:v>0.16768038514241054</c:v>
                </c:pt>
                <c:pt idx="7">
                  <c:v>0.1021598575892345</c:v>
                </c:pt>
                <c:pt idx="8">
                  <c:v>9.9621422559809811E-2</c:v>
                </c:pt>
                <c:pt idx="9">
                  <c:v>5.0212565670009264E-2</c:v>
                </c:pt>
              </c:numCache>
            </c:numRef>
          </c:val>
          <c:extLst>
            <c:ext xmlns:c16="http://schemas.microsoft.com/office/drawing/2014/chart" uri="{C3380CC4-5D6E-409C-BE32-E72D297353CC}">
              <c16:uniqueId val="{00000000-2A58-48D4-9D51-2320356A9B2E}"/>
            </c:ext>
          </c:extLst>
        </c:ser>
        <c:dLbls>
          <c:showLegendKey val="0"/>
          <c:showVal val="0"/>
          <c:showCatName val="0"/>
          <c:showSerName val="0"/>
          <c:showPercent val="0"/>
          <c:showBubbleSize val="0"/>
        </c:dLbls>
        <c:gapWidth val="150"/>
        <c:axId val="168837120"/>
        <c:axId val="168826752"/>
      </c:barChart>
      <c:lineChart>
        <c:grouping val="standard"/>
        <c:varyColors val="0"/>
        <c:ser>
          <c:idx val="1"/>
          <c:order val="1"/>
          <c:tx>
            <c:strRef>
              <c:f>'Chart Data'!$B$15</c:f>
              <c:strCache>
                <c:ptCount val="1"/>
                <c:pt idx="0">
                  <c:v>Annual MWh delivered from Unknown Generation</c:v>
                </c:pt>
              </c:strCache>
            </c:strRef>
          </c:tx>
          <c:spPr>
            <a:ln>
              <a:solidFill>
                <a:srgbClr val="0070C0"/>
              </a:solidFill>
            </a:ln>
          </c:spPr>
          <c:marker>
            <c:symbol val="none"/>
          </c:marker>
          <c:cat>
            <c:numRef>
              <c:extLst>
                <c:ext xmlns:c15="http://schemas.microsoft.com/office/drawing/2012/chart" uri="{02D57815-91ED-43cb-92C2-25804820EDAC}">
                  <c15:fullRef>
                    <c15:sqref>'Chart Data'!$C$13:$O$13</c15:sqref>
                  </c15:fullRef>
                </c:ext>
              </c:extLst>
              <c:f>'Chart Data'!$F$13:$O$13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'Chart Data'!$C$15:$O$15</c15:sqref>
                  </c15:fullRef>
                </c:ext>
              </c:extLst>
              <c:f>'Chart Data'!$F$15:$O$15</c:f>
              <c:numCache>
                <c:formatCode>_(* #,##0_);_(* \(#,##0\);_(* "-"??_);_(@_)</c:formatCode>
                <c:ptCount val="10"/>
                <c:pt idx="0">
                  <c:v>7277950.4249999989</c:v>
                </c:pt>
                <c:pt idx="1">
                  <c:v>5673077.977</c:v>
                </c:pt>
                <c:pt idx="2">
                  <c:v>6179576.1970000006</c:v>
                </c:pt>
                <c:pt idx="3">
                  <c:v>3446198.602</c:v>
                </c:pt>
                <c:pt idx="4">
                  <c:v>3547857.8350000004</c:v>
                </c:pt>
                <c:pt idx="5">
                  <c:v>4630460.3780000005</c:v>
                </c:pt>
                <c:pt idx="6">
                  <c:v>3726897.3210000005</c:v>
                </c:pt>
                <c:pt idx="7">
                  <c:v>2278882.9660000005</c:v>
                </c:pt>
                <c:pt idx="8">
                  <c:v>2182677.5130000003</c:v>
                </c:pt>
                <c:pt idx="9">
                  <c:v>1123056.8739999998</c:v>
                </c:pt>
              </c:numCache>
            </c:numRef>
          </c:val>
          <c:smooth val="0"/>
          <c:extLst>
            <c:ext xmlns:c16="http://schemas.microsoft.com/office/drawing/2014/chart" uri="{C3380CC4-5D6E-409C-BE32-E72D297353CC}">
              <c16:uniqueId val="{00000001-2A58-48D4-9D51-2320356A9B2E}"/>
            </c:ext>
          </c:extLst>
        </c:ser>
        <c:dLbls>
          <c:showLegendKey val="0"/>
          <c:showVal val="0"/>
          <c:showCatName val="0"/>
          <c:showSerName val="0"/>
          <c:showPercent val="0"/>
          <c:showBubbleSize val="0"/>
        </c:dLbls>
        <c:marker val="1"/>
        <c:smooth val="0"/>
        <c:axId val="168552704"/>
        <c:axId val="168824832"/>
      </c:lineChart>
      <c:lineChart>
        <c:grouping val="standard"/>
        <c:varyColors val="0"/>
        <c:ser>
          <c:idx val="0"/>
          <c:order val="0"/>
          <c:tx>
            <c:strRef>
              <c:f>'Chart Data'!$B$14</c:f>
              <c:strCache>
                <c:ptCount val="1"/>
                <c:pt idx="0">
                  <c:v>Annual Emissions CO2e from Unknown Generation</c:v>
                </c:pt>
              </c:strCache>
            </c:strRef>
          </c:tx>
          <c:spPr>
            <a:ln>
              <a:solidFill>
                <a:srgbClr val="FF0000"/>
              </a:solidFill>
            </a:ln>
          </c:spPr>
          <c:marker>
            <c:symbol val="none"/>
          </c:marker>
          <c:cat>
            <c:numRef>
              <c:extLst>
                <c:ext xmlns:c15="http://schemas.microsoft.com/office/drawing/2012/chart" uri="{02D57815-91ED-43cb-92C2-25804820EDAC}">
                  <c15:fullRef>
                    <c15:sqref>'Chart Data'!$C$13:$O$13</c15:sqref>
                  </c15:fullRef>
                </c:ext>
              </c:extLst>
              <c:f>'Chart Data'!$F$13:$O$13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'Chart Data'!$C$14:$O$14</c15:sqref>
                  </c15:fullRef>
                </c:ext>
              </c:extLst>
              <c:f>'Chart Data'!$F$14:$O$14</c:f>
              <c:numCache>
                <c:formatCode>_(* #,##0_);_(* \(#,##0\);_(* "-"??_);_(@_)</c:formatCode>
                <c:ptCount val="10"/>
                <c:pt idx="0">
                  <c:v>3180464.3357250034</c:v>
                </c:pt>
                <c:pt idx="1">
                  <c:v>2479135.0759489988</c:v>
                </c:pt>
                <c:pt idx="2">
                  <c:v>2700474.7980889999</c:v>
                </c:pt>
                <c:pt idx="3">
                  <c:v>1505988.7890739983</c:v>
                </c:pt>
                <c:pt idx="4">
                  <c:v>1515124.9085044775</c:v>
                </c:pt>
                <c:pt idx="5">
                  <c:v>1958569.5986324535</c:v>
                </c:pt>
                <c:pt idx="6">
                  <c:v>1535394.7838640928</c:v>
                </c:pt>
                <c:pt idx="7">
                  <c:v>744608.3509279727</c:v>
                </c:pt>
                <c:pt idx="8">
                  <c:v>1040097.3339918386</c:v>
                </c:pt>
                <c:pt idx="9">
                  <c:v>550038.77191587386</c:v>
                </c:pt>
              </c:numCache>
            </c:numRef>
          </c:val>
          <c:smooth val="0"/>
          <c:extLst>
            <c:ext xmlns:c16="http://schemas.microsoft.com/office/drawing/2014/chart" uri="{C3380CC4-5D6E-409C-BE32-E72D297353CC}">
              <c16:uniqueId val="{00000002-2A58-48D4-9D51-2320356A9B2E}"/>
            </c:ext>
          </c:extLst>
        </c:ser>
        <c:dLbls>
          <c:showLegendKey val="0"/>
          <c:showVal val="0"/>
          <c:showCatName val="0"/>
          <c:showSerName val="0"/>
          <c:showPercent val="0"/>
          <c:showBubbleSize val="0"/>
        </c:dLbls>
        <c:marker val="1"/>
        <c:smooth val="0"/>
        <c:axId val="168837120"/>
        <c:axId val="168826752"/>
      </c:lineChart>
      <c:catAx>
        <c:axId val="168552704"/>
        <c:scaling>
          <c:orientation val="minMax"/>
        </c:scaling>
        <c:delete val="0"/>
        <c:axPos val="b"/>
        <c:numFmt formatCode="General" sourceLinked="1"/>
        <c:majorTickMark val="out"/>
        <c:minorTickMark val="none"/>
        <c:tickLblPos val="nextTo"/>
        <c:crossAx val="168824832"/>
        <c:crosses val="autoZero"/>
        <c:auto val="1"/>
        <c:lblAlgn val="ctr"/>
        <c:lblOffset val="100"/>
        <c:noMultiLvlLbl val="0"/>
      </c:catAx>
      <c:valAx>
        <c:axId val="168824832"/>
        <c:scaling>
          <c:orientation val="minMax"/>
        </c:scaling>
        <c:delete val="0"/>
        <c:axPos val="l"/>
        <c:majorGridlines>
          <c:spPr>
            <a:ln w="0">
              <a:noFill/>
              <a:prstDash val="sysDot"/>
            </a:ln>
          </c:spPr>
        </c:majorGridlines>
        <c:title>
          <c:tx>
            <c:rich>
              <a:bodyPr rot="-5400000" vert="horz"/>
              <a:lstStyle/>
              <a:p>
                <a:pPr>
                  <a:defRPr/>
                </a:pPr>
                <a:r>
                  <a:rPr lang="en-US"/>
                  <a:t>MWh Delivered (Unknown)</a:t>
                </a:r>
              </a:p>
            </c:rich>
          </c:tx>
          <c:layout/>
          <c:overlay val="0"/>
        </c:title>
        <c:numFmt formatCode="_(* #,##0_);_(* \(#,##0\);_(* &quot;-&quot;??_);_(@_)" sourceLinked="1"/>
        <c:majorTickMark val="out"/>
        <c:minorTickMark val="none"/>
        <c:tickLblPos val="nextTo"/>
        <c:crossAx val="168552704"/>
        <c:crosses val="autoZero"/>
        <c:crossBetween val="between"/>
      </c:valAx>
      <c:valAx>
        <c:axId val="168826752"/>
        <c:scaling>
          <c:orientation val="minMax"/>
        </c:scaling>
        <c:delete val="0"/>
        <c:axPos val="r"/>
        <c:title>
          <c:tx>
            <c:rich>
              <a:bodyPr rot="-5400000" vert="horz"/>
              <a:lstStyle/>
              <a:p>
                <a:pPr>
                  <a:defRPr/>
                </a:pPr>
                <a:r>
                  <a:rPr lang="en-US"/>
                  <a:t>Metric Tons</a:t>
                </a:r>
                <a:r>
                  <a:rPr lang="en-US" baseline="0"/>
                  <a:t> </a:t>
                </a:r>
                <a:r>
                  <a:rPr lang="en-US"/>
                  <a:t>from Unknown Generation Delivered</a:t>
                </a:r>
              </a:p>
            </c:rich>
          </c:tx>
          <c:layout/>
          <c:overlay val="0"/>
        </c:title>
        <c:numFmt formatCode="#,##0" sourceLinked="0"/>
        <c:majorTickMark val="out"/>
        <c:minorTickMark val="none"/>
        <c:tickLblPos val="nextTo"/>
        <c:crossAx val="168837120"/>
        <c:crosses val="max"/>
        <c:crossBetween val="between"/>
      </c:valAx>
      <c:catAx>
        <c:axId val="168837120"/>
        <c:scaling>
          <c:orientation val="minMax"/>
        </c:scaling>
        <c:delete val="1"/>
        <c:axPos val="b"/>
        <c:numFmt formatCode="General" sourceLinked="1"/>
        <c:majorTickMark val="out"/>
        <c:minorTickMark val="none"/>
        <c:tickLblPos val="nextTo"/>
        <c:crossAx val="168826752"/>
        <c:crosses val="autoZero"/>
        <c:auto val="1"/>
        <c:lblAlgn val="ctr"/>
        <c:lblOffset val="100"/>
        <c:noMultiLvlLbl val="0"/>
      </c:catAx>
    </c:plotArea>
    <c:legend>
      <c:legendPos val="r"/>
      <c:layout>
        <c:manualLayout>
          <c:xMode val="edge"/>
          <c:yMode val="edge"/>
          <c:x val="0.22993101762477702"/>
          <c:y val="0.64125581930836817"/>
          <c:w val="0.21170957247419261"/>
          <c:h val="0.1973957278841724"/>
        </c:manualLayout>
      </c:layout>
      <c:overlay val="0"/>
      <c:spPr>
        <a:solidFill>
          <a:schemeClr val="bg1"/>
        </a:solidFill>
      </c:spPr>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rgb="FF00B050"/>
  </sheetPr>
  <sheetViews>
    <sheetView zoomScale="11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00B050"/>
  </sheetPr>
  <sheetViews>
    <sheetView zoomScale="114"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tabColor rgb="FF00B050"/>
  </sheetPr>
  <sheetViews>
    <sheetView zoomScale="91" workbookViewId="0"/>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00B050"/>
  </sheetPr>
  <sheetViews>
    <sheetView zoomScale="93"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0" y="0"/>
    <xdr:ext cx="8664408"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4408"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10</xdr:col>
      <xdr:colOff>0</xdr:colOff>
      <xdr:row>9</xdr:row>
      <xdr:rowOff>0</xdr:rowOff>
    </xdr:from>
    <xdr:ext cx="6713802" cy="2972058"/>
    <xdr:pic>
      <xdr:nvPicPr>
        <xdr:cNvPr id="2" name="Picture 1"/>
        <xdr:cNvPicPr>
          <a:picLocks noChangeAspect="1"/>
        </xdr:cNvPicPr>
      </xdr:nvPicPr>
      <xdr:blipFill>
        <a:blip xmlns:r="http://schemas.openxmlformats.org/officeDocument/2006/relationships" r:embed="rId1"/>
        <a:stretch>
          <a:fillRect/>
        </a:stretch>
      </xdr:blipFill>
      <xdr:spPr>
        <a:xfrm>
          <a:off x="9572625" y="1457325"/>
          <a:ext cx="6713802" cy="297205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4677" cy="62885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4</xdr:col>
      <xdr:colOff>600075</xdr:colOff>
      <xdr:row>28</xdr:row>
      <xdr:rowOff>0</xdr:rowOff>
    </xdr:from>
    <xdr:to>
      <xdr:col>9</xdr:col>
      <xdr:colOff>18657</xdr:colOff>
      <xdr:row>67</xdr:row>
      <xdr:rowOff>75262</xdr:rowOff>
    </xdr:to>
    <xdr:pic>
      <xdr:nvPicPr>
        <xdr:cNvPr id="2" name="Picture 1"/>
        <xdr:cNvPicPr>
          <a:picLocks noChangeAspect="1"/>
        </xdr:cNvPicPr>
      </xdr:nvPicPr>
      <xdr:blipFill>
        <a:blip xmlns:r="http://schemas.openxmlformats.org/officeDocument/2006/relationships" r:embed="rId1"/>
        <a:stretch>
          <a:fillRect/>
        </a:stretch>
      </xdr:blipFill>
      <xdr:spPr>
        <a:xfrm>
          <a:off x="4038600" y="5772150"/>
          <a:ext cx="3142857" cy="7504762"/>
        </a:xfrm>
        <a:prstGeom prst="rect">
          <a:avLst/>
        </a:prstGeom>
      </xdr:spPr>
    </xdr:pic>
    <xdr:clientData/>
  </xdr:twoCellAnchor>
  <xdr:twoCellAnchor editAs="oneCell">
    <xdr:from>
      <xdr:col>9</xdr:col>
      <xdr:colOff>247650</xdr:colOff>
      <xdr:row>27</xdr:row>
      <xdr:rowOff>123825</xdr:rowOff>
    </xdr:from>
    <xdr:to>
      <xdr:col>12</xdr:col>
      <xdr:colOff>1399761</xdr:colOff>
      <xdr:row>53</xdr:row>
      <xdr:rowOff>8920</xdr:rowOff>
    </xdr:to>
    <xdr:pic>
      <xdr:nvPicPr>
        <xdr:cNvPr id="3" name="Picture 2"/>
        <xdr:cNvPicPr>
          <a:picLocks noChangeAspect="1"/>
        </xdr:cNvPicPr>
      </xdr:nvPicPr>
      <xdr:blipFill>
        <a:blip xmlns:r="http://schemas.openxmlformats.org/officeDocument/2006/relationships" r:embed="rId2"/>
        <a:stretch>
          <a:fillRect/>
        </a:stretch>
      </xdr:blipFill>
      <xdr:spPr>
        <a:xfrm>
          <a:off x="7410450" y="5705475"/>
          <a:ext cx="3314286" cy="48380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247650</xdr:colOff>
      <xdr:row>35</xdr:row>
      <xdr:rowOff>9525</xdr:rowOff>
    </xdr:from>
    <xdr:to>
      <xdr:col>15</xdr:col>
      <xdr:colOff>914038</xdr:colOff>
      <xdr:row>71</xdr:row>
      <xdr:rowOff>161049</xdr:rowOff>
    </xdr:to>
    <xdr:pic>
      <xdr:nvPicPr>
        <xdr:cNvPr id="2" name="Picture 1"/>
        <xdr:cNvPicPr>
          <a:picLocks noChangeAspect="1"/>
        </xdr:cNvPicPr>
      </xdr:nvPicPr>
      <xdr:blipFill>
        <a:blip xmlns:r="http://schemas.openxmlformats.org/officeDocument/2006/relationships" r:embed="rId1"/>
        <a:stretch>
          <a:fillRect/>
        </a:stretch>
      </xdr:blipFill>
      <xdr:spPr>
        <a:xfrm>
          <a:off x="11039475" y="6915150"/>
          <a:ext cx="2895238" cy="7009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xdr:cNvSpPr/>
      </xdr:nvSpPr>
      <xdr:spPr>
        <a:xfrm>
          <a:off x="5200650" y="4229100"/>
          <a:ext cx="142875" cy="2381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56</xdr:row>
      <xdr:rowOff>85725</xdr:rowOff>
    </xdr:from>
    <xdr:to>
      <xdr:col>8</xdr:col>
      <xdr:colOff>1009650</xdr:colOff>
      <xdr:row>67</xdr:row>
      <xdr:rowOff>153362</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3650" y="11172825"/>
          <a:ext cx="4743450" cy="2163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67</xdr:row>
      <xdr:rowOff>66675</xdr:rowOff>
    </xdr:from>
    <xdr:to>
      <xdr:col>8</xdr:col>
      <xdr:colOff>581025</xdr:colOff>
      <xdr:row>77</xdr:row>
      <xdr:rowOff>2762</xdr:rowOff>
    </xdr:to>
    <xdr:pic>
      <xdr:nvPicPr>
        <xdr:cNvPr id="3" name="Picture 2"/>
        <xdr:cNvPicPr>
          <a:picLocks noChangeAspect="1"/>
        </xdr:cNvPicPr>
      </xdr:nvPicPr>
      <xdr:blipFill>
        <a:blip xmlns:r="http://schemas.openxmlformats.org/officeDocument/2006/relationships" r:embed="rId2"/>
        <a:stretch>
          <a:fillRect/>
        </a:stretch>
      </xdr:blipFill>
      <xdr:spPr>
        <a:xfrm>
          <a:off x="6343650" y="13249275"/>
          <a:ext cx="4314825" cy="184108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xdr:cNvSpPr/>
      </xdr:nvSpPr>
      <xdr:spPr>
        <a:xfrm>
          <a:off x="5313045" y="451866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retra, Keith" refreshedDate="44713.608459143521" createdVersion="6" refreshedVersion="6" minRefreshableVersion="3" recordCount="736">
  <cacheSource type="worksheet">
    <worksheetSource ref="A1:G737" sheet="Raw data for pivot"/>
  </cacheSource>
  <cacheFields count="7">
    <cacheField name="Year" numFmtId="0">
      <sharedItems containsSemiMixedTypes="0" containsString="0" containsNumber="1" containsInteger="1" minValue="2009" maxValue="2021" count="13">
        <n v="2009"/>
        <n v="2010"/>
        <n v="2011"/>
        <n v="2012"/>
        <n v="2013"/>
        <n v="2014"/>
        <n v="2015"/>
        <n v="2016"/>
        <n v="2017"/>
        <n v="2018"/>
        <n v="2019"/>
        <n v="2020"/>
        <n v="2021"/>
      </sharedItems>
    </cacheField>
    <cacheField name="Resource" numFmtId="0">
      <sharedItems containsMixedTypes="1" containsNumber="1" containsInteger="1" minValue="0" maxValue="0"/>
    </cacheField>
    <cacheField name="WA MWh" numFmtId="0">
      <sharedItems containsSemiMixedTypes="0" containsString="0" containsNumber="1" minValue="-753803" maxValue="7277950.4249999989"/>
    </cacheField>
    <cacheField name="Tons CO2e" numFmtId="0">
      <sharedItems containsSemiMixedTypes="0" containsString="0" containsNumber="1" minValue="-222603.43" maxValue="5034544.2730927812"/>
    </cacheField>
    <cacheField name="Type" numFmtId="0">
      <sharedItems containsMixedTypes="1" containsNumber="1" containsInteger="1" minValue="0" maxValue="0" count="4">
        <s v="Own"/>
        <s v="Firm"/>
        <s v="Non-Firm"/>
        <n v="0"/>
      </sharedItems>
    </cacheField>
    <cacheField name="Fuel" numFmtId="0">
      <sharedItems containsMixedTypes="1" containsNumber="1" containsInteger="1" minValue="0" maxValue="0" count="10">
        <s v="Hydro"/>
        <s v="Coal"/>
        <s v="Gas"/>
        <s v="Diesel"/>
        <s v="Wind"/>
        <s v="System"/>
        <s v="Biogas"/>
        <s v="Solar"/>
        <n v="0"/>
        <s v="Biomass"/>
      </sharedItems>
    </cacheField>
    <cacheField name="Group" numFmtId="0">
      <sharedItems containsMixedTypes="1" containsNumber="1" containsInteger="1" minValue="0" maxValue="0" count="5">
        <s v="Renew"/>
        <s v="Coal"/>
        <s v="Gas"/>
        <s v="System"/>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6">
  <r>
    <x v="0"/>
    <s v="Electron"/>
    <n v="90893.71"/>
    <n v="0"/>
    <x v="0"/>
    <x v="0"/>
    <x v="0"/>
  </r>
  <r>
    <x v="0"/>
    <s v="Lower Baker"/>
    <n v="344847.47200000001"/>
    <n v="0"/>
    <x v="0"/>
    <x v="0"/>
    <x v="0"/>
  </r>
  <r>
    <x v="0"/>
    <s v="Snoqualmie Falls #1"/>
    <n v="62769"/>
    <n v="0"/>
    <x v="0"/>
    <x v="0"/>
    <x v="0"/>
  </r>
  <r>
    <x v="0"/>
    <s v="Snoqualmie Falls #2"/>
    <n v="151915.20000000001"/>
    <n v="0"/>
    <x v="0"/>
    <x v="0"/>
    <x v="0"/>
  </r>
  <r>
    <x v="0"/>
    <s v="Upper Baker"/>
    <n v="337353.652"/>
    <n v="0"/>
    <x v="0"/>
    <x v="0"/>
    <x v="0"/>
  </r>
  <r>
    <x v="0"/>
    <s v="Colstrip 1 &amp; 2"/>
    <n v="2310597"/>
    <n v="3066301.4849397005"/>
    <x v="0"/>
    <x v="1"/>
    <x v="1"/>
  </r>
  <r>
    <x v="0"/>
    <s v="Colstrip 3 &amp; 4"/>
    <n v="2140507"/>
    <n v="2730519.614228175"/>
    <x v="0"/>
    <x v="1"/>
    <x v="1"/>
  </r>
  <r>
    <x v="0"/>
    <s v="Encogen"/>
    <n v="384510"/>
    <n v="213080.79485070001"/>
    <x v="0"/>
    <x v="2"/>
    <x v="2"/>
  </r>
  <r>
    <x v="0"/>
    <s v="Goldendale"/>
    <n v="1368799"/>
    <n v="607905.2260575"/>
    <x v="0"/>
    <x v="2"/>
    <x v="2"/>
  </r>
  <r>
    <x v="0"/>
    <s v="Mint Farm"/>
    <n v="1426827.5"/>
    <n v="651926.34653580002"/>
    <x v="0"/>
    <x v="2"/>
    <x v="2"/>
  </r>
  <r>
    <x v="0"/>
    <s v="Sumas"/>
    <n v="539532.19999999995"/>
    <n v="291288.65798970003"/>
    <x v="0"/>
    <x v="2"/>
    <x v="2"/>
  </r>
  <r>
    <x v="0"/>
    <s v="Crystal Mountain"/>
    <n v="419.45"/>
    <n v="382.60538600584221"/>
    <x v="0"/>
    <x v="3"/>
    <x v="2"/>
  </r>
  <r>
    <x v="0"/>
    <s v="Freddie #1"/>
    <n v="454203"/>
    <n v="213103.97716753217"/>
    <x v="0"/>
    <x v="2"/>
    <x v="2"/>
  </r>
  <r>
    <x v="0"/>
    <s v="Fredonia"/>
    <n v="64044.5"/>
    <n v="50257.141377935855"/>
    <x v="0"/>
    <x v="2"/>
    <x v="2"/>
  </r>
  <r>
    <x v="0"/>
    <s v="Fredonia 3 &amp; 4"/>
    <n v="89229"/>
    <n v="62316.506838600006"/>
    <x v="0"/>
    <x v="2"/>
    <x v="2"/>
  </r>
  <r>
    <x v="0"/>
    <s v="Fredrickson 1 &amp; 2"/>
    <n v="18586.099999999999"/>
    <n v="16448.683668299996"/>
    <x v="0"/>
    <x v="2"/>
    <x v="2"/>
  </r>
  <r>
    <x v="0"/>
    <s v="Hopkins Ridge (W184)"/>
    <n v="381219.26400000002"/>
    <n v="0"/>
    <x v="0"/>
    <x v="4"/>
    <x v="0"/>
  </r>
  <r>
    <x v="0"/>
    <s v="Whitehorn 2&amp;3"/>
    <n v="16995.3"/>
    <n v="14777.467701368285"/>
    <x v="0"/>
    <x v="2"/>
    <x v="2"/>
  </r>
  <r>
    <x v="0"/>
    <s v="Wild Horse (W183)"/>
    <n v="565274.87399999995"/>
    <n v="0"/>
    <x v="0"/>
    <x v="4"/>
    <x v="0"/>
  </r>
  <r>
    <x v="0"/>
    <s v="BC Hydro (Point Roberts)"/>
    <n v="22270.57"/>
    <n v="9122.1134407515001"/>
    <x v="1"/>
    <x v="5"/>
    <x v="3"/>
  </r>
  <r>
    <x v="0"/>
    <s v="BPA"/>
    <n v="7014"/>
    <n v="0"/>
    <x v="1"/>
    <x v="0"/>
    <x v="0"/>
  </r>
  <r>
    <x v="0"/>
    <s v="BPA Firm - WNP#3 Exchange"/>
    <n v="393717"/>
    <n v="161268.03838215"/>
    <x v="1"/>
    <x v="5"/>
    <x v="3"/>
  </r>
  <r>
    <x v="0"/>
    <s v="Chelan PUD - Rock Island Syst #2"/>
    <n v="1263318"/>
    <n v="0"/>
    <x v="1"/>
    <x v="0"/>
    <x v="0"/>
  </r>
  <r>
    <x v="0"/>
    <s v="Chelan PUD - Rocky Reach"/>
    <n v="2007333"/>
    <n v="0"/>
    <x v="1"/>
    <x v="0"/>
    <x v="0"/>
  </r>
  <r>
    <x v="0"/>
    <s v="Douglas PUD - Wells Project"/>
    <n v="959848"/>
    <n v="0"/>
    <x v="1"/>
    <x v="0"/>
    <x v="0"/>
  </r>
  <r>
    <x v="0"/>
    <s v="Farm Power Rexville LLC"/>
    <n v="1523.01"/>
    <n v="0"/>
    <x v="1"/>
    <x v="6"/>
    <x v="0"/>
  </r>
  <r>
    <x v="0"/>
    <s v="Grant PUD - Priest Rapids"/>
    <n v="234580"/>
    <n v="0"/>
    <x v="1"/>
    <x v="0"/>
    <x v="0"/>
  </r>
  <r>
    <x v="0"/>
    <s v="Grant PUD - Priest Rapids Project"/>
    <n v="82584"/>
    <n v="0"/>
    <x v="1"/>
    <x v="0"/>
    <x v="0"/>
  </r>
  <r>
    <x v="0"/>
    <s v="Grant PUD - Wanapum"/>
    <n v="313799"/>
    <n v="0"/>
    <x v="1"/>
    <x v="0"/>
    <x v="0"/>
  </r>
  <r>
    <x v="0"/>
    <s v="Klondike Wind Power III"/>
    <n v="132569"/>
    <n v="0"/>
    <x v="1"/>
    <x v="4"/>
    <x v="0"/>
  </r>
  <r>
    <x v="0"/>
    <s v="NWestern Energy(MPC) Firm Contract"/>
    <n v="591921"/>
    <n v="716565.09146554756"/>
    <x v="1"/>
    <x v="1"/>
    <x v="1"/>
  </r>
  <r>
    <x v="0"/>
    <s v="Qualco Energy"/>
    <n v="3036"/>
    <n v="0"/>
    <x v="1"/>
    <x v="6"/>
    <x v="0"/>
  </r>
  <r>
    <x v="0"/>
    <s v="Snohomish PUD Conservation"/>
    <n v="89728"/>
    <n v="36752.9432256"/>
    <x v="1"/>
    <x v="5"/>
    <x v="3"/>
  </r>
  <r>
    <x v="0"/>
    <s v="VanderHaak Dairy Digester"/>
    <n v="2345.92"/>
    <n v="0"/>
    <x v="1"/>
    <x v="6"/>
    <x v="0"/>
  </r>
  <r>
    <x v="0"/>
    <s v="WASCO Hydro"/>
    <n v="39992"/>
    <n v="0"/>
    <x v="1"/>
    <x v="0"/>
    <x v="0"/>
  </r>
  <r>
    <x v="0"/>
    <s v="Koma Kulshan Associates"/>
    <n v="36065.160000000003"/>
    <n v="0"/>
    <x v="1"/>
    <x v="0"/>
    <x v="0"/>
  </r>
  <r>
    <x v="0"/>
    <s v="March Point Cogen. - 1 &amp; 2"/>
    <n v="995857.89"/>
    <n v="354047.70626803505"/>
    <x v="1"/>
    <x v="2"/>
    <x v="2"/>
  </r>
  <r>
    <x v="0"/>
    <s v="Nooksack"/>
    <n v="23209.795999999998"/>
    <n v="0"/>
    <x v="1"/>
    <x v="0"/>
    <x v="0"/>
  </r>
  <r>
    <x v="0"/>
    <s v="Port Townsend Paper Co."/>
    <n v="1816.9169999999999"/>
    <n v="907.40749162907605"/>
    <x v="1"/>
    <x v="2"/>
    <x v="2"/>
  </r>
  <r>
    <x v="0"/>
    <s v="Puyallup Energy Recovery Company"/>
    <n v="343.577"/>
    <n v="0"/>
    <x v="1"/>
    <x v="6"/>
    <x v="0"/>
  </r>
  <r>
    <x v="0"/>
    <s v="Spokane MSW"/>
    <n v="133987"/>
    <n v="113963.07081369704"/>
    <x v="1"/>
    <x v="2"/>
    <x v="2"/>
  </r>
  <r>
    <x v="0"/>
    <s v="Sygitowicz Creek"/>
    <n v="1018.08"/>
    <n v="0"/>
    <x v="1"/>
    <x v="0"/>
    <x v="0"/>
  </r>
  <r>
    <x v="0"/>
    <s v="Tenaska"/>
    <n v="866454.6"/>
    <n v="383620.8195353552"/>
    <x v="1"/>
    <x v="2"/>
    <x v="2"/>
  </r>
  <r>
    <x v="0"/>
    <s v="Twin Falls Hydro"/>
    <n v="69081.600000000006"/>
    <n v="0"/>
    <x v="1"/>
    <x v="0"/>
    <x v="0"/>
  </r>
  <r>
    <x v="0"/>
    <s v="Weeks Falls"/>
    <n v="12348"/>
    <n v="0"/>
    <x v="1"/>
    <x v="0"/>
    <x v="0"/>
  </r>
  <r>
    <x v="0"/>
    <s v="Unspecified"/>
    <n v="4408167.4979999997"/>
    <n v="2465915.6877966262"/>
    <x v="2"/>
    <x v="5"/>
    <x v="3"/>
  </r>
  <r>
    <x v="1"/>
    <s v="Electron"/>
    <n v="88025.31"/>
    <n v="0"/>
    <x v="0"/>
    <x v="0"/>
    <x v="0"/>
  </r>
  <r>
    <x v="1"/>
    <s v="Lower Baker"/>
    <n v="366338.20400000003"/>
    <n v="0"/>
    <x v="0"/>
    <x v="0"/>
    <x v="0"/>
  </r>
  <r>
    <x v="1"/>
    <s v="Snoqualmie Falls #1"/>
    <n v="13051.4"/>
    <n v="0"/>
    <x v="0"/>
    <x v="0"/>
    <x v="0"/>
  </r>
  <r>
    <x v="1"/>
    <s v="Snoqualmie Falls #2"/>
    <n v="101676.9"/>
    <n v="0"/>
    <x v="0"/>
    <x v="0"/>
    <x v="0"/>
  </r>
  <r>
    <x v="1"/>
    <s v="Upper Baker"/>
    <n v="360504.88400000002"/>
    <n v="0"/>
    <x v="0"/>
    <x v="0"/>
    <x v="0"/>
  </r>
  <r>
    <x v="1"/>
    <s v="Colstrip 1 &amp; 2"/>
    <n v="2293375"/>
    <n v="2820139.3193508377"/>
    <x v="0"/>
    <x v="1"/>
    <x v="1"/>
  </r>
  <r>
    <x v="1"/>
    <s v="Colstrip 3 &amp; 4"/>
    <n v="2904730"/>
    <n v="3273215.424237926"/>
    <x v="0"/>
    <x v="1"/>
    <x v="1"/>
  </r>
  <r>
    <x v="1"/>
    <s v="Encogen"/>
    <n v="197771.9"/>
    <n v="103636.42926896828"/>
    <x v="0"/>
    <x v="2"/>
    <x v="2"/>
  </r>
  <r>
    <x v="1"/>
    <s v="Freddie #1"/>
    <n v="418445.701"/>
    <n v="178267.05492435681"/>
    <x v="0"/>
    <x v="2"/>
    <x v="2"/>
  </r>
  <r>
    <x v="1"/>
    <s v="Goldendale"/>
    <n v="1541236"/>
    <n v="618131.79591709084"/>
    <x v="0"/>
    <x v="2"/>
    <x v="2"/>
  </r>
  <r>
    <x v="1"/>
    <s v="Mint Farm"/>
    <n v="1441302.4"/>
    <n v="614818.61416294961"/>
    <x v="0"/>
    <x v="2"/>
    <x v="2"/>
  </r>
  <r>
    <x v="1"/>
    <s v="Sumas"/>
    <n v="410625.5"/>
    <n v="206118.36489579111"/>
    <x v="0"/>
    <x v="2"/>
    <x v="2"/>
  </r>
  <r>
    <x v="1"/>
    <s v="Crystal Mountain"/>
    <n v="113.77"/>
    <n v="119.08045835423978"/>
    <x v="0"/>
    <x v="3"/>
    <x v="2"/>
  </r>
  <r>
    <x v="1"/>
    <s v="Fredonia"/>
    <n v="11884.6"/>
    <n v="10571.052163108727"/>
    <x v="0"/>
    <x v="2"/>
    <x v="2"/>
  </r>
  <r>
    <x v="1"/>
    <s v="Fredonia 3 &amp; 4"/>
    <n v="62288.3"/>
    <n v="38956.285465775371"/>
    <x v="0"/>
    <x v="2"/>
    <x v="2"/>
  </r>
  <r>
    <x v="1"/>
    <s v="Fredrickson 1 &amp; 2"/>
    <n v="10272.1"/>
    <n v="10337.000704363212"/>
    <x v="0"/>
    <x v="2"/>
    <x v="2"/>
  </r>
  <r>
    <x v="1"/>
    <s v="Hopkins Ridge (W184)"/>
    <n v="381270.98800000001"/>
    <n v="0"/>
    <x v="0"/>
    <x v="4"/>
    <x v="0"/>
  </r>
  <r>
    <x v="1"/>
    <s v="Whitehorn 2&amp;3"/>
    <n v="8366.7000000000007"/>
    <n v="7824.3471549072965"/>
    <x v="0"/>
    <x v="2"/>
    <x v="2"/>
  </r>
  <r>
    <x v="1"/>
    <s v="Wild Horse (W183)"/>
    <n v="609654.95499999996"/>
    <n v="0"/>
    <x v="0"/>
    <x v="4"/>
    <x v="0"/>
  </r>
  <r>
    <x v="1"/>
    <s v="BC Hydro (Point Roberts)"/>
    <n v="20921"/>
    <n v="8813.8007676500001"/>
    <x v="1"/>
    <x v="5"/>
    <x v="3"/>
  </r>
  <r>
    <x v="1"/>
    <s v="Book Outs - EITF 03-11"/>
    <n v="-753803"/>
    <n v="0"/>
    <x v="1"/>
    <x v="5"/>
    <x v="3"/>
  </r>
  <r>
    <x v="1"/>
    <s v="BPA"/>
    <n v="7000"/>
    <n v="0"/>
    <x v="1"/>
    <x v="0"/>
    <x v="0"/>
  </r>
  <r>
    <x v="1"/>
    <s v="BPA Firm - WNP#3 Exchange"/>
    <n v="406710"/>
    <n v="171342.7135515"/>
    <x v="1"/>
    <x v="5"/>
    <x v="3"/>
  </r>
  <r>
    <x v="1"/>
    <s v="Chelan PUD - Rock Island Syst #2"/>
    <n v="1213235"/>
    <n v="0"/>
    <x v="1"/>
    <x v="0"/>
    <x v="0"/>
  </r>
  <r>
    <x v="1"/>
    <s v="Chelan PUD - Rocky Reach"/>
    <n v="1914094"/>
    <n v="0"/>
    <x v="1"/>
    <x v="0"/>
    <x v="0"/>
  </r>
  <r>
    <x v="1"/>
    <s v="Credit Suisse Energy, LLC"/>
    <n v="107950"/>
    <n v="45478.217717500003"/>
    <x v="1"/>
    <x v="5"/>
    <x v="3"/>
  </r>
  <r>
    <x v="1"/>
    <s v="Douglas PUD - Wells Project"/>
    <n v="871104"/>
    <n v="0"/>
    <x v="1"/>
    <x v="0"/>
    <x v="0"/>
  </r>
  <r>
    <x v="1"/>
    <s v="Farm Power Lynden LLC"/>
    <n v="204.023"/>
    <n v="0"/>
    <x v="1"/>
    <x v="6"/>
    <x v="0"/>
  </r>
  <r>
    <x v="1"/>
    <s v="Farm Power Rexville LLC"/>
    <n v="4873.87"/>
    <n v="0"/>
    <x v="1"/>
    <x v="6"/>
    <x v="0"/>
  </r>
  <r>
    <x v="1"/>
    <s v="Grant PUD - Priest Rapids Project"/>
    <n v="331731"/>
    <n v="0"/>
    <x v="1"/>
    <x v="0"/>
    <x v="0"/>
  </r>
  <r>
    <x v="1"/>
    <s v="Klondike Wind Power III"/>
    <n v="120632"/>
    <n v="0"/>
    <x v="1"/>
    <x v="4"/>
    <x v="0"/>
  </r>
  <r>
    <x v="1"/>
    <s v="NWestern Energy(MPC) Firm Contract"/>
    <n v="788313"/>
    <n v="850105.93071991508"/>
    <x v="1"/>
    <x v="1"/>
    <x v="1"/>
  </r>
  <r>
    <x v="1"/>
    <s v="Powerex Corp."/>
    <n v="179999"/>
    <n v="75831.715710349992"/>
    <x v="1"/>
    <x v="5"/>
    <x v="3"/>
  </r>
  <r>
    <x v="1"/>
    <s v="Qualco Energy"/>
    <n v="3520"/>
    <n v="0"/>
    <x v="1"/>
    <x v="6"/>
    <x v="0"/>
  </r>
  <r>
    <x v="1"/>
    <s v="Sempra Energy Trading"/>
    <n v="547795"/>
    <n v="230780.36382174998"/>
    <x v="1"/>
    <x v="5"/>
    <x v="3"/>
  </r>
  <r>
    <x v="1"/>
    <s v="Shell Energy (Coral Pwr)"/>
    <n v="330050"/>
    <n v="139046.64898249999"/>
    <x v="1"/>
    <x v="5"/>
    <x v="3"/>
  </r>
  <r>
    <x v="1"/>
    <s v="Snohomish PUD Conservation"/>
    <n v="14464"/>
    <n v="6093.5334976000004"/>
    <x v="1"/>
    <x v="5"/>
    <x v="3"/>
  </r>
  <r>
    <x v="1"/>
    <s v="VanderHaak Dairy Digester"/>
    <n v="2551.8000000000002"/>
    <n v="0"/>
    <x v="1"/>
    <x v="6"/>
    <x v="0"/>
  </r>
  <r>
    <x v="1"/>
    <s v="WASCO Hydro"/>
    <n v="40782"/>
    <n v="0"/>
    <x v="1"/>
    <x v="0"/>
    <x v="0"/>
  </r>
  <r>
    <x v="1"/>
    <s v="Hutchinson Creek"/>
    <n v="1106.72"/>
    <n v="0"/>
    <x v="1"/>
    <x v="0"/>
    <x v="0"/>
  </r>
  <r>
    <x v="1"/>
    <s v="Koma Kulshan Associates"/>
    <n v="42708.480000000003"/>
    <n v="0"/>
    <x v="1"/>
    <x v="0"/>
    <x v="0"/>
  </r>
  <r>
    <x v="1"/>
    <s v="March Point Cogen. - 1 &amp; 2"/>
    <n v="1081243.416"/>
    <n v="385210.69772601721"/>
    <x v="1"/>
    <x v="2"/>
    <x v="2"/>
  </r>
  <r>
    <x v="1"/>
    <s v="Nooksack"/>
    <n v="25921.554"/>
    <n v="0"/>
    <x v="1"/>
    <x v="0"/>
    <x v="0"/>
  </r>
  <r>
    <x v="1"/>
    <s v="Port Townsend Paper Co."/>
    <n v="2886.24"/>
    <n v="1492.4700177178058"/>
    <x v="1"/>
    <x v="2"/>
    <x v="2"/>
  </r>
  <r>
    <x v="1"/>
    <s v="Spokane MSW"/>
    <n v="141480"/>
    <n v="326048.28221025318"/>
    <x v="1"/>
    <x v="2"/>
    <x v="2"/>
  </r>
  <r>
    <x v="1"/>
    <s v="Sygitowicz Creek"/>
    <n v="1227.8399999999999"/>
    <n v="0"/>
    <x v="1"/>
    <x v="0"/>
    <x v="0"/>
  </r>
  <r>
    <x v="1"/>
    <s v="Tenaska"/>
    <n v="652723.43999999994"/>
    <n v="288991.90421620279"/>
    <x v="1"/>
    <x v="2"/>
    <x v="2"/>
  </r>
  <r>
    <x v="1"/>
    <s v="Twin Falls Hydro"/>
    <n v="73497.600000000006"/>
    <n v="0"/>
    <x v="1"/>
    <x v="0"/>
    <x v="0"/>
  </r>
  <r>
    <x v="1"/>
    <s v="Weeks Falls"/>
    <n v="13234.2"/>
    <n v="0"/>
    <x v="1"/>
    <x v="7"/>
    <x v="0"/>
  </r>
  <r>
    <x v="1"/>
    <s v="Unspecified"/>
    <n v="3185182.9120000005"/>
    <n v="1897917.4716903227"/>
    <x v="2"/>
    <x v="5"/>
    <x v="3"/>
  </r>
  <r>
    <x v="2"/>
    <s v="Electron"/>
    <n v="50340.805"/>
    <n v="0"/>
    <x v="0"/>
    <x v="0"/>
    <x v="0"/>
  </r>
  <r>
    <x v="2"/>
    <s v="Lower Baker"/>
    <n v="332792.353"/>
    <n v="0"/>
    <x v="0"/>
    <x v="0"/>
    <x v="0"/>
  </r>
  <r>
    <x v="2"/>
    <s v="Snoqualmie Falls #1"/>
    <n v="-290.36"/>
    <n v="0"/>
    <x v="0"/>
    <x v="0"/>
    <x v="0"/>
  </r>
  <r>
    <x v="2"/>
    <s v="Snoqualmie Falls #2"/>
    <n v="-174.56"/>
    <n v="0"/>
    <x v="0"/>
    <x v="0"/>
    <x v="0"/>
  </r>
  <r>
    <x v="2"/>
    <s v="Upper Baker"/>
    <n v="301309.36599999998"/>
    <n v="0"/>
    <x v="0"/>
    <x v="0"/>
    <x v="0"/>
  </r>
  <r>
    <x v="2"/>
    <s v="Colstrip 1 &amp; 2"/>
    <n v="1897910"/>
    <n v="2019144.0927105008"/>
    <x v="0"/>
    <x v="1"/>
    <x v="1"/>
  </r>
  <r>
    <x v="2"/>
    <s v="Colstrip 3 &amp; 4"/>
    <n v="2312673"/>
    <n v="2515865.6759153572"/>
    <x v="0"/>
    <x v="1"/>
    <x v="1"/>
  </r>
  <r>
    <x v="2"/>
    <s v="Encogen"/>
    <n v="88887.6"/>
    <n v="44185.358821524802"/>
    <x v="0"/>
    <x v="2"/>
    <x v="2"/>
  </r>
  <r>
    <x v="2"/>
    <s v="Freddie #1"/>
    <n v="135217.96400000001"/>
    <n v="53298.601875271677"/>
    <x v="0"/>
    <x v="2"/>
    <x v="2"/>
  </r>
  <r>
    <x v="2"/>
    <s v="Goldendale"/>
    <n v="609012.73499999999"/>
    <n v="219762.3197806252"/>
    <x v="0"/>
    <x v="2"/>
    <x v="2"/>
  </r>
  <r>
    <x v="2"/>
    <s v="Mint Farm"/>
    <n v="702080.6"/>
    <n v="277602.12535356474"/>
    <x v="0"/>
    <x v="2"/>
    <x v="2"/>
  </r>
  <r>
    <x v="2"/>
    <s v="Sumas"/>
    <n v="178397.424"/>
    <n v="82301.293085886398"/>
    <x v="0"/>
    <x v="2"/>
    <x v="2"/>
  </r>
  <r>
    <x v="2"/>
    <s v="Crystal Mountain"/>
    <n v="273.13"/>
    <n v="228.08619878713793"/>
    <x v="0"/>
    <x v="3"/>
    <x v="2"/>
  </r>
  <r>
    <x v="2"/>
    <s v="Fredonia"/>
    <n v="27939.9"/>
    <n v="20714.039085969845"/>
    <x v="0"/>
    <x v="2"/>
    <x v="2"/>
  </r>
  <r>
    <x v="2"/>
    <s v="Fredonia 3 &amp; 4"/>
    <n v="48850.400000000001"/>
    <n v="27316.736393205199"/>
    <x v="0"/>
    <x v="2"/>
    <x v="2"/>
  </r>
  <r>
    <x v="2"/>
    <s v="Fredrickson 1 &amp; 2"/>
    <n v="9975.6"/>
    <n v="10982.81701751447"/>
    <x v="0"/>
    <x v="2"/>
    <x v="2"/>
  </r>
  <r>
    <x v="2"/>
    <s v="Hopkins Ridge (W184)"/>
    <n v="433218.60800000001"/>
    <n v="0"/>
    <x v="0"/>
    <x v="4"/>
    <x v="0"/>
  </r>
  <r>
    <x v="2"/>
    <s v="Whitehorn 2 &amp; 3"/>
    <n v="22501"/>
    <n v="19420.510083079684"/>
    <x v="0"/>
    <x v="2"/>
    <x v="2"/>
  </r>
  <r>
    <x v="2"/>
    <s v="Wild Horse (W183)"/>
    <n v="730658.80599999998"/>
    <n v="0"/>
    <x v="0"/>
    <x v="4"/>
    <x v="0"/>
  </r>
  <r>
    <x v="2"/>
    <s v="3 Bar G Wind Turbine #3 LLC"/>
    <n v="105.014"/>
    <n v="0"/>
    <x v="1"/>
    <x v="4"/>
    <x v="0"/>
  </r>
  <r>
    <x v="2"/>
    <s v="Black Creek Hydro Inc"/>
    <n v="9716.4599999999991"/>
    <n v="0"/>
    <x v="1"/>
    <x v="0"/>
    <x v="0"/>
  </r>
  <r>
    <x v="2"/>
    <s v="Chelan PUD - RI &amp; RR"/>
    <n v="129926"/>
    <n v="0"/>
    <x v="1"/>
    <x v="0"/>
    <x v="0"/>
  </r>
  <r>
    <x v="2"/>
    <s v="Chelan PUD - Rock Island Syst #2"/>
    <n v="1647786"/>
    <n v="0"/>
    <x v="1"/>
    <x v="0"/>
    <x v="0"/>
  </r>
  <r>
    <x v="2"/>
    <s v="Chelan PUD - Rocky Reach"/>
    <n v="2517798"/>
    <n v="0"/>
    <x v="1"/>
    <x v="0"/>
    <x v="0"/>
  </r>
  <r>
    <x v="2"/>
    <s v="Douglas PUD - Wells Project"/>
    <n v="1061183"/>
    <n v="0"/>
    <x v="1"/>
    <x v="0"/>
    <x v="0"/>
  </r>
  <r>
    <x v="2"/>
    <s v="Farm Power Lynden LLC"/>
    <n v="3412.36"/>
    <n v="0"/>
    <x v="1"/>
    <x v="6"/>
    <x v="0"/>
  </r>
  <r>
    <x v="2"/>
    <s v="Farm Power Rexville LLC"/>
    <n v="4903.5690000000004"/>
    <n v="0"/>
    <x v="1"/>
    <x v="6"/>
    <x v="0"/>
  </r>
  <r>
    <x v="2"/>
    <s v="Grant PUD - Priest Rapids Project"/>
    <n v="253731"/>
    <n v="0"/>
    <x v="1"/>
    <x v="0"/>
    <x v="0"/>
  </r>
  <r>
    <x v="2"/>
    <s v="Island Community Solar LLC"/>
    <n v="15.23"/>
    <n v="0"/>
    <x v="1"/>
    <x v="7"/>
    <x v="0"/>
  </r>
  <r>
    <x v="2"/>
    <s v="Klondike Wind Power III"/>
    <n v="132950"/>
    <n v="0"/>
    <x v="1"/>
    <x v="4"/>
    <x v="0"/>
  </r>
  <r>
    <x v="2"/>
    <s v="Knudsen Wind Turbine #1"/>
    <n v="85.938000000000002"/>
    <n v="0"/>
    <x v="1"/>
    <x v="4"/>
    <x v="0"/>
  </r>
  <r>
    <x v="2"/>
    <s v="Qualco Energy"/>
    <n v="3315"/>
    <n v="0"/>
    <x v="1"/>
    <x v="6"/>
    <x v="0"/>
  </r>
  <r>
    <x v="2"/>
    <s v="Skookumchuck Hydro"/>
    <n v="5017.3999999999996"/>
    <n v="0"/>
    <x v="1"/>
    <x v="0"/>
    <x v="0"/>
  </r>
  <r>
    <x v="2"/>
    <s v="Smith Creek Hydro"/>
    <n v="169.59399999999999"/>
    <n v="0"/>
    <x v="1"/>
    <x v="0"/>
    <x v="0"/>
  </r>
  <r>
    <x v="2"/>
    <s v="Van Dyk - S Holsteins"/>
    <n v="749.88199999999995"/>
    <n v="0"/>
    <x v="1"/>
    <x v="6"/>
    <x v="0"/>
  </r>
  <r>
    <x v="2"/>
    <s v="VanderHaak Dairy Digester"/>
    <n v="3919"/>
    <n v="0"/>
    <x v="1"/>
    <x v="6"/>
    <x v="0"/>
  </r>
  <r>
    <x v="2"/>
    <s v="WASCO Hydro"/>
    <n v="38437"/>
    <n v="0"/>
    <x v="1"/>
    <x v="0"/>
    <x v="0"/>
  </r>
  <r>
    <x v="2"/>
    <s v="Hutchinson Creek"/>
    <n v="1180.2"/>
    <n v="0"/>
    <x v="1"/>
    <x v="0"/>
    <x v="0"/>
  </r>
  <r>
    <x v="2"/>
    <s v="Koma Kulshan Associates"/>
    <n v="41094.68"/>
    <n v="0"/>
    <x v="1"/>
    <x v="0"/>
    <x v="0"/>
  </r>
  <r>
    <x v="2"/>
    <s v="March Point Cogen. - 1 &amp; 2"/>
    <n v="769775.10599999991"/>
    <n v="211301.4807120715"/>
    <x v="1"/>
    <x v="2"/>
    <x v="2"/>
  </r>
  <r>
    <x v="2"/>
    <s v="Nooksack"/>
    <n v="24528.506000000001"/>
    <n v="0"/>
    <x v="1"/>
    <x v="0"/>
    <x v="0"/>
  </r>
  <r>
    <x v="2"/>
    <s v="Port Townsend Paper Co."/>
    <n v="2962.03"/>
    <n v="0"/>
    <x v="1"/>
    <x v="6"/>
    <x v="0"/>
  </r>
  <r>
    <x v="2"/>
    <s v="Spokane MSW"/>
    <n v="143386"/>
    <n v="100855.06414459176"/>
    <x v="1"/>
    <x v="2"/>
    <x v="2"/>
  </r>
  <r>
    <x v="2"/>
    <s v="Sygitowicz Creek"/>
    <n v="1153.68"/>
    <n v="0"/>
    <x v="1"/>
    <x v="0"/>
    <x v="0"/>
  </r>
  <r>
    <x v="2"/>
    <s v="Tenaska"/>
    <n v="81307.08"/>
    <n v="33410.014472329705"/>
    <x v="1"/>
    <x v="2"/>
    <x v="2"/>
  </r>
  <r>
    <x v="2"/>
    <s v="Twin Falls Hydro"/>
    <n v="90259.6"/>
    <n v="0"/>
    <x v="1"/>
    <x v="0"/>
    <x v="0"/>
  </r>
  <r>
    <x v="2"/>
    <s v="Weeks Falls"/>
    <n v="15834"/>
    <n v="0"/>
    <x v="1"/>
    <x v="0"/>
    <x v="0"/>
  </r>
  <r>
    <x v="2"/>
    <s v="Barclays Bank Plc"/>
    <n v="109875"/>
    <n v="48015.374999999993"/>
    <x v="1"/>
    <x v="5"/>
    <x v="3"/>
  </r>
  <r>
    <x v="2"/>
    <s v="BC Hydro (Point Roberts)"/>
    <n v="22073.61"/>
    <n v="9646.1675699999996"/>
    <x v="1"/>
    <x v="5"/>
    <x v="3"/>
  </r>
  <r>
    <x v="2"/>
    <s v="Book Outs - EITF 03-11"/>
    <n v="-509390"/>
    <n v="-222603.43"/>
    <x v="1"/>
    <x v="5"/>
    <x v="3"/>
  </r>
  <r>
    <x v="2"/>
    <s v="BPA Firm - WNP#3 Exchange"/>
    <n v="413808"/>
    <n v="180834.09600000002"/>
    <x v="1"/>
    <x v="5"/>
    <x v="3"/>
  </r>
  <r>
    <x v="2"/>
    <s v="JP Morgan Ventures Energy"/>
    <n v="385873"/>
    <n v="168626.50100000002"/>
    <x v="1"/>
    <x v="5"/>
    <x v="3"/>
  </r>
  <r>
    <x v="2"/>
    <s v="Powerex Corp."/>
    <n v="180000"/>
    <n v="78660"/>
    <x v="1"/>
    <x v="5"/>
    <x v="3"/>
  </r>
  <r>
    <x v="2"/>
    <s v="Sempra Energy Trading"/>
    <n v="161925"/>
    <n v="70761.225000000006"/>
    <x v="1"/>
    <x v="5"/>
    <x v="3"/>
  </r>
  <r>
    <x v="2"/>
    <s v="Shell Energy (Coral Pwr)"/>
    <n v="437989"/>
    <n v="191401.193"/>
    <x v="1"/>
    <x v="5"/>
    <x v="3"/>
  </r>
  <r>
    <x v="2"/>
    <s v="BPA"/>
    <n v="7000"/>
    <n v="3059"/>
    <x v="1"/>
    <x v="5"/>
    <x v="3"/>
  </r>
  <r>
    <x v="2"/>
    <s v="Unspecified"/>
    <n v="6265347.6720000021"/>
    <n v="2737956.932663999"/>
    <x v="2"/>
    <x v="5"/>
    <x v="3"/>
  </r>
  <r>
    <x v="3"/>
    <s v="Electron"/>
    <n v="49582.500999999997"/>
    <n v="0"/>
    <x v="0"/>
    <x v="0"/>
    <x v="0"/>
  </r>
  <r>
    <x v="3"/>
    <s v="Lower Baker"/>
    <n v="349273.41600000003"/>
    <n v="0"/>
    <x v="0"/>
    <x v="0"/>
    <x v="0"/>
  </r>
  <r>
    <x v="3"/>
    <s v="Snoqualmie Falls #1"/>
    <n v="-1203.3699999999999"/>
    <n v="0"/>
    <x v="0"/>
    <x v="0"/>
    <x v="0"/>
  </r>
  <r>
    <x v="3"/>
    <s v="Snoqualmie Falls #2"/>
    <n v="-636.02"/>
    <n v="0"/>
    <x v="0"/>
    <x v="0"/>
    <x v="0"/>
  </r>
  <r>
    <x v="3"/>
    <s v="Upper Baker"/>
    <n v="349723.13699999999"/>
    <n v="0"/>
    <x v="0"/>
    <x v="0"/>
    <x v="0"/>
  </r>
  <r>
    <x v="3"/>
    <s v="Colstrip"/>
    <n v="3809524.0120000001"/>
    <n v="4135425.0249789529"/>
    <x v="0"/>
    <x v="1"/>
    <x v="1"/>
  </r>
  <r>
    <x v="3"/>
    <s v="Encogen"/>
    <n v="108457.06999999999"/>
    <n v="51680.103999999999"/>
    <x v="0"/>
    <x v="2"/>
    <x v="2"/>
  </r>
  <r>
    <x v="3"/>
    <s v="Ferndale Co-Generation"/>
    <n v="1607.07"/>
    <n v="14719.108"/>
    <x v="0"/>
    <x v="2"/>
    <x v="2"/>
  </r>
  <r>
    <x v="3"/>
    <s v="Freddie #1"/>
    <n v="175177.486"/>
    <n v="69361.531273999994"/>
    <x v="0"/>
    <x v="2"/>
    <x v="2"/>
  </r>
  <r>
    <x v="3"/>
    <s v="Goldendale"/>
    <n v="909496.56500000006"/>
    <n v="325690.44400000002"/>
    <x v="0"/>
    <x v="2"/>
    <x v="2"/>
  </r>
  <r>
    <x v="3"/>
    <s v="Mint Farm"/>
    <n v="1098069.3709999998"/>
    <n v="433875.39199999999"/>
    <x v="0"/>
    <x v="2"/>
    <x v="2"/>
  </r>
  <r>
    <x v="3"/>
    <s v="Sumas"/>
    <n v="223749.87400000001"/>
    <n v="106647.40399999999"/>
    <x v="0"/>
    <x v="2"/>
    <x v="2"/>
  </r>
  <r>
    <x v="3"/>
    <s v="Crystal Mountain"/>
    <n v="298.26"/>
    <n v="9852.490904160908"/>
    <x v="0"/>
    <x v="3"/>
    <x v="2"/>
  </r>
  <r>
    <x v="3"/>
    <s v="Fredonia"/>
    <n v="42552.718000000001"/>
    <n v="28513.758000000002"/>
    <x v="0"/>
    <x v="2"/>
    <x v="2"/>
  </r>
  <r>
    <x v="3"/>
    <s v="Fredrickson 1 &amp; 2"/>
    <n v="31650.31"/>
    <n v="30729.124"/>
    <x v="0"/>
    <x v="2"/>
    <x v="2"/>
  </r>
  <r>
    <x v="3"/>
    <s v="Hopkins Ridge (W184)"/>
    <n v="430639.962"/>
    <n v="0"/>
    <x v="0"/>
    <x v="4"/>
    <x v="0"/>
  </r>
  <r>
    <x v="3"/>
    <s v="Lower Snake River"/>
    <n v="714783.17700000003"/>
    <n v="0"/>
    <x v="0"/>
    <x v="4"/>
    <x v="0"/>
  </r>
  <r>
    <x v="3"/>
    <s v="Whitehorn 2&amp;3"/>
    <n v="29277.7"/>
    <n v="27310.482"/>
    <x v="0"/>
    <x v="2"/>
    <x v="2"/>
  </r>
  <r>
    <x v="3"/>
    <s v="Wild Horse (W183)"/>
    <n v="677389.93"/>
    <n v="0"/>
    <x v="0"/>
    <x v="4"/>
    <x v="0"/>
  </r>
  <r>
    <x v="3"/>
    <s v="3 Bar G Wind Turbine #3 LLC"/>
    <n v="190.13800000000001"/>
    <n v="0"/>
    <x v="1"/>
    <x v="4"/>
    <x v="0"/>
  </r>
  <r>
    <x v="3"/>
    <s v="Barclays Bank Plc"/>
    <n v="217875"/>
    <n v="95211.375"/>
    <x v="1"/>
    <x v="5"/>
    <x v="3"/>
  </r>
  <r>
    <x v="3"/>
    <s v="BC Hydro (Point Roberts)"/>
    <n v="21416.769"/>
    <n v="9359.1280530000004"/>
    <x v="1"/>
    <x v="5"/>
    <x v="3"/>
  </r>
  <r>
    <x v="3"/>
    <s v="Black Creek Hydro Inc"/>
    <n v="11481.12"/>
    <n v="0"/>
    <x v="1"/>
    <x v="0"/>
    <x v="0"/>
  </r>
  <r>
    <x v="3"/>
    <s v="Book Outs - EITF 03-11"/>
    <n v="-449210"/>
    <n v="-196304.77"/>
    <x v="1"/>
    <x v="5"/>
    <x v="3"/>
  </r>
  <r>
    <x v="3"/>
    <s v="BPA"/>
    <n v="6832"/>
    <n v="0"/>
    <x v="1"/>
    <x v="0"/>
    <x v="0"/>
  </r>
  <r>
    <x v="3"/>
    <s v="BPA Firm - WNP#3 Exchange"/>
    <n v="400153"/>
    <n v="174866.861"/>
    <x v="1"/>
    <x v="5"/>
    <x v="3"/>
  </r>
  <r>
    <x v="3"/>
    <s v="CC Solar 1 and CC Solar 2"/>
    <n v="3.48"/>
    <n v="0"/>
    <x v="1"/>
    <x v="7"/>
    <x v="0"/>
  </r>
  <r>
    <x v="3"/>
    <s v="Chelan PUD - RI &amp; RR"/>
    <n v="2300840"/>
    <n v="0"/>
    <x v="1"/>
    <x v="0"/>
    <x v="0"/>
  </r>
  <r>
    <x v="3"/>
    <s v="Chelan PUD - Rock Island Syst #2"/>
    <n v="716417"/>
    <n v="0"/>
    <x v="1"/>
    <x v="0"/>
    <x v="0"/>
  </r>
  <r>
    <x v="3"/>
    <s v="Chelan PUD - Rocky Reach"/>
    <n v="-80276"/>
    <n v="0"/>
    <x v="1"/>
    <x v="0"/>
    <x v="0"/>
  </r>
  <r>
    <x v="3"/>
    <s v="Douglas PUD - Wells Project"/>
    <n v="979910"/>
    <n v="0"/>
    <x v="1"/>
    <x v="0"/>
    <x v="0"/>
  </r>
  <r>
    <x v="3"/>
    <s v="Edaleen Dairy LLC"/>
    <n v="1390.963"/>
    <n v="0"/>
    <x v="1"/>
    <x v="6"/>
    <x v="0"/>
  </r>
  <r>
    <x v="3"/>
    <s v="Farm Power Lynden LLC"/>
    <n v="4187.8609999999999"/>
    <n v="0"/>
    <x v="1"/>
    <x v="6"/>
    <x v="0"/>
  </r>
  <r>
    <x v="3"/>
    <s v="Farm Power Rexville LLC"/>
    <n v="5803.0730000000003"/>
    <n v="0"/>
    <x v="1"/>
    <x v="6"/>
    <x v="0"/>
  </r>
  <r>
    <x v="3"/>
    <s v="Grant PUD - Priest Rapids Project"/>
    <n v="75568"/>
    <n v="0"/>
    <x v="1"/>
    <x v="0"/>
    <x v="0"/>
  </r>
  <r>
    <x v="3"/>
    <s v="Island Community Solar LLC"/>
    <n v="57.93"/>
    <n v="0"/>
    <x v="1"/>
    <x v="7"/>
    <x v="0"/>
  </r>
  <r>
    <x v="3"/>
    <s v="JP Morgan Ventures Energy"/>
    <n v="549589"/>
    <n v="240170.39300000001"/>
    <x v="1"/>
    <x v="5"/>
    <x v="3"/>
  </r>
  <r>
    <x v="3"/>
    <s v="Klamath Falls (Iberdrola)"/>
    <n v="500"/>
    <n v="200.65128985758764"/>
    <x v="1"/>
    <x v="2"/>
    <x v="2"/>
  </r>
  <r>
    <x v="3"/>
    <s v="Klondike Wind Power III"/>
    <n v="124794"/>
    <n v="0"/>
    <x v="1"/>
    <x v="4"/>
    <x v="0"/>
  </r>
  <r>
    <x v="3"/>
    <s v="Knudsen Wind Turbine #1"/>
    <n v="134.72900000000001"/>
    <n v="0"/>
    <x v="1"/>
    <x v="4"/>
    <x v="0"/>
  </r>
  <r>
    <x v="3"/>
    <s v="Powerex Corp."/>
    <n v="120000"/>
    <n v="52440"/>
    <x v="1"/>
    <x v="5"/>
    <x v="3"/>
  </r>
  <r>
    <x v="3"/>
    <s v="Qualco Energy"/>
    <n v="3402"/>
    <n v="0"/>
    <x v="1"/>
    <x v="6"/>
    <x v="0"/>
  </r>
  <r>
    <x v="3"/>
    <s v="Rainier Bio Gas"/>
    <n v="58.277000000000001"/>
    <n v="0"/>
    <x v="1"/>
    <x v="6"/>
    <x v="0"/>
  </r>
  <r>
    <x v="3"/>
    <s v="Shell Energy (Coral Pwr)"/>
    <n v="439124"/>
    <n v="191897.18799999999"/>
    <x v="1"/>
    <x v="5"/>
    <x v="3"/>
  </r>
  <r>
    <x v="3"/>
    <s v="Skookumchuck Hydro"/>
    <n v="6421.8"/>
    <n v="0"/>
    <x v="1"/>
    <x v="0"/>
    <x v="0"/>
  </r>
  <r>
    <x v="3"/>
    <s v="Smith Creek Hydro"/>
    <n v="215.179"/>
    <n v="0"/>
    <x v="1"/>
    <x v="0"/>
    <x v="0"/>
  </r>
  <r>
    <x v="3"/>
    <s v="Swauk Wind"/>
    <n v="29.4"/>
    <n v="0"/>
    <x v="1"/>
    <x v="4"/>
    <x v="0"/>
  </r>
  <r>
    <x v="3"/>
    <s v="Van Dyk - S Holsteins"/>
    <n v="2762.123"/>
    <n v="0"/>
    <x v="1"/>
    <x v="6"/>
    <x v="0"/>
  </r>
  <r>
    <x v="3"/>
    <s v="VanderHaak Dairy Digester"/>
    <n v="3538.12"/>
    <n v="0"/>
    <x v="1"/>
    <x v="6"/>
    <x v="0"/>
  </r>
  <r>
    <x v="3"/>
    <s v="WASCO Hydro"/>
    <n v="38227"/>
    <n v="0"/>
    <x v="1"/>
    <x v="0"/>
    <x v="0"/>
  </r>
  <r>
    <x v="3"/>
    <s v="Bio Energy Washington (BEW)"/>
    <n v="2787.3119999999999"/>
    <n v="0"/>
    <x v="1"/>
    <x v="6"/>
    <x v="0"/>
  </r>
  <r>
    <x v="3"/>
    <s v="Hutchinson Creek"/>
    <n v="1243.96"/>
    <n v="0"/>
    <x v="1"/>
    <x v="0"/>
    <x v="0"/>
  </r>
  <r>
    <x v="3"/>
    <s v="Koma Kulshan Associates"/>
    <n v="42519.24"/>
    <n v="0"/>
    <x v="1"/>
    <x v="0"/>
    <x v="0"/>
  </r>
  <r>
    <x v="3"/>
    <s v="Lake Washington -- Finn Hill"/>
    <n v="95.68"/>
    <n v="0"/>
    <x v="1"/>
    <x v="6"/>
    <x v="0"/>
  </r>
  <r>
    <x v="3"/>
    <s v="Nooksack"/>
    <n v="25294.784"/>
    <n v="0"/>
    <x v="1"/>
    <x v="0"/>
    <x v="0"/>
  </r>
  <r>
    <x v="3"/>
    <s v="Port Townsend Paper Co."/>
    <n v="1475.0070000000001"/>
    <n v="0"/>
    <x v="1"/>
    <x v="6"/>
    <x v="0"/>
  </r>
  <r>
    <x v="3"/>
    <s v="Sygitowicz Creek"/>
    <n v="1478.24"/>
    <n v="0"/>
    <x v="1"/>
    <x v="0"/>
    <x v="0"/>
  </r>
  <r>
    <x v="3"/>
    <s v="Twin Falls Hydro"/>
    <n v="95827.199999999997"/>
    <n v="0"/>
    <x v="1"/>
    <x v="0"/>
    <x v="0"/>
  </r>
  <r>
    <x v="3"/>
    <s v="Weeks Falls"/>
    <n v="17113.599999999999"/>
    <n v="0"/>
    <x v="1"/>
    <x v="0"/>
    <x v="0"/>
  </r>
  <r>
    <x v="3"/>
    <s v="Unspecified"/>
    <n v="7277950.4249999989"/>
    <n v="3180464.3357250034"/>
    <x v="2"/>
    <x v="5"/>
    <x v="3"/>
  </r>
  <r>
    <x v="4"/>
    <s v="Electron"/>
    <n v="57768.31"/>
    <n v="0"/>
    <x v="0"/>
    <x v="0"/>
    <x v="0"/>
  </r>
  <r>
    <x v="4"/>
    <s v="Lower Baker"/>
    <n v="350427.55599999998"/>
    <n v="0"/>
    <x v="0"/>
    <x v="0"/>
    <x v="0"/>
  </r>
  <r>
    <x v="4"/>
    <s v="Snoqualmie Falls #1"/>
    <n v="-173.11"/>
    <n v="0"/>
    <x v="0"/>
    <x v="0"/>
    <x v="0"/>
  </r>
  <r>
    <x v="4"/>
    <s v="Snoqualmie Falls #2"/>
    <n v="76306.592999999993"/>
    <n v="0"/>
    <x v="0"/>
    <x v="0"/>
    <x v="0"/>
  </r>
  <r>
    <x v="4"/>
    <s v="Upper Baker"/>
    <n v="353239.95299999998"/>
    <n v="0"/>
    <x v="0"/>
    <x v="0"/>
    <x v="0"/>
  </r>
  <r>
    <x v="4"/>
    <s v="Colstrip"/>
    <n v="4346208"/>
    <n v="4704400.4330650484"/>
    <x v="0"/>
    <x v="1"/>
    <x v="1"/>
  </r>
  <r>
    <x v="4"/>
    <s v="Encogen"/>
    <n v="268267.32500000001"/>
    <n v="132778.29199999999"/>
    <x v="0"/>
    <x v="2"/>
    <x v="2"/>
  </r>
  <r>
    <x v="4"/>
    <s v="Ferndale Co-Generation"/>
    <n v="869393.88599999994"/>
    <n v="395314.78399999999"/>
    <x v="0"/>
    <x v="2"/>
    <x v="2"/>
  </r>
  <r>
    <x v="4"/>
    <s v="Freddie #1"/>
    <n v="416396.53899999999"/>
    <n v="163542.03957399999"/>
    <x v="0"/>
    <x v="2"/>
    <x v="2"/>
  </r>
  <r>
    <x v="4"/>
    <s v="Goldendale"/>
    <n v="1469093.6269999999"/>
    <n v="544865.78"/>
    <x v="0"/>
    <x v="2"/>
    <x v="2"/>
  </r>
  <r>
    <x v="4"/>
    <s v="Mint Farm"/>
    <n v="1614347.7590000001"/>
    <n v="633492.55200000003"/>
    <x v="0"/>
    <x v="2"/>
    <x v="2"/>
  </r>
  <r>
    <x v="4"/>
    <s v="Sumas"/>
    <n v="536584.62"/>
    <n v="250237.89600000001"/>
    <x v="0"/>
    <x v="2"/>
    <x v="2"/>
  </r>
  <r>
    <x v="4"/>
    <s v="Crystal Mountain"/>
    <n v="48.722000000000001"/>
    <n v="58.302268160976595"/>
    <x v="0"/>
    <x v="3"/>
    <x v="2"/>
  </r>
  <r>
    <x v="4"/>
    <s v="Fredonia"/>
    <n v="125414.90699999999"/>
    <n v="82399.173999999999"/>
    <x v="0"/>
    <x v="2"/>
    <x v="2"/>
  </r>
  <r>
    <x v="4"/>
    <s v="Fredrickson 1 &amp; 2"/>
    <n v="27905.3"/>
    <n v="34538.230000000003"/>
    <x v="0"/>
    <x v="2"/>
    <x v="2"/>
  </r>
  <r>
    <x v="4"/>
    <s v="Hopkins Ridge (W184)"/>
    <n v="406599.78"/>
    <n v="0"/>
    <x v="0"/>
    <x v="4"/>
    <x v="0"/>
  </r>
  <r>
    <x v="4"/>
    <s v="Lower Snake River"/>
    <n v="816895.07"/>
    <n v="0"/>
    <x v="0"/>
    <x v="4"/>
    <x v="0"/>
  </r>
  <r>
    <x v="4"/>
    <s v="Whitehorn 2&amp;3"/>
    <n v="27795.7"/>
    <n v="28668.85"/>
    <x v="0"/>
    <x v="2"/>
    <x v="2"/>
  </r>
  <r>
    <x v="4"/>
    <s v="Wild Horse (W183)"/>
    <n v="659105.34199999995"/>
    <n v="0"/>
    <x v="0"/>
    <x v="4"/>
    <x v="0"/>
  </r>
  <r>
    <x v="4"/>
    <s v="3 Bar G Wind Turbine #3 LLC"/>
    <n v="202.654"/>
    <n v="0"/>
    <x v="1"/>
    <x v="4"/>
    <x v="0"/>
  </r>
  <r>
    <x v="4"/>
    <s v="Barclays Bank Plc"/>
    <n v="216075"/>
    <n v="94424.775000000009"/>
    <x v="1"/>
    <x v="5"/>
    <x v="3"/>
  </r>
  <r>
    <x v="4"/>
    <s v="BC Hydro (Point Roberts)"/>
    <n v="21366.07"/>
    <n v="9336.9725899999994"/>
    <x v="1"/>
    <x v="5"/>
    <x v="3"/>
  </r>
  <r>
    <x v="4"/>
    <s v="Bio Energy Washington (BEW)"/>
    <n v="0.89400000000000002"/>
    <n v="0"/>
    <x v="1"/>
    <x v="6"/>
    <x v="0"/>
  </r>
  <r>
    <x v="4"/>
    <s v="Black Creek Hydro Inc"/>
    <n v="12819.279"/>
    <n v="0"/>
    <x v="1"/>
    <x v="0"/>
    <x v="0"/>
  </r>
  <r>
    <x v="4"/>
    <s v="Book Outs - EITF 03-11"/>
    <n v="-204155"/>
    <n v="-89215.735000000001"/>
    <x v="1"/>
    <x v="5"/>
    <x v="3"/>
  </r>
  <r>
    <x v="4"/>
    <s v="BPA"/>
    <n v="7000"/>
    <n v="0"/>
    <x v="1"/>
    <x v="0"/>
    <x v="0"/>
  </r>
  <r>
    <x v="4"/>
    <s v="BPA Firm - WNP#3 Exchange"/>
    <n v="374969"/>
    <n v="163861.45299999998"/>
    <x v="1"/>
    <x v="5"/>
    <x v="3"/>
  </r>
  <r>
    <x v="4"/>
    <s v="CC Solar 1 and CC Solar 2"/>
    <n v="28.17"/>
    <n v="0"/>
    <x v="1"/>
    <x v="7"/>
    <x v="0"/>
  </r>
  <r>
    <x v="4"/>
    <s v="Chelan PUD - RI &amp; RR"/>
    <n v="2436603"/>
    <n v="0"/>
    <x v="1"/>
    <x v="0"/>
    <x v="0"/>
  </r>
  <r>
    <x v="4"/>
    <s v="Chelan PUD - Rock Island Syst #2"/>
    <n v="-43063"/>
    <n v="0"/>
    <x v="1"/>
    <x v="0"/>
    <x v="0"/>
  </r>
  <r>
    <x v="4"/>
    <s v="Chelan PUD - Rocky Reach"/>
    <n v="-78804"/>
    <n v="0"/>
    <x v="1"/>
    <x v="0"/>
    <x v="0"/>
  </r>
  <r>
    <x v="4"/>
    <s v="Douglas PUD - Wells Project"/>
    <n v="1064303"/>
    <n v="0"/>
    <x v="1"/>
    <x v="0"/>
    <x v="0"/>
  </r>
  <r>
    <x v="4"/>
    <s v="Edaleen Dairy LLC"/>
    <n v="3924.8539999999998"/>
    <n v="0"/>
    <x v="1"/>
    <x v="6"/>
    <x v="0"/>
  </r>
  <r>
    <x v="4"/>
    <s v="Farm Power Lynden LLC"/>
    <n v="4128.7299999999996"/>
    <n v="0"/>
    <x v="1"/>
    <x v="6"/>
    <x v="0"/>
  </r>
  <r>
    <x v="4"/>
    <s v="Farm Power Rexville LLC"/>
    <n v="5448.1419999999998"/>
    <n v="0"/>
    <x v="1"/>
    <x v="6"/>
    <x v="0"/>
  </r>
  <r>
    <x v="4"/>
    <s v="Grant PUD - Priest Rapids Project"/>
    <n v="72986"/>
    <n v="0"/>
    <x v="1"/>
    <x v="0"/>
    <x v="0"/>
  </r>
  <r>
    <x v="4"/>
    <s v="Island Community Solar LLC"/>
    <n v="59.14"/>
    <n v="0"/>
    <x v="1"/>
    <x v="7"/>
    <x v="0"/>
  </r>
  <r>
    <x v="4"/>
    <s v="JP Morgan Ventures Energy"/>
    <n v="161925"/>
    <n v="70761.225000000006"/>
    <x v="1"/>
    <x v="5"/>
    <x v="3"/>
  </r>
  <r>
    <x v="4"/>
    <s v="Klamath Falls (Iberdrola)"/>
    <n v="8450"/>
    <n v="3332.3110876300752"/>
    <x v="1"/>
    <x v="2"/>
    <x v="2"/>
  </r>
  <r>
    <x v="4"/>
    <s v="Klondike Wind Power III"/>
    <n v="134050"/>
    <n v="0"/>
    <x v="1"/>
    <x v="4"/>
    <x v="0"/>
  </r>
  <r>
    <x v="4"/>
    <s v="Knudsen Wind Turbine #1"/>
    <n v="127.961"/>
    <n v="0"/>
    <x v="1"/>
    <x v="4"/>
    <x v="0"/>
  </r>
  <r>
    <x v="4"/>
    <s v="Qualco Energy"/>
    <n v="3381"/>
    <n v="0"/>
    <x v="1"/>
    <x v="6"/>
    <x v="0"/>
  </r>
  <r>
    <x v="4"/>
    <s v="Rainier Bio Gas"/>
    <n v="5794.9889999999996"/>
    <n v="0"/>
    <x v="1"/>
    <x v="6"/>
    <x v="0"/>
  </r>
  <r>
    <x v="4"/>
    <s v="Shell Energy (Coral Pwr)"/>
    <n v="107950"/>
    <n v="47174.15"/>
    <x v="1"/>
    <x v="5"/>
    <x v="3"/>
  </r>
  <r>
    <x v="4"/>
    <s v="Skookumchuck Hydro"/>
    <n v="6742.4620000000004"/>
    <n v="0"/>
    <x v="1"/>
    <x v="0"/>
    <x v="0"/>
  </r>
  <r>
    <x v="4"/>
    <s v="Smith Creek Hydro"/>
    <n v="147.297"/>
    <n v="0"/>
    <x v="1"/>
    <x v="0"/>
    <x v="0"/>
  </r>
  <r>
    <x v="4"/>
    <s v="Swauk Wind"/>
    <n v="10571.721"/>
    <n v="0"/>
    <x v="1"/>
    <x v="4"/>
    <x v="0"/>
  </r>
  <r>
    <x v="4"/>
    <s v="Van Dyk - S Holsteins"/>
    <n v="2314.8589999999999"/>
    <n v="0"/>
    <x v="1"/>
    <x v="6"/>
    <x v="0"/>
  </r>
  <r>
    <x v="4"/>
    <s v="VanderHaak Dairy Digester"/>
    <n v="2969.8710000000001"/>
    <n v="0"/>
    <x v="1"/>
    <x v="6"/>
    <x v="0"/>
  </r>
  <r>
    <x v="4"/>
    <s v="Bio Energy Washington (BEW)"/>
    <n v="27.050999999999998"/>
    <n v="0"/>
    <x v="1"/>
    <x v="6"/>
    <x v="0"/>
  </r>
  <r>
    <x v="4"/>
    <s v="BIO FUEL WA"/>
    <n v="1564.5119999999999"/>
    <n v="0"/>
    <x v="1"/>
    <x v="6"/>
    <x v="0"/>
  </r>
  <r>
    <x v="4"/>
    <s v="Hutchinson Creek"/>
    <n v="814.8"/>
    <n v="0"/>
    <x v="1"/>
    <x v="0"/>
    <x v="0"/>
  </r>
  <r>
    <x v="4"/>
    <s v="Koma Kulshan Associates"/>
    <n v="40135.911999999997"/>
    <n v="0"/>
    <x v="1"/>
    <x v="0"/>
    <x v="0"/>
  </r>
  <r>
    <x v="4"/>
    <s v="Lake Washington -- Finn Hill"/>
    <n v="288.08"/>
    <n v="0"/>
    <x v="1"/>
    <x v="6"/>
    <x v="0"/>
  </r>
  <r>
    <x v="4"/>
    <s v="Nooksack"/>
    <n v="23771.706999999999"/>
    <n v="0"/>
    <x v="1"/>
    <x v="0"/>
    <x v="0"/>
  </r>
  <r>
    <x v="4"/>
    <s v="Sygitowicz Creek"/>
    <n v="1170.0820000000001"/>
    <n v="0"/>
    <x v="1"/>
    <x v="0"/>
    <x v="0"/>
  </r>
  <r>
    <x v="4"/>
    <s v="Twin Falls Hydro"/>
    <n v="83478.721999999994"/>
    <n v="0"/>
    <x v="1"/>
    <x v="0"/>
    <x v="0"/>
  </r>
  <r>
    <x v="4"/>
    <s v="Weeks Falls"/>
    <n v="14706.681"/>
    <n v="0"/>
    <x v="1"/>
    <x v="0"/>
    <x v="0"/>
  </r>
  <r>
    <x v="4"/>
    <s v="Unspecified"/>
    <n v="5673077.977"/>
    <n v="2479135.0759489988"/>
    <x v="2"/>
    <x v="5"/>
    <x v="3"/>
  </r>
  <r>
    <x v="5"/>
    <s v="Electron"/>
    <n v="42364.24"/>
    <n v="0"/>
    <x v="0"/>
    <x v="0"/>
    <x v="0"/>
  </r>
  <r>
    <x v="5"/>
    <s v="Lower Baker"/>
    <n v="429609.103"/>
    <n v="0"/>
    <x v="0"/>
    <x v="0"/>
    <x v="0"/>
  </r>
  <r>
    <x v="5"/>
    <s v="Snoqualmie Falls #1"/>
    <n v="40375.218000000001"/>
    <n v="0"/>
    <x v="0"/>
    <x v="0"/>
    <x v="0"/>
  </r>
  <r>
    <x v="5"/>
    <s v="Snoqualmie Falls #2"/>
    <n v="147766.71299999999"/>
    <n v="0"/>
    <x v="0"/>
    <x v="0"/>
    <x v="0"/>
  </r>
  <r>
    <x v="5"/>
    <s v="Upper Baker"/>
    <n v="340085.38099999999"/>
    <n v="0"/>
    <x v="0"/>
    <x v="0"/>
    <x v="0"/>
  </r>
  <r>
    <x v="5"/>
    <s v="Colstrip"/>
    <n v="4509567"/>
    <n v="4890063.0296316901"/>
    <x v="0"/>
    <x v="1"/>
    <x v="1"/>
  </r>
  <r>
    <x v="5"/>
    <s v="Encogen"/>
    <n v="218068.82899999997"/>
    <n v="105650.308"/>
    <x v="0"/>
    <x v="2"/>
    <x v="2"/>
  </r>
  <r>
    <x v="5"/>
    <s v="Ferndale Co-Generation"/>
    <n v="722557.11800000002"/>
    <n v="333193.56400000001"/>
    <x v="0"/>
    <x v="2"/>
    <x v="2"/>
  </r>
  <r>
    <x v="5"/>
    <s v="Freddie #1"/>
    <n v="346742.94699999999"/>
    <n v="135411.96373399999"/>
    <x v="0"/>
    <x v="2"/>
    <x v="2"/>
  </r>
  <r>
    <x v="5"/>
    <s v="Goldendale"/>
    <n v="1029457.112"/>
    <n v="387311.76400000002"/>
    <x v="0"/>
    <x v="2"/>
    <x v="2"/>
  </r>
  <r>
    <x v="5"/>
    <s v="Mint Farm"/>
    <n v="1284786.4339999999"/>
    <n v="508640.11599999998"/>
    <x v="0"/>
    <x v="2"/>
    <x v="2"/>
  </r>
  <r>
    <x v="5"/>
    <s v="Sumas"/>
    <n v="446064.98"/>
    <n v="209202.024"/>
    <x v="0"/>
    <x v="2"/>
    <x v="2"/>
  </r>
  <r>
    <x v="5"/>
    <s v="Crystal Mountain"/>
    <n v="357.8"/>
    <n v="296.86870338496021"/>
    <x v="0"/>
    <x v="3"/>
    <x v="2"/>
  </r>
  <r>
    <x v="5"/>
    <s v="Fredonia"/>
    <n v="68142.5"/>
    <n v="52554.582000000002"/>
    <x v="0"/>
    <x v="2"/>
    <x v="2"/>
  </r>
  <r>
    <x v="5"/>
    <s v="Fredrickson 1 &amp; 2"/>
    <n v="14347.32"/>
    <n v="24412.653999999999"/>
    <x v="0"/>
    <x v="2"/>
    <x v="2"/>
  </r>
  <r>
    <x v="5"/>
    <s v="Hopkins Ridge (W184)"/>
    <n v="442302.62199999997"/>
    <n v="0"/>
    <x v="0"/>
    <x v="4"/>
    <x v="0"/>
  </r>
  <r>
    <x v="5"/>
    <s v="Lower Snake River"/>
    <n v="883474.77099999995"/>
    <n v="0"/>
    <x v="0"/>
    <x v="4"/>
    <x v="0"/>
  </r>
  <r>
    <x v="5"/>
    <s v="Whitehorn 2&amp;3"/>
    <n v="24458.1"/>
    <n v="29472.331999999999"/>
    <x v="0"/>
    <x v="2"/>
    <x v="2"/>
  </r>
  <r>
    <x v="5"/>
    <s v="Wild Horse (W183)"/>
    <n v="649976.24100000004"/>
    <n v="0"/>
    <x v="0"/>
    <x v="4"/>
    <x v="0"/>
  </r>
  <r>
    <x v="5"/>
    <s v="3 Bar G Wind Turbine #3 LLC"/>
    <n v="143.74799999999999"/>
    <n v="0"/>
    <x v="1"/>
    <x v="4"/>
    <x v="0"/>
  </r>
  <r>
    <x v="5"/>
    <s v="Barclays Bank Plc"/>
    <n v="216079"/>
    <n v="94426.523000000001"/>
    <x v="1"/>
    <x v="5"/>
    <x v="3"/>
  </r>
  <r>
    <x v="5"/>
    <s v="BC Hydro (Point Roberts)"/>
    <n v="20696.929"/>
    <n v="9044.557972999999"/>
    <x v="1"/>
    <x v="5"/>
    <x v="3"/>
  </r>
  <r>
    <x v="5"/>
    <s v="Bio Energy Washington (BEW)"/>
    <n v="13.750999999999999"/>
    <n v="0"/>
    <x v="1"/>
    <x v="6"/>
    <x v="0"/>
  </r>
  <r>
    <x v="5"/>
    <s v="Black Creek Hydro Inc"/>
    <n v="14182.659"/>
    <n v="0"/>
    <x v="1"/>
    <x v="0"/>
    <x v="0"/>
  </r>
  <r>
    <x v="5"/>
    <s v="Book Outs - EITF 03-11"/>
    <n v="-10172"/>
    <n v="-4445.1639999999998"/>
    <x v="1"/>
    <x v="5"/>
    <x v="3"/>
  </r>
  <r>
    <x v="5"/>
    <s v="BPA"/>
    <n v="7000"/>
    <n v="0"/>
    <x v="1"/>
    <x v="0"/>
    <x v="0"/>
  </r>
  <r>
    <x v="5"/>
    <s v="BPA Firm - WNP#3 Exchange"/>
    <n v="360022"/>
    <n v="157329.61399999997"/>
    <x v="1"/>
    <x v="5"/>
    <x v="3"/>
  </r>
  <r>
    <x v="5"/>
    <s v="CC Solar 1 and CC Solar 2"/>
    <n v="28.02"/>
    <n v="0"/>
    <x v="1"/>
    <x v="7"/>
    <x v="0"/>
  </r>
  <r>
    <x v="5"/>
    <s v="Chelan PUD - RI &amp; RR"/>
    <n v="2323845"/>
    <n v="0"/>
    <x v="1"/>
    <x v="0"/>
    <x v="0"/>
  </r>
  <r>
    <x v="5"/>
    <s v="Chelan PUD - Rock Island Syst #2"/>
    <n v="-38431"/>
    <n v="0"/>
    <x v="1"/>
    <x v="0"/>
    <x v="0"/>
  </r>
  <r>
    <x v="5"/>
    <s v="Chelan PUD - Rocky Reach"/>
    <n v="-81380"/>
    <n v="0"/>
    <x v="1"/>
    <x v="0"/>
    <x v="0"/>
  </r>
  <r>
    <x v="5"/>
    <s v="Douglas PUD - Wells Project"/>
    <n v="1048857"/>
    <n v="0"/>
    <x v="1"/>
    <x v="0"/>
    <x v="0"/>
  </r>
  <r>
    <x v="5"/>
    <s v="Edaleen Dairy LLC"/>
    <n v="3733.9949999999999"/>
    <n v="0"/>
    <x v="1"/>
    <x v="6"/>
    <x v="0"/>
  </r>
  <r>
    <x v="5"/>
    <s v="Farm Power Lynden LLC"/>
    <n v="4946.95"/>
    <n v="0"/>
    <x v="1"/>
    <x v="6"/>
    <x v="0"/>
  </r>
  <r>
    <x v="5"/>
    <s v="Farm Power Rexville LLC"/>
    <n v="5241.9309999999996"/>
    <n v="0"/>
    <x v="1"/>
    <x v="6"/>
    <x v="0"/>
  </r>
  <r>
    <x v="5"/>
    <s v="Grant PUD - Priest Rapids Project"/>
    <n v="50317"/>
    <n v="0"/>
    <x v="1"/>
    <x v="0"/>
    <x v="0"/>
  </r>
  <r>
    <x v="5"/>
    <s v="Island Community Solar LLC"/>
    <n v="59.67"/>
    <n v="0"/>
    <x v="1"/>
    <x v="7"/>
    <x v="0"/>
  </r>
  <r>
    <x v="5"/>
    <s v="Klamath Falls (Iberdrola)"/>
    <n v="1200"/>
    <n v="489.07460504942117"/>
    <x v="1"/>
    <x v="2"/>
    <x v="2"/>
  </r>
  <r>
    <x v="5"/>
    <s v="Klondike Wind Power III"/>
    <n v="129205"/>
    <n v="0"/>
    <x v="1"/>
    <x v="4"/>
    <x v="0"/>
  </r>
  <r>
    <x v="5"/>
    <s v="Knudsen Wind Turbine #1"/>
    <n v="151.547"/>
    <n v="0"/>
    <x v="1"/>
    <x v="4"/>
    <x v="0"/>
  </r>
  <r>
    <x v="5"/>
    <s v="Qualco Energy"/>
    <n v="290"/>
    <n v="0"/>
    <x v="1"/>
    <x v="6"/>
    <x v="0"/>
  </r>
  <r>
    <x v="5"/>
    <s v="Rainier Bio Gas"/>
    <n v="5027.634"/>
    <n v="0"/>
    <x v="1"/>
    <x v="6"/>
    <x v="0"/>
  </r>
  <r>
    <x v="5"/>
    <s v="Skookumchuck Hydro"/>
    <n v="6471.0950000000003"/>
    <n v="0"/>
    <x v="1"/>
    <x v="0"/>
    <x v="0"/>
  </r>
  <r>
    <x v="5"/>
    <s v="Smith Creek Hydro"/>
    <n v="174.334"/>
    <n v="0"/>
    <x v="1"/>
    <x v="0"/>
    <x v="0"/>
  </r>
  <r>
    <x v="5"/>
    <s v="Swauk Wind"/>
    <n v="11215.539000000001"/>
    <n v="0"/>
    <x v="1"/>
    <x v="4"/>
    <x v="0"/>
  </r>
  <r>
    <x v="5"/>
    <s v="Transalta Centralia Generation LLC"/>
    <n v="133020"/>
    <n v="148214.00602028202"/>
    <x v="1"/>
    <x v="1"/>
    <x v="1"/>
  </r>
  <r>
    <x v="5"/>
    <s v="Van Dyk - S Holsteins"/>
    <n v="2188.8200000000002"/>
    <n v="0"/>
    <x v="1"/>
    <x v="6"/>
    <x v="0"/>
  </r>
  <r>
    <x v="5"/>
    <s v="VanderHaak Dairy Digester"/>
    <n v="3510.7820000000002"/>
    <n v="0"/>
    <x v="1"/>
    <x v="6"/>
    <x v="0"/>
  </r>
  <r>
    <x v="5"/>
    <s v="BIO FUEL WA"/>
    <n v="36676.847000000002"/>
    <n v="0"/>
    <x v="1"/>
    <x v="6"/>
    <x v="0"/>
  </r>
  <r>
    <x v="5"/>
    <s v="Electron Hydro, LLC"/>
    <n v="8568.0669999999991"/>
    <n v="0"/>
    <x v="1"/>
    <x v="0"/>
    <x v="0"/>
  </r>
  <r>
    <x v="5"/>
    <s v="Hutchinson Creek"/>
    <n v="233.12"/>
    <n v="0"/>
    <x v="1"/>
    <x v="0"/>
    <x v="0"/>
  </r>
  <r>
    <x v="5"/>
    <s v="Koma Kulshan Associates"/>
    <n v="48522.928999999996"/>
    <n v="0"/>
    <x v="1"/>
    <x v="0"/>
    <x v="0"/>
  </r>
  <r>
    <x v="5"/>
    <s v="Lake Washington -- Finn Hill"/>
    <n v="271.08"/>
    <n v="0"/>
    <x v="1"/>
    <x v="6"/>
    <x v="0"/>
  </r>
  <r>
    <x v="5"/>
    <s v="Nooksack"/>
    <n v="25212.421999999999"/>
    <n v="0"/>
    <x v="1"/>
    <x v="0"/>
    <x v="0"/>
  </r>
  <r>
    <x v="5"/>
    <s v="Sygitowicz Creek"/>
    <n v="1168.2139999999999"/>
    <n v="0"/>
    <x v="1"/>
    <x v="0"/>
    <x v="0"/>
  </r>
  <r>
    <x v="5"/>
    <s v="Twin Falls Hydro"/>
    <n v="92557.659"/>
    <n v="0"/>
    <x v="1"/>
    <x v="0"/>
    <x v="0"/>
  </r>
  <r>
    <x v="5"/>
    <s v="Weeks Falls"/>
    <n v="16407.221000000001"/>
    <n v="0"/>
    <x v="1"/>
    <x v="0"/>
    <x v="0"/>
  </r>
  <r>
    <x v="5"/>
    <s v="Unspecified"/>
    <n v="6179576.1970000006"/>
    <n v="2700474.7980889999"/>
    <x v="2"/>
    <x v="5"/>
    <x v="3"/>
  </r>
  <r>
    <x v="6"/>
    <s v="Lower Baker"/>
    <n v="308611.20000000001"/>
    <n v="0"/>
    <x v="0"/>
    <x v="0"/>
    <x v="0"/>
  </r>
  <r>
    <x v="6"/>
    <s v="Snoqualmie Falls #1"/>
    <n v="17890.858"/>
    <n v="0"/>
    <x v="0"/>
    <x v="0"/>
    <x v="0"/>
  </r>
  <r>
    <x v="6"/>
    <s v="Snoqualmie Falls #2"/>
    <n v="100979.7"/>
    <n v="0"/>
    <x v="0"/>
    <x v="0"/>
    <x v="0"/>
  </r>
  <r>
    <x v="6"/>
    <s v="Upper Baker"/>
    <n v="278749.55"/>
    <n v="0"/>
    <x v="0"/>
    <x v="0"/>
    <x v="0"/>
  </r>
  <r>
    <x v="6"/>
    <s v="Colstrip"/>
    <n v="4495032"/>
    <n v="5034544.2730927812"/>
    <x v="0"/>
    <x v="1"/>
    <x v="1"/>
  </r>
  <r>
    <x v="6"/>
    <s v="Crystal Mountain"/>
    <n v="293.68"/>
    <n v="252.82224872760236"/>
    <x v="0"/>
    <x v="3"/>
    <x v="2"/>
  </r>
  <r>
    <x v="6"/>
    <s v="Encogen"/>
    <n v="297657.59999999998"/>
    <n v="143119.11799999999"/>
    <x v="0"/>
    <x v="2"/>
    <x v="2"/>
  </r>
  <r>
    <x v="6"/>
    <s v="Ferndale Co-Generation"/>
    <n v="868466.83199999994"/>
    <n v="405725.95199999999"/>
    <x v="0"/>
    <x v="2"/>
    <x v="2"/>
  </r>
  <r>
    <x v="6"/>
    <s v="Freddie #1"/>
    <n v="623181.11300000001"/>
    <n v="247630.70250999997"/>
    <x v="0"/>
    <x v="2"/>
    <x v="2"/>
  </r>
  <r>
    <x v="6"/>
    <s v="Fredonia"/>
    <n v="161294.90000000002"/>
    <n v="115726.91"/>
    <x v="0"/>
    <x v="2"/>
    <x v="2"/>
  </r>
  <r>
    <x v="6"/>
    <s v="Fredrickson 1 &amp; 2"/>
    <n v="39935.4"/>
    <n v="17051.536"/>
    <x v="0"/>
    <x v="2"/>
    <x v="2"/>
  </r>
  <r>
    <x v="6"/>
    <s v="Goldendale"/>
    <n v="1498666"/>
    <n v="551705.15599999996"/>
    <x v="0"/>
    <x v="2"/>
    <x v="2"/>
  </r>
  <r>
    <x v="6"/>
    <s v="Hopkins Ridge (W184)"/>
    <n v="364779.478"/>
    <n v="0"/>
    <x v="0"/>
    <x v="4"/>
    <x v="0"/>
  </r>
  <r>
    <x v="6"/>
    <s v="Lower Snake River"/>
    <n v="741767.96"/>
    <n v="0"/>
    <x v="0"/>
    <x v="4"/>
    <x v="0"/>
  </r>
  <r>
    <x v="6"/>
    <s v="Mint Farm"/>
    <n v="1701035.9"/>
    <n v="685789.20799999998"/>
    <x v="0"/>
    <x v="2"/>
    <x v="2"/>
  </r>
  <r>
    <x v="6"/>
    <s v="Sumas"/>
    <n v="601052.9"/>
    <n v="282703.152"/>
    <x v="0"/>
    <x v="2"/>
    <x v="2"/>
  </r>
  <r>
    <x v="6"/>
    <s v="Whitehorn 2&amp;3"/>
    <n v="38733.300000000003"/>
    <n v="37884.199999999997"/>
    <x v="0"/>
    <x v="2"/>
    <x v="2"/>
  </r>
  <r>
    <x v="6"/>
    <s v="Wild Horse (W183)"/>
    <n v="608885.75"/>
    <n v="0"/>
    <x v="0"/>
    <x v="4"/>
    <x v="0"/>
  </r>
  <r>
    <x v="6"/>
    <s v="3 Bar G Wind Turbine #3 LLC"/>
    <n v="138.036"/>
    <n v="0"/>
    <x v="1"/>
    <x v="4"/>
    <x v="0"/>
  </r>
  <r>
    <x v="6"/>
    <s v="Barclays Bank Plc"/>
    <n v="106200"/>
    <n v="46409.4"/>
    <x v="1"/>
    <x v="5"/>
    <x v="3"/>
  </r>
  <r>
    <x v="6"/>
    <s v="BC Hydro (Point Roberts)"/>
    <n v="19583.703000000001"/>
    <n v="8558.078211"/>
    <x v="1"/>
    <x v="5"/>
    <x v="3"/>
  </r>
  <r>
    <x v="6"/>
    <s v="Bio Energy Washington (BEW)"/>
    <n v="1.859"/>
    <n v="0"/>
    <x v="1"/>
    <x v="6"/>
    <x v="0"/>
  </r>
  <r>
    <x v="6"/>
    <s v="Black Creek Hydro Inc"/>
    <n v="6365.9970000000003"/>
    <n v="0"/>
    <x v="1"/>
    <x v="0"/>
    <x v="0"/>
  </r>
  <r>
    <x v="6"/>
    <s v="Book Outs - EITF 03-11"/>
    <n v="-2253"/>
    <n v="-984.56100000000004"/>
    <x v="1"/>
    <x v="5"/>
    <x v="3"/>
  </r>
  <r>
    <x v="6"/>
    <s v="BPA"/>
    <n v="7000"/>
    <n v="0"/>
    <x v="1"/>
    <x v="0"/>
    <x v="0"/>
  </r>
  <r>
    <x v="6"/>
    <s v="BPA Firm - WNP#3 Exchange"/>
    <n v="343584"/>
    <n v="150146.20799999998"/>
    <x v="1"/>
    <x v="5"/>
    <x v="3"/>
  </r>
  <r>
    <x v="6"/>
    <s v="CC Solar 1 and CC Solar 2"/>
    <n v="22.84"/>
    <n v="0"/>
    <x v="1"/>
    <x v="7"/>
    <x v="0"/>
  </r>
  <r>
    <x v="6"/>
    <s v="Chelan PUD - RI &amp; RR"/>
    <n v="2299343"/>
    <n v="0"/>
    <x v="1"/>
    <x v="0"/>
    <x v="0"/>
  </r>
  <r>
    <x v="6"/>
    <s v="Chelan PUD - Rock Island Syst #2"/>
    <n v="-39940"/>
    <n v="0"/>
    <x v="1"/>
    <x v="0"/>
    <x v="0"/>
  </r>
  <r>
    <x v="6"/>
    <s v="Chelan PUD - Rocky Reach"/>
    <n v="-82401"/>
    <n v="0"/>
    <x v="1"/>
    <x v="0"/>
    <x v="0"/>
  </r>
  <r>
    <x v="6"/>
    <s v="Douglas PUD - Wells Project"/>
    <n v="1094705"/>
    <n v="0"/>
    <x v="1"/>
    <x v="0"/>
    <x v="0"/>
  </r>
  <r>
    <x v="6"/>
    <s v="Edaleen Dairy LLC"/>
    <n v="4697.4279999999999"/>
    <n v="0"/>
    <x v="1"/>
    <x v="6"/>
    <x v="0"/>
  </r>
  <r>
    <x v="6"/>
    <s v="Farm Power Lynden LLC"/>
    <n v="4857.8090000000002"/>
    <n v="0"/>
    <x v="1"/>
    <x v="6"/>
    <x v="0"/>
  </r>
  <r>
    <x v="6"/>
    <s v="Farm Power Rexville LLC"/>
    <n v="4485.2"/>
    <n v="0"/>
    <x v="1"/>
    <x v="6"/>
    <x v="0"/>
  </r>
  <r>
    <x v="6"/>
    <s v="Grant PUD - Priest Rapids Project"/>
    <n v="53743"/>
    <n v="0"/>
    <x v="1"/>
    <x v="0"/>
    <x v="0"/>
  </r>
  <r>
    <x v="6"/>
    <s v="Island Community Solar LLC"/>
    <n v="61.71"/>
    <n v="0"/>
    <x v="1"/>
    <x v="7"/>
    <x v="0"/>
  </r>
  <r>
    <x v="6"/>
    <s v="Klamath Falls (Iberdrola)"/>
    <n v="400"/>
    <n v="167.3206793882141"/>
    <x v="1"/>
    <x v="2"/>
    <x v="2"/>
  </r>
  <r>
    <x v="6"/>
    <s v="Klondike Wind Power III"/>
    <n v="119141"/>
    <n v="0"/>
    <x v="1"/>
    <x v="4"/>
    <x v="0"/>
  </r>
  <r>
    <x v="6"/>
    <s v="Knudsen Wind Turbine #1"/>
    <n v="129.62800000000001"/>
    <n v="0"/>
    <x v="1"/>
    <x v="4"/>
    <x v="0"/>
  </r>
  <r>
    <x v="6"/>
    <s v="Rainier Bio Gas"/>
    <n v="4950.2660000000005"/>
    <n v="0"/>
    <x v="1"/>
    <x v="6"/>
    <x v="0"/>
  </r>
  <r>
    <x v="6"/>
    <s v="Skookumchuck Hydro"/>
    <n v="4961.1959999999999"/>
    <n v="0"/>
    <x v="1"/>
    <x v="0"/>
    <x v="0"/>
  </r>
  <r>
    <x v="6"/>
    <s v="Smith Creek Hydro"/>
    <n v="162.84899999999999"/>
    <n v="0"/>
    <x v="1"/>
    <x v="0"/>
    <x v="0"/>
  </r>
  <r>
    <x v="6"/>
    <s v="Swauk Wind"/>
    <n v="11368.796"/>
    <n v="0"/>
    <x v="1"/>
    <x v="4"/>
    <x v="0"/>
  </r>
  <r>
    <x v="6"/>
    <s v="Transalta Centralia Generation LLC"/>
    <n v="1135396"/>
    <n v="1280439.9362013757"/>
    <x v="1"/>
    <x v="1"/>
    <x v="1"/>
  </r>
  <r>
    <x v="6"/>
    <s v="Van Dyk - S Holsteins"/>
    <n v="1619.28"/>
    <n v="0"/>
    <x v="1"/>
    <x v="6"/>
    <x v="0"/>
  </r>
  <r>
    <x v="6"/>
    <s v="VanderHaak Dairy Digester"/>
    <n v="3455.4459999999999"/>
    <n v="0"/>
    <x v="1"/>
    <x v="6"/>
    <x v="0"/>
  </r>
  <r>
    <x v="6"/>
    <s v="BIO FUEL WA"/>
    <n v="32656.922999999999"/>
    <n v="0"/>
    <x v="1"/>
    <x v="6"/>
    <x v="0"/>
  </r>
  <r>
    <x v="6"/>
    <s v="Electron Hydro, LLC"/>
    <n v="62833.254000000001"/>
    <n v="0"/>
    <x v="1"/>
    <x v="0"/>
    <x v="0"/>
  </r>
  <r>
    <x v="6"/>
    <s v="Emerald City Renewables"/>
    <n v="1087.0940000000001"/>
    <n v="0"/>
    <x v="1"/>
    <x v="6"/>
    <x v="0"/>
  </r>
  <r>
    <x v="6"/>
    <s v="Hutchinson Creek"/>
    <n v="744.32"/>
    <n v="0"/>
    <x v="1"/>
    <x v="0"/>
    <x v="0"/>
  </r>
  <r>
    <x v="6"/>
    <s v="Koma Kulshan Associates"/>
    <n v="36094.142"/>
    <n v="0"/>
    <x v="1"/>
    <x v="0"/>
    <x v="0"/>
  </r>
  <r>
    <x v="6"/>
    <s v="Lake Washington -- Finn Hill"/>
    <n v="278.68"/>
    <n v="0"/>
    <x v="1"/>
    <x v="6"/>
    <x v="0"/>
  </r>
  <r>
    <x v="6"/>
    <s v="Nooksack"/>
    <n v="22257.173999999999"/>
    <n v="0"/>
    <x v="1"/>
    <x v="0"/>
    <x v="0"/>
  </r>
  <r>
    <x v="6"/>
    <s v="Sygitowicz Creek"/>
    <n v="738.61900000000003"/>
    <n v="0"/>
    <x v="1"/>
    <x v="0"/>
    <x v="0"/>
  </r>
  <r>
    <x v="6"/>
    <s v="Twin Falls Hydro"/>
    <n v="52604.395000000004"/>
    <n v="0"/>
    <x v="1"/>
    <x v="0"/>
    <x v="0"/>
  </r>
  <r>
    <x v="6"/>
    <s v="Weeks Falls"/>
    <n v="8526.616"/>
    <n v="0"/>
    <x v="1"/>
    <x v="0"/>
    <x v="0"/>
  </r>
  <r>
    <x v="6"/>
    <s v="Transalta Contract - Source &quot;Other&quot; and Bookouts"/>
    <n v="515781"/>
    <n v="225396.29699999999"/>
    <x v="1"/>
    <x v="5"/>
    <x v="3"/>
  </r>
  <r>
    <x v="6"/>
    <s v="Unspecified"/>
    <n v="3446198.602"/>
    <n v="1505988.7890739983"/>
    <x v="2"/>
    <x v="5"/>
    <x v="3"/>
  </r>
  <r>
    <x v="7"/>
    <s v="Lower Baker"/>
    <n v="358832.6"/>
    <n v="0"/>
    <x v="0"/>
    <x v="0"/>
    <x v="0"/>
  </r>
  <r>
    <x v="7"/>
    <s v="Snoqualmie Falls #1"/>
    <n v="53046.2"/>
    <n v="0"/>
    <x v="0"/>
    <x v="0"/>
    <x v="0"/>
  </r>
  <r>
    <x v="7"/>
    <s v="Snoqualmie Falls #2"/>
    <n v="152538"/>
    <n v="0"/>
    <x v="0"/>
    <x v="0"/>
    <x v="0"/>
  </r>
  <r>
    <x v="7"/>
    <s v="Upper Baker"/>
    <n v="369104.94"/>
    <n v="0"/>
    <x v="0"/>
    <x v="0"/>
    <x v="0"/>
  </r>
  <r>
    <x v="7"/>
    <s v="Colstrip"/>
    <n v="4529179"/>
    <n v="4642920.9501864174"/>
    <x v="0"/>
    <x v="1"/>
    <x v="1"/>
  </r>
  <r>
    <x v="7"/>
    <s v="Encogen"/>
    <n v="212390.3"/>
    <n v="103712.96400000001"/>
    <x v="0"/>
    <x v="2"/>
    <x v="2"/>
  </r>
  <r>
    <x v="7"/>
    <s v="Ferndale Co-Generation"/>
    <n v="741136.76800000004"/>
    <n v="354145.48800000001"/>
    <x v="0"/>
    <x v="2"/>
    <x v="2"/>
  </r>
  <r>
    <x v="7"/>
    <s v="Freddie #1"/>
    <n v="417524.85800000001"/>
    <n v="164696.860686"/>
    <x v="0"/>
    <x v="2"/>
    <x v="2"/>
  </r>
  <r>
    <x v="7"/>
    <s v="Goldendale"/>
    <n v="1028475"/>
    <n v="385283.97200000001"/>
    <x v="0"/>
    <x v="2"/>
    <x v="2"/>
  </r>
  <r>
    <x v="7"/>
    <s v="Mint Farm"/>
    <n v="1057946.8"/>
    <n v="433450.74400000001"/>
    <x v="0"/>
    <x v="2"/>
    <x v="2"/>
  </r>
  <r>
    <x v="7"/>
    <s v="Sumas"/>
    <n v="394996.2"/>
    <n v="192574.03599999999"/>
    <x v="0"/>
    <x v="2"/>
    <x v="2"/>
  </r>
  <r>
    <x v="7"/>
    <s v="Crystal Mountain"/>
    <n v="196.41"/>
    <n v="154.94372006759997"/>
    <x v="0"/>
    <x v="3"/>
    <x v="2"/>
  </r>
  <r>
    <x v="7"/>
    <s v="Fredonia"/>
    <n v="245813.1"/>
    <n v="163716.432"/>
    <x v="0"/>
    <x v="2"/>
    <x v="2"/>
  </r>
  <r>
    <x v="7"/>
    <s v="Fredrickson 1 &amp; 2"/>
    <n v="19942.310000000001"/>
    <n v="30295.736000000001"/>
    <x v="0"/>
    <x v="2"/>
    <x v="2"/>
  </r>
  <r>
    <x v="7"/>
    <s v="Hopkins Ridge (W184)"/>
    <n v="417242.31400000001"/>
    <n v="0"/>
    <x v="0"/>
    <x v="4"/>
    <x v="0"/>
  </r>
  <r>
    <x v="7"/>
    <s v="Lower Snake River"/>
    <n v="873260.06099999999"/>
    <n v="0"/>
    <x v="0"/>
    <x v="4"/>
    <x v="0"/>
  </r>
  <r>
    <x v="7"/>
    <s v="Whitehorn 2&amp;3"/>
    <n v="33783.050000000003"/>
    <n v="44949.527999999998"/>
    <x v="0"/>
    <x v="2"/>
    <x v="2"/>
  </r>
  <r>
    <x v="7"/>
    <s v="Wild Horse (W183)"/>
    <n v="672199.75300000003"/>
    <n v="0"/>
    <x v="0"/>
    <x v="4"/>
    <x v="0"/>
  </r>
  <r>
    <x v="7"/>
    <s v="3 Bar G Wind Turbine #3 LLC"/>
    <n v="147.732"/>
    <n v="0"/>
    <x v="1"/>
    <x v="4"/>
    <x v="0"/>
  </r>
  <r>
    <x v="7"/>
    <s v="BC Hydro (Point Roberts)"/>
    <n v="19758.352999999999"/>
    <n v="8634.4002610000007"/>
    <x v="1"/>
    <x v="5"/>
    <x v="3"/>
  </r>
  <r>
    <x v="7"/>
    <s v="Bio Energy Washington (BEW)"/>
    <n v="5.2510000000000003"/>
    <n v="0"/>
    <x v="1"/>
    <x v="6"/>
    <x v="0"/>
  </r>
  <r>
    <x v="7"/>
    <s v="Black Creek Hydro Inc"/>
    <n v="12262.769"/>
    <n v="0"/>
    <x v="1"/>
    <x v="0"/>
    <x v="0"/>
  </r>
  <r>
    <x v="7"/>
    <s v="BPA"/>
    <n v="7084"/>
    <n v="0"/>
    <x v="1"/>
    <x v="0"/>
    <x v="0"/>
  </r>
  <r>
    <x v="7"/>
    <s v="BPA Firm - WNP#3 Exchange"/>
    <n v="398392"/>
    <n v="174097.304"/>
    <x v="1"/>
    <x v="5"/>
    <x v="3"/>
  </r>
  <r>
    <x v="7"/>
    <s v="CC Solar 1 and CC Solar 2"/>
    <n v="28.61"/>
    <n v="0"/>
    <x v="1"/>
    <x v="7"/>
    <x v="0"/>
  </r>
  <r>
    <x v="7"/>
    <s v="Chelan PUD - RI &amp; RR"/>
    <n v="2313083"/>
    <n v="0"/>
    <x v="1"/>
    <x v="0"/>
    <x v="0"/>
  </r>
  <r>
    <x v="7"/>
    <s v="Chelan PUD - Rock Island Syst #2"/>
    <n v="-39689"/>
    <n v="0"/>
    <x v="1"/>
    <x v="0"/>
    <x v="0"/>
  </r>
  <r>
    <x v="7"/>
    <s v="Chelan PUD - Rocky Reach"/>
    <n v="-82394"/>
    <n v="0"/>
    <x v="1"/>
    <x v="0"/>
    <x v="0"/>
  </r>
  <r>
    <x v="7"/>
    <s v="Douglas PUD - Wells Project"/>
    <n v="1120584"/>
    <n v="0"/>
    <x v="1"/>
    <x v="0"/>
    <x v="0"/>
  </r>
  <r>
    <x v="7"/>
    <s v="Edaleen Dairy LLC"/>
    <n v="4644.826"/>
    <n v="0"/>
    <x v="1"/>
    <x v="6"/>
    <x v="0"/>
  </r>
  <r>
    <x v="7"/>
    <s v="Farm Power Lynden LLC"/>
    <n v="4514.4679999999998"/>
    <n v="0"/>
    <x v="1"/>
    <x v="6"/>
    <x v="0"/>
  </r>
  <r>
    <x v="7"/>
    <s v="Farm Power Rexville LLC"/>
    <n v="5137.9570000000003"/>
    <n v="0"/>
    <x v="1"/>
    <x v="6"/>
    <x v="0"/>
  </r>
  <r>
    <x v="7"/>
    <s v="Grant PUD - Priest Rapids Project"/>
    <n v="60243"/>
    <n v="0"/>
    <x v="1"/>
    <x v="0"/>
    <x v="0"/>
  </r>
  <r>
    <x v="7"/>
    <s v="Island Community Solar LLC"/>
    <n v="59.14"/>
    <n v="0"/>
    <x v="1"/>
    <x v="7"/>
    <x v="0"/>
  </r>
  <r>
    <x v="7"/>
    <s v="Klamath Falls (Iberdrola)"/>
    <n v="200"/>
    <n v="85.701345321881092"/>
    <x v="1"/>
    <x v="2"/>
    <x v="2"/>
  </r>
  <r>
    <x v="7"/>
    <s v="Klondike Wind Power III"/>
    <n v="126694"/>
    <n v="0"/>
    <x v="1"/>
    <x v="4"/>
    <x v="0"/>
  </r>
  <r>
    <x v="7"/>
    <s v="Knudsen Wind Turbine #1"/>
    <n v="128.57599999999999"/>
    <n v="0"/>
    <x v="1"/>
    <x v="4"/>
    <x v="0"/>
  </r>
  <r>
    <x v="7"/>
    <s v="Rainier Bio Gas"/>
    <n v="4372.0810000000001"/>
    <n v="0"/>
    <x v="1"/>
    <x v="6"/>
    <x v="0"/>
  </r>
  <r>
    <x v="7"/>
    <s v="Skookumchuck Hydro"/>
    <n v="4450.1899999999996"/>
    <n v="0"/>
    <x v="1"/>
    <x v="0"/>
    <x v="0"/>
  </r>
  <r>
    <x v="7"/>
    <s v="Smith Creek Hydro"/>
    <n v="193.251"/>
    <n v="0"/>
    <x v="1"/>
    <x v="0"/>
    <x v="0"/>
  </r>
  <r>
    <x v="7"/>
    <s v="Swauk Wind"/>
    <n v="11177.98"/>
    <n v="0"/>
    <x v="1"/>
    <x v="4"/>
    <x v="0"/>
  </r>
  <r>
    <x v="7"/>
    <s v="Transalta Centralia Generation LLC"/>
    <n v="1568805"/>
    <n v="1746187.5739582172"/>
    <x v="1"/>
    <x v="1"/>
    <x v="1"/>
  </r>
  <r>
    <x v="7"/>
    <s v="Van Dyk - S Holsteins"/>
    <n v="3115.201"/>
    <n v="0"/>
    <x v="1"/>
    <x v="6"/>
    <x v="0"/>
  </r>
  <r>
    <x v="7"/>
    <s v="VanderHaak Dairy Digester"/>
    <n v="3277.547"/>
    <n v="0"/>
    <x v="1"/>
    <x v="6"/>
    <x v="0"/>
  </r>
  <r>
    <x v="7"/>
    <s v="Electron Hydro, LLC"/>
    <n v="166693.777"/>
    <n v="0"/>
    <x v="1"/>
    <x v="0"/>
    <x v="0"/>
  </r>
  <r>
    <x v="7"/>
    <s v="Emerald City Renewables"/>
    <n v="36724.080999999998"/>
    <n v="0"/>
    <x v="1"/>
    <x v="6"/>
    <x v="0"/>
  </r>
  <r>
    <x v="7"/>
    <s v="Koma Kulshan Associates"/>
    <n v="46042.635999999999"/>
    <n v="0"/>
    <x v="1"/>
    <x v="0"/>
    <x v="0"/>
  </r>
  <r>
    <x v="7"/>
    <s v="Lake Washington -- Finn Hill"/>
    <n v="292.56"/>
    <n v="0"/>
    <x v="1"/>
    <x v="6"/>
    <x v="0"/>
  </r>
  <r>
    <x v="7"/>
    <s v="Nooksack"/>
    <n v="24374.06"/>
    <n v="0"/>
    <x v="1"/>
    <x v="0"/>
    <x v="0"/>
  </r>
  <r>
    <x v="7"/>
    <s v="Sygitowicz Creek"/>
    <n v="907.41"/>
    <n v="0"/>
    <x v="1"/>
    <x v="0"/>
    <x v="0"/>
  </r>
  <r>
    <x v="7"/>
    <s v="Twin Falls Hydro"/>
    <n v="79876.214000000007"/>
    <n v="0"/>
    <x v="1"/>
    <x v="0"/>
    <x v="0"/>
  </r>
  <r>
    <x v="7"/>
    <s v="Weeks Falls"/>
    <n v="11111.191000000001"/>
    <n v="0"/>
    <x v="1"/>
    <x v="0"/>
    <x v="0"/>
  </r>
  <r>
    <x v="7"/>
    <s v="Transalta Centralia Generation LLC - Bookout Source Other Adjustment"/>
    <n v="965098"/>
    <n v="421747.826"/>
    <x v="1"/>
    <x v="5"/>
    <x v="3"/>
  </r>
  <r>
    <x v="7"/>
    <s v="Unspecified"/>
    <n v="3547857.8350000004"/>
    <n v="1515124.9085044775"/>
    <x v="2"/>
    <x v="5"/>
    <x v="3"/>
  </r>
  <r>
    <x v="8"/>
    <s v="Lower Baker"/>
    <n v="313112.18"/>
    <n v="0"/>
    <x v="0"/>
    <x v="0"/>
    <x v="0"/>
  </r>
  <r>
    <x v="8"/>
    <s v="Snoqualmie Falls #1"/>
    <n v="60898.3"/>
    <n v="0"/>
    <x v="0"/>
    <x v="0"/>
    <x v="0"/>
  </r>
  <r>
    <x v="8"/>
    <s v="Snoqualmie Falls #2"/>
    <n v="135067"/>
    <n v="0"/>
    <x v="0"/>
    <x v="0"/>
    <x v="0"/>
  </r>
  <r>
    <x v="8"/>
    <s v="Upper Baker"/>
    <n v="355743.79"/>
    <n v="0"/>
    <x v="0"/>
    <x v="0"/>
    <x v="0"/>
  </r>
  <r>
    <x v="8"/>
    <s v="Colstrip"/>
    <n v="4463705"/>
    <n v="4486831.9138267459"/>
    <x v="0"/>
    <x v="1"/>
    <x v="1"/>
  </r>
  <r>
    <x v="8"/>
    <s v="Crystal Mountain"/>
    <n v="395.71"/>
    <n v="334.80850975453387"/>
    <x v="0"/>
    <x v="3"/>
    <x v="2"/>
  </r>
  <r>
    <x v="8"/>
    <s v="Encogen"/>
    <n v="205198.89000000007"/>
    <n v="98352.635999999999"/>
    <x v="0"/>
    <x v="2"/>
    <x v="2"/>
  </r>
  <r>
    <x v="8"/>
    <s v="Ferndale"/>
    <n v="764940"/>
    <n v="350890.1"/>
    <x v="0"/>
    <x v="2"/>
    <x v="2"/>
  </r>
  <r>
    <x v="8"/>
    <s v="Frederickson"/>
    <n v="29852.190000000002"/>
    <n v="44365.332000000002"/>
    <x v="0"/>
    <x v="2"/>
    <x v="2"/>
  </r>
  <r>
    <x v="8"/>
    <s v="Fredonia"/>
    <n v="124251.70000000001"/>
    <n v="97133.782000000007"/>
    <x v="0"/>
    <x v="2"/>
    <x v="2"/>
  </r>
  <r>
    <x v="8"/>
    <s v="Frederickson Unit 1"/>
    <n v="464326.82799999998"/>
    <n v="175682.438784"/>
    <x v="0"/>
    <x v="2"/>
    <x v="2"/>
  </r>
  <r>
    <x v="8"/>
    <s v="Goldendale"/>
    <n v="1119821"/>
    <n v="415078.81199999998"/>
    <x v="0"/>
    <x v="2"/>
    <x v="2"/>
  </r>
  <r>
    <x v="8"/>
    <s v="Mint Farm"/>
    <n v="915875.39999999991"/>
    <n v="356273.28"/>
    <x v="0"/>
    <x v="2"/>
    <x v="2"/>
  </r>
  <r>
    <x v="8"/>
    <s v="Sumas"/>
    <n v="266588.09999999998"/>
    <n v="125472.936"/>
    <x v="0"/>
    <x v="2"/>
    <x v="2"/>
  </r>
  <r>
    <x v="8"/>
    <s v="Whitehorn"/>
    <n v="33043.599999999999"/>
    <n v="67424.028000000006"/>
    <x v="0"/>
    <x v="2"/>
    <x v="2"/>
  </r>
  <r>
    <x v="8"/>
    <s v="Hopkins Ridge (W184)"/>
    <n v="345425.18400000001"/>
    <n v="0"/>
    <x v="0"/>
    <x v="4"/>
    <x v="0"/>
  </r>
  <r>
    <x v="8"/>
    <s v="Lower Snake River"/>
    <n v="716381.07799999998"/>
    <n v="0"/>
    <x v="0"/>
    <x v="4"/>
    <x v="0"/>
  </r>
  <r>
    <x v="8"/>
    <s v="Wild Horse (W183)"/>
    <n v="612984.08900000004"/>
    <n v="0"/>
    <x v="0"/>
    <x v="4"/>
    <x v="0"/>
  </r>
  <r>
    <x v="8"/>
    <s v="3 Bar G Wind Turbine #3 LLC"/>
    <n v="25.266999999999999"/>
    <n v="0"/>
    <x v="1"/>
    <x v="4"/>
    <x v="0"/>
  </r>
  <r>
    <x v="8"/>
    <s v="BC Hydro (Point Roberts)"/>
    <n v="21209.738000000001"/>
    <n v="9268.655506000001"/>
    <x v="1"/>
    <x v="5"/>
    <x v="3"/>
  </r>
  <r>
    <x v="8"/>
    <s v="Bio Energy Washington (BEW)"/>
    <n v="4.5519999999999996"/>
    <n v="0"/>
    <x v="1"/>
    <x v="6"/>
    <x v="0"/>
  </r>
  <r>
    <x v="8"/>
    <s v="Black Creek Hydro Inc"/>
    <n v="11718.129000000001"/>
    <n v="0"/>
    <x v="1"/>
    <x v="0"/>
    <x v="0"/>
  </r>
  <r>
    <x v="8"/>
    <s v="Blocks Dairy Farm"/>
    <n v="1.3180000000000001"/>
    <n v="0"/>
    <x v="1"/>
    <x v="6"/>
    <x v="0"/>
  </r>
  <r>
    <x v="8"/>
    <s v="BPA"/>
    <n v="7000"/>
    <n v="3059"/>
    <x v="1"/>
    <x v="5"/>
    <x v="3"/>
  </r>
  <r>
    <x v="8"/>
    <s v="BPA Firm - WNP#3 Exchange"/>
    <n v="241574"/>
    <n v="105567.838"/>
    <x v="1"/>
    <x v="5"/>
    <x v="3"/>
  </r>
  <r>
    <x v="8"/>
    <s v="CC Solar 1 and CC Solar 2"/>
    <n v="29.26"/>
    <n v="0"/>
    <x v="1"/>
    <x v="7"/>
    <x v="0"/>
  </r>
  <r>
    <x v="8"/>
    <s v="Chelan PUD - RI &amp; RR"/>
    <n v="2315054"/>
    <n v="0"/>
    <x v="1"/>
    <x v="0"/>
    <x v="0"/>
  </r>
  <r>
    <x v="8"/>
    <s v="Chelan PUD - Rock Island Syst #2"/>
    <n v="-39402"/>
    <n v="0"/>
    <x v="1"/>
    <x v="0"/>
    <x v="0"/>
  </r>
  <r>
    <x v="8"/>
    <s v="Chelan PUD - Rocky Reach"/>
    <n v="-81794"/>
    <n v="0"/>
    <x v="1"/>
    <x v="0"/>
    <x v="0"/>
  </r>
  <r>
    <x v="8"/>
    <s v="Douglas PUD - Wells Project"/>
    <n v="1111775"/>
    <n v="0"/>
    <x v="1"/>
    <x v="0"/>
    <x v="0"/>
  </r>
  <r>
    <x v="8"/>
    <s v="Edaleen Dairy LLC"/>
    <n v="4820.6949999999997"/>
    <n v="0"/>
    <x v="1"/>
    <x v="6"/>
    <x v="0"/>
  </r>
  <r>
    <x v="8"/>
    <s v="Farm Power Lynden LLC"/>
    <n v="4647.7740000000003"/>
    <n v="0"/>
    <x v="1"/>
    <x v="6"/>
    <x v="0"/>
  </r>
  <r>
    <x v="8"/>
    <s v="Farm Power Rexville LLC"/>
    <n v="5378.7089999999998"/>
    <n v="0"/>
    <x v="1"/>
    <x v="6"/>
    <x v="0"/>
  </r>
  <r>
    <x v="8"/>
    <s v="Grant PUD - Priest Rapids Project"/>
    <n v="49501"/>
    <n v="0"/>
    <x v="1"/>
    <x v="0"/>
    <x v="0"/>
  </r>
  <r>
    <x v="8"/>
    <s v="Island Community Solar LLC"/>
    <n v="61.43"/>
    <n v="0"/>
    <x v="1"/>
    <x v="7"/>
    <x v="0"/>
  </r>
  <r>
    <x v="8"/>
    <s v="Klondike Wind Power III"/>
    <n v="110067"/>
    <n v="0"/>
    <x v="1"/>
    <x v="4"/>
    <x v="0"/>
  </r>
  <r>
    <x v="8"/>
    <s v="Knudsen Wind Turbine #1"/>
    <n v="92.218999999999994"/>
    <n v="0"/>
    <x v="1"/>
    <x v="4"/>
    <x v="0"/>
  </r>
  <r>
    <x v="8"/>
    <s v="Rainier Bio Gas"/>
    <n v="4857.9250000000002"/>
    <n v="0"/>
    <x v="1"/>
    <x v="6"/>
    <x v="0"/>
  </r>
  <r>
    <x v="8"/>
    <s v="Skookumchuck Hydro"/>
    <n v="6319.2089999999998"/>
    <n v="0"/>
    <x v="1"/>
    <x v="0"/>
    <x v="0"/>
  </r>
  <r>
    <x v="8"/>
    <s v="Smith Creek Hydro"/>
    <n v="126.348"/>
    <n v="0"/>
    <x v="1"/>
    <x v="0"/>
    <x v="0"/>
  </r>
  <r>
    <x v="8"/>
    <s v="Swauk Wind"/>
    <n v="9505.4670000000006"/>
    <n v="0"/>
    <x v="1"/>
    <x v="4"/>
    <x v="0"/>
  </r>
  <r>
    <x v="8"/>
    <s v="Transalta Centralia Generation LLC"/>
    <n v="2070958"/>
    <n v="2271967.6970738624"/>
    <x v="1"/>
    <x v="1"/>
    <x v="1"/>
  </r>
  <r>
    <x v="8"/>
    <s v="Transalta Centralia Generation LLC - Bookout Source Other Adjustment"/>
    <n v="1256783"/>
    <n v="549214.17099999997"/>
    <x v="1"/>
    <x v="5"/>
    <x v="3"/>
  </r>
  <r>
    <x v="8"/>
    <s v="Van Dyk - S Holsteins"/>
    <n v="2344.8380000000002"/>
    <n v="0"/>
    <x v="1"/>
    <x v="6"/>
    <x v="0"/>
  </r>
  <r>
    <x v="8"/>
    <s v="VanderHaak Dairy Digester"/>
    <n v="2323.34"/>
    <n v="0"/>
    <x v="1"/>
    <x v="6"/>
    <x v="0"/>
  </r>
  <r>
    <x v="8"/>
    <s v="Electron Hydro, LLC"/>
    <n v="128751.664"/>
    <n v="0"/>
    <x v="1"/>
    <x v="0"/>
    <x v="0"/>
  </r>
  <r>
    <x v="8"/>
    <s v="Emerald City Renewables"/>
    <n v="36228.803999999996"/>
    <n v="0"/>
    <x v="1"/>
    <x v="6"/>
    <x v="0"/>
  </r>
  <r>
    <x v="8"/>
    <s v="Ikea Solar"/>
    <n v="81.850999999999999"/>
    <n v="0"/>
    <x v="1"/>
    <x v="7"/>
    <x v="0"/>
  </r>
  <r>
    <x v="8"/>
    <s v="Koma Kulshan Associates"/>
    <n v="42816.692999999999"/>
    <n v="0"/>
    <x v="1"/>
    <x v="0"/>
    <x v="0"/>
  </r>
  <r>
    <x v="8"/>
    <s v="Lake Washington -- Finn Hill"/>
    <n v="309.72000000000003"/>
    <n v="0"/>
    <x v="1"/>
    <x v="6"/>
    <x v="0"/>
  </r>
  <r>
    <x v="8"/>
    <s v="Nooksack"/>
    <n v="21012.012999999999"/>
    <n v="0"/>
    <x v="1"/>
    <x v="0"/>
    <x v="0"/>
  </r>
  <r>
    <x v="8"/>
    <s v="Sygitowicz Creek"/>
    <n v="985.77700000000004"/>
    <n v="0"/>
    <x v="1"/>
    <x v="0"/>
    <x v="0"/>
  </r>
  <r>
    <x v="8"/>
    <s v="Twin Falls Hydro"/>
    <n v="77848.698999999993"/>
    <n v="0"/>
    <x v="1"/>
    <x v="0"/>
    <x v="0"/>
  </r>
  <r>
    <x v="8"/>
    <s v="Weeks Falls"/>
    <n v="13647.43"/>
    <n v="0"/>
    <x v="1"/>
    <x v="0"/>
    <x v="0"/>
  </r>
  <r>
    <x v="8"/>
    <s v="Unspecified"/>
    <n v="4630460.3780000005"/>
    <n v="1958569.5986324535"/>
    <x v="2"/>
    <x v="5"/>
    <x v="3"/>
  </r>
  <r>
    <x v="9"/>
    <s v="Lower Baker"/>
    <n v="385262.2"/>
    <n v="0"/>
    <x v="0"/>
    <x v="0"/>
    <x v="0"/>
  </r>
  <r>
    <x v="9"/>
    <s v="Snoqualmie Falls #1"/>
    <n v="68320"/>
    <n v="0"/>
    <x v="0"/>
    <x v="0"/>
    <x v="0"/>
  </r>
  <r>
    <x v="9"/>
    <s v="Snoqualmie Falls #2"/>
    <n v="127167"/>
    <n v="0"/>
    <x v="0"/>
    <x v="0"/>
    <x v="0"/>
  </r>
  <r>
    <x v="9"/>
    <s v="Upper Baker"/>
    <n v="333791.18"/>
    <n v="0"/>
    <x v="0"/>
    <x v="0"/>
    <x v="0"/>
  </r>
  <r>
    <x v="9"/>
    <s v="Colstrip"/>
    <n v="4084896"/>
    <n v="4255200.8134401999"/>
    <x v="0"/>
    <x v="1"/>
    <x v="1"/>
  </r>
  <r>
    <x v="9"/>
    <s v="Crystal Mountain"/>
    <n v="70.89"/>
    <n v="62.021941855755841"/>
    <x v="0"/>
    <x v="3"/>
    <x v="2"/>
  </r>
  <r>
    <x v="9"/>
    <s v="Encogen"/>
    <n v="203108.18"/>
    <n v="96452.991999999998"/>
    <x v="0"/>
    <x v="2"/>
    <x v="2"/>
  </r>
  <r>
    <x v="9"/>
    <s v="Ferndale"/>
    <n v="675396"/>
    <n v="302529.48"/>
    <x v="0"/>
    <x v="2"/>
    <x v="2"/>
  </r>
  <r>
    <x v="9"/>
    <s v="Frederickson"/>
    <n v="42781.54"/>
    <n v="41003.593999999997"/>
    <x v="0"/>
    <x v="2"/>
    <x v="2"/>
  </r>
  <r>
    <x v="9"/>
    <s v="Fredonia"/>
    <n v="134482.9"/>
    <n v="101465.656"/>
    <x v="0"/>
    <x v="2"/>
    <x v="2"/>
  </r>
  <r>
    <x v="9"/>
    <s v="Frederickson Unit 1"/>
    <n v="353716.65700000001"/>
    <n v="134643.45420000001"/>
    <x v="0"/>
    <x v="2"/>
    <x v="2"/>
  </r>
  <r>
    <x v="9"/>
    <s v="Goldendale"/>
    <n v="1113146"/>
    <n v="425704.37199999997"/>
    <x v="0"/>
    <x v="2"/>
    <x v="2"/>
  </r>
  <r>
    <x v="9"/>
    <s v="Mint Farm"/>
    <n v="1412744.7"/>
    <n v="547915.62"/>
    <x v="0"/>
    <x v="2"/>
    <x v="2"/>
  </r>
  <r>
    <x v="9"/>
    <s v="Sumas"/>
    <n v="279593.3"/>
    <n v="131165.864"/>
    <x v="0"/>
    <x v="2"/>
    <x v="2"/>
  </r>
  <r>
    <x v="9"/>
    <s v="Whitehorn"/>
    <n v="29898.3"/>
    <n v="44530.631999999998"/>
    <x v="0"/>
    <x v="2"/>
    <x v="2"/>
  </r>
  <r>
    <x v="9"/>
    <s v="Wild Horse (W183)"/>
    <n v="638688.50100000005"/>
    <n v="0"/>
    <x v="0"/>
    <x v="4"/>
    <x v="0"/>
  </r>
  <r>
    <x v="9"/>
    <s v="Lower Snake River"/>
    <n v="882776.64599999995"/>
    <n v="0"/>
    <x v="0"/>
    <x v="4"/>
    <x v="0"/>
  </r>
  <r>
    <x v="9"/>
    <s v="Hopkins Ridge (W184)"/>
    <n v="410912.79200000002"/>
    <n v="0"/>
    <x v="0"/>
    <x v="4"/>
    <x v="0"/>
  </r>
  <r>
    <x v="9"/>
    <s v="Bio Energy Washington (BEW)"/>
    <n v="0.81100000000000005"/>
    <n v="0"/>
    <x v="1"/>
    <x v="6"/>
    <x v="0"/>
  </r>
  <r>
    <x v="9"/>
    <s v="Blocks Dairy Farm"/>
    <n v="22.65"/>
    <n v="0"/>
    <x v="1"/>
    <x v="6"/>
    <x v="0"/>
  </r>
  <r>
    <x v="9"/>
    <s v="Edaleen Dairy LLC"/>
    <n v="4700.7650000000003"/>
    <n v="0"/>
    <x v="1"/>
    <x v="6"/>
    <x v="0"/>
  </r>
  <r>
    <x v="9"/>
    <s v="Emerald City Renewables"/>
    <n v="33931.550999999999"/>
    <n v="0"/>
    <x v="1"/>
    <x v="6"/>
    <x v="0"/>
  </r>
  <r>
    <x v="9"/>
    <s v="Farm Power Lynden LLC"/>
    <n v="5065.2349999999997"/>
    <n v="0"/>
    <x v="1"/>
    <x v="6"/>
    <x v="0"/>
  </r>
  <r>
    <x v="9"/>
    <s v="Farm Power Rexville LLC"/>
    <n v="4650.1229999999996"/>
    <n v="0"/>
    <x v="1"/>
    <x v="6"/>
    <x v="0"/>
  </r>
  <r>
    <x v="9"/>
    <s v="Lake Washington -- Finn Hill"/>
    <n v="261.25299999999999"/>
    <n v="0"/>
    <x v="1"/>
    <x v="6"/>
    <x v="0"/>
  </r>
  <r>
    <x v="9"/>
    <s v="Rainier Bio Gas"/>
    <n v="5376.26"/>
    <n v="0"/>
    <x v="1"/>
    <x v="6"/>
    <x v="0"/>
  </r>
  <r>
    <x v="9"/>
    <s v="Van Dyk - S Holsteins"/>
    <n v="992.28399999999999"/>
    <n v="0"/>
    <x v="1"/>
    <x v="6"/>
    <x v="0"/>
  </r>
  <r>
    <x v="9"/>
    <s v="VanderHaak Dairy Digester"/>
    <n v="3597.77"/>
    <n v="0"/>
    <x v="1"/>
    <x v="6"/>
    <x v="0"/>
  </r>
  <r>
    <x v="9"/>
    <s v="Transalta Centralia Generation LLC"/>
    <n v="2067688"/>
    <n v="2348792.2063809587"/>
    <x v="1"/>
    <x v="1"/>
    <x v="1"/>
  </r>
  <r>
    <x v="9"/>
    <s v="Black Creek Hydro Inc"/>
    <n v="11824.36"/>
    <n v="0"/>
    <x v="1"/>
    <x v="0"/>
    <x v="0"/>
  </r>
  <r>
    <x v="9"/>
    <s v="Chelan PUD - RI &amp; RR"/>
    <n v="2367842"/>
    <n v="0"/>
    <x v="1"/>
    <x v="0"/>
    <x v="0"/>
  </r>
  <r>
    <x v="9"/>
    <s v="Chelan PUD - Rock Island Syst #2"/>
    <n v="-39039"/>
    <n v="0"/>
    <x v="1"/>
    <x v="0"/>
    <x v="0"/>
  </r>
  <r>
    <x v="9"/>
    <s v="Chelan PUD - Rocky Reach"/>
    <n v="-81380"/>
    <n v="0"/>
    <x v="1"/>
    <x v="0"/>
    <x v="0"/>
  </r>
  <r>
    <x v="9"/>
    <s v="Douglas PUD - Wells Project"/>
    <n v="1168961"/>
    <n v="0"/>
    <x v="1"/>
    <x v="0"/>
    <x v="0"/>
  </r>
  <r>
    <x v="9"/>
    <s v="Electron Hydro, LLC"/>
    <n v="136215.48300000001"/>
    <n v="0"/>
    <x v="1"/>
    <x v="0"/>
    <x v="0"/>
  </r>
  <r>
    <x v="9"/>
    <s v="Grant PUD - Priest Rapids Project"/>
    <n v="52318"/>
    <n v="0"/>
    <x v="1"/>
    <x v="0"/>
    <x v="0"/>
  </r>
  <r>
    <x v="9"/>
    <s v="Koma Kulshan Associates"/>
    <n v="41921.237999999998"/>
    <n v="0"/>
    <x v="1"/>
    <x v="0"/>
    <x v="0"/>
  </r>
  <r>
    <x v="9"/>
    <s v="Nooksack"/>
    <n v="22250.558000000001"/>
    <n v="0"/>
    <x v="1"/>
    <x v="0"/>
    <x v="0"/>
  </r>
  <r>
    <x v="9"/>
    <s v="Skookumchuck Hydro"/>
    <n v="3279.835"/>
    <n v="0"/>
    <x v="1"/>
    <x v="0"/>
    <x v="0"/>
  </r>
  <r>
    <x v="9"/>
    <s v="Smith Creek Hydro"/>
    <n v="137.08099999999999"/>
    <n v="0"/>
    <x v="1"/>
    <x v="0"/>
    <x v="0"/>
  </r>
  <r>
    <x v="9"/>
    <s v="Sygitowicz Creek"/>
    <n v="697.173"/>
    <n v="0"/>
    <x v="1"/>
    <x v="0"/>
    <x v="0"/>
  </r>
  <r>
    <x v="9"/>
    <s v="Twin Falls Hydro"/>
    <n v="78046.307000000001"/>
    <n v="0"/>
    <x v="1"/>
    <x v="0"/>
    <x v="0"/>
  </r>
  <r>
    <x v="9"/>
    <s v="Weeks Falls"/>
    <n v="14575.864"/>
    <n v="0"/>
    <x v="1"/>
    <x v="0"/>
    <x v="0"/>
  </r>
  <r>
    <x v="9"/>
    <s v="CC Solar 1 and CC Solar 2"/>
    <n v="29.18"/>
    <n v="0"/>
    <x v="1"/>
    <x v="7"/>
    <x v="0"/>
  </r>
  <r>
    <x v="9"/>
    <s v="Ikea Solar"/>
    <n v="64.284000000000006"/>
    <n v="0"/>
    <x v="1"/>
    <x v="7"/>
    <x v="0"/>
  </r>
  <r>
    <x v="9"/>
    <s v="Island Community Solar LLC"/>
    <n v="60.25"/>
    <n v="0"/>
    <x v="1"/>
    <x v="7"/>
    <x v="0"/>
  </r>
  <r>
    <x v="9"/>
    <s v="BC Hydro (Point Roberts)"/>
    <n v="19966.384999999998"/>
    <n v="8725.3102450000006"/>
    <x v="1"/>
    <x v="5"/>
    <x v="3"/>
  </r>
  <r>
    <x v="9"/>
    <s v="BPA"/>
    <n v="7000"/>
    <n v="3059"/>
    <x v="1"/>
    <x v="5"/>
    <x v="3"/>
  </r>
  <r>
    <x v="9"/>
    <s v="Transalta Centralia Generation LLC - Bookout Source Other Adjustment"/>
    <n v="1260220"/>
    <n v="550716.14"/>
    <x v="1"/>
    <x v="5"/>
    <x v="3"/>
  </r>
  <r>
    <x v="9"/>
    <s v="3 Bar G Wind Turbine #3 LLC"/>
    <n v="185.36799999999999"/>
    <n v="0"/>
    <x v="1"/>
    <x v="4"/>
    <x v="0"/>
  </r>
  <r>
    <x v="9"/>
    <s v="Klondike Wind Power III"/>
    <n v="119259"/>
    <n v="0"/>
    <x v="1"/>
    <x v="4"/>
    <x v="0"/>
  </r>
  <r>
    <x v="9"/>
    <s v="Knudsen Wind Turbine #1"/>
    <n v="118.788"/>
    <n v="0"/>
    <x v="1"/>
    <x v="4"/>
    <x v="0"/>
  </r>
  <r>
    <x v="9"/>
    <s v="Swauk Wind"/>
    <n v="11707.322"/>
    <n v="0"/>
    <x v="1"/>
    <x v="4"/>
    <x v="0"/>
  </r>
  <r>
    <x v="9"/>
    <s v="Unspecified"/>
    <n v="3726897.3210000005"/>
    <n v="1535394.7838640928"/>
    <x v="2"/>
    <x v="5"/>
    <x v="3"/>
  </r>
  <r>
    <x v="10"/>
    <s v="Lower Baker"/>
    <n v="263805.8"/>
    <n v="0"/>
    <x v="0"/>
    <x v="0"/>
    <x v="0"/>
  </r>
  <r>
    <x v="10"/>
    <s v="Snoqualmie Falls #1"/>
    <n v="48585"/>
    <n v="0"/>
    <x v="0"/>
    <x v="0"/>
    <x v="0"/>
  </r>
  <r>
    <x v="10"/>
    <s v="Snoqualmie Falls #2"/>
    <n v="137390.9"/>
    <n v="0"/>
    <x v="0"/>
    <x v="0"/>
    <x v="0"/>
  </r>
  <r>
    <x v="10"/>
    <s v="Upper Baker"/>
    <n v="262945.5"/>
    <n v="0"/>
    <x v="0"/>
    <x v="0"/>
    <x v="0"/>
  </r>
  <r>
    <x v="10"/>
    <s v="Colstrip Unit"/>
    <n v="4251239"/>
    <n v="4531771.9809035081"/>
    <x v="0"/>
    <x v="1"/>
    <x v="1"/>
  </r>
  <r>
    <x v="10"/>
    <s v="Crystal Mountain"/>
    <n v="185.52"/>
    <n v="154.63486408054271"/>
    <x v="0"/>
    <x v="3"/>
    <x v="2"/>
  </r>
  <r>
    <x v="10"/>
    <s v="Encogen"/>
    <n v="403024.02999999898"/>
    <n v="191710.18799999999"/>
    <x v="0"/>
    <x v="2"/>
    <x v="2"/>
  </r>
  <r>
    <x v="10"/>
    <s v="Ferndale"/>
    <n v="1066092"/>
    <n v="478279.87599999999"/>
    <x v="0"/>
    <x v="2"/>
    <x v="2"/>
  </r>
  <r>
    <x v="10"/>
    <s v="Frederickson"/>
    <n v="84195.6"/>
    <n v="70030.933999999994"/>
    <x v="0"/>
    <x v="2"/>
    <x v="2"/>
  </r>
  <r>
    <x v="10"/>
    <s v="Fredonia"/>
    <n v="199918.7"/>
    <n v="154543.666"/>
    <x v="0"/>
    <x v="2"/>
    <x v="2"/>
  </r>
  <r>
    <x v="10"/>
    <s v="Frederickson Unit 1"/>
    <n v="669752.19750000001"/>
    <n v="256480.91398399998"/>
    <x v="0"/>
    <x v="2"/>
    <x v="2"/>
  </r>
  <r>
    <x v="10"/>
    <s v="Goldendale"/>
    <n v="1942118"/>
    <n v="729130.348"/>
    <x v="0"/>
    <x v="2"/>
    <x v="2"/>
  </r>
  <r>
    <x v="10"/>
    <s v="Mint Farm"/>
    <n v="1930573.5"/>
    <n v="759454.83600000001"/>
    <x v="0"/>
    <x v="2"/>
    <x v="2"/>
  </r>
  <r>
    <x v="10"/>
    <s v="Sumas"/>
    <n v="494780.2"/>
    <n v="227714.25599999999"/>
    <x v="0"/>
    <x v="2"/>
    <x v="2"/>
  </r>
  <r>
    <x v="10"/>
    <s v="Whitehorn"/>
    <n v="8689.4"/>
    <n v="6838.3680000000004"/>
    <x v="0"/>
    <x v="2"/>
    <x v="2"/>
  </r>
  <r>
    <x v="10"/>
    <s v="Hopkins Ridge (W184)"/>
    <n v="340498.88"/>
    <n v="0"/>
    <x v="0"/>
    <x v="4"/>
    <x v="0"/>
  </r>
  <r>
    <x v="10"/>
    <s v="Lower Snake River"/>
    <n v="714103.69400000002"/>
    <n v="0"/>
    <x v="0"/>
    <x v="4"/>
    <x v="0"/>
  </r>
  <r>
    <x v="10"/>
    <s v="Wild Horse (W183)"/>
    <n v="612886.21799999999"/>
    <n v="0"/>
    <x v="0"/>
    <x v="4"/>
    <x v="0"/>
  </r>
  <r>
    <x v="10"/>
    <s v="Bio Energy Washington (BEW)"/>
    <n v="8.1270000000000007"/>
    <n v="0"/>
    <x v="1"/>
    <x v="6"/>
    <x v="0"/>
  </r>
  <r>
    <x v="10"/>
    <s v="Blocks Dairy Farm"/>
    <n v="69.373999999999995"/>
    <n v="0"/>
    <x v="1"/>
    <x v="6"/>
    <x v="0"/>
  </r>
  <r>
    <x v="10"/>
    <s v="Edaleen Dairy LLC"/>
    <n v="3546.098"/>
    <n v="0"/>
    <x v="1"/>
    <x v="6"/>
    <x v="0"/>
  </r>
  <r>
    <x v="10"/>
    <s v="Emerald City Renewables"/>
    <n v="31113.473000000002"/>
    <n v="0"/>
    <x v="1"/>
    <x v="6"/>
    <x v="0"/>
  </r>
  <r>
    <x v="10"/>
    <s v="Farm Power Lynden LLC"/>
    <n v="4062.4189999999999"/>
    <n v="0"/>
    <x v="1"/>
    <x v="6"/>
    <x v="0"/>
  </r>
  <r>
    <x v="10"/>
    <s v="Farm Power Rexville LLC"/>
    <n v="5308.4669999999996"/>
    <n v="0"/>
    <x v="1"/>
    <x v="6"/>
    <x v="0"/>
  </r>
  <r>
    <x v="10"/>
    <s v="Lake Washington -- Finn Hill"/>
    <n v="270.40800000000002"/>
    <n v="0"/>
    <x v="1"/>
    <x v="6"/>
    <x v="0"/>
  </r>
  <r>
    <x v="10"/>
    <s v="Rainier Bio Gas"/>
    <n v="4296.8339999999998"/>
    <n v="0"/>
    <x v="1"/>
    <x v="6"/>
    <x v="0"/>
  </r>
  <r>
    <x v="10"/>
    <s v="Van Dyk - S Holsteins"/>
    <n v="1559.164"/>
    <n v="0"/>
    <x v="1"/>
    <x v="6"/>
    <x v="0"/>
  </r>
  <r>
    <x v="10"/>
    <s v="VanderHaak Dairy Digester"/>
    <n v="4284.8249999999998"/>
    <n v="0"/>
    <x v="1"/>
    <x v="6"/>
    <x v="0"/>
  </r>
  <r>
    <x v="10"/>
    <s v="Transalta Centralia Generation LLC"/>
    <n v="3036992"/>
    <n v="3395866.6580467108"/>
    <x v="1"/>
    <x v="1"/>
    <x v="1"/>
  </r>
  <r>
    <x v="10"/>
    <s v="Black Creek Hydro Inc"/>
    <n v="8033.4319999999998"/>
    <n v="0"/>
    <x v="1"/>
    <x v="0"/>
    <x v="0"/>
  </r>
  <r>
    <x v="10"/>
    <s v="Chelan PUD - RI &amp; RR"/>
    <n v="1904130"/>
    <n v="0"/>
    <x v="1"/>
    <x v="0"/>
    <x v="0"/>
  </r>
  <r>
    <x v="10"/>
    <s v="Chelan PUD - Rock Island Syst #2"/>
    <n v="-39120"/>
    <n v="0"/>
    <x v="1"/>
    <x v="0"/>
    <x v="0"/>
  </r>
  <r>
    <x v="10"/>
    <s v="Chelan PUD - Rocky Reach"/>
    <n v="-80741"/>
    <n v="0"/>
    <x v="1"/>
    <x v="0"/>
    <x v="0"/>
  </r>
  <r>
    <x v="10"/>
    <s v="Douglas PUD - Wells Project"/>
    <n v="812102"/>
    <n v="0"/>
    <x v="1"/>
    <x v="0"/>
    <x v="0"/>
  </r>
  <r>
    <x v="10"/>
    <s v="Electron Hydro, LLC"/>
    <n v="143654.046"/>
    <n v="0"/>
    <x v="1"/>
    <x v="0"/>
    <x v="0"/>
  </r>
  <r>
    <x v="10"/>
    <s v="Grant PUD - Priest Rapids Project"/>
    <n v="45806"/>
    <n v="0"/>
    <x v="1"/>
    <x v="0"/>
    <x v="0"/>
  </r>
  <r>
    <x v="10"/>
    <s v="Koma Kulshan Associates"/>
    <n v="29784.255000000001"/>
    <n v="0"/>
    <x v="1"/>
    <x v="0"/>
    <x v="0"/>
  </r>
  <r>
    <x v="10"/>
    <s v="Nooksack"/>
    <n v="22782.893"/>
    <n v="0"/>
    <x v="1"/>
    <x v="0"/>
    <x v="0"/>
  </r>
  <r>
    <x v="10"/>
    <s v="Skookumchuck Hydro"/>
    <n v="2326.2150000000001"/>
    <n v="0"/>
    <x v="1"/>
    <x v="0"/>
    <x v="0"/>
  </r>
  <r>
    <x v="10"/>
    <s v="Smith Creek Hydro"/>
    <n v="89.1"/>
    <n v="0"/>
    <x v="1"/>
    <x v="0"/>
    <x v="0"/>
  </r>
  <r>
    <x v="10"/>
    <s v="Sygitowicz Creek"/>
    <n v="414"/>
    <n v="0"/>
    <x v="1"/>
    <x v="0"/>
    <x v="0"/>
  </r>
  <r>
    <x v="10"/>
    <s v="Twin Falls Hydro"/>
    <n v="52656.472999999998"/>
    <n v="0"/>
    <x v="1"/>
    <x v="0"/>
    <x v="0"/>
  </r>
  <r>
    <x v="10"/>
    <s v="Weeks Falls"/>
    <n v="9412.7900000000009"/>
    <n v="0"/>
    <x v="1"/>
    <x v="0"/>
    <x v="0"/>
  </r>
  <r>
    <x v="10"/>
    <s v="CC Solar 1 and CC Solar 2"/>
    <n v="29.87"/>
    <n v="0"/>
    <x v="1"/>
    <x v="7"/>
    <x v="0"/>
  </r>
  <r>
    <x v="10"/>
    <s v="Ikea Solar"/>
    <n v="71.965000000000003"/>
    <n v="0"/>
    <x v="1"/>
    <x v="7"/>
    <x v="0"/>
  </r>
  <r>
    <x v="10"/>
    <s v="Island Community Solar LLC"/>
    <n v="62.09"/>
    <n v="0"/>
    <x v="1"/>
    <x v="7"/>
    <x v="0"/>
  </r>
  <r>
    <x v="10"/>
    <s v="BC Hydro (Point Roberts)"/>
    <n v="20444.766"/>
    <n v="8934.3627419999993"/>
    <x v="1"/>
    <x v="5"/>
    <x v="3"/>
  </r>
  <r>
    <x v="10"/>
    <s v="BPA"/>
    <n v="3500"/>
    <n v="1529.5"/>
    <x v="1"/>
    <x v="5"/>
    <x v="3"/>
  </r>
  <r>
    <x v="10"/>
    <s v="Transalta Centralia Generation LLC"/>
    <n v="447044"/>
    <n v="195358.228"/>
    <x v="1"/>
    <x v="5"/>
    <x v="3"/>
  </r>
  <r>
    <x v="10"/>
    <s v="3 Bar G Wind Turbine #3 LLC"/>
    <n v="132.80000000000001"/>
    <n v="0"/>
    <x v="1"/>
    <x v="4"/>
    <x v="0"/>
  </r>
  <r>
    <x v="10"/>
    <s v="Klondike Wind Power III"/>
    <n v="112955"/>
    <n v="0"/>
    <x v="1"/>
    <x v="4"/>
    <x v="0"/>
  </r>
  <r>
    <x v="10"/>
    <s v="Knudsen Wind Turbine #1"/>
    <n v="56.256"/>
    <n v="0"/>
    <x v="1"/>
    <x v="4"/>
    <x v="0"/>
  </r>
  <r>
    <x v="10"/>
    <s v="Swauk Wind"/>
    <n v="10224.343000000001"/>
    <n v="0"/>
    <x v="1"/>
    <x v="4"/>
    <x v="0"/>
  </r>
  <r>
    <x v="10"/>
    <s v="Unspecified"/>
    <n v="2278882.9660000005"/>
    <n v="744608.3509279727"/>
    <x v="2"/>
    <x v="5"/>
    <x v="3"/>
  </r>
  <r>
    <x v="11"/>
    <s v="Lower Baker"/>
    <n v="383706.2"/>
    <n v="0"/>
    <x v="0"/>
    <x v="0"/>
    <x v="0"/>
  </r>
  <r>
    <x v="11"/>
    <s v="Snoqualmie Falls #1"/>
    <n v="52934.5"/>
    <n v="0"/>
    <x v="0"/>
    <x v="0"/>
    <x v="0"/>
  </r>
  <r>
    <x v="11"/>
    <s v="Snoqualmie Falls #2"/>
    <n v="181415.1"/>
    <n v="0"/>
    <x v="0"/>
    <x v="0"/>
    <x v="0"/>
  </r>
  <r>
    <x v="11"/>
    <s v="Upper Baker"/>
    <n v="362138.35499999998"/>
    <n v="0"/>
    <x v="0"/>
    <x v="0"/>
    <x v="0"/>
  </r>
  <r>
    <x v="11"/>
    <s v="Colstrip Unit 1"/>
    <n v="2589"/>
    <n v="3264.0942504528002"/>
    <x v="0"/>
    <x v="1"/>
    <x v="1"/>
  </r>
  <r>
    <x v="11"/>
    <s v="Colstrip Unit 2"/>
    <n v="5420"/>
    <n v="6402.3277994609998"/>
    <x v="0"/>
    <x v="1"/>
    <x v="1"/>
  </r>
  <r>
    <x v="11"/>
    <s v="Colstrip Unit 3"/>
    <n v="1124165"/>
    <n v="1189078.8303417685"/>
    <x v="0"/>
    <x v="1"/>
    <x v="1"/>
  </r>
  <r>
    <x v="11"/>
    <s v="Colstrip Unit 4"/>
    <n v="970164"/>
    <n v="891059.61564669583"/>
    <x v="0"/>
    <x v="1"/>
    <x v="1"/>
  </r>
  <r>
    <x v="11"/>
    <s v="Crystal Mountain"/>
    <n v="533.92999999999995"/>
    <n v="514.04794022507429"/>
    <x v="0"/>
    <x v="3"/>
    <x v="2"/>
  </r>
  <r>
    <x v="11"/>
    <s v="Encogen 1"/>
    <n v="118589.99333333335"/>
    <n v="55032.233847957104"/>
    <x v="0"/>
    <x v="2"/>
    <x v="2"/>
  </r>
  <r>
    <x v="11"/>
    <s v="Encogen 2"/>
    <n v="127822.44333333333"/>
    <n v="62154.804198413389"/>
    <x v="0"/>
    <x v="2"/>
    <x v="2"/>
  </r>
  <r>
    <x v="11"/>
    <s v="Encogen 3"/>
    <n v="126606.19333333333"/>
    <n v="61127.689787834592"/>
    <x v="0"/>
    <x v="2"/>
    <x v="2"/>
  </r>
  <r>
    <x v="11"/>
    <s v="Ferndale 1"/>
    <n v="563397"/>
    <n v="253456.1757261832"/>
    <x v="0"/>
    <x v="2"/>
    <x v="2"/>
  </r>
  <r>
    <x v="11"/>
    <s v="Ferndale 2"/>
    <n v="559920"/>
    <n v="255692.8614489233"/>
    <x v="0"/>
    <x v="2"/>
    <x v="2"/>
  </r>
  <r>
    <x v="11"/>
    <s v="Frederickson 1"/>
    <n v="24260.9"/>
    <n v="18555.585060160887"/>
    <x v="0"/>
    <x v="2"/>
    <x v="2"/>
  </r>
  <r>
    <x v="11"/>
    <s v="Frederickson 2"/>
    <n v="8040.6"/>
    <n v="6298.1503057700793"/>
    <x v="0"/>
    <x v="2"/>
    <x v="2"/>
  </r>
  <r>
    <x v="11"/>
    <s v="Fredonia 1"/>
    <n v="75907.3"/>
    <n v="57284.091976562348"/>
    <x v="0"/>
    <x v="2"/>
    <x v="2"/>
  </r>
  <r>
    <x v="11"/>
    <s v="Fredonia 2"/>
    <n v="86701.4"/>
    <n v="76894.818435905123"/>
    <x v="0"/>
    <x v="2"/>
    <x v="2"/>
  </r>
  <r>
    <x v="11"/>
    <s v="Fredonia 3"/>
    <n v="16300.8"/>
    <n v="10732.843497003798"/>
    <x v="0"/>
    <x v="2"/>
    <x v="2"/>
  </r>
  <r>
    <x v="11"/>
    <s v="Fredonia 4"/>
    <n v="10424.1"/>
    <n v="7094.9806084291004"/>
    <x v="0"/>
    <x v="2"/>
    <x v="2"/>
  </r>
  <r>
    <x v="11"/>
    <s v="Frederickson Unit 1"/>
    <n v="478493.0015999999"/>
    <n v="184102.80586267504"/>
    <x v="0"/>
    <x v="2"/>
    <x v="2"/>
  </r>
  <r>
    <x v="11"/>
    <s v="Goldendale"/>
    <n v="2020178"/>
    <n v="730202.05805986584"/>
    <x v="0"/>
    <x v="2"/>
    <x v="2"/>
  </r>
  <r>
    <x v="11"/>
    <s v="Mint Farm"/>
    <n v="1794974.9"/>
    <n v="694037.25305941002"/>
    <x v="0"/>
    <x v="2"/>
    <x v="2"/>
  </r>
  <r>
    <x v="11"/>
    <s v="Sumas"/>
    <n v="489120.3"/>
    <n v="226352.97429011497"/>
    <x v="0"/>
    <x v="2"/>
    <x v="2"/>
  </r>
  <r>
    <x v="11"/>
    <s v="Whitehorn 2"/>
    <n v="3862.7"/>
    <n v="3310.4359231028402"/>
    <x v="0"/>
    <x v="2"/>
    <x v="2"/>
  </r>
  <r>
    <x v="11"/>
    <s v="Whitehorn 3"/>
    <n v="1618.3"/>
    <n v="1343.6862720647248"/>
    <x v="0"/>
    <x v="2"/>
    <x v="2"/>
  </r>
  <r>
    <x v="11"/>
    <s v="Wild Horse (W183)"/>
    <n v="764889.94700000004"/>
    <n v="0"/>
    <x v="0"/>
    <x v="4"/>
    <x v="0"/>
  </r>
  <r>
    <x v="11"/>
    <s v="Lower Snake River"/>
    <n v="972680.38"/>
    <n v="0"/>
    <x v="0"/>
    <x v="4"/>
    <x v="0"/>
  </r>
  <r>
    <x v="11"/>
    <s v="Hopkins Ridge (W184)"/>
    <n v="478168.71600000001"/>
    <n v="0"/>
    <x v="0"/>
    <x v="4"/>
    <x v="0"/>
  </r>
  <r>
    <x v="11"/>
    <s v="Bio Energy Washington (BEW)"/>
    <n v="1.335"/>
    <n v="0"/>
    <x v="1"/>
    <x v="6"/>
    <x v="0"/>
  </r>
  <r>
    <x v="11"/>
    <s v="Blocks Dairy Farm"/>
    <n v="150.51400000000001"/>
    <n v="0"/>
    <x v="1"/>
    <x v="6"/>
    <x v="0"/>
  </r>
  <r>
    <x v="11"/>
    <s v="Edaleen Dairy LLC"/>
    <n v="494.69"/>
    <n v="0"/>
    <x v="1"/>
    <x v="6"/>
    <x v="0"/>
  </r>
  <r>
    <x v="11"/>
    <s v="Emerald City Renewables"/>
    <n v="31178.521000000001"/>
    <n v="0"/>
    <x v="1"/>
    <x v="6"/>
    <x v="0"/>
  </r>
  <r>
    <x v="11"/>
    <s v="Farm Power Lynden LLC"/>
    <n v="3.649"/>
    <n v="0"/>
    <x v="1"/>
    <x v="6"/>
    <x v="0"/>
  </r>
  <r>
    <x v="11"/>
    <s v="Farm Power Rexville LLC"/>
    <n v="3770.3829999999998"/>
    <n v="0"/>
    <x v="1"/>
    <x v="6"/>
    <x v="0"/>
  </r>
  <r>
    <x v="11"/>
    <s v="Lake Washington -- Finn Hill"/>
    <n v="373.27"/>
    <n v="0"/>
    <x v="1"/>
    <x v="6"/>
    <x v="0"/>
  </r>
  <r>
    <x v="11"/>
    <s v="Rainier Bio Gas"/>
    <n v="1590.7919999999999"/>
    <n v="0"/>
    <x v="1"/>
    <x v="6"/>
    <x v="0"/>
  </r>
  <r>
    <x v="11"/>
    <s v="Van Dyk - S Holsteins"/>
    <n v="111.008"/>
    <n v="0"/>
    <x v="1"/>
    <x v="6"/>
    <x v="0"/>
  </r>
  <r>
    <x v="11"/>
    <s v="VanderHaak Dairy Digester"/>
    <n v="2614.87"/>
    <n v="0"/>
    <x v="1"/>
    <x v="6"/>
    <x v="0"/>
  </r>
  <r>
    <x v="11"/>
    <s v="Transalta Centralia Generation LLC"/>
    <n v="2500968"/>
    <n v="2671660.3659544718"/>
    <x v="1"/>
    <x v="1"/>
    <x v="1"/>
  </r>
  <r>
    <x v="11"/>
    <s v="Black Creek Hydro Inc"/>
    <n v="12985.959000000001"/>
    <n v="0"/>
    <x v="1"/>
    <x v="0"/>
    <x v="0"/>
  </r>
  <r>
    <x v="11"/>
    <s v="Chelan PUD - RI &amp; RR"/>
    <n v="2114198"/>
    <n v="0"/>
    <x v="1"/>
    <x v="0"/>
    <x v="0"/>
  </r>
  <r>
    <x v="11"/>
    <s v="Chelan PUD - Rock Island Syst #2"/>
    <n v="-38838"/>
    <n v="0"/>
    <x v="1"/>
    <x v="0"/>
    <x v="0"/>
  </r>
  <r>
    <x v="11"/>
    <s v="Chelan PUD - Rocky Reach"/>
    <n v="-80626"/>
    <n v="0"/>
    <x v="1"/>
    <x v="0"/>
    <x v="0"/>
  </r>
  <r>
    <x v="11"/>
    <s v="Douglas PUD - Wells Project"/>
    <n v="1348999"/>
    <n v="0"/>
    <x v="1"/>
    <x v="0"/>
    <x v="0"/>
  </r>
  <r>
    <x v="11"/>
    <s v="Electron Hydro, LLC"/>
    <n v="95824.729000000007"/>
    <n v="0"/>
    <x v="1"/>
    <x v="0"/>
    <x v="0"/>
  </r>
  <r>
    <x v="11"/>
    <s v="Grant PUD - Priest Rapids Project"/>
    <n v="453108"/>
    <n v="0"/>
    <x v="1"/>
    <x v="0"/>
    <x v="0"/>
  </r>
  <r>
    <x v="11"/>
    <s v="KERR DAM-ENERGY KEEPER"/>
    <n v="293721"/>
    <n v="0"/>
    <x v="1"/>
    <x v="0"/>
    <x v="0"/>
  </r>
  <r>
    <x v="11"/>
    <s v="Koma Kulshan Associates"/>
    <n v="40695.993999999999"/>
    <n v="0"/>
    <x v="1"/>
    <x v="0"/>
    <x v="0"/>
  </r>
  <r>
    <x v="11"/>
    <s v="Nooksack"/>
    <n v="24136.565999999999"/>
    <n v="0"/>
    <x v="1"/>
    <x v="0"/>
    <x v="0"/>
  </r>
  <r>
    <x v="11"/>
    <s v="Skookumchuck Hydro"/>
    <n v="4476.2690000000002"/>
    <n v="0"/>
    <x v="1"/>
    <x v="0"/>
    <x v="0"/>
  </r>
  <r>
    <x v="11"/>
    <s v="Smith Creek Hydro"/>
    <n v="65.665000000000006"/>
    <n v="0"/>
    <x v="1"/>
    <x v="0"/>
    <x v="0"/>
  </r>
  <r>
    <x v="11"/>
    <s v="Twin Falls Hydro"/>
    <n v="88706.023000000001"/>
    <n v="0"/>
    <x v="1"/>
    <x v="0"/>
    <x v="0"/>
  </r>
  <r>
    <x v="11"/>
    <s v="Weeks Falls"/>
    <n v="15901.587"/>
    <n v="0"/>
    <x v="1"/>
    <x v="0"/>
    <x v="0"/>
  </r>
  <r>
    <x v="11"/>
    <s v="CC Solar 1 and CC Solar 2"/>
    <n v="25.094999999999999"/>
    <n v="0"/>
    <x v="1"/>
    <x v="7"/>
    <x v="0"/>
  </r>
  <r>
    <x v="11"/>
    <s v="Port of Coupeville"/>
    <n v="31592.61"/>
    <n v="0"/>
    <x v="1"/>
    <x v="7"/>
    <x v="0"/>
  </r>
  <r>
    <x v="11"/>
    <s v="Ikea Solar"/>
    <n v="211.999"/>
    <n v="0"/>
    <x v="1"/>
    <x v="7"/>
    <x v="0"/>
  </r>
  <r>
    <x v="11"/>
    <s v="Island Community Solar LLC"/>
    <n v="-31528.499"/>
    <n v="0"/>
    <x v="1"/>
    <x v="7"/>
    <x v="0"/>
  </r>
  <r>
    <x v="11"/>
    <s v="BC Hydro (Point Roberts)"/>
    <n v="18325.150000000001"/>
    <n v="8008.0905499999999"/>
    <x v="1"/>
    <x v="5"/>
    <x v="3"/>
  </r>
  <r>
    <x v="11"/>
    <s v="BPA"/>
    <n v="7000"/>
    <n v="3059"/>
    <x v="1"/>
    <x v="5"/>
    <x v="3"/>
  </r>
  <r>
    <x v="11"/>
    <s v="Transalta Centralia Generation LLC - Bookout Source Other Adjustment"/>
    <n v="680896"/>
    <n v="297551.55199999997"/>
    <x v="1"/>
    <x v="5"/>
    <x v="3"/>
  </r>
  <r>
    <x v="11"/>
    <s v="3 Bar G Wind Turbine #3 LLC"/>
    <n v="90.81"/>
    <n v="0"/>
    <x v="1"/>
    <x v="4"/>
    <x v="0"/>
  </r>
  <r>
    <x v="11"/>
    <s v="Klondike Wind Power III"/>
    <n v="136728"/>
    <n v="0"/>
    <x v="1"/>
    <x v="4"/>
    <x v="0"/>
  </r>
  <r>
    <x v="11"/>
    <s v="Knudsen Wind Turbine #1"/>
    <n v="134.804"/>
    <n v="0"/>
    <x v="1"/>
    <x v="4"/>
    <x v="0"/>
  </r>
  <r>
    <x v="11"/>
    <s v="Skookumchuck Wind PPA"/>
    <n v="150505.323"/>
    <n v="0"/>
    <x v="1"/>
    <x v="4"/>
    <x v="0"/>
  </r>
  <r>
    <x v="11"/>
    <s v="Swauk Wind"/>
    <n v="13426.7"/>
    <n v="0"/>
    <x v="1"/>
    <x v="4"/>
    <x v="0"/>
  </r>
  <r>
    <x v="11"/>
    <s v="Unspecified"/>
    <n v="2182677.5130000003"/>
    <n v="1040097.3339918386"/>
    <x v="2"/>
    <x v="5"/>
    <x v="3"/>
  </r>
  <r>
    <x v="12"/>
    <s v="Lower Baker"/>
    <n v="376416.7"/>
    <n v="0"/>
    <x v="0"/>
    <x v="0"/>
    <x v="0"/>
  </r>
  <r>
    <x v="12"/>
    <s v="Snoqualmie Falls #1"/>
    <n v="32622.1"/>
    <n v="0"/>
    <x v="0"/>
    <x v="0"/>
    <x v="0"/>
  </r>
  <r>
    <x v="12"/>
    <s v="Snoqualmie Falls #2"/>
    <n v="178080.56"/>
    <n v="0"/>
    <x v="0"/>
    <x v="0"/>
    <x v="0"/>
  </r>
  <r>
    <x v="12"/>
    <s v="Upper Baker"/>
    <n v="370699.1"/>
    <n v="0"/>
    <x v="0"/>
    <x v="0"/>
    <x v="0"/>
  </r>
  <r>
    <x v="12"/>
    <n v="0"/>
    <n v="0"/>
    <n v="0"/>
    <x v="3"/>
    <x v="8"/>
    <x v="4"/>
  </r>
  <r>
    <x v="12"/>
    <n v="0"/>
    <n v="0"/>
    <n v="0"/>
    <x v="3"/>
    <x v="8"/>
    <x v="4"/>
  </r>
  <r>
    <x v="12"/>
    <s v="Colstrip Unit 3"/>
    <n v="1177765"/>
    <n v="1168530.0848020802"/>
    <x v="0"/>
    <x v="1"/>
    <x v="1"/>
  </r>
  <r>
    <x v="12"/>
    <s v="Colstrip Unit 4"/>
    <n v="1398937"/>
    <n v="1339894.2001225846"/>
    <x v="0"/>
    <x v="1"/>
    <x v="1"/>
  </r>
  <r>
    <x v="12"/>
    <s v="Crystal Mountain"/>
    <n v="526.70000000000005"/>
    <n v="439.28777955048002"/>
    <x v="0"/>
    <x v="3"/>
    <x v="2"/>
  </r>
  <r>
    <x v="12"/>
    <s v="Encogen 1"/>
    <n v="173871.66666666666"/>
    <n v="81204.692565972407"/>
    <x v="0"/>
    <x v="2"/>
    <x v="2"/>
  </r>
  <r>
    <x v="12"/>
    <s v="Encogen 2"/>
    <n v="178559.66666666666"/>
    <n v="88104.687983264375"/>
    <x v="0"/>
    <x v="2"/>
    <x v="2"/>
  </r>
  <r>
    <x v="12"/>
    <s v="Encogen 3"/>
    <n v="179808.66666666666"/>
    <n v="88261.972463474289"/>
    <x v="0"/>
    <x v="2"/>
    <x v="2"/>
  </r>
  <r>
    <x v="12"/>
    <s v="Ferndale 1"/>
    <n v="701363.5"/>
    <n v="322397.82687960076"/>
    <x v="0"/>
    <x v="2"/>
    <x v="2"/>
  </r>
  <r>
    <x v="12"/>
    <s v="Ferndale 2"/>
    <n v="683610.5"/>
    <n v="314855.37749291613"/>
    <x v="0"/>
    <x v="2"/>
    <x v="2"/>
  </r>
  <r>
    <x v="12"/>
    <s v="Frederickson 1"/>
    <n v="22471.4"/>
    <n v="16453.657600421484"/>
    <x v="0"/>
    <x v="2"/>
    <x v="2"/>
  </r>
  <r>
    <x v="12"/>
    <s v="Frederickson 2"/>
    <n v="34420.9"/>
    <n v="25082.403106329188"/>
    <x v="0"/>
    <x v="2"/>
    <x v="2"/>
  </r>
  <r>
    <x v="12"/>
    <s v="Fredonia 1"/>
    <n v="85250.4"/>
    <n v="61799.426837685613"/>
    <x v="0"/>
    <x v="2"/>
    <x v="2"/>
  </r>
  <r>
    <x v="12"/>
    <s v="Fredonia 2"/>
    <n v="120143.17"/>
    <n v="86203.607978848013"/>
    <x v="0"/>
    <x v="2"/>
    <x v="2"/>
  </r>
  <r>
    <x v="12"/>
    <s v="Fredonia 3"/>
    <n v="83077.100000000006"/>
    <n v="53691.040213152999"/>
    <x v="0"/>
    <x v="2"/>
    <x v="2"/>
  </r>
  <r>
    <x v="12"/>
    <s v="Fredonia 4"/>
    <n v="88846.399999999994"/>
    <n v="48964.837150449996"/>
    <x v="0"/>
    <x v="2"/>
    <x v="2"/>
  </r>
  <r>
    <x v="12"/>
    <s v="Frederickson Unit 1"/>
    <n v="642903.8848"/>
    <n v="245906.63711515439"/>
    <x v="0"/>
    <x v="2"/>
    <x v="2"/>
  </r>
  <r>
    <x v="12"/>
    <s v="Goldendale"/>
    <n v="2036337"/>
    <n v="745008.1823517601"/>
    <x v="0"/>
    <x v="2"/>
    <x v="2"/>
  </r>
  <r>
    <x v="12"/>
    <s v="Mint Farm"/>
    <n v="1860017.7000000002"/>
    <n v="731687.95066283632"/>
    <x v="0"/>
    <x v="2"/>
    <x v="2"/>
  </r>
  <r>
    <x v="12"/>
    <s v="Sumas"/>
    <n v="528409.9"/>
    <n v="246882.52703731012"/>
    <x v="0"/>
    <x v="2"/>
    <x v="2"/>
  </r>
  <r>
    <x v="12"/>
    <s v="Whitehorn 2"/>
    <n v="16427.599999999999"/>
    <n v="12162.292938820337"/>
    <x v="0"/>
    <x v="2"/>
    <x v="2"/>
  </r>
  <r>
    <x v="12"/>
    <s v="Whitehorn 3"/>
    <n v="1985.3"/>
    <n v="1725.0435466363922"/>
    <x v="0"/>
    <x v="2"/>
    <x v="2"/>
  </r>
  <r>
    <x v="12"/>
    <s v="Wild Horse (W183)"/>
    <n v="714024.10199999996"/>
    <n v="0"/>
    <x v="0"/>
    <x v="4"/>
    <x v="0"/>
  </r>
  <r>
    <x v="12"/>
    <s v="Lower Snake River"/>
    <n v="941517.07"/>
    <n v="0"/>
    <x v="0"/>
    <x v="4"/>
    <x v="0"/>
  </r>
  <r>
    <x v="12"/>
    <s v="Hopkins Ridge (W184)"/>
    <n v="418246.06800000003"/>
    <n v="0"/>
    <x v="0"/>
    <x v="4"/>
    <x v="0"/>
  </r>
  <r>
    <x v="12"/>
    <s v="Bio Energy Washington (BEW)"/>
    <n v="3.464"/>
    <n v="0"/>
    <x v="1"/>
    <x v="6"/>
    <x v="0"/>
  </r>
  <r>
    <x v="12"/>
    <s v="Blocks Dairy Farm"/>
    <n v="19232.100999999999"/>
    <n v="0"/>
    <x v="1"/>
    <x v="6"/>
    <x v="0"/>
  </r>
  <r>
    <x v="12"/>
    <s v="Edaleen Dairy LLC"/>
    <n v="3814.5529999999999"/>
    <n v="0"/>
    <x v="1"/>
    <x v="6"/>
    <x v="0"/>
  </r>
  <r>
    <x v="12"/>
    <s v="Emerald City Renewables"/>
    <n v="27196.345000000001"/>
    <n v="0"/>
    <x v="1"/>
    <x v="6"/>
    <x v="0"/>
  </r>
  <r>
    <x v="12"/>
    <s v="Farm Power Rexville LLC"/>
    <n v="3143.5210000000002"/>
    <n v="0"/>
    <x v="1"/>
    <x v="6"/>
    <x v="0"/>
  </r>
  <r>
    <x v="12"/>
    <s v="Lake Washington -- Finn Hill"/>
    <n v="97.504999999999995"/>
    <n v="0"/>
    <x v="1"/>
    <x v="6"/>
    <x v="0"/>
  </r>
  <r>
    <x v="12"/>
    <s v="Rainier Bio Gas"/>
    <n v="2917.5520000000001"/>
    <n v="0"/>
    <x v="1"/>
    <x v="6"/>
    <x v="0"/>
  </r>
  <r>
    <x v="12"/>
    <s v="Transalta Centralia Generation LLC"/>
    <n v="2357979"/>
    <n v="2459357.6459853058"/>
    <x v="1"/>
    <x v="1"/>
    <x v="1"/>
  </r>
  <r>
    <x v="12"/>
    <s v="Black Creek Hydro Inc"/>
    <n v="11168.486999999999"/>
    <n v="0"/>
    <x v="1"/>
    <x v="0"/>
    <x v="0"/>
  </r>
  <r>
    <x v="12"/>
    <s v="Chelan PUD - RI &amp; RR"/>
    <n v="2026865"/>
    <n v="0"/>
    <x v="1"/>
    <x v="0"/>
    <x v="0"/>
  </r>
  <r>
    <x v="12"/>
    <s v="Chelan PUD - Rock Island Syst #2"/>
    <n v="-38626"/>
    <n v="0"/>
    <x v="1"/>
    <x v="0"/>
    <x v="0"/>
  </r>
  <r>
    <x v="12"/>
    <s v="Chelan PUD - Rocky Reach"/>
    <n v="-80185"/>
    <n v="0"/>
    <x v="1"/>
    <x v="0"/>
    <x v="0"/>
  </r>
  <r>
    <x v="12"/>
    <s v="Douglas PUD - Wells Project"/>
    <n v="1119214"/>
    <n v="0"/>
    <x v="1"/>
    <x v="0"/>
    <x v="0"/>
  </r>
  <r>
    <x v="12"/>
    <s v="Grant PUD - Priest Rapids Project"/>
    <n v="431728"/>
    <n v="0"/>
    <x v="1"/>
    <x v="0"/>
    <x v="0"/>
  </r>
  <r>
    <x v="12"/>
    <s v="KERR DAM-ENERGY KEEPER"/>
    <n v="350624"/>
    <n v="0"/>
    <x v="1"/>
    <x v="0"/>
    <x v="0"/>
  </r>
  <r>
    <x v="12"/>
    <s v="Koma Kulshan Associates"/>
    <n v="40458.671999999999"/>
    <n v="0"/>
    <x v="1"/>
    <x v="0"/>
    <x v="0"/>
  </r>
  <r>
    <x v="12"/>
    <s v="Nooksack"/>
    <n v="22656.767"/>
    <n v="0"/>
    <x v="1"/>
    <x v="0"/>
    <x v="0"/>
  </r>
  <r>
    <x v="12"/>
    <s v="Skookumchuck Hydro"/>
    <n v="4313.1850000000004"/>
    <n v="0"/>
    <x v="1"/>
    <x v="0"/>
    <x v="0"/>
  </r>
  <r>
    <x v="12"/>
    <s v="Twin Falls Hydro"/>
    <n v="78612.604000000007"/>
    <n v="0"/>
    <x v="1"/>
    <x v="0"/>
    <x v="0"/>
  </r>
  <r>
    <x v="12"/>
    <s v="Weeks Falls"/>
    <n v="14405.442999999999"/>
    <n v="0"/>
    <x v="1"/>
    <x v="0"/>
    <x v="0"/>
  </r>
  <r>
    <x v="12"/>
    <s v="CC Solar 1 and CC Solar 2"/>
    <n v="28.78"/>
    <n v="0"/>
    <x v="1"/>
    <x v="7"/>
    <x v="0"/>
  </r>
  <r>
    <x v="12"/>
    <s v="Port of Coupeville"/>
    <n v="113.986"/>
    <n v="0"/>
    <x v="1"/>
    <x v="7"/>
    <x v="0"/>
  </r>
  <r>
    <x v="12"/>
    <s v="Ikea Solar"/>
    <n v="60.573999999999998"/>
    <n v="0"/>
    <x v="1"/>
    <x v="7"/>
    <x v="0"/>
  </r>
  <r>
    <x v="12"/>
    <s v="BC Hydro (Point Roberts)"/>
    <n v="18118.935000000001"/>
    <n v="7917.9745949999997"/>
    <x v="1"/>
    <x v="5"/>
    <x v="3"/>
  </r>
  <r>
    <x v="12"/>
    <s v="BPA"/>
    <n v="7000"/>
    <n v="3059"/>
    <x v="1"/>
    <x v="5"/>
    <x v="3"/>
  </r>
  <r>
    <x v="12"/>
    <s v="Transalta Centralia Generation LLC - Bookout Source Other Adjustment"/>
    <n v="714149"/>
    <n v="312083.11299999995"/>
    <x v="1"/>
    <x v="5"/>
    <x v="3"/>
  </r>
  <r>
    <x v="12"/>
    <s v="3 Bar G Wind Turbine #3 LLC"/>
    <n v="153.11099999999999"/>
    <n v="0"/>
    <x v="1"/>
    <x v="4"/>
    <x v="0"/>
  </r>
  <r>
    <x v="12"/>
    <s v="Klondike Wind Power III"/>
    <n v="141582"/>
    <n v="0"/>
    <x v="1"/>
    <x v="4"/>
    <x v="0"/>
  </r>
  <r>
    <x v="12"/>
    <s v="Knudsen Wind Turbine #1"/>
    <n v="138.99100000000001"/>
    <n v="0"/>
    <x v="1"/>
    <x v="4"/>
    <x v="0"/>
  </r>
  <r>
    <x v="12"/>
    <s v="Lund Hill Solar, LLC"/>
    <n v="366671"/>
    <n v="0"/>
    <x v="1"/>
    <x v="7"/>
    <x v="0"/>
  </r>
  <r>
    <x v="12"/>
    <s v="Penstemon Solar"/>
    <n v="1.5449999999999999"/>
    <n v="0"/>
    <x v="1"/>
    <x v="7"/>
    <x v="0"/>
  </r>
  <r>
    <x v="12"/>
    <s v="Sierra Pacific Industries"/>
    <n v="126931.46400000001"/>
    <n v="0"/>
    <x v="1"/>
    <x v="9"/>
    <x v="0"/>
  </r>
  <r>
    <x v="12"/>
    <s v="Skookumchuck Wind PPA"/>
    <n v="414302.24"/>
    <n v="0"/>
    <x v="1"/>
    <x v="4"/>
    <x v="0"/>
  </r>
  <r>
    <x v="12"/>
    <s v="Swauk Wind"/>
    <n v="11785.528"/>
    <n v="0"/>
    <x v="1"/>
    <x v="4"/>
    <x v="0"/>
  </r>
  <r>
    <x v="12"/>
    <s v="Unspecified"/>
    <n v="1123056.8739999998"/>
    <n v="550038.77191587386"/>
    <x v="2"/>
    <x v="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N21:P46" firstHeaderRow="0" firstDataRow="1" firstDataCol="1"/>
  <pivotFields count="7">
    <pivotField axis="axisRow" showAll="0">
      <items count="14">
        <item h="1" x="0"/>
        <item h="1" x="1"/>
        <item h="1" x="2"/>
        <item h="1" x="3"/>
        <item h="1" x="4"/>
        <item h="1" x="5"/>
        <item h="1" x="6"/>
        <item h="1" x="7"/>
        <item h="1" x="8"/>
        <item h="1" x="9"/>
        <item h="1" x="10"/>
        <item x="11"/>
        <item x="12"/>
        <item t="default"/>
      </items>
    </pivotField>
    <pivotField showAll="0"/>
    <pivotField dataField="1" showAll="0"/>
    <pivotField dataField="1" showAll="0"/>
    <pivotField axis="axisRow" showAll="0">
      <items count="5">
        <item x="3"/>
        <item x="1"/>
        <item x="2"/>
        <item x="0"/>
        <item t="default"/>
      </items>
    </pivotField>
    <pivotField showAll="0"/>
    <pivotField axis="axisRow" showAll="0">
      <items count="6">
        <item x="4"/>
        <item x="1"/>
        <item x="2"/>
        <item x="0"/>
        <item x="3"/>
        <item t="default"/>
      </items>
    </pivotField>
  </pivotFields>
  <rowFields count="3">
    <field x="0"/>
    <field x="4"/>
    <field x="6"/>
  </rowFields>
  <rowItems count="25">
    <i>
      <x v="11"/>
    </i>
    <i r="1">
      <x v="1"/>
    </i>
    <i r="2">
      <x v="1"/>
    </i>
    <i r="2">
      <x v="3"/>
    </i>
    <i r="2">
      <x v="4"/>
    </i>
    <i r="1">
      <x v="2"/>
    </i>
    <i r="2">
      <x v="4"/>
    </i>
    <i r="1">
      <x v="3"/>
    </i>
    <i r="2">
      <x v="1"/>
    </i>
    <i r="2">
      <x v="2"/>
    </i>
    <i r="2">
      <x v="3"/>
    </i>
    <i>
      <x v="12"/>
    </i>
    <i r="1">
      <x/>
    </i>
    <i r="2">
      <x/>
    </i>
    <i r="1">
      <x v="1"/>
    </i>
    <i r="2">
      <x v="1"/>
    </i>
    <i r="2">
      <x v="3"/>
    </i>
    <i r="2">
      <x v="4"/>
    </i>
    <i r="1">
      <x v="2"/>
    </i>
    <i r="2">
      <x v="4"/>
    </i>
    <i r="1">
      <x v="3"/>
    </i>
    <i r="2">
      <x v="1"/>
    </i>
    <i r="2">
      <x v="2"/>
    </i>
    <i r="2">
      <x v="3"/>
    </i>
    <i t="grand">
      <x/>
    </i>
  </rowItems>
  <colFields count="1">
    <field x="-2"/>
  </colFields>
  <colItems count="2">
    <i>
      <x/>
    </i>
    <i i="1">
      <x v="1"/>
    </i>
  </colItems>
  <dataFields count="2">
    <dataField name="Sum of WA MWh" fld="2" baseField="0" baseItem="0"/>
    <dataField name="Sum of Tons CO2e" fld="3" baseField="0" baseItem="0"/>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6:M55" firstHeaderRow="1" firstDataRow="2" firstDataCol="1"/>
  <pivotFields count="7">
    <pivotField axis="axisCol" showAll="0">
      <items count="14">
        <item h="1" x="0"/>
        <item h="1" x="1"/>
        <item h="1" x="2"/>
        <item x="3"/>
        <item x="4"/>
        <item x="5"/>
        <item x="6"/>
        <item x="7"/>
        <item x="8"/>
        <item x="9"/>
        <item x="10"/>
        <item x="11"/>
        <item x="12"/>
        <item t="default"/>
      </items>
    </pivotField>
    <pivotField showAll="0"/>
    <pivotField dataField="1" showAll="0"/>
    <pivotField showAll="0"/>
    <pivotField axis="axisRow" showAll="0">
      <items count="5">
        <item x="3"/>
        <item x="1"/>
        <item x="2"/>
        <item x="0"/>
        <item t="default"/>
      </items>
    </pivotField>
    <pivotField axis="axisRow" showAll="0">
      <items count="11">
        <item h="1" x="8"/>
        <item x="6"/>
        <item x="9"/>
        <item x="1"/>
        <item x="3"/>
        <item x="2"/>
        <item x="0"/>
        <item x="7"/>
        <item x="5"/>
        <item x="4"/>
        <item t="default"/>
      </items>
    </pivotField>
    <pivotField showAll="0"/>
  </pivotFields>
  <rowFields count="2">
    <field x="4"/>
    <field x="5"/>
  </rowFields>
  <rowItems count="18">
    <i>
      <x v="1"/>
    </i>
    <i r="1">
      <x v="1"/>
    </i>
    <i r="1">
      <x v="2"/>
    </i>
    <i r="1">
      <x v="3"/>
    </i>
    <i r="1">
      <x v="5"/>
    </i>
    <i r="1">
      <x v="6"/>
    </i>
    <i r="1">
      <x v="7"/>
    </i>
    <i r="1">
      <x v="8"/>
    </i>
    <i r="1">
      <x v="9"/>
    </i>
    <i>
      <x v="2"/>
    </i>
    <i r="1">
      <x v="8"/>
    </i>
    <i>
      <x v="3"/>
    </i>
    <i r="1">
      <x v="3"/>
    </i>
    <i r="1">
      <x v="4"/>
    </i>
    <i r="1">
      <x v="5"/>
    </i>
    <i r="1">
      <x v="6"/>
    </i>
    <i r="1">
      <x v="9"/>
    </i>
    <i t="grand">
      <x/>
    </i>
  </rowItems>
  <colFields count="1">
    <field x="0"/>
  </colFields>
  <colItems count="11">
    <i>
      <x v="3"/>
    </i>
    <i>
      <x v="4"/>
    </i>
    <i>
      <x v="5"/>
    </i>
    <i>
      <x v="6"/>
    </i>
    <i>
      <x v="7"/>
    </i>
    <i>
      <x v="8"/>
    </i>
    <i>
      <x v="9"/>
    </i>
    <i>
      <x v="10"/>
    </i>
    <i>
      <x v="11"/>
    </i>
    <i>
      <x v="12"/>
    </i>
    <i t="grand">
      <x/>
    </i>
  </colItems>
  <dataFields count="1">
    <dataField name="Sum of WA MWh" fld="2" baseField="0" baseItem="0" numFmtId="3"/>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M21" firstHeaderRow="1" firstDataRow="2" firstDataCol="1"/>
  <pivotFields count="7">
    <pivotField axis="axisCol" showAll="0">
      <items count="14">
        <item h="1" x="0"/>
        <item h="1" x="1"/>
        <item h="1" x="2"/>
        <item x="3"/>
        <item x="4"/>
        <item x="5"/>
        <item x="6"/>
        <item x="7"/>
        <item x="8"/>
        <item x="9"/>
        <item x="10"/>
        <item x="11"/>
        <item x="12"/>
        <item t="default"/>
      </items>
    </pivotField>
    <pivotField showAll="0"/>
    <pivotField showAll="0"/>
    <pivotField dataField="1" showAll="0"/>
    <pivotField axis="axisRow" showAll="0">
      <items count="5">
        <item h="1" x="3"/>
        <item x="1"/>
        <item x="2"/>
        <item x="0"/>
        <item t="default"/>
      </items>
    </pivotField>
    <pivotField axis="axisRow" showAll="0">
      <items count="11">
        <item x="8"/>
        <item x="6"/>
        <item x="9"/>
        <item x="1"/>
        <item x="3"/>
        <item x="2"/>
        <item x="0"/>
        <item x="7"/>
        <item x="5"/>
        <item x="4"/>
        <item t="default"/>
      </items>
    </pivotField>
    <pivotField showAll="0"/>
  </pivotFields>
  <rowFields count="2">
    <field x="4"/>
    <field x="5"/>
  </rowFields>
  <rowItems count="18">
    <i>
      <x v="1"/>
    </i>
    <i r="1">
      <x v="1"/>
    </i>
    <i r="1">
      <x v="2"/>
    </i>
    <i r="1">
      <x v="3"/>
    </i>
    <i r="1">
      <x v="5"/>
    </i>
    <i r="1">
      <x v="6"/>
    </i>
    <i r="1">
      <x v="7"/>
    </i>
    <i r="1">
      <x v="8"/>
    </i>
    <i r="1">
      <x v="9"/>
    </i>
    <i>
      <x v="2"/>
    </i>
    <i r="1">
      <x v="8"/>
    </i>
    <i>
      <x v="3"/>
    </i>
    <i r="1">
      <x v="3"/>
    </i>
    <i r="1">
      <x v="4"/>
    </i>
    <i r="1">
      <x v="5"/>
    </i>
    <i r="1">
      <x v="6"/>
    </i>
    <i r="1">
      <x v="9"/>
    </i>
    <i t="grand">
      <x/>
    </i>
  </rowItems>
  <colFields count="1">
    <field x="0"/>
  </colFields>
  <colItems count="11">
    <i>
      <x v="3"/>
    </i>
    <i>
      <x v="4"/>
    </i>
    <i>
      <x v="5"/>
    </i>
    <i>
      <x v="6"/>
    </i>
    <i>
      <x v="7"/>
    </i>
    <i>
      <x v="8"/>
    </i>
    <i>
      <x v="9"/>
    </i>
    <i>
      <x v="10"/>
    </i>
    <i>
      <x v="11"/>
    </i>
    <i>
      <x v="12"/>
    </i>
    <i t="grand">
      <x/>
    </i>
  </colItems>
  <dataFields count="1">
    <dataField name="Sum of Tons CO2e" fld="3" baseField="0" baseItem="0"/>
  </dataFields>
  <formats count="1">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www.commerce.wa.gov/Programs/Energy/Office/Utilities/Pages/FuelMix.asp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commerce.wa.gov/Programs/Energy/Office/Utilities/Pages/FuelMix.aspx"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commerce.wa.gov/Programs/Energy/Office/Utilities/Pages/FuelMix.aspx"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commerce.wa.gov/Programs/Energy/Office/Utilities/Pages/FuelMix.aspx"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commerce.wa.gov/Programs/Energy/Office/Utilities/Pages/FuelMix.aspx"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commerce.wa.gov/Programs/Energy/Office/Utilities/Pages/FuelMix.aspx"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3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commerce.wa.gov/Programs/Energy/Office/Utilities/Pages/FuelMix.aspx" TargetMode="Externa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commerce.wa.gov/Programs/Energy/Office/Utilities/Pages/FuelMix.aspx" TargetMode="Externa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commerce.wa.gov/Programs/Energy/Office/Utilities/Pages/FuelMix.aspx" TargetMode="Externa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hyperlink" Target="http://www.commerce.wa.gov/Programs/Energy/Office/Utilities/Pages/FuelMix.aspx"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K1424"/>
  <sheetViews>
    <sheetView showGridLines="0" tabSelected="1" topLeftCell="C1" workbookViewId="0">
      <selection activeCell="F18" sqref="F18"/>
    </sheetView>
  </sheetViews>
  <sheetFormatPr defaultColWidth="9.85546875" defaultRowHeight="15" x14ac:dyDescent="0.25"/>
  <cols>
    <col min="1" max="1" width="3.7109375" style="131" customWidth="1"/>
    <col min="2" max="2" width="22.42578125" style="131" customWidth="1"/>
    <col min="3" max="6" width="12.7109375" style="136" customWidth="1"/>
    <col min="7" max="7" width="0.85546875" style="136" customWidth="1"/>
    <col min="8" max="8" width="13.140625" style="136" customWidth="1"/>
    <col min="9" max="9" width="16.42578125" style="136" customWidth="1"/>
    <col min="10" max="10" width="17" style="136" customWidth="1"/>
    <col min="11" max="11" width="12.7109375" style="136" customWidth="1"/>
    <col min="12" max="12" width="2.7109375" style="131" customWidth="1"/>
    <col min="13" max="13" width="27.85546875" style="131" customWidth="1"/>
    <col min="14" max="14" width="13.140625" style="131" customWidth="1"/>
    <col min="15" max="15" width="16.42578125" style="131" customWidth="1"/>
    <col min="16" max="17" width="17" style="131" customWidth="1"/>
    <col min="18" max="18" width="9.7109375" style="131" customWidth="1"/>
    <col min="19" max="19" width="0.85546875" style="131" customWidth="1"/>
    <col min="20" max="20" width="11.42578125" style="131" customWidth="1"/>
    <col min="21" max="21" width="6.7109375" style="131" customWidth="1"/>
    <col min="22" max="22" width="11.7109375" style="131" customWidth="1"/>
    <col min="23" max="23" width="6.7109375" style="131" customWidth="1"/>
    <col min="24" max="24" width="9.7109375" style="131" customWidth="1"/>
    <col min="25" max="25" width="2.7109375" style="131" customWidth="1"/>
    <col min="26" max="26" width="27.7109375" style="131" customWidth="1"/>
    <col min="27" max="27" width="11.7109375" style="131" customWidth="1"/>
    <col min="28" max="28" width="7.7109375" style="131" customWidth="1"/>
    <col min="29" max="29" width="11.7109375" style="131" customWidth="1"/>
    <col min="30" max="30" width="7.7109375" style="131" customWidth="1"/>
    <col min="31" max="31" width="11" style="131" customWidth="1"/>
    <col min="32" max="39" width="7.28515625" style="131" customWidth="1"/>
    <col min="40" max="41" width="6.28515625" style="131" customWidth="1"/>
    <col min="42" max="45" width="4.7109375" style="131" customWidth="1"/>
    <col min="46" max="56" width="2" style="131" customWidth="1"/>
    <col min="57" max="91" width="3" style="131" customWidth="1"/>
    <col min="92" max="152" width="4" style="131" customWidth="1"/>
    <col min="153" max="267" width="5.5703125" style="131" customWidth="1"/>
    <col min="268" max="436" width="6.5703125" style="131" customWidth="1"/>
    <col min="437" max="629" width="7.5703125" style="131" customWidth="1"/>
    <col min="630" max="716" width="9.140625" style="131" customWidth="1"/>
    <col min="717" max="717" width="11.28515625" style="131" customWidth="1"/>
    <col min="718" max="737" width="9.140625" style="131" customWidth="1"/>
    <col min="738" max="738" width="9.85546875" style="131"/>
    <col min="739" max="739" width="11.28515625" style="131" bestFit="1" customWidth="1"/>
    <col min="740" max="16384" width="9.85546875" style="131"/>
  </cols>
  <sheetData>
    <row r="1" spans="1:32" x14ac:dyDescent="0.25">
      <c r="B1" s="613">
        <v>2021</v>
      </c>
      <c r="K1" s="139"/>
      <c r="L1" s="134"/>
      <c r="M1" s="297" t="s">
        <v>646</v>
      </c>
      <c r="Z1" s="297" t="s">
        <v>646</v>
      </c>
    </row>
    <row r="2" spans="1:32" x14ac:dyDescent="0.25">
      <c r="B2" s="255" t="s">
        <v>647</v>
      </c>
      <c r="C2" s="253"/>
      <c r="D2" s="253"/>
      <c r="E2" s="253"/>
      <c r="F2" s="253"/>
      <c r="G2" s="253"/>
      <c r="H2" s="253"/>
      <c r="I2" s="253"/>
      <c r="J2" s="253"/>
      <c r="K2" s="254"/>
      <c r="M2" s="230"/>
      <c r="N2" s="257">
        <v>2021</v>
      </c>
      <c r="O2" s="245"/>
      <c r="P2" s="245"/>
      <c r="Q2" s="245"/>
      <c r="R2" s="245"/>
      <c r="S2" s="614"/>
      <c r="T2" s="256">
        <v>2020</v>
      </c>
      <c r="U2" s="245"/>
      <c r="V2" s="245"/>
      <c r="W2" s="245"/>
      <c r="X2" s="246"/>
      <c r="Z2" s="230"/>
      <c r="AA2" s="257" t="s">
        <v>629</v>
      </c>
      <c r="AB2" s="245"/>
      <c r="AC2" s="245"/>
      <c r="AD2" s="245"/>
      <c r="AE2" s="246"/>
    </row>
    <row r="3" spans="1:32" ht="49.5" customHeight="1" x14ac:dyDescent="0.25">
      <c r="B3" s="176" t="s">
        <v>475</v>
      </c>
      <c r="C3" s="218" t="s">
        <v>476</v>
      </c>
      <c r="D3" s="218" t="s">
        <v>490</v>
      </c>
      <c r="E3" s="218" t="s">
        <v>489</v>
      </c>
      <c r="F3" s="218" t="s">
        <v>488</v>
      </c>
      <c r="G3" s="614"/>
      <c r="H3" s="218" t="s">
        <v>526</v>
      </c>
      <c r="I3" s="218" t="s">
        <v>527</v>
      </c>
      <c r="J3" s="218" t="s">
        <v>528</v>
      </c>
      <c r="K3" s="219" t="s">
        <v>529</v>
      </c>
      <c r="M3" s="249"/>
      <c r="N3" s="220" t="s">
        <v>495</v>
      </c>
      <c r="O3" s="219" t="s">
        <v>496</v>
      </c>
      <c r="P3" s="220" t="s">
        <v>530</v>
      </c>
      <c r="Q3" s="219" t="s">
        <v>496</v>
      </c>
      <c r="R3" s="618" t="s">
        <v>497</v>
      </c>
      <c r="S3" s="615"/>
      <c r="T3" s="218" t="s">
        <v>495</v>
      </c>
      <c r="U3" s="219" t="s">
        <v>496</v>
      </c>
      <c r="V3" s="220" t="s">
        <v>530</v>
      </c>
      <c r="W3" s="219" t="s">
        <v>496</v>
      </c>
      <c r="X3" s="219" t="s">
        <v>497</v>
      </c>
      <c r="Z3" s="249"/>
      <c r="AA3" s="220" t="s">
        <v>495</v>
      </c>
      <c r="AB3" s="219" t="s">
        <v>496</v>
      </c>
      <c r="AC3" s="220" t="s">
        <v>530</v>
      </c>
      <c r="AD3" s="219" t="s">
        <v>496</v>
      </c>
      <c r="AE3" s="219" t="s">
        <v>497</v>
      </c>
    </row>
    <row r="4" spans="1:32" x14ac:dyDescent="0.25">
      <c r="B4" s="230" t="s">
        <v>477</v>
      </c>
      <c r="C4" s="171">
        <f>N4</f>
        <v>2576702</v>
      </c>
      <c r="D4" s="232">
        <f>C4/(C4+C5+C6)</f>
        <v>0.19750383379018482</v>
      </c>
      <c r="E4" s="232">
        <f>C4/(C4+C5)</f>
        <v>0.25729112128940407</v>
      </c>
      <c r="F4" s="232">
        <f>C4/$C$11</f>
        <v>0.11739802666588241</v>
      </c>
      <c r="G4" s="615"/>
      <c r="H4" s="171">
        <f>P4</f>
        <v>2508424.2849246645</v>
      </c>
      <c r="I4" s="232">
        <f>H4/(H4+H5+H6)</f>
        <v>0.44168186840863088</v>
      </c>
      <c r="J4" s="232">
        <f>H4/(H4+H5)</f>
        <v>0.44168186840863088</v>
      </c>
      <c r="K4" s="233">
        <f>H4/$H$11</f>
        <v>0.27879835357837046</v>
      </c>
      <c r="M4" s="247" t="s">
        <v>477</v>
      </c>
      <c r="N4" s="221">
        <f>GETPIVOTDATA("Sum of WA MWh",$N$21,"Year",2021,"Type","Own","Group","Coal")</f>
        <v>2576702</v>
      </c>
      <c r="O4" s="233">
        <f t="shared" ref="O4:O9" si="0">N4/$N$15</f>
        <v>0.1152059360326254</v>
      </c>
      <c r="P4" s="221">
        <f>GETPIVOTDATA("Sum of Tons CO2e",$N$21,"Year",2021,"Type","Own","Group","Coal")</f>
        <v>2508424.2849246645</v>
      </c>
      <c r="Q4" s="232">
        <f t="shared" ref="Q4:Q9" si="1">P4/$P$15</f>
        <v>0.27835157376631459</v>
      </c>
      <c r="R4" s="619">
        <f>(P4*2204.623)/N4</f>
        <v>2146.2046726022136</v>
      </c>
      <c r="S4" s="615"/>
      <c r="T4" s="197">
        <f>GETPIVOTDATA("Sum of WA MWh",$N$21,"Year",2020,"Type","Own","Group","Coal")</f>
        <v>2102338</v>
      </c>
      <c r="U4" s="227">
        <f t="shared" ref="U4:U9" si="2">T4/$T$15</f>
        <v>9.5954579187321892E-2</v>
      </c>
      <c r="V4" s="221">
        <f>GETPIVOTDATA("Sum of Tons CO2e",$N$21,"Year",2020,"Type","Own","Group","Coal")</f>
        <v>2089804.868038378</v>
      </c>
      <c r="W4" s="227">
        <f t="shared" ref="W4:W9" si="3">V4/$V$15</f>
        <v>0.23709070241386596</v>
      </c>
      <c r="X4" s="584">
        <f>(V4*2204.623)/T4</f>
        <v>2191.4800938713815</v>
      </c>
      <c r="Y4" s="184"/>
      <c r="Z4" s="247" t="s">
        <v>477</v>
      </c>
      <c r="AA4" s="221">
        <f>N4-T4</f>
        <v>474364</v>
      </c>
      <c r="AB4" s="232">
        <f>AA4/T4</f>
        <v>0.22563641051058392</v>
      </c>
      <c r="AC4" s="197">
        <f>P4-V4</f>
        <v>418619.41688628658</v>
      </c>
      <c r="AD4" s="232">
        <f>AC4/V4</f>
        <v>0.20031507404766888</v>
      </c>
      <c r="AE4" s="600">
        <f>R4-X4</f>
        <v>-45.275421269167964</v>
      </c>
      <c r="AF4" s="134"/>
    </row>
    <row r="5" spans="1:32" x14ac:dyDescent="0.25">
      <c r="A5" s="191"/>
      <c r="B5" s="231" t="s">
        <v>478</v>
      </c>
      <c r="C5" s="170">
        <f>N6</f>
        <v>7438031.4548000023</v>
      </c>
      <c r="D5" s="234">
        <f>C5/(C4+C5+C6)</f>
        <v>0.57012402993244327</v>
      </c>
      <c r="E5" s="234">
        <f>C5/(C4+C5)</f>
        <v>0.74270887871059599</v>
      </c>
      <c r="F5" s="234">
        <f t="shared" ref="F5:F10" si="4">C5/$C$11</f>
        <v>0.33888676885114488</v>
      </c>
      <c r="G5" s="615"/>
      <c r="H5" s="170">
        <f>P6</f>
        <v>3170831.4517041831</v>
      </c>
      <c r="I5" s="234">
        <f>H5/(H4+H5+H6)</f>
        <v>0.55831813159136923</v>
      </c>
      <c r="J5" s="234">
        <f>H5/(H4+H5)</f>
        <v>0.55831813159136923</v>
      </c>
      <c r="K5" s="235">
        <f t="shared" ref="K5:K10" si="5">H5/$H$11</f>
        <v>0.35242147571386251</v>
      </c>
      <c r="M5" s="248" t="s">
        <v>479</v>
      </c>
      <c r="N5" s="222">
        <f>GETPIVOTDATA("Sum of WA MWh",$N$21,"Year",2021,"Type","Firm","Group","Coal")</f>
        <v>2357979</v>
      </c>
      <c r="O5" s="235">
        <f t="shared" si="0"/>
        <v>0.10542669576857315</v>
      </c>
      <c r="P5" s="222">
        <f>GETPIVOTDATA("Sum of Tons CO2e",$N$21,"Year",2021,"Type","Firm","Group","Coal")</f>
        <v>2459357.6459853058</v>
      </c>
      <c r="Q5" s="234">
        <f t="shared" si="1"/>
        <v>0.27290681059356281</v>
      </c>
      <c r="R5" s="620">
        <f t="shared" ref="R5:R13" si="6">(P5*2204.623)/N5</f>
        <v>2299.4082778366824</v>
      </c>
      <c r="S5" s="615"/>
      <c r="T5" s="196">
        <f>GETPIVOTDATA("Sum of WA MWh",$N$21,"Year",2020,"Type","Firm","Group","Coal")</f>
        <v>2500968</v>
      </c>
      <c r="U5" s="228">
        <f t="shared" si="2"/>
        <v>0.11414878673218011</v>
      </c>
      <c r="V5" s="222">
        <f>GETPIVOTDATA("Sum of Tons CO2e",$N$21,"Year",2020,"Type","Firm","Group","Coal")</f>
        <v>2671660.3659544718</v>
      </c>
      <c r="W5" s="228">
        <f t="shared" si="3"/>
        <v>0.30310286020627619</v>
      </c>
      <c r="X5" s="585">
        <f t="shared" ref="X5:X13" si="7">(V5*2204.623)/T5</f>
        <v>2355.0896656701107</v>
      </c>
      <c r="Y5" s="184"/>
      <c r="Z5" s="248" t="s">
        <v>479</v>
      </c>
      <c r="AA5" s="222">
        <f t="shared" ref="AA5:AA13" si="8">N5-T5</f>
        <v>-142989</v>
      </c>
      <c r="AB5" s="234">
        <f t="shared" ref="AB5:AB13" si="9">AA5/T5</f>
        <v>-5.7173462435345032E-2</v>
      </c>
      <c r="AC5" s="196">
        <f t="shared" ref="AC5:AC13" si="10">P5-V5</f>
        <v>-212302.71996916598</v>
      </c>
      <c r="AD5" s="234">
        <f t="shared" ref="AD5:AD13" si="11">AC5/V5</f>
        <v>-7.9464711411144945E-2</v>
      </c>
      <c r="AE5" s="601">
        <f t="shared" ref="AE5:AE13" si="12">R5-X5</f>
        <v>-55.681387833428289</v>
      </c>
      <c r="AF5" s="134"/>
    </row>
    <row r="6" spans="1:32" x14ac:dyDescent="0.25">
      <c r="A6" s="191"/>
      <c r="B6" s="214" t="s">
        <v>486</v>
      </c>
      <c r="C6" s="172">
        <f>N7</f>
        <v>3031605.7</v>
      </c>
      <c r="D6" s="236">
        <f>C6/(C4+C5+C6)</f>
        <v>0.23237213627737199</v>
      </c>
      <c r="E6" s="236"/>
      <c r="F6" s="236">
        <f t="shared" si="4"/>
        <v>0.13812405424028124</v>
      </c>
      <c r="G6" s="615"/>
      <c r="H6" s="172">
        <f>P7</f>
        <v>0</v>
      </c>
      <c r="I6" s="236">
        <f>H6/(H4+H5+H6)</f>
        <v>0</v>
      </c>
      <c r="J6" s="236"/>
      <c r="K6" s="237">
        <f t="shared" si="5"/>
        <v>0</v>
      </c>
      <c r="M6" s="248" t="s">
        <v>478</v>
      </c>
      <c r="N6" s="222">
        <f>GETPIVOTDATA("Sum of WA MWh",$N$21,"Year",2021,"Type","Own","Group","Gas")</f>
        <v>7438031.4548000023</v>
      </c>
      <c r="O6" s="235">
        <f t="shared" si="0"/>
        <v>0.33255897499607817</v>
      </c>
      <c r="P6" s="222">
        <f>GETPIVOTDATA("Sum of Tons CO2e",$N$21,"Year",2021,"Type","Own","Group","Gas")</f>
        <v>3170831.4517041831</v>
      </c>
      <c r="Q6" s="234">
        <f t="shared" si="1"/>
        <v>0.35185671340926861</v>
      </c>
      <c r="R6" s="620">
        <f t="shared" si="6"/>
        <v>939.8303825455381</v>
      </c>
      <c r="S6" s="615"/>
      <c r="T6" s="196">
        <f>GETPIVOTDATA("Sum of WA MWh",$N$21,"Year",2020,"Type","Own","Group","Gas")</f>
        <v>6506751.8615999985</v>
      </c>
      <c r="U6" s="228">
        <f t="shared" si="2"/>
        <v>0.29698014151680235</v>
      </c>
      <c r="V6" s="222">
        <f>GETPIVOTDATA("Sum of Tons CO2e",$N$21,"Year",2020,"Type","Own","Group","Gas")</f>
        <v>2704187.4963006009</v>
      </c>
      <c r="W6" s="228">
        <f t="shared" si="3"/>
        <v>0.30679309956748024</v>
      </c>
      <c r="X6" s="585">
        <f t="shared" si="7"/>
        <v>916.23502439675724</v>
      </c>
      <c r="Y6" s="184"/>
      <c r="Z6" s="248" t="s">
        <v>478</v>
      </c>
      <c r="AA6" s="222">
        <f t="shared" si="8"/>
        <v>931279.59320000373</v>
      </c>
      <c r="AB6" s="234">
        <f t="shared" si="9"/>
        <v>0.14312511265352046</v>
      </c>
      <c r="AC6" s="196">
        <f t="shared" si="10"/>
        <v>466643.95540358219</v>
      </c>
      <c r="AD6" s="234">
        <f t="shared" si="11"/>
        <v>0.17256346168376391</v>
      </c>
      <c r="AE6" s="601">
        <f t="shared" si="12"/>
        <v>23.595358148780861</v>
      </c>
      <c r="AF6" s="134"/>
    </row>
    <row r="7" spans="1:32" x14ac:dyDescent="0.25">
      <c r="A7" s="191"/>
      <c r="B7" s="230" t="s">
        <v>479</v>
      </c>
      <c r="C7" s="319">
        <f>N5</f>
        <v>2357979</v>
      </c>
      <c r="D7" s="238"/>
      <c r="E7" s="238"/>
      <c r="F7" s="232">
        <f t="shared" si="4"/>
        <v>0.10743271108556238</v>
      </c>
      <c r="G7" s="615"/>
      <c r="H7" s="319">
        <f>P5</f>
        <v>2459357.6459853058</v>
      </c>
      <c r="I7" s="238"/>
      <c r="J7" s="238"/>
      <c r="K7" s="233">
        <f t="shared" si="5"/>
        <v>0.2733448510612202</v>
      </c>
      <c r="M7" s="248" t="s">
        <v>491</v>
      </c>
      <c r="N7" s="222">
        <f>GETPIVOTDATA("Sum of WA MWh",$N$21,"Year",2021,"Type","Own","Group","Renew")</f>
        <v>3031605.7</v>
      </c>
      <c r="O7" s="235">
        <f t="shared" si="0"/>
        <v>0.13554496109769099</v>
      </c>
      <c r="P7" s="222">
        <f>GETPIVOTDATA("Sum of Tons CO2e",$N$21,"Year",2021,"Type","Own","Group","Renew")</f>
        <v>0</v>
      </c>
      <c r="Q7" s="234">
        <f t="shared" si="1"/>
        <v>0</v>
      </c>
      <c r="R7" s="620">
        <f t="shared" si="6"/>
        <v>0</v>
      </c>
      <c r="S7" s="615"/>
      <c r="T7" s="196">
        <f>GETPIVOTDATA("Sum of WA MWh",$N$21,"Year",2020,"Type","Own","Group","Renew")</f>
        <v>3195933.1980000003</v>
      </c>
      <c r="U7" s="228">
        <f t="shared" si="2"/>
        <v>0.1458682786140392</v>
      </c>
      <c r="V7" s="222">
        <f>GETPIVOTDATA("Sum of Tons CO2e",$N$21,"Year",2020,"Type","Own","Group","Renew")</f>
        <v>0</v>
      </c>
      <c r="W7" s="228">
        <f t="shared" si="3"/>
        <v>0</v>
      </c>
      <c r="X7" s="585">
        <f t="shared" si="7"/>
        <v>0</v>
      </c>
      <c r="Y7" s="184"/>
      <c r="Z7" s="248" t="s">
        <v>491</v>
      </c>
      <c r="AA7" s="222">
        <f t="shared" si="8"/>
        <v>-164327.49800000014</v>
      </c>
      <c r="AB7" s="234">
        <f t="shared" si="9"/>
        <v>-5.1417688612151062E-2</v>
      </c>
      <c r="AC7" s="196">
        <f t="shared" si="10"/>
        <v>0</v>
      </c>
      <c r="AD7" s="234">
        <v>0</v>
      </c>
      <c r="AE7" s="601">
        <f t="shared" si="12"/>
        <v>0</v>
      </c>
      <c r="AF7" s="134"/>
    </row>
    <row r="8" spans="1:32" x14ac:dyDescent="0.25">
      <c r="A8" s="191"/>
      <c r="B8" s="231" t="s">
        <v>480</v>
      </c>
      <c r="C8" s="320">
        <f>GETPIVOTDATA("Sum of WA MWh",$N$21,"Year",2020,"Type","Firm","Group","Renew")</f>
        <v>4714830.6660000011</v>
      </c>
      <c r="D8" s="239"/>
      <c r="E8" s="239"/>
      <c r="F8" s="234">
        <f t="shared" si="4"/>
        <v>0.21481405930999714</v>
      </c>
      <c r="G8" s="615"/>
      <c r="H8" s="170">
        <f>GETPIVOTDATA("Sum of Tons CO2e",$N$21,"Year",2020,"Type","Firm","Group","Renew")</f>
        <v>0</v>
      </c>
      <c r="I8" s="239"/>
      <c r="J8" s="239"/>
      <c r="K8" s="235">
        <f t="shared" si="5"/>
        <v>0</v>
      </c>
      <c r="M8" s="248" t="s">
        <v>492</v>
      </c>
      <c r="N8" s="222">
        <f>GETPIVOTDATA("Sum of WA MWh",$N$21,"Year",2021,"Type","Firm","Group","Renew")+GETPIVOTDATA("Sum of WA MWh",$N$21,"Year",2021,"Type","Firm","Group","System")</f>
        <v>5838677.3530000001</v>
      </c>
      <c r="O8" s="235">
        <f t="shared" si="0"/>
        <v>0.26105086643502295</v>
      </c>
      <c r="P8" s="222">
        <f>GETPIVOTDATA("Sum of Tons CO2e",$N$21,"Year",2021,"Type","Firm","Group","Renew")+GETPIVOTDATA("Sum of Tons CO2e",$N$21,"Year",2021,"Type","Firm","Group","System")</f>
        <v>323060.08759499993</v>
      </c>
      <c r="Q8" s="234">
        <f t="shared" si="1"/>
        <v>3.5848912938527211E-2</v>
      </c>
      <c r="R8" s="620">
        <f t="shared" si="6"/>
        <v>121.98408242716123</v>
      </c>
      <c r="S8" s="615"/>
      <c r="T8" s="196">
        <f>GETPIVOTDATA("Sum of WA MWh",$N$21,"Year",2020,"Type","Firm","Group","Renew")+GETPIVOTDATA("Sum of WA MWh",$N$21,"Year",2020,"Type","Firm","Group","System")</f>
        <v>5421051.8160000015</v>
      </c>
      <c r="U8" s="228">
        <f t="shared" si="2"/>
        <v>0.24742679138984658</v>
      </c>
      <c r="V8" s="222">
        <f>GETPIVOTDATA("Sum of Tons CO2e",$N$21,"Year",2020,"Type","Firm","Group","Renew")+GETPIVOTDATA("Sum of Tons CO2e",$N$21,"Year",2020,"Type","Firm","Group","System")</f>
        <v>308618.64254999999</v>
      </c>
      <c r="W8" s="228">
        <f t="shared" si="3"/>
        <v>3.5013130584232895E-2</v>
      </c>
      <c r="X8" s="585">
        <f t="shared" si="7"/>
        <v>125.5084401861597</v>
      </c>
      <c r="Y8" s="184"/>
      <c r="Z8" s="248" t="s">
        <v>492</v>
      </c>
      <c r="AA8" s="222">
        <f t="shared" si="8"/>
        <v>417625.53699999861</v>
      </c>
      <c r="AB8" s="234">
        <f t="shared" si="9"/>
        <v>7.7037732007540452E-2</v>
      </c>
      <c r="AC8" s="196">
        <f t="shared" si="10"/>
        <v>14441.445044999942</v>
      </c>
      <c r="AD8" s="234">
        <f t="shared" si="11"/>
        <v>4.6793819471421763E-2</v>
      </c>
      <c r="AE8" s="601">
        <f t="shared" si="12"/>
        <v>-3.5243577589984767</v>
      </c>
      <c r="AF8" s="134"/>
    </row>
    <row r="9" spans="1:32" x14ac:dyDescent="0.25">
      <c r="A9" s="191"/>
      <c r="B9" s="231" t="s">
        <v>487</v>
      </c>
      <c r="C9" s="320">
        <f>GETPIVOTDATA("Sum of WA MWh",$N$21,"Year",2020,"Type","Firm","Group","System")</f>
        <v>706221.15</v>
      </c>
      <c r="D9" s="239"/>
      <c r="E9" s="239"/>
      <c r="F9" s="234">
        <f t="shared" si="4"/>
        <v>3.2176390362451748E-2</v>
      </c>
      <c r="G9" s="615"/>
      <c r="H9" s="170">
        <f>GETPIVOTDATA("Sum of Tons CO2e",$N$21,"Year",2020,"Type","Firm","Group","System")</f>
        <v>308618.64254999999</v>
      </c>
      <c r="I9" s="239"/>
      <c r="J9" s="239"/>
      <c r="K9" s="235">
        <f t="shared" si="5"/>
        <v>3.4301361991923046E-2</v>
      </c>
      <c r="M9" s="248" t="s">
        <v>462</v>
      </c>
      <c r="N9" s="224">
        <f>GETPIVOTDATA("Sum of WA MWh",$N$21,"Year",2021,"Type","Non-Firm","Group","System")</f>
        <v>1123056.8739999998</v>
      </c>
      <c r="O9" s="237">
        <f t="shared" si="0"/>
        <v>5.0212565670009264E-2</v>
      </c>
      <c r="P9" s="224">
        <f>GETPIVOTDATA("Sum of Tons CO2e",$N$21,"Year",2021,"Type","Non-Firm","Group","System")</f>
        <v>550038.77191587386</v>
      </c>
      <c r="Q9" s="236">
        <f t="shared" si="1"/>
        <v>6.1035989292326842E-2</v>
      </c>
      <c r="R9" s="621">
        <f t="shared" si="6"/>
        <v>1079.7566494904777</v>
      </c>
      <c r="S9" s="615"/>
      <c r="T9" s="223">
        <f>GETPIVOTDATA("Sum of WA MWh",$N$21,"Year",2020,"Type","Non-Firm","Group","System")</f>
        <v>2182677.5130000003</v>
      </c>
      <c r="U9" s="229">
        <f t="shared" si="2"/>
        <v>9.9621422559809769E-2</v>
      </c>
      <c r="V9" s="224">
        <f>GETPIVOTDATA("Sum of Tons CO2e",$N$21,"Year",2020,"Type","Non-Firm","Group","System")</f>
        <v>1040097.3339918386</v>
      </c>
      <c r="W9" s="229">
        <f t="shared" si="3"/>
        <v>0.11800020722814479</v>
      </c>
      <c r="X9" s="583">
        <f t="shared" si="7"/>
        <v>1050.5548763387517</v>
      </c>
      <c r="Y9" s="184"/>
      <c r="Z9" s="248" t="s">
        <v>462</v>
      </c>
      <c r="AA9" s="222">
        <f t="shared" si="8"/>
        <v>-1059620.6390000004</v>
      </c>
      <c r="AB9" s="234">
        <f t="shared" si="9"/>
        <v>-0.48546825295487445</v>
      </c>
      <c r="AC9" s="196">
        <f t="shared" si="10"/>
        <v>-490058.56207596476</v>
      </c>
      <c r="AD9" s="234">
        <f t="shared" si="11"/>
        <v>-0.47116605923326993</v>
      </c>
      <c r="AE9" s="601">
        <f t="shared" si="12"/>
        <v>29.201773151726002</v>
      </c>
      <c r="AF9" s="134"/>
    </row>
    <row r="10" spans="1:32" x14ac:dyDescent="0.25">
      <c r="A10" s="191"/>
      <c r="B10" s="214" t="s">
        <v>462</v>
      </c>
      <c r="C10" s="172">
        <f>N9</f>
        <v>1123056.8739999998</v>
      </c>
      <c r="D10" s="240"/>
      <c r="E10" s="240"/>
      <c r="F10" s="236">
        <f t="shared" si="4"/>
        <v>5.1167989484680231E-2</v>
      </c>
      <c r="G10" s="615"/>
      <c r="H10" s="172">
        <f>P9</f>
        <v>550038.77191587386</v>
      </c>
      <c r="I10" s="240"/>
      <c r="J10" s="240"/>
      <c r="K10" s="237">
        <f t="shared" si="5"/>
        <v>6.1133957654623816E-2</v>
      </c>
      <c r="M10" s="247" t="s">
        <v>493</v>
      </c>
      <c r="N10" s="221">
        <f>N4+N5+N6+N7+N8</f>
        <v>21242995.507800002</v>
      </c>
      <c r="O10" s="578"/>
      <c r="P10" s="221">
        <f>P4+P5+P6+P7+P8</f>
        <v>8461673.4702091552</v>
      </c>
      <c r="Q10" s="579"/>
      <c r="R10" s="619">
        <f t="shared" si="6"/>
        <v>878.16240153434342</v>
      </c>
      <c r="S10" s="616"/>
      <c r="T10" s="225">
        <f>T4+T5+T6+T7+T8</f>
        <v>19727042.875600003</v>
      </c>
      <c r="U10" s="251"/>
      <c r="V10" s="226">
        <f>V4+V5+V6+V7+V8</f>
        <v>7774271.3728434509</v>
      </c>
      <c r="W10" s="252"/>
      <c r="X10" s="587">
        <f t="shared" si="7"/>
        <v>868.82446522238581</v>
      </c>
      <c r="Y10" s="184"/>
      <c r="Z10" s="295"/>
      <c r="AA10" s="296"/>
      <c r="AB10" s="299"/>
      <c r="AC10" s="296"/>
      <c r="AD10" s="299"/>
      <c r="AE10" s="602"/>
      <c r="AF10" s="134"/>
    </row>
    <row r="11" spans="1:32" x14ac:dyDescent="0.25">
      <c r="A11" s="191"/>
      <c r="B11" s="176" t="s">
        <v>643</v>
      </c>
      <c r="C11" s="225">
        <f>SUM(C4:C10)</f>
        <v>21948426.844800003</v>
      </c>
      <c r="D11" s="241"/>
      <c r="E11" s="241"/>
      <c r="F11" s="243"/>
      <c r="G11" s="616"/>
      <c r="H11" s="225">
        <f>SUM(H4:H10)</f>
        <v>8997270.7970800269</v>
      </c>
      <c r="I11" s="241"/>
      <c r="J11" s="241"/>
      <c r="K11" s="242"/>
      <c r="M11" s="247" t="s">
        <v>458</v>
      </c>
      <c r="N11" s="221">
        <f>N4+N6+N7</f>
        <v>13046339.154800002</v>
      </c>
      <c r="O11" s="233">
        <f>N11/$N$15</f>
        <v>0.58330987212639451</v>
      </c>
      <c r="P11" s="221">
        <f>P4+P6+P7</f>
        <v>5679255.7366288472</v>
      </c>
      <c r="Q11" s="612">
        <f>P11/$P$15</f>
        <v>0.63020828717558319</v>
      </c>
      <c r="R11" s="619">
        <f t="shared" si="6"/>
        <v>959.70353608715754</v>
      </c>
      <c r="S11" s="616"/>
      <c r="T11" s="197">
        <f>T4+T6+T7</f>
        <v>11805023.059599999</v>
      </c>
      <c r="U11" s="233">
        <f>T11/$T$15</f>
        <v>0.53880299931816344</v>
      </c>
      <c r="V11" s="221">
        <f>V4+V6+V7</f>
        <v>4793992.3643389791</v>
      </c>
      <c r="W11" s="233">
        <f>V11/$V$15</f>
        <v>0.54388380198134623</v>
      </c>
      <c r="X11" s="584">
        <f t="shared" si="7"/>
        <v>895.29226456286233</v>
      </c>
      <c r="Y11" s="184"/>
      <c r="Z11" s="248" t="s">
        <v>458</v>
      </c>
      <c r="AA11" s="222">
        <f t="shared" si="8"/>
        <v>1241316.0952000022</v>
      </c>
      <c r="AB11" s="234">
        <f t="shared" si="9"/>
        <v>0.10515151803880193</v>
      </c>
      <c r="AC11" s="196">
        <f t="shared" si="10"/>
        <v>885263.37228986807</v>
      </c>
      <c r="AD11" s="234">
        <f t="shared" si="11"/>
        <v>0.18466098921539123</v>
      </c>
      <c r="AE11" s="601">
        <f t="shared" si="12"/>
        <v>64.411271524295216</v>
      </c>
      <c r="AF11" s="134"/>
    </row>
    <row r="12" spans="1:32" x14ac:dyDescent="0.25">
      <c r="A12" s="191"/>
      <c r="B12" s="176" t="s">
        <v>482</v>
      </c>
      <c r="C12" s="225">
        <f>SUM(C4:C9)</f>
        <v>20825369.970800001</v>
      </c>
      <c r="D12" s="241"/>
      <c r="E12" s="241"/>
      <c r="F12" s="243"/>
      <c r="G12" s="616"/>
      <c r="H12" s="225">
        <f>SUM(H4:H9)</f>
        <v>8447232.0251641534</v>
      </c>
      <c r="I12" s="241"/>
      <c r="J12" s="241"/>
      <c r="K12" s="242"/>
      <c r="M12" s="248" t="s">
        <v>465</v>
      </c>
      <c r="N12" s="222">
        <f>N5+N8</f>
        <v>8196656.3530000001</v>
      </c>
      <c r="O12" s="610">
        <f>N12/$N$15</f>
        <v>0.36647756220359612</v>
      </c>
      <c r="P12" s="222">
        <f>P5+P8</f>
        <v>2782417.7335803057</v>
      </c>
      <c r="Q12" s="610">
        <f>P12/$P$15</f>
        <v>0.30875572353209002</v>
      </c>
      <c r="R12" s="620">
        <f t="shared" si="6"/>
        <v>748.3761508208022</v>
      </c>
      <c r="S12" s="615"/>
      <c r="T12" s="196">
        <f>T5+T8</f>
        <v>7922019.8160000015</v>
      </c>
      <c r="U12" s="235">
        <f>T12/$T$15</f>
        <v>0.36157557812202668</v>
      </c>
      <c r="V12" s="222">
        <f>V5+V8</f>
        <v>2980279.0085044717</v>
      </c>
      <c r="W12" s="235">
        <f>V12/$V$15</f>
        <v>0.33811599079050908</v>
      </c>
      <c r="X12" s="585">
        <f t="shared" si="7"/>
        <v>829.3833897380589</v>
      </c>
      <c r="Y12" s="184"/>
      <c r="Z12" s="248" t="s">
        <v>465</v>
      </c>
      <c r="AA12" s="222">
        <f t="shared" si="8"/>
        <v>274636.53699999861</v>
      </c>
      <c r="AB12" s="234">
        <f t="shared" si="9"/>
        <v>3.4667489274050882E-2</v>
      </c>
      <c r="AC12" s="196">
        <f t="shared" si="10"/>
        <v>-197861.27492416603</v>
      </c>
      <c r="AD12" s="234">
        <f t="shared" si="11"/>
        <v>-6.6390185066415794E-2</v>
      </c>
      <c r="AE12" s="601">
        <f t="shared" si="12"/>
        <v>-81.0072389172567</v>
      </c>
      <c r="AF12" s="134"/>
    </row>
    <row r="13" spans="1:32" x14ac:dyDescent="0.25">
      <c r="A13" s="191"/>
      <c r="B13" s="231" t="s">
        <v>483</v>
      </c>
      <c r="C13" s="196">
        <f>SUM(C4:C6)</f>
        <v>13046339.154800002</v>
      </c>
      <c r="D13" s="239"/>
      <c r="E13" s="239"/>
      <c r="F13" s="234">
        <f>C13/$C$11</f>
        <v>0.59440884975730846</v>
      </c>
      <c r="G13" s="615"/>
      <c r="H13" s="196">
        <f>SUM(H4:H6)</f>
        <v>5679255.7366288472</v>
      </c>
      <c r="I13" s="239"/>
      <c r="J13" s="239"/>
      <c r="K13" s="235">
        <f>H13/$H$11</f>
        <v>0.63121982929223297</v>
      </c>
      <c r="M13" s="248" t="s">
        <v>462</v>
      </c>
      <c r="N13" s="222">
        <f>N9</f>
        <v>1123056.8739999998</v>
      </c>
      <c r="O13" s="610">
        <f>N13/$N$15</f>
        <v>5.0212565670009264E-2</v>
      </c>
      <c r="P13" s="222">
        <f>P9</f>
        <v>550038.77191587386</v>
      </c>
      <c r="Q13" s="610">
        <f>P13/$P$15</f>
        <v>6.1035989292326842E-2</v>
      </c>
      <c r="R13" s="620">
        <f t="shared" si="6"/>
        <v>1079.7566494904777</v>
      </c>
      <c r="S13" s="615"/>
      <c r="T13" s="196">
        <f>T9</f>
        <v>2182677.5130000003</v>
      </c>
      <c r="U13" s="235">
        <f>T13/$T$15</f>
        <v>9.9621422559809769E-2</v>
      </c>
      <c r="V13" s="222">
        <f>V9</f>
        <v>1040097.3339918386</v>
      </c>
      <c r="W13" s="235">
        <f>V13/$V$15</f>
        <v>0.11800020722814479</v>
      </c>
      <c r="X13" s="585">
        <f t="shared" si="7"/>
        <v>1050.5548763387517</v>
      </c>
      <c r="Y13" s="184"/>
      <c r="Z13" s="248" t="s">
        <v>462</v>
      </c>
      <c r="AA13" s="224">
        <f t="shared" si="8"/>
        <v>-1059620.6390000004</v>
      </c>
      <c r="AB13" s="236">
        <f t="shared" si="9"/>
        <v>-0.48546825295487445</v>
      </c>
      <c r="AC13" s="223">
        <f t="shared" si="10"/>
        <v>-490058.56207596476</v>
      </c>
      <c r="AD13" s="236">
        <f t="shared" si="11"/>
        <v>-0.47116605923326993</v>
      </c>
      <c r="AE13" s="599">
        <f t="shared" si="12"/>
        <v>29.201773151726002</v>
      </c>
      <c r="AF13" s="134"/>
    </row>
    <row r="14" spans="1:32" x14ac:dyDescent="0.25">
      <c r="B14" s="231" t="s">
        <v>484</v>
      </c>
      <c r="C14" s="196">
        <f>SUM(C7:C9)</f>
        <v>7779030.8160000015</v>
      </c>
      <c r="D14" s="239"/>
      <c r="E14" s="239"/>
      <c r="F14" s="234">
        <f t="shared" ref="F14:F15" si="13">C14/$C$11</f>
        <v>0.35442316075801128</v>
      </c>
      <c r="G14" s="615"/>
      <c r="H14" s="196">
        <f>SUM(H7:H9)</f>
        <v>2767976.2885353058</v>
      </c>
      <c r="I14" s="239"/>
      <c r="J14" s="239"/>
      <c r="K14" s="235">
        <f t="shared" ref="K14:K15" si="14">H14/$H$11</f>
        <v>0.30764621305314321</v>
      </c>
      <c r="M14" s="249"/>
      <c r="N14" s="582"/>
      <c r="O14" s="302"/>
      <c r="P14" s="581"/>
      <c r="Q14" s="237"/>
      <c r="R14" s="622"/>
      <c r="S14" s="615"/>
      <c r="T14" s="623"/>
      <c r="U14" s="302"/>
      <c r="V14" s="581"/>
      <c r="W14" s="237"/>
      <c r="X14" s="586"/>
      <c r="Z14" s="176"/>
      <c r="AA14" s="226"/>
      <c r="AB14" s="243"/>
      <c r="AC14" s="225"/>
      <c r="AD14" s="243"/>
      <c r="AE14" s="603"/>
      <c r="AF14" s="134"/>
    </row>
    <row r="15" spans="1:32" x14ac:dyDescent="0.25">
      <c r="B15" s="214" t="s">
        <v>485</v>
      </c>
      <c r="C15" s="223">
        <f>C10</f>
        <v>1123056.8739999998</v>
      </c>
      <c r="D15" s="240"/>
      <c r="E15" s="240"/>
      <c r="F15" s="236">
        <f t="shared" si="13"/>
        <v>5.1167989484680231E-2</v>
      </c>
      <c r="G15" s="617"/>
      <c r="H15" s="223">
        <f>H10</f>
        <v>550038.77191587386</v>
      </c>
      <c r="I15" s="240"/>
      <c r="J15" s="240"/>
      <c r="K15" s="237">
        <f t="shared" si="14"/>
        <v>6.1133957654623816E-2</v>
      </c>
      <c r="M15" s="249" t="s">
        <v>642</v>
      </c>
      <c r="N15" s="224">
        <f>SUM(N11:N13)</f>
        <v>22366052.381800003</v>
      </c>
      <c r="O15" s="580"/>
      <c r="P15" s="224">
        <f>SUM(P11:P14)</f>
        <v>9011712.2421250269</v>
      </c>
      <c r="Q15" s="223"/>
      <c r="R15" s="621">
        <f>(P15*2204.623)/N15</f>
        <v>888.28496594853664</v>
      </c>
      <c r="S15" s="617"/>
      <c r="T15" s="225">
        <f>SUM(T11:T13)</f>
        <v>21909720.388600003</v>
      </c>
      <c r="U15" s="250"/>
      <c r="V15" s="224">
        <f>SUM(V11:V14)</f>
        <v>8814368.7068352886</v>
      </c>
      <c r="W15" s="250"/>
      <c r="X15" s="583">
        <f>(V15*2204.623)/T15</f>
        <v>886.92870730017717</v>
      </c>
      <c r="Y15" s="184"/>
      <c r="Z15" s="244" t="s">
        <v>494</v>
      </c>
      <c r="AA15" s="224">
        <f t="shared" ref="AA15" si="15">N15-T15</f>
        <v>456331.99320000038</v>
      </c>
      <c r="AB15" s="236">
        <f>AA15/T15</f>
        <v>2.0827832811478399E-2</v>
      </c>
      <c r="AC15" s="223">
        <f t="shared" ref="AC15" si="16">P15-V15</f>
        <v>197343.53528973833</v>
      </c>
      <c r="AD15" s="236">
        <f>AC15/V15</f>
        <v>2.2388845061212848E-2</v>
      </c>
      <c r="AE15" s="599">
        <f t="shared" ref="AE15" si="17">R15-X15</f>
        <v>1.3562586483594714</v>
      </c>
      <c r="AF15" s="134"/>
    </row>
    <row r="16" spans="1:32" x14ac:dyDescent="0.25">
      <c r="B16" s="605"/>
      <c r="C16" s="606"/>
      <c r="D16" s="607"/>
      <c r="E16" s="607"/>
      <c r="F16" s="608"/>
      <c r="G16" s="609"/>
      <c r="H16" s="170"/>
      <c r="I16" s="607"/>
      <c r="J16" s="607"/>
      <c r="K16" s="608"/>
      <c r="X16" s="152"/>
      <c r="Y16" s="184"/>
      <c r="AA16" s="152"/>
      <c r="AB16" s="152"/>
      <c r="AC16" s="152"/>
      <c r="AD16" s="152"/>
      <c r="AE16" s="152"/>
    </row>
    <row r="17" spans="1:739" x14ac:dyDescent="0.25">
      <c r="A17" s="191"/>
      <c r="B17" s="307"/>
      <c r="C17" s="372" t="s">
        <v>550</v>
      </c>
      <c r="D17" s="196"/>
      <c r="E17" s="152"/>
      <c r="F17" s="503"/>
      <c r="G17" s="152"/>
      <c r="H17" s="152"/>
      <c r="M17" s="563" t="s">
        <v>631</v>
      </c>
      <c r="N17" s="594">
        <v>2021</v>
      </c>
      <c r="S17" s="591"/>
      <c r="T17" s="594">
        <v>2020</v>
      </c>
      <c r="X17" s="152"/>
      <c r="Y17" s="184"/>
      <c r="AA17" s="152"/>
      <c r="AB17" s="152"/>
      <c r="AC17" s="152"/>
      <c r="AD17" s="152"/>
      <c r="AE17" s="152"/>
    </row>
    <row r="18" spans="1:739" x14ac:dyDescent="0.25">
      <c r="A18" s="191"/>
      <c r="D18" s="139"/>
      <c r="F18" s="341"/>
      <c r="I18"/>
      <c r="K18" s="341"/>
      <c r="N18" s="589" t="s">
        <v>638</v>
      </c>
      <c r="O18" s="590">
        <f>O12+O13</f>
        <v>0.41669012787360538</v>
      </c>
      <c r="P18" s="589" t="s">
        <v>640</v>
      </c>
      <c r="Q18" s="611">
        <f>Q12+Q13</f>
        <v>0.36979171282441686</v>
      </c>
      <c r="T18" s="592" t="s">
        <v>637</v>
      </c>
      <c r="V18" s="593">
        <f>T11+T12</f>
        <v>19727042.875600003</v>
      </c>
    </row>
    <row r="19" spans="1:739" x14ac:dyDescent="0.25">
      <c r="A19" s="191"/>
      <c r="B19" s="563" t="s">
        <v>631</v>
      </c>
      <c r="D19" s="139"/>
      <c r="I19"/>
      <c r="N19" s="592" t="s">
        <v>637</v>
      </c>
      <c r="O19" s="593">
        <f>N11+N12</f>
        <v>21242995.507800002</v>
      </c>
      <c r="P19" s="592" t="s">
        <v>639</v>
      </c>
      <c r="Q19" s="593">
        <f>P11+P12</f>
        <v>8461673.4702091534</v>
      </c>
      <c r="T19" s="592" t="s">
        <v>639</v>
      </c>
      <c r="V19" s="593">
        <f>V11+V12</f>
        <v>7774271.3728434509</v>
      </c>
      <c r="Y19" s="588"/>
    </row>
    <row r="20" spans="1:739" x14ac:dyDescent="0.25">
      <c r="A20" s="191"/>
      <c r="B20" s="596" t="s">
        <v>546</v>
      </c>
      <c r="C20" s="597"/>
      <c r="D20" s="139"/>
      <c r="I20"/>
      <c r="Q20" s="588"/>
      <c r="T20" s="589" t="s">
        <v>641</v>
      </c>
      <c r="V20" s="595">
        <f>1-Q19/V19</f>
        <v>-8.842013153372652E-2</v>
      </c>
      <c r="Y20" s="588"/>
    </row>
    <row r="21" spans="1:739" x14ac:dyDescent="0.25">
      <c r="A21" s="191"/>
      <c r="B21" s="596" t="s">
        <v>477</v>
      </c>
      <c r="C21" s="598">
        <f>C4</f>
        <v>2576702</v>
      </c>
      <c r="D21" s="139"/>
      <c r="I21"/>
      <c r="N21" s="293" t="s">
        <v>468</v>
      </c>
      <c r="O21" t="s">
        <v>474</v>
      </c>
      <c r="P21" t="s">
        <v>553</v>
      </c>
      <c r="Q21"/>
      <c r="V21" s="588"/>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row>
    <row r="22" spans="1:739" x14ac:dyDescent="0.25">
      <c r="A22" s="191"/>
      <c r="B22" s="596" t="s">
        <v>478</v>
      </c>
      <c r="C22" s="598">
        <f>C5</f>
        <v>7438031.4548000023</v>
      </c>
      <c r="D22" s="139"/>
      <c r="N22" s="122">
        <v>2020</v>
      </c>
      <c r="O22" s="96">
        <v>21909720.388599999</v>
      </c>
      <c r="P22" s="96">
        <v>8814368.7068352886</v>
      </c>
      <c r="Q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row>
    <row r="23" spans="1:739" x14ac:dyDescent="0.25">
      <c r="A23" s="191"/>
      <c r="B23" s="596" t="s">
        <v>486</v>
      </c>
      <c r="C23" s="598">
        <f>C6</f>
        <v>3031605.7</v>
      </c>
      <c r="D23" s="139"/>
      <c r="N23" s="294" t="s">
        <v>465</v>
      </c>
      <c r="O23" s="96">
        <v>7922019.8160000015</v>
      </c>
      <c r="P23" s="96">
        <v>2980279.0085044717</v>
      </c>
      <c r="Q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row>
    <row r="24" spans="1:739" x14ac:dyDescent="0.25">
      <c r="A24" s="191"/>
      <c r="B24" s="596"/>
      <c r="C24" s="598">
        <f>SUM(C21:C23)</f>
        <v>13046339.154800002</v>
      </c>
      <c r="N24" s="309" t="s">
        <v>427</v>
      </c>
      <c r="O24" s="96">
        <v>2500968</v>
      </c>
      <c r="P24" s="96">
        <v>2671660.3659544718</v>
      </c>
      <c r="Q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row>
    <row r="25" spans="1:739" x14ac:dyDescent="0.25">
      <c r="A25" s="191"/>
      <c r="N25" s="309" t="s">
        <v>463</v>
      </c>
      <c r="O25" s="96">
        <v>4714830.6660000011</v>
      </c>
      <c r="P25" s="96">
        <v>0</v>
      </c>
      <c r="Q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row>
    <row r="26" spans="1:739" x14ac:dyDescent="0.25">
      <c r="N26" s="309" t="s">
        <v>432</v>
      </c>
      <c r="O26" s="96">
        <v>706221.15</v>
      </c>
      <c r="P26" s="96">
        <v>308618.64254999999</v>
      </c>
      <c r="Q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row>
    <row r="27" spans="1:739" x14ac:dyDescent="0.25">
      <c r="F27" s="562" t="s">
        <v>630</v>
      </c>
      <c r="N27" s="294" t="s">
        <v>473</v>
      </c>
      <c r="O27" s="96">
        <v>2182677.5130000003</v>
      </c>
      <c r="P27" s="96">
        <v>1040097.3339918386</v>
      </c>
      <c r="Q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row>
    <row r="28" spans="1:739" x14ac:dyDescent="0.25">
      <c r="N28" s="309" t="s">
        <v>432</v>
      </c>
      <c r="O28" s="96">
        <v>2182677.5130000003</v>
      </c>
      <c r="P28" s="96">
        <v>1040097.3339918386</v>
      </c>
      <c r="Q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row>
    <row r="29" spans="1:739" x14ac:dyDescent="0.25">
      <c r="N29" s="294" t="s">
        <v>464</v>
      </c>
      <c r="O29" s="96">
        <v>11805023.059599999</v>
      </c>
      <c r="P29" s="96">
        <v>4793992.3643389791</v>
      </c>
      <c r="Q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row>
    <row r="30" spans="1:739" x14ac:dyDescent="0.25">
      <c r="N30" s="309" t="s">
        <v>427</v>
      </c>
      <c r="O30" s="96">
        <v>2102338</v>
      </c>
      <c r="P30" s="96">
        <v>2089804.868038378</v>
      </c>
      <c r="Q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row>
    <row r="31" spans="1:739" x14ac:dyDescent="0.25">
      <c r="N31" s="309" t="s">
        <v>429</v>
      </c>
      <c r="O31" s="96">
        <v>6506751.8615999985</v>
      </c>
      <c r="P31" s="96">
        <v>2704187.4963006009</v>
      </c>
      <c r="Q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row>
    <row r="32" spans="1:739" x14ac:dyDescent="0.25">
      <c r="N32" s="309" t="s">
        <v>463</v>
      </c>
      <c r="O32" s="96">
        <v>3195933.1980000003</v>
      </c>
      <c r="P32" s="96">
        <v>0</v>
      </c>
      <c r="Q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row>
    <row r="33" spans="2:717" x14ac:dyDescent="0.25">
      <c r="N33" s="122">
        <v>2021</v>
      </c>
      <c r="O33" s="96">
        <v>22366052.3818</v>
      </c>
      <c r="P33" s="96">
        <v>9011712.2421250269</v>
      </c>
      <c r="Q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row>
    <row r="34" spans="2:717" x14ac:dyDescent="0.25">
      <c r="B34"/>
      <c r="C34"/>
      <c r="D34"/>
      <c r="N34" s="294">
        <v>0</v>
      </c>
      <c r="O34" s="96">
        <v>0</v>
      </c>
      <c r="P34" s="96">
        <v>0</v>
      </c>
      <c r="Q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row>
    <row r="35" spans="2:717" x14ac:dyDescent="0.25">
      <c r="B35"/>
      <c r="C35"/>
      <c r="D35"/>
      <c r="N35" s="309">
        <v>0</v>
      </c>
      <c r="O35" s="96">
        <v>0</v>
      </c>
      <c r="P35" s="96">
        <v>0</v>
      </c>
      <c r="Q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row>
    <row r="36" spans="2:717" x14ac:dyDescent="0.25">
      <c r="B36"/>
      <c r="C36"/>
      <c r="N36" s="294" t="s">
        <v>465</v>
      </c>
      <c r="O36" s="96">
        <v>8196656.3530000001</v>
      </c>
      <c r="P36" s="96">
        <v>2782417.7335803057</v>
      </c>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row>
    <row r="37" spans="2:717" x14ac:dyDescent="0.25">
      <c r="B37"/>
      <c r="C37"/>
      <c r="N37" s="309" t="s">
        <v>427</v>
      </c>
      <c r="O37" s="96">
        <v>2357979</v>
      </c>
      <c r="P37" s="96">
        <v>2459357.6459853058</v>
      </c>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row>
    <row r="38" spans="2:717" x14ac:dyDescent="0.25">
      <c r="B38"/>
      <c r="C38"/>
      <c r="N38" s="309" t="s">
        <v>463</v>
      </c>
      <c r="O38" s="96">
        <v>5099409.4179999996</v>
      </c>
      <c r="P38" s="96">
        <v>0</v>
      </c>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row>
    <row r="39" spans="2:717" x14ac:dyDescent="0.25">
      <c r="B39"/>
      <c r="C39"/>
      <c r="N39" s="309" t="s">
        <v>432</v>
      </c>
      <c r="O39" s="96">
        <v>739267.93500000006</v>
      </c>
      <c r="P39" s="96">
        <v>323060.08759499993</v>
      </c>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row>
    <row r="40" spans="2:717" x14ac:dyDescent="0.25">
      <c r="B40"/>
      <c r="C40"/>
      <c r="N40" s="294" t="s">
        <v>473</v>
      </c>
      <c r="O40" s="96">
        <v>1123056.8739999998</v>
      </c>
      <c r="P40" s="96">
        <v>550038.77191587386</v>
      </c>
    </row>
    <row r="41" spans="2:717" x14ac:dyDescent="0.25">
      <c r="B41"/>
      <c r="C41"/>
      <c r="N41" s="309" t="s">
        <v>432</v>
      </c>
      <c r="O41" s="96">
        <v>1123056.8739999998</v>
      </c>
      <c r="P41" s="96">
        <v>550038.77191587386</v>
      </c>
    </row>
    <row r="42" spans="2:717" x14ac:dyDescent="0.25">
      <c r="B42"/>
      <c r="C42"/>
      <c r="N42" s="294" t="s">
        <v>464</v>
      </c>
      <c r="O42" s="96">
        <v>13046339.154800002</v>
      </c>
      <c r="P42" s="96">
        <v>5679255.7366288472</v>
      </c>
    </row>
    <row r="43" spans="2:717" x14ac:dyDescent="0.25">
      <c r="B43"/>
      <c r="C43"/>
      <c r="E43"/>
      <c r="F43"/>
      <c r="N43" s="309" t="s">
        <v>427</v>
      </c>
      <c r="O43" s="96">
        <v>2576702</v>
      </c>
      <c r="P43" s="96">
        <v>2508424.2849246645</v>
      </c>
    </row>
    <row r="44" spans="2:717" x14ac:dyDescent="0.25">
      <c r="B44"/>
      <c r="C44"/>
      <c r="E44"/>
      <c r="F44"/>
      <c r="N44" s="309" t="s">
        <v>429</v>
      </c>
      <c r="O44" s="96">
        <v>7438031.4548000023</v>
      </c>
      <c r="P44" s="96">
        <v>3170831.4517041831</v>
      </c>
    </row>
    <row r="45" spans="2:717" x14ac:dyDescent="0.25">
      <c r="B45"/>
      <c r="C45"/>
      <c r="E45"/>
      <c r="F45"/>
      <c r="N45" s="309" t="s">
        <v>463</v>
      </c>
      <c r="O45" s="96">
        <v>3031605.7</v>
      </c>
      <c r="P45" s="96">
        <v>0</v>
      </c>
      <c r="Q45"/>
    </row>
    <row r="46" spans="2:717" x14ac:dyDescent="0.25">
      <c r="B46"/>
      <c r="C46"/>
      <c r="E46"/>
      <c r="F46"/>
      <c r="H46"/>
      <c r="I46"/>
      <c r="J46"/>
      <c r="N46" s="122" t="s">
        <v>467</v>
      </c>
      <c r="O46" s="96">
        <v>44275772.770400003</v>
      </c>
      <c r="P46" s="96">
        <v>17826080.948960315</v>
      </c>
      <c r="Q46"/>
    </row>
    <row r="47" spans="2:717" x14ac:dyDescent="0.25">
      <c r="B47"/>
      <c r="C47"/>
      <c r="E47"/>
      <c r="F47"/>
      <c r="H47"/>
      <c r="I47"/>
      <c r="J47"/>
      <c r="N47"/>
      <c r="O47"/>
      <c r="P47"/>
      <c r="Q47"/>
    </row>
    <row r="48" spans="2:717" x14ac:dyDescent="0.25">
      <c r="B48"/>
      <c r="C48"/>
      <c r="E48"/>
      <c r="F48"/>
      <c r="H48"/>
      <c r="I48"/>
      <c r="J48"/>
      <c r="N48"/>
      <c r="O48"/>
      <c r="P48"/>
      <c r="Q48"/>
    </row>
    <row r="49" spans="2:17" x14ac:dyDescent="0.25">
      <c r="B49"/>
      <c r="C49"/>
      <c r="E49"/>
      <c r="F49"/>
      <c r="H49"/>
      <c r="I49"/>
      <c r="J49"/>
      <c r="N49"/>
      <c r="O49"/>
      <c r="P49"/>
      <c r="Q49"/>
    </row>
    <row r="50" spans="2:17" x14ac:dyDescent="0.25">
      <c r="B50"/>
      <c r="C50"/>
      <c r="E50"/>
      <c r="F50"/>
      <c r="H50"/>
      <c r="I50"/>
      <c r="J50"/>
      <c r="N50"/>
      <c r="O50"/>
      <c r="P50"/>
      <c r="Q50"/>
    </row>
    <row r="51" spans="2:17" x14ac:dyDescent="0.25">
      <c r="B51"/>
      <c r="C51"/>
      <c r="E51"/>
      <c r="F51"/>
      <c r="H51"/>
      <c r="I51"/>
      <c r="J51"/>
      <c r="M51"/>
      <c r="N51"/>
      <c r="O51"/>
      <c r="P51"/>
      <c r="Q51"/>
    </row>
    <row r="52" spans="2:17" x14ac:dyDescent="0.25">
      <c r="B52"/>
      <c r="C52"/>
      <c r="E52"/>
      <c r="F52"/>
      <c r="H52"/>
      <c r="I52"/>
      <c r="J52"/>
      <c r="M52"/>
      <c r="N52"/>
      <c r="O52"/>
      <c r="P52"/>
      <c r="Q52"/>
    </row>
    <row r="53" spans="2:17" x14ac:dyDescent="0.25">
      <c r="B53"/>
      <c r="C53"/>
      <c r="E53"/>
      <c r="F53"/>
      <c r="H53"/>
      <c r="I53"/>
      <c r="J53"/>
      <c r="N53"/>
      <c r="O53"/>
      <c r="P53"/>
      <c r="Q53"/>
    </row>
    <row r="54" spans="2:17" x14ac:dyDescent="0.25">
      <c r="B54"/>
      <c r="C54"/>
      <c r="E54"/>
      <c r="F54"/>
      <c r="H54"/>
      <c r="I54"/>
      <c r="J54"/>
      <c r="N54"/>
      <c r="O54"/>
      <c r="P54"/>
      <c r="Q54"/>
    </row>
    <row r="55" spans="2:17" x14ac:dyDescent="0.25">
      <c r="B55"/>
      <c r="C55"/>
      <c r="E55"/>
      <c r="F55"/>
      <c r="H55"/>
      <c r="I55"/>
      <c r="J55"/>
      <c r="N55"/>
      <c r="O55"/>
      <c r="P55"/>
      <c r="Q55"/>
    </row>
    <row r="56" spans="2:17" x14ac:dyDescent="0.25">
      <c r="B56"/>
      <c r="C56"/>
      <c r="E56"/>
      <c r="F56"/>
      <c r="H56"/>
      <c r="I56"/>
      <c r="J56"/>
      <c r="N56"/>
      <c r="O56"/>
      <c r="P56"/>
      <c r="Q56"/>
    </row>
    <row r="57" spans="2:17" x14ac:dyDescent="0.25">
      <c r="B57"/>
      <c r="C57"/>
      <c r="E57"/>
      <c r="F57"/>
      <c r="H57"/>
      <c r="I57"/>
      <c r="J57"/>
      <c r="N57"/>
      <c r="O57"/>
      <c r="P57"/>
      <c r="Q57"/>
    </row>
    <row r="58" spans="2:17" x14ac:dyDescent="0.25">
      <c r="B58"/>
      <c r="C58"/>
      <c r="E58"/>
      <c r="F58"/>
      <c r="H58"/>
      <c r="I58"/>
      <c r="J58"/>
      <c r="N58"/>
      <c r="O58"/>
      <c r="P58"/>
      <c r="Q58"/>
    </row>
    <row r="59" spans="2:17" x14ac:dyDescent="0.25">
      <c r="B59"/>
      <c r="C59"/>
      <c r="E59"/>
      <c r="F59"/>
      <c r="H59"/>
      <c r="I59"/>
      <c r="J59"/>
      <c r="N59"/>
      <c r="O59"/>
      <c r="P59"/>
      <c r="Q59"/>
    </row>
    <row r="60" spans="2:17" x14ac:dyDescent="0.25">
      <c r="B60"/>
      <c r="C60"/>
      <c r="E60"/>
      <c r="F60"/>
      <c r="H60"/>
      <c r="I60"/>
      <c r="J60"/>
      <c r="N60"/>
      <c r="O60"/>
      <c r="P60"/>
      <c r="Q60"/>
    </row>
    <row r="61" spans="2:17" x14ac:dyDescent="0.25">
      <c r="B61"/>
      <c r="C61"/>
      <c r="E61"/>
      <c r="F61"/>
      <c r="H61"/>
      <c r="I61"/>
      <c r="J61"/>
      <c r="N61"/>
      <c r="O61"/>
      <c r="P61"/>
      <c r="Q61"/>
    </row>
    <row r="62" spans="2:17" x14ac:dyDescent="0.25">
      <c r="B62"/>
      <c r="C62"/>
      <c r="E62"/>
      <c r="F62"/>
      <c r="H62"/>
      <c r="I62"/>
      <c r="J62"/>
      <c r="N62"/>
      <c r="O62"/>
      <c r="P62"/>
      <c r="Q62"/>
    </row>
    <row r="63" spans="2:17" x14ac:dyDescent="0.25">
      <c r="B63"/>
      <c r="C63"/>
      <c r="E63"/>
      <c r="F63"/>
      <c r="H63"/>
      <c r="I63"/>
      <c r="J63"/>
      <c r="N63"/>
      <c r="O63"/>
      <c r="P63"/>
      <c r="Q63"/>
    </row>
    <row r="64" spans="2:17" x14ac:dyDescent="0.25">
      <c r="B64"/>
      <c r="C64"/>
      <c r="E64"/>
      <c r="F64"/>
      <c r="H64"/>
      <c r="I64"/>
      <c r="J64"/>
      <c r="N64"/>
      <c r="O64"/>
      <c r="P64"/>
      <c r="Q64"/>
    </row>
    <row r="65" spans="2:17" x14ac:dyDescent="0.25">
      <c r="B65"/>
      <c r="C65"/>
      <c r="E65"/>
      <c r="F65"/>
      <c r="H65"/>
      <c r="I65"/>
      <c r="J65"/>
      <c r="N65"/>
      <c r="O65"/>
      <c r="P65"/>
      <c r="Q65"/>
    </row>
    <row r="66" spans="2:17" x14ac:dyDescent="0.25">
      <c r="B66"/>
      <c r="C66"/>
      <c r="E66"/>
      <c r="F66"/>
      <c r="H66"/>
      <c r="I66"/>
      <c r="J66"/>
      <c r="N66"/>
      <c r="O66"/>
      <c r="P66"/>
      <c r="Q66"/>
    </row>
    <row r="67" spans="2:17" x14ac:dyDescent="0.25">
      <c r="B67"/>
      <c r="C67"/>
      <c r="E67"/>
      <c r="F67"/>
      <c r="H67"/>
      <c r="I67"/>
      <c r="J67"/>
      <c r="N67"/>
      <c r="O67"/>
      <c r="P67"/>
      <c r="Q67"/>
    </row>
    <row r="68" spans="2:17" x14ac:dyDescent="0.25">
      <c r="B68"/>
      <c r="C68"/>
      <c r="E68"/>
      <c r="F68"/>
      <c r="H68"/>
      <c r="I68"/>
      <c r="J68"/>
      <c r="N68"/>
      <c r="O68"/>
      <c r="P68"/>
      <c r="Q68"/>
    </row>
    <row r="69" spans="2:17" x14ac:dyDescent="0.25">
      <c r="B69"/>
      <c r="C69"/>
      <c r="E69"/>
      <c r="F69"/>
      <c r="H69"/>
      <c r="I69"/>
      <c r="J69"/>
      <c r="N69"/>
      <c r="O69"/>
      <c r="P69"/>
      <c r="Q69"/>
    </row>
    <row r="70" spans="2:17" x14ac:dyDescent="0.25">
      <c r="B70"/>
      <c r="C70"/>
      <c r="E70"/>
      <c r="F70"/>
      <c r="H70"/>
      <c r="I70"/>
      <c r="J70"/>
      <c r="N70"/>
      <c r="O70"/>
      <c r="P70"/>
      <c r="Q70"/>
    </row>
    <row r="71" spans="2:17" x14ac:dyDescent="0.25">
      <c r="B71"/>
      <c r="C71"/>
      <c r="E71"/>
      <c r="F71"/>
      <c r="H71"/>
      <c r="I71"/>
      <c r="J71"/>
      <c r="N71"/>
      <c r="O71"/>
      <c r="P71"/>
      <c r="Q71"/>
    </row>
    <row r="72" spans="2:17" x14ac:dyDescent="0.25">
      <c r="B72"/>
      <c r="C72"/>
      <c r="E72"/>
      <c r="F72"/>
      <c r="H72"/>
      <c r="I72"/>
      <c r="J72"/>
      <c r="N72"/>
      <c r="O72"/>
      <c r="P72"/>
      <c r="Q72"/>
    </row>
    <row r="73" spans="2:17" x14ac:dyDescent="0.25">
      <c r="B73"/>
      <c r="C73"/>
      <c r="E73"/>
      <c r="F73"/>
      <c r="H73"/>
      <c r="I73"/>
      <c r="J73"/>
      <c r="N73"/>
      <c r="O73"/>
      <c r="P73"/>
      <c r="Q73"/>
    </row>
    <row r="74" spans="2:17" x14ac:dyDescent="0.25">
      <c r="B74"/>
      <c r="C74"/>
      <c r="E74"/>
      <c r="F74"/>
      <c r="H74"/>
      <c r="I74"/>
      <c r="J74"/>
      <c r="N74"/>
      <c r="O74"/>
      <c r="P74"/>
      <c r="Q74"/>
    </row>
    <row r="75" spans="2:17" x14ac:dyDescent="0.25">
      <c r="B75"/>
      <c r="C75"/>
      <c r="E75"/>
      <c r="F75"/>
      <c r="H75"/>
      <c r="I75"/>
      <c r="J75"/>
      <c r="N75"/>
      <c r="O75"/>
      <c r="P75"/>
      <c r="Q75"/>
    </row>
    <row r="76" spans="2:17" x14ac:dyDescent="0.25">
      <c r="B76"/>
      <c r="C76"/>
      <c r="E76"/>
      <c r="F76"/>
      <c r="H76"/>
      <c r="I76"/>
      <c r="J76"/>
      <c r="N76"/>
      <c r="O76"/>
      <c r="P76"/>
      <c r="Q76"/>
    </row>
    <row r="77" spans="2:17" x14ac:dyDescent="0.25">
      <c r="B77"/>
      <c r="C77"/>
      <c r="E77"/>
      <c r="F77"/>
      <c r="H77"/>
      <c r="I77"/>
      <c r="J77"/>
      <c r="N77"/>
      <c r="O77"/>
      <c r="P77"/>
      <c r="Q77"/>
    </row>
    <row r="78" spans="2:17" x14ac:dyDescent="0.25">
      <c r="B78"/>
      <c r="C78"/>
      <c r="E78"/>
      <c r="F78"/>
      <c r="H78"/>
      <c r="I78"/>
      <c r="J78"/>
      <c r="N78"/>
      <c r="O78"/>
      <c r="P78"/>
      <c r="Q78"/>
    </row>
    <row r="79" spans="2:17" x14ac:dyDescent="0.25">
      <c r="B79"/>
      <c r="C79"/>
      <c r="E79"/>
      <c r="F79"/>
      <c r="H79"/>
      <c r="I79"/>
      <c r="J79"/>
      <c r="N79"/>
      <c r="O79"/>
      <c r="P79"/>
      <c r="Q79"/>
    </row>
    <row r="80" spans="2:17" x14ac:dyDescent="0.25">
      <c r="B80"/>
      <c r="C80"/>
      <c r="E80"/>
      <c r="F80"/>
      <c r="H80"/>
      <c r="I80"/>
      <c r="J80"/>
      <c r="N80"/>
      <c r="O80"/>
      <c r="P80"/>
      <c r="Q80"/>
    </row>
    <row r="81" spans="2:17" x14ac:dyDescent="0.25">
      <c r="B81"/>
      <c r="C81"/>
      <c r="E81"/>
      <c r="F81"/>
      <c r="H81"/>
      <c r="I81"/>
      <c r="J81"/>
      <c r="N81"/>
      <c r="O81"/>
      <c r="P81"/>
      <c r="Q81"/>
    </row>
    <row r="82" spans="2:17" x14ac:dyDescent="0.25">
      <c r="B82"/>
      <c r="C82"/>
      <c r="E82"/>
      <c r="F82"/>
      <c r="H82"/>
      <c r="I82"/>
      <c r="J82"/>
      <c r="N82"/>
      <c r="O82"/>
      <c r="P82"/>
      <c r="Q82"/>
    </row>
    <row r="83" spans="2:17" x14ac:dyDescent="0.25">
      <c r="E83"/>
      <c r="F83"/>
      <c r="H83"/>
      <c r="I83"/>
      <c r="J83"/>
      <c r="N83"/>
      <c r="O83"/>
      <c r="P83"/>
      <c r="Q83"/>
    </row>
    <row r="84" spans="2:17" x14ac:dyDescent="0.25">
      <c r="H84"/>
      <c r="I84"/>
      <c r="J84"/>
      <c r="N84"/>
      <c r="O84"/>
      <c r="P84"/>
      <c r="Q84"/>
    </row>
    <row r="85" spans="2:17" x14ac:dyDescent="0.25">
      <c r="H85"/>
      <c r="I85"/>
      <c r="J85"/>
      <c r="N85"/>
      <c r="O85"/>
      <c r="P85"/>
      <c r="Q85"/>
    </row>
    <row r="86" spans="2:17" x14ac:dyDescent="0.25">
      <c r="H86"/>
      <c r="I86"/>
      <c r="J86"/>
      <c r="N86"/>
      <c r="O86"/>
      <c r="P86"/>
      <c r="Q86"/>
    </row>
    <row r="87" spans="2:17" x14ac:dyDescent="0.25">
      <c r="H87"/>
      <c r="I87"/>
      <c r="J87"/>
      <c r="N87"/>
      <c r="O87"/>
      <c r="P87"/>
      <c r="Q87"/>
    </row>
    <row r="88" spans="2:17" x14ac:dyDescent="0.25">
      <c r="H88"/>
      <c r="I88"/>
      <c r="J88"/>
      <c r="N88"/>
      <c r="O88"/>
      <c r="P88"/>
      <c r="Q88"/>
    </row>
    <row r="89" spans="2:17" x14ac:dyDescent="0.25">
      <c r="H89"/>
      <c r="I89"/>
      <c r="J89"/>
      <c r="N89"/>
      <c r="O89"/>
      <c r="P89"/>
      <c r="Q89"/>
    </row>
    <row r="90" spans="2:17" x14ac:dyDescent="0.25">
      <c r="H90"/>
      <c r="I90"/>
      <c r="J90"/>
      <c r="N90"/>
      <c r="O90"/>
      <c r="P90"/>
      <c r="Q90"/>
    </row>
    <row r="91" spans="2:17" x14ac:dyDescent="0.25">
      <c r="H91"/>
      <c r="I91"/>
      <c r="J91"/>
      <c r="N91"/>
      <c r="O91"/>
      <c r="P91"/>
      <c r="Q91"/>
    </row>
    <row r="92" spans="2:17" x14ac:dyDescent="0.25">
      <c r="H92"/>
      <c r="I92"/>
      <c r="J92"/>
      <c r="N92"/>
      <c r="O92"/>
      <c r="P92"/>
      <c r="Q92"/>
    </row>
    <row r="93" spans="2:17" x14ac:dyDescent="0.25">
      <c r="H93"/>
      <c r="I93"/>
      <c r="J93"/>
      <c r="N93"/>
      <c r="O93"/>
      <c r="P93"/>
      <c r="Q93"/>
    </row>
    <row r="94" spans="2:17" x14ac:dyDescent="0.25">
      <c r="H94"/>
      <c r="I94"/>
      <c r="J94"/>
      <c r="N94"/>
      <c r="O94"/>
      <c r="P94"/>
      <c r="Q94"/>
    </row>
    <row r="95" spans="2:17" x14ac:dyDescent="0.25">
      <c r="H95"/>
      <c r="I95"/>
      <c r="J95"/>
      <c r="N95"/>
      <c r="O95"/>
      <c r="P95"/>
      <c r="Q95"/>
    </row>
    <row r="96" spans="2:17" x14ac:dyDescent="0.25">
      <c r="H96"/>
      <c r="I96"/>
      <c r="J96"/>
      <c r="N96"/>
      <c r="O96"/>
      <c r="P96"/>
      <c r="Q96"/>
    </row>
    <row r="97" spans="8:17" x14ac:dyDescent="0.25">
      <c r="H97"/>
      <c r="I97"/>
      <c r="J97"/>
      <c r="N97"/>
      <c r="O97"/>
      <c r="P97"/>
      <c r="Q97"/>
    </row>
    <row r="98" spans="8:17" x14ac:dyDescent="0.25">
      <c r="H98"/>
      <c r="I98"/>
      <c r="J98"/>
      <c r="N98"/>
      <c r="O98"/>
      <c r="P98"/>
      <c r="Q98"/>
    </row>
    <row r="99" spans="8:17" x14ac:dyDescent="0.25">
      <c r="H99"/>
      <c r="I99"/>
      <c r="J99"/>
      <c r="N99"/>
      <c r="O99"/>
      <c r="P99"/>
      <c r="Q99"/>
    </row>
    <row r="100" spans="8:17" x14ac:dyDescent="0.25">
      <c r="H100"/>
      <c r="I100"/>
      <c r="J100"/>
      <c r="N100"/>
      <c r="O100"/>
      <c r="P100"/>
      <c r="Q100"/>
    </row>
    <row r="101" spans="8:17" x14ac:dyDescent="0.25">
      <c r="H101"/>
      <c r="I101"/>
      <c r="J101"/>
      <c r="N101"/>
      <c r="O101"/>
      <c r="P101"/>
      <c r="Q101"/>
    </row>
    <row r="102" spans="8:17" x14ac:dyDescent="0.25">
      <c r="H102"/>
      <c r="I102"/>
      <c r="J102"/>
      <c r="N102"/>
      <c r="O102"/>
      <c r="P102"/>
      <c r="Q102"/>
    </row>
    <row r="103" spans="8:17" x14ac:dyDescent="0.25">
      <c r="H103"/>
      <c r="I103"/>
      <c r="J103"/>
      <c r="N103"/>
      <c r="O103"/>
      <c r="P103"/>
      <c r="Q103"/>
    </row>
    <row r="104" spans="8:17" x14ac:dyDescent="0.25">
      <c r="H104"/>
      <c r="I104"/>
      <c r="J104"/>
      <c r="N104"/>
      <c r="O104"/>
      <c r="P104"/>
      <c r="Q104"/>
    </row>
    <row r="105" spans="8:17" x14ac:dyDescent="0.25">
      <c r="H105"/>
      <c r="I105"/>
      <c r="J105"/>
      <c r="N105"/>
      <c r="O105"/>
      <c r="P105"/>
      <c r="Q105"/>
    </row>
    <row r="106" spans="8:17" x14ac:dyDescent="0.25">
      <c r="H106"/>
      <c r="I106"/>
      <c r="J106"/>
      <c r="N106"/>
      <c r="O106"/>
      <c r="P106"/>
      <c r="Q106"/>
    </row>
    <row r="107" spans="8:17" x14ac:dyDescent="0.25">
      <c r="H107"/>
      <c r="I107"/>
      <c r="J107"/>
      <c r="N107"/>
      <c r="O107"/>
      <c r="P107"/>
      <c r="Q107"/>
    </row>
    <row r="108" spans="8:17" x14ac:dyDescent="0.25">
      <c r="H108"/>
      <c r="I108"/>
      <c r="J108"/>
      <c r="N108"/>
      <c r="O108"/>
      <c r="P108"/>
      <c r="Q108"/>
    </row>
    <row r="109" spans="8:17" x14ac:dyDescent="0.25">
      <c r="H109"/>
      <c r="I109"/>
      <c r="J109"/>
      <c r="N109"/>
      <c r="O109"/>
      <c r="P109"/>
      <c r="Q109"/>
    </row>
    <row r="110" spans="8:17" x14ac:dyDescent="0.25">
      <c r="H110"/>
      <c r="I110"/>
      <c r="J110"/>
      <c r="N110"/>
      <c r="O110"/>
      <c r="P110"/>
      <c r="Q110"/>
    </row>
    <row r="111" spans="8:17" x14ac:dyDescent="0.25">
      <c r="H111"/>
      <c r="I111"/>
      <c r="J111"/>
      <c r="N111"/>
      <c r="O111"/>
      <c r="P111"/>
      <c r="Q111"/>
    </row>
    <row r="112" spans="8:17" x14ac:dyDescent="0.25">
      <c r="H112"/>
      <c r="I112"/>
      <c r="J112"/>
      <c r="N112"/>
      <c r="O112"/>
      <c r="P112"/>
      <c r="Q112"/>
    </row>
    <row r="113" spans="8:17" x14ac:dyDescent="0.25">
      <c r="H113"/>
      <c r="I113"/>
      <c r="J113"/>
      <c r="N113"/>
      <c r="O113"/>
      <c r="P113"/>
      <c r="Q113"/>
    </row>
    <row r="114" spans="8:17" x14ac:dyDescent="0.25">
      <c r="H114"/>
      <c r="I114"/>
      <c r="J114"/>
      <c r="N114"/>
      <c r="O114"/>
      <c r="P114"/>
      <c r="Q114"/>
    </row>
    <row r="115" spans="8:17" x14ac:dyDescent="0.25">
      <c r="H115"/>
      <c r="I115"/>
      <c r="J115"/>
      <c r="N115"/>
      <c r="O115"/>
      <c r="P115"/>
      <c r="Q115"/>
    </row>
    <row r="116" spans="8:17" x14ac:dyDescent="0.25">
      <c r="H116"/>
      <c r="I116"/>
      <c r="J116"/>
      <c r="N116"/>
      <c r="O116"/>
      <c r="P116"/>
      <c r="Q116"/>
    </row>
    <row r="117" spans="8:17" x14ac:dyDescent="0.25">
      <c r="H117"/>
      <c r="I117"/>
      <c r="J117"/>
      <c r="N117"/>
      <c r="O117"/>
      <c r="P117"/>
      <c r="Q117"/>
    </row>
    <row r="118" spans="8:17" x14ac:dyDescent="0.25">
      <c r="H118"/>
      <c r="I118"/>
      <c r="J118"/>
      <c r="N118"/>
      <c r="O118"/>
      <c r="P118"/>
      <c r="Q118"/>
    </row>
    <row r="119" spans="8:17" x14ac:dyDescent="0.25">
      <c r="H119"/>
      <c r="I119"/>
      <c r="J119"/>
      <c r="N119"/>
      <c r="O119"/>
      <c r="P119"/>
      <c r="Q119"/>
    </row>
    <row r="120" spans="8:17" x14ac:dyDescent="0.25">
      <c r="H120"/>
      <c r="I120"/>
      <c r="J120"/>
      <c r="N120"/>
      <c r="O120"/>
      <c r="P120"/>
      <c r="Q120"/>
    </row>
    <row r="121" spans="8:17" x14ac:dyDescent="0.25">
      <c r="H121"/>
      <c r="I121"/>
      <c r="J121"/>
      <c r="N121"/>
      <c r="O121"/>
      <c r="P121"/>
      <c r="Q121"/>
    </row>
    <row r="122" spans="8:17" x14ac:dyDescent="0.25">
      <c r="H122"/>
      <c r="I122"/>
      <c r="J122"/>
      <c r="N122"/>
      <c r="O122"/>
      <c r="P122"/>
      <c r="Q122"/>
    </row>
    <row r="123" spans="8:17" x14ac:dyDescent="0.25">
      <c r="H123"/>
      <c r="I123"/>
      <c r="J123"/>
      <c r="N123"/>
      <c r="O123"/>
      <c r="P123"/>
      <c r="Q123"/>
    </row>
    <row r="124" spans="8:17" x14ac:dyDescent="0.25">
      <c r="H124"/>
      <c r="I124"/>
      <c r="J124"/>
      <c r="N124"/>
      <c r="O124"/>
      <c r="P124"/>
      <c r="Q124"/>
    </row>
    <row r="125" spans="8:17" x14ac:dyDescent="0.25">
      <c r="H125"/>
      <c r="I125"/>
      <c r="J125"/>
      <c r="N125"/>
      <c r="O125"/>
      <c r="P125"/>
      <c r="Q125"/>
    </row>
    <row r="126" spans="8:17" x14ac:dyDescent="0.25">
      <c r="H126"/>
      <c r="I126"/>
      <c r="J126"/>
      <c r="N126"/>
      <c r="O126"/>
      <c r="P126"/>
      <c r="Q126"/>
    </row>
    <row r="127" spans="8:17" x14ac:dyDescent="0.25">
      <c r="H127"/>
      <c r="I127"/>
      <c r="J127"/>
      <c r="N127"/>
      <c r="O127"/>
      <c r="P127"/>
      <c r="Q127"/>
    </row>
    <row r="128" spans="8:17" x14ac:dyDescent="0.25">
      <c r="H128"/>
      <c r="I128"/>
      <c r="J128"/>
      <c r="N128"/>
      <c r="O128"/>
      <c r="P128"/>
      <c r="Q128"/>
    </row>
    <row r="129" spans="8:17" x14ac:dyDescent="0.25">
      <c r="H129"/>
      <c r="I129"/>
      <c r="J129"/>
      <c r="N129"/>
      <c r="O129"/>
      <c r="P129"/>
      <c r="Q129"/>
    </row>
    <row r="130" spans="8:17" x14ac:dyDescent="0.25">
      <c r="H130"/>
      <c r="I130"/>
      <c r="J130"/>
      <c r="N130"/>
      <c r="O130"/>
      <c r="P130"/>
      <c r="Q130"/>
    </row>
    <row r="131" spans="8:17" x14ac:dyDescent="0.25">
      <c r="H131"/>
      <c r="I131"/>
      <c r="J131"/>
      <c r="N131"/>
      <c r="O131"/>
      <c r="P131"/>
      <c r="Q131"/>
    </row>
    <row r="132" spans="8:17" x14ac:dyDescent="0.25">
      <c r="H132"/>
      <c r="I132"/>
      <c r="J132"/>
      <c r="N132"/>
      <c r="O132"/>
      <c r="P132"/>
      <c r="Q132"/>
    </row>
    <row r="133" spans="8:17" x14ac:dyDescent="0.25">
      <c r="H133"/>
      <c r="I133"/>
      <c r="J133"/>
      <c r="N133"/>
      <c r="O133"/>
      <c r="P133"/>
      <c r="Q133"/>
    </row>
    <row r="134" spans="8:17" x14ac:dyDescent="0.25">
      <c r="H134"/>
      <c r="I134"/>
      <c r="J134"/>
      <c r="N134"/>
      <c r="O134"/>
      <c r="P134"/>
      <c r="Q134"/>
    </row>
    <row r="135" spans="8:17" x14ac:dyDescent="0.25">
      <c r="H135"/>
      <c r="I135"/>
      <c r="J135"/>
      <c r="N135"/>
      <c r="O135"/>
      <c r="P135"/>
      <c r="Q135"/>
    </row>
    <row r="136" spans="8:17" x14ac:dyDescent="0.25">
      <c r="H136"/>
      <c r="I136"/>
      <c r="J136"/>
      <c r="N136"/>
      <c r="O136"/>
      <c r="P136"/>
      <c r="Q136"/>
    </row>
    <row r="137" spans="8:17" x14ac:dyDescent="0.25">
      <c r="H137"/>
      <c r="I137"/>
      <c r="J137"/>
      <c r="N137"/>
      <c r="O137"/>
      <c r="P137"/>
      <c r="Q137"/>
    </row>
    <row r="138" spans="8:17" x14ac:dyDescent="0.25">
      <c r="H138"/>
      <c r="I138"/>
      <c r="J138"/>
      <c r="N138"/>
      <c r="O138"/>
      <c r="P138"/>
      <c r="Q138"/>
    </row>
    <row r="139" spans="8:17" x14ac:dyDescent="0.25">
      <c r="H139"/>
      <c r="I139"/>
      <c r="J139"/>
      <c r="N139"/>
      <c r="O139"/>
      <c r="P139"/>
      <c r="Q139"/>
    </row>
    <row r="140" spans="8:17" x14ac:dyDescent="0.25">
      <c r="H140"/>
      <c r="I140"/>
      <c r="J140"/>
      <c r="N140"/>
      <c r="O140"/>
      <c r="P140"/>
      <c r="Q140"/>
    </row>
    <row r="141" spans="8:17" x14ac:dyDescent="0.25">
      <c r="H141"/>
      <c r="I141"/>
      <c r="J141"/>
      <c r="N141"/>
      <c r="O141"/>
      <c r="P141"/>
      <c r="Q141"/>
    </row>
    <row r="142" spans="8:17" x14ac:dyDescent="0.25">
      <c r="H142"/>
      <c r="I142"/>
      <c r="J142"/>
      <c r="N142"/>
      <c r="O142"/>
      <c r="P142"/>
      <c r="Q142"/>
    </row>
    <row r="143" spans="8:17" x14ac:dyDescent="0.25">
      <c r="H143"/>
      <c r="I143"/>
      <c r="J143"/>
      <c r="N143"/>
      <c r="O143"/>
      <c r="P143"/>
      <c r="Q143"/>
    </row>
    <row r="144" spans="8:17" x14ac:dyDescent="0.25">
      <c r="H144"/>
      <c r="I144"/>
      <c r="J144"/>
      <c r="N144"/>
      <c r="O144"/>
      <c r="P144"/>
      <c r="Q144"/>
    </row>
    <row r="145" spans="8:17" x14ac:dyDescent="0.25">
      <c r="H145"/>
      <c r="I145"/>
      <c r="J145"/>
      <c r="N145"/>
      <c r="O145"/>
      <c r="P145"/>
      <c r="Q145"/>
    </row>
    <row r="146" spans="8:17" x14ac:dyDescent="0.25">
      <c r="H146"/>
      <c r="I146"/>
      <c r="J146"/>
      <c r="N146"/>
      <c r="O146"/>
      <c r="P146"/>
      <c r="Q146"/>
    </row>
    <row r="147" spans="8:17" x14ac:dyDescent="0.25">
      <c r="H147"/>
      <c r="I147"/>
      <c r="J147"/>
      <c r="N147"/>
      <c r="O147"/>
      <c r="P147"/>
      <c r="Q147"/>
    </row>
    <row r="148" spans="8:17" x14ac:dyDescent="0.25">
      <c r="H148"/>
      <c r="I148"/>
      <c r="J148"/>
      <c r="N148"/>
      <c r="O148"/>
      <c r="P148"/>
      <c r="Q148"/>
    </row>
    <row r="149" spans="8:17" x14ac:dyDescent="0.25">
      <c r="H149"/>
      <c r="I149"/>
      <c r="J149"/>
      <c r="N149"/>
      <c r="O149"/>
      <c r="P149"/>
      <c r="Q149"/>
    </row>
    <row r="150" spans="8:17" x14ac:dyDescent="0.25">
      <c r="H150"/>
      <c r="I150"/>
      <c r="J150"/>
      <c r="N150"/>
      <c r="O150"/>
      <c r="P150"/>
      <c r="Q150"/>
    </row>
    <row r="151" spans="8:17" x14ac:dyDescent="0.25">
      <c r="H151"/>
      <c r="I151"/>
      <c r="J151"/>
      <c r="N151"/>
      <c r="O151"/>
      <c r="P151"/>
      <c r="Q151"/>
    </row>
    <row r="152" spans="8:17" x14ac:dyDescent="0.25">
      <c r="H152"/>
      <c r="I152"/>
      <c r="J152"/>
      <c r="N152"/>
      <c r="O152"/>
      <c r="P152"/>
      <c r="Q152"/>
    </row>
    <row r="153" spans="8:17" x14ac:dyDescent="0.25">
      <c r="H153"/>
      <c r="I153"/>
      <c r="J153"/>
      <c r="N153"/>
      <c r="O153"/>
      <c r="P153"/>
      <c r="Q153"/>
    </row>
    <row r="154" spans="8:17" x14ac:dyDescent="0.25">
      <c r="H154"/>
      <c r="I154"/>
      <c r="J154"/>
      <c r="N154"/>
      <c r="O154"/>
      <c r="P154"/>
      <c r="Q154"/>
    </row>
    <row r="155" spans="8:17" x14ac:dyDescent="0.25">
      <c r="H155"/>
      <c r="I155"/>
      <c r="J155"/>
      <c r="N155"/>
      <c r="O155"/>
      <c r="P155"/>
      <c r="Q155"/>
    </row>
    <row r="156" spans="8:17" x14ac:dyDescent="0.25">
      <c r="H156"/>
      <c r="I156"/>
      <c r="J156"/>
      <c r="N156"/>
      <c r="O156"/>
      <c r="P156"/>
      <c r="Q156"/>
    </row>
    <row r="157" spans="8:17" x14ac:dyDescent="0.25">
      <c r="H157"/>
      <c r="I157"/>
      <c r="J157"/>
      <c r="N157"/>
      <c r="O157"/>
      <c r="P157"/>
      <c r="Q157"/>
    </row>
    <row r="158" spans="8:17" x14ac:dyDescent="0.25">
      <c r="H158"/>
      <c r="I158"/>
      <c r="J158"/>
      <c r="N158"/>
      <c r="O158"/>
      <c r="P158"/>
      <c r="Q158"/>
    </row>
    <row r="159" spans="8:17" x14ac:dyDescent="0.25">
      <c r="H159"/>
      <c r="I159"/>
      <c r="J159"/>
      <c r="N159"/>
      <c r="O159"/>
      <c r="P159"/>
      <c r="Q159"/>
    </row>
    <row r="160" spans="8:17" x14ac:dyDescent="0.25">
      <c r="H160"/>
      <c r="I160"/>
      <c r="J160"/>
      <c r="N160"/>
      <c r="O160"/>
      <c r="P160"/>
      <c r="Q160"/>
    </row>
    <row r="161" spans="8:17" x14ac:dyDescent="0.25">
      <c r="H161"/>
      <c r="I161"/>
      <c r="J161"/>
      <c r="N161"/>
      <c r="O161"/>
      <c r="P161"/>
      <c r="Q161"/>
    </row>
    <row r="162" spans="8:17" x14ac:dyDescent="0.25">
      <c r="H162"/>
      <c r="I162"/>
      <c r="J162"/>
      <c r="N162"/>
      <c r="O162"/>
      <c r="P162"/>
      <c r="Q162"/>
    </row>
    <row r="163" spans="8:17" x14ac:dyDescent="0.25">
      <c r="H163"/>
      <c r="I163"/>
      <c r="J163"/>
      <c r="N163"/>
      <c r="O163"/>
      <c r="P163"/>
      <c r="Q163"/>
    </row>
    <row r="164" spans="8:17" x14ac:dyDescent="0.25">
      <c r="H164"/>
      <c r="I164"/>
      <c r="J164"/>
      <c r="N164"/>
      <c r="O164"/>
      <c r="P164"/>
      <c r="Q164"/>
    </row>
    <row r="165" spans="8:17" x14ac:dyDescent="0.25">
      <c r="H165"/>
      <c r="I165"/>
      <c r="J165"/>
      <c r="N165"/>
      <c r="O165"/>
      <c r="P165"/>
      <c r="Q165"/>
    </row>
    <row r="166" spans="8:17" x14ac:dyDescent="0.25">
      <c r="H166"/>
      <c r="I166"/>
      <c r="J166"/>
      <c r="N166"/>
      <c r="O166"/>
      <c r="P166"/>
      <c r="Q166"/>
    </row>
    <row r="167" spans="8:17" x14ac:dyDescent="0.25">
      <c r="H167"/>
      <c r="I167"/>
      <c r="J167"/>
      <c r="N167"/>
      <c r="O167"/>
      <c r="P167"/>
      <c r="Q167"/>
    </row>
    <row r="168" spans="8:17" x14ac:dyDescent="0.25">
      <c r="H168"/>
      <c r="I168"/>
      <c r="J168"/>
      <c r="N168"/>
      <c r="O168"/>
      <c r="P168"/>
      <c r="Q168"/>
    </row>
    <row r="169" spans="8:17" x14ac:dyDescent="0.25">
      <c r="H169"/>
      <c r="I169"/>
      <c r="J169"/>
      <c r="N169"/>
      <c r="O169"/>
      <c r="P169"/>
      <c r="Q169"/>
    </row>
    <row r="170" spans="8:17" x14ac:dyDescent="0.25">
      <c r="H170"/>
      <c r="I170"/>
      <c r="J170"/>
      <c r="N170"/>
      <c r="O170"/>
      <c r="P170"/>
      <c r="Q170"/>
    </row>
    <row r="171" spans="8:17" x14ac:dyDescent="0.25">
      <c r="H171"/>
      <c r="I171"/>
      <c r="J171"/>
      <c r="N171"/>
      <c r="O171"/>
      <c r="P171"/>
      <c r="Q171"/>
    </row>
    <row r="172" spans="8:17" x14ac:dyDescent="0.25">
      <c r="H172"/>
      <c r="I172"/>
      <c r="J172"/>
      <c r="N172"/>
      <c r="O172"/>
      <c r="P172"/>
      <c r="Q172"/>
    </row>
    <row r="173" spans="8:17" x14ac:dyDescent="0.25">
      <c r="H173"/>
      <c r="I173"/>
      <c r="J173"/>
      <c r="Q173"/>
    </row>
    <row r="174" spans="8:17" x14ac:dyDescent="0.25">
      <c r="H174"/>
      <c r="I174"/>
      <c r="J174"/>
      <c r="Q174"/>
    </row>
    <row r="175" spans="8:17" x14ac:dyDescent="0.25">
      <c r="H175"/>
      <c r="I175"/>
      <c r="J175"/>
      <c r="Q175"/>
    </row>
    <row r="176" spans="8:17" x14ac:dyDescent="0.25">
      <c r="H176"/>
      <c r="I176"/>
      <c r="J176"/>
      <c r="Q176"/>
    </row>
    <row r="177" spans="8:17" x14ac:dyDescent="0.25">
      <c r="H177"/>
      <c r="I177"/>
      <c r="J177"/>
      <c r="Q177"/>
    </row>
    <row r="178" spans="8:17" x14ac:dyDescent="0.25">
      <c r="H178"/>
      <c r="I178"/>
      <c r="J178"/>
      <c r="Q178"/>
    </row>
    <row r="179" spans="8:17" x14ac:dyDescent="0.25">
      <c r="H179"/>
      <c r="I179"/>
      <c r="J179"/>
      <c r="Q179"/>
    </row>
    <row r="180" spans="8:17" x14ac:dyDescent="0.25">
      <c r="H180"/>
      <c r="I180"/>
      <c r="J180"/>
      <c r="Q180"/>
    </row>
    <row r="181" spans="8:17" x14ac:dyDescent="0.25">
      <c r="H181"/>
      <c r="I181"/>
      <c r="J181"/>
      <c r="Q181"/>
    </row>
    <row r="182" spans="8:17" x14ac:dyDescent="0.25">
      <c r="H182"/>
      <c r="I182"/>
      <c r="J182"/>
      <c r="Q182"/>
    </row>
    <row r="183" spans="8:17" x14ac:dyDescent="0.25">
      <c r="H183"/>
      <c r="I183"/>
      <c r="J183"/>
      <c r="Q183"/>
    </row>
    <row r="184" spans="8:17" x14ac:dyDescent="0.25">
      <c r="H184"/>
      <c r="I184"/>
      <c r="J184"/>
      <c r="Q184"/>
    </row>
    <row r="185" spans="8:17" x14ac:dyDescent="0.25">
      <c r="H185"/>
      <c r="I185"/>
      <c r="J185"/>
      <c r="Q185"/>
    </row>
    <row r="186" spans="8:17" x14ac:dyDescent="0.25">
      <c r="H186"/>
      <c r="I186"/>
      <c r="J186"/>
      <c r="Q186"/>
    </row>
    <row r="187" spans="8:17" x14ac:dyDescent="0.25">
      <c r="H187"/>
      <c r="I187"/>
      <c r="J187"/>
      <c r="Q187"/>
    </row>
    <row r="188" spans="8:17" x14ac:dyDescent="0.25">
      <c r="H188"/>
      <c r="I188"/>
      <c r="J188"/>
      <c r="Q188"/>
    </row>
    <row r="189" spans="8:17" x14ac:dyDescent="0.25">
      <c r="H189"/>
      <c r="I189"/>
      <c r="J189"/>
      <c r="Q189"/>
    </row>
    <row r="190" spans="8:17" x14ac:dyDescent="0.25">
      <c r="H190"/>
      <c r="I190"/>
      <c r="J190"/>
      <c r="Q190"/>
    </row>
    <row r="191" spans="8:17" x14ac:dyDescent="0.25">
      <c r="H191"/>
      <c r="I191"/>
      <c r="J191"/>
      <c r="Q191"/>
    </row>
    <row r="192" spans="8:17" x14ac:dyDescent="0.25">
      <c r="H192"/>
      <c r="I192"/>
      <c r="J192"/>
      <c r="Q192"/>
    </row>
    <row r="193" spans="8:17" x14ac:dyDescent="0.25">
      <c r="H193"/>
      <c r="I193"/>
      <c r="J193"/>
      <c r="Q193"/>
    </row>
    <row r="194" spans="8:17" x14ac:dyDescent="0.25">
      <c r="H194"/>
      <c r="I194"/>
      <c r="J194"/>
      <c r="Q194"/>
    </row>
    <row r="195" spans="8:17" x14ac:dyDescent="0.25">
      <c r="H195"/>
      <c r="I195"/>
      <c r="J195"/>
      <c r="Q195"/>
    </row>
    <row r="196" spans="8:17" x14ac:dyDescent="0.25">
      <c r="H196"/>
      <c r="I196"/>
      <c r="J196"/>
      <c r="Q196"/>
    </row>
    <row r="197" spans="8:17" x14ac:dyDescent="0.25">
      <c r="H197"/>
      <c r="I197"/>
      <c r="J197"/>
      <c r="Q197"/>
    </row>
    <row r="198" spans="8:17" x14ac:dyDescent="0.25">
      <c r="H198"/>
      <c r="I198"/>
      <c r="J198"/>
      <c r="Q198"/>
    </row>
    <row r="199" spans="8:17" x14ac:dyDescent="0.25">
      <c r="H199"/>
      <c r="I199"/>
      <c r="J199"/>
      <c r="Q199"/>
    </row>
    <row r="200" spans="8:17" x14ac:dyDescent="0.25">
      <c r="H200"/>
      <c r="I200"/>
      <c r="J200"/>
      <c r="Q200"/>
    </row>
    <row r="201" spans="8:17" x14ac:dyDescent="0.25">
      <c r="H201"/>
      <c r="I201"/>
      <c r="J201"/>
      <c r="Q201"/>
    </row>
    <row r="202" spans="8:17" x14ac:dyDescent="0.25">
      <c r="H202"/>
      <c r="I202"/>
      <c r="J202"/>
      <c r="Q202"/>
    </row>
    <row r="203" spans="8:17" x14ac:dyDescent="0.25">
      <c r="H203"/>
      <c r="I203"/>
      <c r="J203"/>
      <c r="Q203"/>
    </row>
    <row r="204" spans="8:17" x14ac:dyDescent="0.25">
      <c r="H204"/>
      <c r="I204"/>
      <c r="J204"/>
      <c r="Q204"/>
    </row>
    <row r="205" spans="8:17" x14ac:dyDescent="0.25">
      <c r="H205"/>
      <c r="I205"/>
      <c r="J205"/>
      <c r="Q205"/>
    </row>
    <row r="206" spans="8:17" x14ac:dyDescent="0.25">
      <c r="H206"/>
      <c r="I206"/>
      <c r="J206"/>
      <c r="Q206"/>
    </row>
    <row r="207" spans="8:17" x14ac:dyDescent="0.25">
      <c r="H207"/>
      <c r="I207"/>
      <c r="J207"/>
      <c r="Q207"/>
    </row>
    <row r="208" spans="8:17" x14ac:dyDescent="0.25">
      <c r="H208"/>
      <c r="I208"/>
      <c r="J208"/>
      <c r="Q208"/>
    </row>
    <row r="209" spans="8:17" x14ac:dyDescent="0.25">
      <c r="H209"/>
      <c r="I209"/>
      <c r="J209"/>
      <c r="Q209"/>
    </row>
    <row r="210" spans="8:17" x14ac:dyDescent="0.25">
      <c r="H210"/>
      <c r="I210"/>
      <c r="J210"/>
      <c r="Q210"/>
    </row>
    <row r="211" spans="8:17" x14ac:dyDescent="0.25">
      <c r="H211"/>
      <c r="I211"/>
      <c r="J211"/>
      <c r="Q211"/>
    </row>
    <row r="212" spans="8:17" x14ac:dyDescent="0.25">
      <c r="H212"/>
      <c r="I212"/>
      <c r="J212"/>
      <c r="Q212"/>
    </row>
    <row r="213" spans="8:17" x14ac:dyDescent="0.25">
      <c r="H213"/>
      <c r="I213"/>
      <c r="J213"/>
      <c r="Q213"/>
    </row>
    <row r="214" spans="8:17" x14ac:dyDescent="0.25">
      <c r="H214"/>
      <c r="I214"/>
      <c r="J214"/>
      <c r="Q214"/>
    </row>
    <row r="215" spans="8:17" x14ac:dyDescent="0.25">
      <c r="H215"/>
      <c r="I215"/>
      <c r="J215"/>
      <c r="Q215"/>
    </row>
    <row r="216" spans="8:17" x14ac:dyDescent="0.25">
      <c r="H216"/>
      <c r="I216"/>
      <c r="J216"/>
      <c r="Q216"/>
    </row>
    <row r="217" spans="8:17" x14ac:dyDescent="0.25">
      <c r="H217"/>
      <c r="I217"/>
      <c r="J217"/>
      <c r="Q217"/>
    </row>
    <row r="218" spans="8:17" x14ac:dyDescent="0.25">
      <c r="H218"/>
      <c r="I218"/>
      <c r="J218"/>
      <c r="Q218"/>
    </row>
    <row r="219" spans="8:17" x14ac:dyDescent="0.25">
      <c r="H219"/>
      <c r="I219"/>
      <c r="J219"/>
      <c r="Q219"/>
    </row>
    <row r="220" spans="8:17" x14ac:dyDescent="0.25">
      <c r="H220"/>
      <c r="I220"/>
      <c r="J220"/>
      <c r="Q220"/>
    </row>
    <row r="221" spans="8:17" x14ac:dyDescent="0.25">
      <c r="H221"/>
      <c r="I221"/>
      <c r="J221"/>
      <c r="Q221"/>
    </row>
    <row r="222" spans="8:17" x14ac:dyDescent="0.25">
      <c r="H222"/>
      <c r="I222"/>
      <c r="J222"/>
      <c r="Q222"/>
    </row>
    <row r="223" spans="8:17" x14ac:dyDescent="0.25">
      <c r="H223"/>
      <c r="I223"/>
      <c r="J223"/>
      <c r="Q223"/>
    </row>
    <row r="224" spans="8:17" x14ac:dyDescent="0.25">
      <c r="H224"/>
      <c r="I224"/>
      <c r="J224"/>
      <c r="Q224"/>
    </row>
    <row r="225" spans="8:17" x14ac:dyDescent="0.25">
      <c r="H225"/>
      <c r="I225"/>
      <c r="J225"/>
      <c r="Q225"/>
    </row>
    <row r="226" spans="8:17" x14ac:dyDescent="0.25">
      <c r="H226"/>
      <c r="I226"/>
      <c r="J226"/>
      <c r="Q226"/>
    </row>
    <row r="227" spans="8:17" x14ac:dyDescent="0.25">
      <c r="H227"/>
      <c r="I227"/>
      <c r="J227"/>
      <c r="Q227"/>
    </row>
    <row r="228" spans="8:17" x14ac:dyDescent="0.25">
      <c r="H228"/>
      <c r="I228"/>
      <c r="J228"/>
      <c r="Q228"/>
    </row>
    <row r="229" spans="8:17" x14ac:dyDescent="0.25">
      <c r="H229"/>
      <c r="I229"/>
      <c r="J229"/>
      <c r="Q229"/>
    </row>
    <row r="230" spans="8:17" x14ac:dyDescent="0.25">
      <c r="H230"/>
      <c r="I230"/>
      <c r="J230"/>
      <c r="Q230"/>
    </row>
    <row r="231" spans="8:17" x14ac:dyDescent="0.25">
      <c r="H231"/>
      <c r="I231"/>
      <c r="J231"/>
      <c r="Q231"/>
    </row>
    <row r="232" spans="8:17" x14ac:dyDescent="0.25">
      <c r="H232"/>
      <c r="I232"/>
      <c r="J232"/>
      <c r="Q232"/>
    </row>
    <row r="233" spans="8:17" x14ac:dyDescent="0.25">
      <c r="H233"/>
      <c r="I233"/>
      <c r="J233"/>
      <c r="Q233"/>
    </row>
    <row r="234" spans="8:17" x14ac:dyDescent="0.25">
      <c r="H234"/>
      <c r="I234"/>
      <c r="J234"/>
      <c r="Q234"/>
    </row>
    <row r="235" spans="8:17" x14ac:dyDescent="0.25">
      <c r="H235"/>
      <c r="I235"/>
      <c r="J235"/>
      <c r="Q235"/>
    </row>
    <row r="236" spans="8:17" x14ac:dyDescent="0.25">
      <c r="H236"/>
      <c r="I236"/>
      <c r="J236"/>
      <c r="Q236"/>
    </row>
    <row r="237" spans="8:17" x14ac:dyDescent="0.25">
      <c r="H237"/>
      <c r="I237"/>
      <c r="J237"/>
      <c r="Q237"/>
    </row>
    <row r="238" spans="8:17" x14ac:dyDescent="0.25">
      <c r="H238"/>
      <c r="I238"/>
      <c r="J238"/>
      <c r="Q238"/>
    </row>
    <row r="239" spans="8:17" x14ac:dyDescent="0.25">
      <c r="H239"/>
      <c r="I239"/>
      <c r="J239"/>
      <c r="Q239"/>
    </row>
    <row r="240" spans="8:17" x14ac:dyDescent="0.25">
      <c r="H240"/>
      <c r="I240"/>
      <c r="J240"/>
      <c r="Q240"/>
    </row>
    <row r="241" spans="8:17" x14ac:dyDescent="0.25">
      <c r="H241"/>
      <c r="I241"/>
      <c r="J241"/>
      <c r="Q241"/>
    </row>
    <row r="242" spans="8:17" x14ac:dyDescent="0.25">
      <c r="H242"/>
      <c r="I242"/>
      <c r="J242"/>
      <c r="Q242"/>
    </row>
    <row r="243" spans="8:17" x14ac:dyDescent="0.25">
      <c r="H243"/>
      <c r="I243"/>
      <c r="J243"/>
      <c r="Q243"/>
    </row>
    <row r="244" spans="8:17" x14ac:dyDescent="0.25">
      <c r="H244"/>
      <c r="I244"/>
      <c r="J244"/>
      <c r="Q244"/>
    </row>
    <row r="245" spans="8:17" x14ac:dyDescent="0.25">
      <c r="H245"/>
      <c r="I245"/>
      <c r="J245"/>
      <c r="Q245"/>
    </row>
    <row r="246" spans="8:17" x14ac:dyDescent="0.25">
      <c r="H246"/>
      <c r="I246"/>
      <c r="J246"/>
      <c r="Q246"/>
    </row>
    <row r="247" spans="8:17" x14ac:dyDescent="0.25">
      <c r="H247"/>
      <c r="I247"/>
      <c r="J247"/>
      <c r="Q247"/>
    </row>
    <row r="248" spans="8:17" x14ac:dyDescent="0.25">
      <c r="H248"/>
      <c r="I248"/>
      <c r="J248"/>
      <c r="Q248"/>
    </row>
    <row r="249" spans="8:17" x14ac:dyDescent="0.25">
      <c r="H249"/>
      <c r="I249"/>
      <c r="J249"/>
      <c r="Q249"/>
    </row>
    <row r="250" spans="8:17" x14ac:dyDescent="0.25">
      <c r="H250"/>
      <c r="I250"/>
      <c r="J250"/>
      <c r="Q250"/>
    </row>
    <row r="251" spans="8:17" x14ac:dyDescent="0.25">
      <c r="H251"/>
      <c r="I251"/>
      <c r="J251"/>
      <c r="Q251"/>
    </row>
    <row r="252" spans="8:17" x14ac:dyDescent="0.25">
      <c r="H252"/>
      <c r="I252"/>
      <c r="J252"/>
      <c r="Q252"/>
    </row>
    <row r="253" spans="8:17" x14ac:dyDescent="0.25">
      <c r="H253"/>
      <c r="I253"/>
      <c r="J253"/>
      <c r="Q253"/>
    </row>
    <row r="254" spans="8:17" x14ac:dyDescent="0.25">
      <c r="H254"/>
      <c r="I254"/>
      <c r="J254"/>
      <c r="Q254"/>
    </row>
    <row r="255" spans="8:17" x14ac:dyDescent="0.25">
      <c r="H255"/>
      <c r="I255"/>
      <c r="J255"/>
      <c r="Q255"/>
    </row>
    <row r="256" spans="8:17" x14ac:dyDescent="0.25">
      <c r="H256"/>
      <c r="I256"/>
      <c r="J256"/>
      <c r="Q256"/>
    </row>
    <row r="257" spans="8:17" x14ac:dyDescent="0.25">
      <c r="H257"/>
      <c r="I257"/>
      <c r="J257"/>
      <c r="Q257"/>
    </row>
    <row r="258" spans="8:17" x14ac:dyDescent="0.25">
      <c r="H258"/>
      <c r="I258"/>
      <c r="J258"/>
      <c r="Q258"/>
    </row>
    <row r="259" spans="8:17" x14ac:dyDescent="0.25">
      <c r="H259"/>
      <c r="I259"/>
      <c r="J259"/>
      <c r="Q259"/>
    </row>
    <row r="260" spans="8:17" x14ac:dyDescent="0.25">
      <c r="H260"/>
      <c r="I260"/>
      <c r="J260"/>
      <c r="Q260"/>
    </row>
    <row r="261" spans="8:17" x14ac:dyDescent="0.25">
      <c r="H261"/>
      <c r="I261"/>
      <c r="J261"/>
      <c r="Q261"/>
    </row>
    <row r="262" spans="8:17" x14ac:dyDescent="0.25">
      <c r="H262"/>
      <c r="I262"/>
      <c r="J262"/>
      <c r="Q262"/>
    </row>
    <row r="263" spans="8:17" x14ac:dyDescent="0.25">
      <c r="H263"/>
      <c r="I263"/>
      <c r="J263"/>
      <c r="Q263"/>
    </row>
    <row r="264" spans="8:17" x14ac:dyDescent="0.25">
      <c r="H264"/>
      <c r="I264"/>
      <c r="J264"/>
      <c r="Q264"/>
    </row>
    <row r="265" spans="8:17" x14ac:dyDescent="0.25">
      <c r="H265"/>
      <c r="I265"/>
      <c r="J265"/>
      <c r="Q265"/>
    </row>
    <row r="266" spans="8:17" x14ac:dyDescent="0.25">
      <c r="H266"/>
      <c r="I266"/>
      <c r="J266"/>
      <c r="Q266"/>
    </row>
    <row r="267" spans="8:17" x14ac:dyDescent="0.25">
      <c r="H267"/>
      <c r="I267"/>
      <c r="J267"/>
      <c r="Q267"/>
    </row>
    <row r="268" spans="8:17" x14ac:dyDescent="0.25">
      <c r="H268"/>
      <c r="I268"/>
      <c r="J268"/>
      <c r="Q268"/>
    </row>
    <row r="269" spans="8:17" x14ac:dyDescent="0.25">
      <c r="H269"/>
      <c r="I269"/>
      <c r="J269"/>
      <c r="Q269"/>
    </row>
    <row r="270" spans="8:17" x14ac:dyDescent="0.25">
      <c r="H270"/>
      <c r="I270"/>
      <c r="J270"/>
      <c r="Q270"/>
    </row>
    <row r="271" spans="8:17" x14ac:dyDescent="0.25">
      <c r="H271"/>
      <c r="I271"/>
      <c r="J271"/>
      <c r="Q271"/>
    </row>
    <row r="272" spans="8:17" x14ac:dyDescent="0.25">
      <c r="H272"/>
      <c r="I272"/>
      <c r="J272"/>
      <c r="Q272"/>
    </row>
    <row r="273" spans="8:17" x14ac:dyDescent="0.25">
      <c r="H273"/>
      <c r="I273"/>
      <c r="J273"/>
      <c r="Q273"/>
    </row>
    <row r="274" spans="8:17" x14ac:dyDescent="0.25">
      <c r="H274"/>
      <c r="I274"/>
      <c r="J274"/>
      <c r="Q274"/>
    </row>
    <row r="275" spans="8:17" x14ac:dyDescent="0.25">
      <c r="H275"/>
      <c r="I275"/>
      <c r="J275"/>
      <c r="Q275"/>
    </row>
    <row r="276" spans="8:17" x14ac:dyDescent="0.25">
      <c r="H276"/>
      <c r="I276"/>
      <c r="J276"/>
      <c r="Q276"/>
    </row>
    <row r="277" spans="8:17" x14ac:dyDescent="0.25">
      <c r="H277"/>
      <c r="I277"/>
      <c r="J277"/>
      <c r="Q277"/>
    </row>
    <row r="278" spans="8:17" x14ac:dyDescent="0.25">
      <c r="H278"/>
      <c r="I278"/>
      <c r="J278"/>
      <c r="Q278"/>
    </row>
    <row r="279" spans="8:17" x14ac:dyDescent="0.25">
      <c r="H279"/>
      <c r="I279"/>
      <c r="J279"/>
      <c r="Q279"/>
    </row>
    <row r="280" spans="8:17" x14ac:dyDescent="0.25">
      <c r="H280"/>
      <c r="I280"/>
      <c r="J280"/>
      <c r="Q280"/>
    </row>
    <row r="281" spans="8:17" x14ac:dyDescent="0.25">
      <c r="H281"/>
      <c r="I281"/>
      <c r="J281"/>
      <c r="Q281"/>
    </row>
    <row r="282" spans="8:17" x14ac:dyDescent="0.25">
      <c r="H282"/>
      <c r="I282"/>
      <c r="J282"/>
      <c r="Q282"/>
    </row>
    <row r="283" spans="8:17" x14ac:dyDescent="0.25">
      <c r="H283"/>
      <c r="I283"/>
      <c r="J283"/>
      <c r="Q283"/>
    </row>
    <row r="284" spans="8:17" x14ac:dyDescent="0.25">
      <c r="H284"/>
      <c r="I284"/>
      <c r="J284"/>
      <c r="Q284"/>
    </row>
    <row r="285" spans="8:17" x14ac:dyDescent="0.25">
      <c r="H285"/>
      <c r="I285"/>
      <c r="J285"/>
      <c r="Q285"/>
    </row>
    <row r="286" spans="8:17" x14ac:dyDescent="0.25">
      <c r="H286"/>
      <c r="I286"/>
      <c r="J286"/>
      <c r="Q286"/>
    </row>
    <row r="287" spans="8:17" x14ac:dyDescent="0.25">
      <c r="H287"/>
      <c r="I287"/>
      <c r="J287"/>
      <c r="Q287"/>
    </row>
    <row r="288" spans="8:17" x14ac:dyDescent="0.25">
      <c r="H288"/>
      <c r="I288"/>
      <c r="J288"/>
      <c r="Q288"/>
    </row>
    <row r="289" spans="8:17" x14ac:dyDescent="0.25">
      <c r="H289"/>
      <c r="I289"/>
      <c r="J289"/>
      <c r="Q289"/>
    </row>
    <row r="290" spans="8:17" x14ac:dyDescent="0.25">
      <c r="H290"/>
      <c r="I290"/>
      <c r="J290"/>
      <c r="Q290"/>
    </row>
    <row r="291" spans="8:17" x14ac:dyDescent="0.25">
      <c r="H291"/>
      <c r="I291"/>
      <c r="J291"/>
      <c r="Q291"/>
    </row>
    <row r="292" spans="8:17" x14ac:dyDescent="0.25">
      <c r="H292"/>
      <c r="I292"/>
      <c r="J292"/>
      <c r="Q292"/>
    </row>
    <row r="293" spans="8:17" x14ac:dyDescent="0.25">
      <c r="H293"/>
      <c r="I293"/>
      <c r="J293"/>
      <c r="Q293"/>
    </row>
    <row r="294" spans="8:17" x14ac:dyDescent="0.25">
      <c r="H294"/>
      <c r="I294"/>
      <c r="J294"/>
      <c r="Q294"/>
    </row>
    <row r="295" spans="8:17" x14ac:dyDescent="0.25">
      <c r="H295"/>
      <c r="I295"/>
      <c r="J295"/>
      <c r="Q295"/>
    </row>
    <row r="296" spans="8:17" x14ac:dyDescent="0.25">
      <c r="H296"/>
      <c r="I296"/>
      <c r="J296"/>
      <c r="Q296"/>
    </row>
    <row r="297" spans="8:17" x14ac:dyDescent="0.25">
      <c r="H297"/>
      <c r="I297"/>
      <c r="J297"/>
      <c r="Q297"/>
    </row>
    <row r="298" spans="8:17" x14ac:dyDescent="0.25">
      <c r="H298"/>
      <c r="I298"/>
      <c r="J298"/>
      <c r="Q298"/>
    </row>
    <row r="299" spans="8:17" x14ac:dyDescent="0.25">
      <c r="H299"/>
      <c r="I299"/>
      <c r="J299"/>
      <c r="Q299"/>
    </row>
    <row r="300" spans="8:17" x14ac:dyDescent="0.25">
      <c r="H300"/>
      <c r="I300"/>
      <c r="J300"/>
      <c r="Q300"/>
    </row>
    <row r="301" spans="8:17" x14ac:dyDescent="0.25">
      <c r="H301"/>
      <c r="I301"/>
      <c r="J301"/>
      <c r="Q301"/>
    </row>
    <row r="302" spans="8:17" x14ac:dyDescent="0.25">
      <c r="H302"/>
      <c r="I302"/>
      <c r="J302"/>
      <c r="Q302"/>
    </row>
    <row r="303" spans="8:17" x14ac:dyDescent="0.25">
      <c r="H303"/>
      <c r="I303"/>
      <c r="J303"/>
      <c r="Q303"/>
    </row>
    <row r="304" spans="8:17" x14ac:dyDescent="0.25">
      <c r="H304"/>
      <c r="I304"/>
      <c r="J304"/>
      <c r="Q304"/>
    </row>
    <row r="305" spans="8:17" x14ac:dyDescent="0.25">
      <c r="H305"/>
      <c r="I305"/>
      <c r="J305"/>
      <c r="Q305"/>
    </row>
    <row r="306" spans="8:17" x14ac:dyDescent="0.25">
      <c r="H306"/>
      <c r="I306"/>
      <c r="J306"/>
      <c r="Q306"/>
    </row>
    <row r="307" spans="8:17" x14ac:dyDescent="0.25">
      <c r="H307"/>
      <c r="I307"/>
      <c r="J307"/>
      <c r="Q307"/>
    </row>
    <row r="308" spans="8:17" x14ac:dyDescent="0.25">
      <c r="H308"/>
      <c r="I308"/>
      <c r="J308"/>
      <c r="Q308"/>
    </row>
    <row r="309" spans="8:17" x14ac:dyDescent="0.25">
      <c r="H309"/>
      <c r="I309"/>
      <c r="J309"/>
      <c r="Q309"/>
    </row>
    <row r="310" spans="8:17" x14ac:dyDescent="0.25">
      <c r="H310"/>
      <c r="I310"/>
      <c r="J310"/>
      <c r="Q310"/>
    </row>
    <row r="311" spans="8:17" x14ac:dyDescent="0.25">
      <c r="H311"/>
      <c r="I311"/>
      <c r="J311"/>
      <c r="Q311"/>
    </row>
    <row r="312" spans="8:17" x14ac:dyDescent="0.25">
      <c r="H312"/>
      <c r="I312"/>
      <c r="J312"/>
      <c r="Q312"/>
    </row>
    <row r="313" spans="8:17" x14ac:dyDescent="0.25">
      <c r="H313"/>
      <c r="I313"/>
      <c r="J313"/>
      <c r="Q313"/>
    </row>
    <row r="314" spans="8:17" x14ac:dyDescent="0.25">
      <c r="H314"/>
      <c r="I314"/>
      <c r="J314"/>
      <c r="Q314"/>
    </row>
    <row r="315" spans="8:17" x14ac:dyDescent="0.25">
      <c r="H315"/>
      <c r="I315"/>
      <c r="J315"/>
      <c r="Q315"/>
    </row>
    <row r="316" spans="8:17" x14ac:dyDescent="0.25">
      <c r="H316"/>
      <c r="I316"/>
      <c r="J316"/>
      <c r="Q316"/>
    </row>
    <row r="317" spans="8:17" x14ac:dyDescent="0.25">
      <c r="H317"/>
      <c r="I317"/>
      <c r="J317"/>
      <c r="Q317"/>
    </row>
    <row r="318" spans="8:17" x14ac:dyDescent="0.25">
      <c r="H318"/>
      <c r="I318"/>
      <c r="J318"/>
      <c r="Q318"/>
    </row>
    <row r="319" spans="8:17" x14ac:dyDescent="0.25">
      <c r="H319"/>
      <c r="I319"/>
      <c r="J319"/>
      <c r="Q319"/>
    </row>
    <row r="320" spans="8:17" x14ac:dyDescent="0.25">
      <c r="H320"/>
      <c r="I320"/>
      <c r="J320"/>
      <c r="Q320"/>
    </row>
    <row r="321" spans="8:17" x14ac:dyDescent="0.25">
      <c r="H321"/>
      <c r="I321"/>
      <c r="J321"/>
      <c r="Q321"/>
    </row>
    <row r="322" spans="8:17" x14ac:dyDescent="0.25">
      <c r="H322"/>
      <c r="I322"/>
      <c r="J322"/>
      <c r="Q322"/>
    </row>
    <row r="323" spans="8:17" x14ac:dyDescent="0.25">
      <c r="H323"/>
      <c r="I323"/>
      <c r="J323"/>
      <c r="Q323"/>
    </row>
    <row r="324" spans="8:17" x14ac:dyDescent="0.25">
      <c r="H324"/>
      <c r="I324"/>
      <c r="J324"/>
      <c r="Q324"/>
    </row>
    <row r="325" spans="8:17" x14ac:dyDescent="0.25">
      <c r="H325"/>
      <c r="I325"/>
      <c r="J325"/>
      <c r="Q325"/>
    </row>
    <row r="326" spans="8:17" x14ac:dyDescent="0.25">
      <c r="H326"/>
      <c r="I326"/>
      <c r="J326"/>
      <c r="Q326"/>
    </row>
    <row r="327" spans="8:17" x14ac:dyDescent="0.25">
      <c r="H327"/>
      <c r="I327"/>
      <c r="J327"/>
      <c r="Q327"/>
    </row>
    <row r="328" spans="8:17" x14ac:dyDescent="0.25">
      <c r="H328"/>
      <c r="I328"/>
      <c r="J328"/>
      <c r="Q328"/>
    </row>
    <row r="329" spans="8:17" x14ac:dyDescent="0.25">
      <c r="H329"/>
      <c r="I329"/>
      <c r="J329"/>
      <c r="Q329"/>
    </row>
    <row r="330" spans="8:17" x14ac:dyDescent="0.25">
      <c r="H330"/>
      <c r="I330"/>
      <c r="J330"/>
      <c r="Q330"/>
    </row>
    <row r="331" spans="8:17" x14ac:dyDescent="0.25">
      <c r="H331"/>
      <c r="I331"/>
      <c r="J331"/>
      <c r="Q331"/>
    </row>
    <row r="332" spans="8:17" x14ac:dyDescent="0.25">
      <c r="H332"/>
      <c r="I332"/>
      <c r="J332"/>
      <c r="Q332"/>
    </row>
    <row r="333" spans="8:17" x14ac:dyDescent="0.25">
      <c r="H333"/>
      <c r="I333"/>
      <c r="J333"/>
      <c r="Q333"/>
    </row>
    <row r="334" spans="8:17" x14ac:dyDescent="0.25">
      <c r="H334"/>
      <c r="I334"/>
      <c r="J334"/>
      <c r="Q334"/>
    </row>
    <row r="335" spans="8:17" x14ac:dyDescent="0.25">
      <c r="H335"/>
      <c r="I335"/>
      <c r="J335"/>
      <c r="Q335"/>
    </row>
    <row r="336" spans="8:17" x14ac:dyDescent="0.25">
      <c r="H336"/>
      <c r="I336"/>
      <c r="J336"/>
      <c r="Q336"/>
    </row>
    <row r="337" spans="8:17" x14ac:dyDescent="0.25">
      <c r="H337"/>
      <c r="I337"/>
      <c r="J337"/>
      <c r="Q337"/>
    </row>
    <row r="338" spans="8:17" x14ac:dyDescent="0.25">
      <c r="H338"/>
      <c r="I338"/>
      <c r="J338"/>
      <c r="Q338"/>
    </row>
    <row r="339" spans="8:17" x14ac:dyDescent="0.25">
      <c r="H339"/>
      <c r="I339"/>
      <c r="J339"/>
      <c r="Q339"/>
    </row>
    <row r="340" spans="8:17" x14ac:dyDescent="0.25">
      <c r="H340"/>
      <c r="I340"/>
      <c r="J340"/>
      <c r="Q340"/>
    </row>
    <row r="341" spans="8:17" x14ac:dyDescent="0.25">
      <c r="H341"/>
      <c r="I341"/>
      <c r="J341"/>
      <c r="Q341"/>
    </row>
    <row r="342" spans="8:17" x14ac:dyDescent="0.25">
      <c r="H342"/>
      <c r="I342"/>
      <c r="J342"/>
      <c r="Q342"/>
    </row>
    <row r="343" spans="8:17" x14ac:dyDescent="0.25">
      <c r="H343"/>
      <c r="I343"/>
      <c r="J343"/>
      <c r="Q343"/>
    </row>
    <row r="344" spans="8:17" x14ac:dyDescent="0.25">
      <c r="H344"/>
      <c r="I344"/>
      <c r="J344"/>
      <c r="Q344"/>
    </row>
    <row r="345" spans="8:17" x14ac:dyDescent="0.25">
      <c r="H345"/>
      <c r="I345"/>
      <c r="J345"/>
      <c r="Q345"/>
    </row>
    <row r="346" spans="8:17" x14ac:dyDescent="0.25">
      <c r="H346"/>
      <c r="I346"/>
      <c r="J346"/>
      <c r="Q346"/>
    </row>
    <row r="347" spans="8:17" x14ac:dyDescent="0.25">
      <c r="H347"/>
      <c r="I347"/>
      <c r="J347"/>
      <c r="Q347"/>
    </row>
    <row r="348" spans="8:17" x14ac:dyDescent="0.25">
      <c r="H348"/>
      <c r="I348"/>
      <c r="J348"/>
      <c r="Q348"/>
    </row>
    <row r="349" spans="8:17" x14ac:dyDescent="0.25">
      <c r="H349"/>
      <c r="I349"/>
      <c r="J349"/>
      <c r="Q349"/>
    </row>
    <row r="350" spans="8:17" x14ac:dyDescent="0.25">
      <c r="H350"/>
      <c r="I350"/>
      <c r="J350"/>
      <c r="Q350"/>
    </row>
    <row r="351" spans="8:17" x14ac:dyDescent="0.25">
      <c r="H351"/>
      <c r="I351"/>
      <c r="J351"/>
      <c r="Q351"/>
    </row>
    <row r="352" spans="8:17" x14ac:dyDescent="0.25">
      <c r="H352"/>
      <c r="I352"/>
      <c r="J352"/>
      <c r="Q352"/>
    </row>
    <row r="353" spans="8:17" x14ac:dyDescent="0.25">
      <c r="H353"/>
      <c r="I353"/>
      <c r="J353"/>
      <c r="Q353"/>
    </row>
    <row r="354" spans="8:17" x14ac:dyDescent="0.25">
      <c r="H354"/>
      <c r="I354"/>
      <c r="J354"/>
      <c r="Q354"/>
    </row>
    <row r="355" spans="8:17" x14ac:dyDescent="0.25">
      <c r="H355"/>
      <c r="I355"/>
      <c r="J355"/>
      <c r="Q355"/>
    </row>
    <row r="356" spans="8:17" x14ac:dyDescent="0.25">
      <c r="H356"/>
      <c r="I356"/>
      <c r="J356"/>
      <c r="Q356"/>
    </row>
    <row r="357" spans="8:17" x14ac:dyDescent="0.25">
      <c r="H357"/>
      <c r="I357"/>
      <c r="J357"/>
      <c r="Q357"/>
    </row>
    <row r="358" spans="8:17" x14ac:dyDescent="0.25">
      <c r="H358"/>
      <c r="I358"/>
      <c r="J358"/>
      <c r="Q358"/>
    </row>
    <row r="359" spans="8:17" x14ac:dyDescent="0.25">
      <c r="H359"/>
      <c r="I359"/>
      <c r="J359"/>
      <c r="Q359"/>
    </row>
    <row r="360" spans="8:17" x14ac:dyDescent="0.25">
      <c r="H360"/>
      <c r="I360"/>
      <c r="J360"/>
      <c r="Q360"/>
    </row>
    <row r="361" spans="8:17" x14ac:dyDescent="0.25">
      <c r="H361"/>
      <c r="I361"/>
      <c r="J361"/>
      <c r="Q361"/>
    </row>
    <row r="362" spans="8:17" x14ac:dyDescent="0.25">
      <c r="H362"/>
      <c r="I362"/>
      <c r="J362"/>
      <c r="Q362"/>
    </row>
    <row r="363" spans="8:17" x14ac:dyDescent="0.25">
      <c r="H363"/>
      <c r="I363"/>
      <c r="J363"/>
      <c r="Q363"/>
    </row>
    <row r="364" spans="8:17" x14ac:dyDescent="0.25">
      <c r="H364"/>
      <c r="I364"/>
      <c r="J364"/>
      <c r="Q364"/>
    </row>
    <row r="365" spans="8:17" x14ac:dyDescent="0.25">
      <c r="H365"/>
      <c r="I365"/>
      <c r="J365"/>
      <c r="Q365"/>
    </row>
    <row r="366" spans="8:17" x14ac:dyDescent="0.25">
      <c r="H366"/>
      <c r="I366"/>
      <c r="J366"/>
      <c r="Q366"/>
    </row>
    <row r="367" spans="8:17" x14ac:dyDescent="0.25">
      <c r="H367"/>
      <c r="I367"/>
      <c r="J367"/>
      <c r="Q367"/>
    </row>
    <row r="368" spans="8:17" x14ac:dyDescent="0.25">
      <c r="H368"/>
      <c r="I368"/>
      <c r="J368"/>
      <c r="Q368"/>
    </row>
    <row r="369" spans="8:17" x14ac:dyDescent="0.25">
      <c r="H369"/>
      <c r="I369"/>
      <c r="J369"/>
      <c r="Q369"/>
    </row>
    <row r="370" spans="8:17" x14ac:dyDescent="0.25">
      <c r="H370"/>
      <c r="I370"/>
      <c r="J370"/>
      <c r="Q370"/>
    </row>
    <row r="371" spans="8:17" x14ac:dyDescent="0.25">
      <c r="H371"/>
      <c r="I371"/>
      <c r="J371"/>
      <c r="Q371"/>
    </row>
    <row r="372" spans="8:17" x14ac:dyDescent="0.25">
      <c r="H372"/>
      <c r="I372"/>
      <c r="J372"/>
      <c r="Q372"/>
    </row>
    <row r="373" spans="8:17" x14ac:dyDescent="0.25">
      <c r="H373"/>
      <c r="I373"/>
      <c r="J373"/>
      <c r="Q373"/>
    </row>
    <row r="374" spans="8:17" x14ac:dyDescent="0.25">
      <c r="H374"/>
      <c r="I374"/>
      <c r="J374"/>
      <c r="Q374"/>
    </row>
    <row r="375" spans="8:17" x14ac:dyDescent="0.25">
      <c r="H375"/>
      <c r="I375"/>
      <c r="J375"/>
      <c r="Q375"/>
    </row>
    <row r="376" spans="8:17" x14ac:dyDescent="0.25">
      <c r="H376"/>
      <c r="I376"/>
      <c r="J376"/>
      <c r="Q376"/>
    </row>
    <row r="377" spans="8:17" x14ac:dyDescent="0.25">
      <c r="H377"/>
      <c r="I377"/>
      <c r="J377"/>
      <c r="Q377"/>
    </row>
    <row r="378" spans="8:17" x14ac:dyDescent="0.25">
      <c r="H378"/>
      <c r="I378"/>
      <c r="J378"/>
      <c r="Q378"/>
    </row>
    <row r="379" spans="8:17" x14ac:dyDescent="0.25">
      <c r="H379"/>
      <c r="I379"/>
      <c r="J379"/>
      <c r="Q379"/>
    </row>
    <row r="380" spans="8:17" x14ac:dyDescent="0.25">
      <c r="H380"/>
      <c r="I380"/>
      <c r="J380"/>
      <c r="Q380"/>
    </row>
    <row r="381" spans="8:17" x14ac:dyDescent="0.25">
      <c r="H381"/>
      <c r="I381"/>
      <c r="J381"/>
      <c r="Q381"/>
    </row>
    <row r="382" spans="8:17" x14ac:dyDescent="0.25">
      <c r="H382"/>
      <c r="I382"/>
      <c r="J382"/>
      <c r="Q382"/>
    </row>
    <row r="383" spans="8:17" x14ac:dyDescent="0.25">
      <c r="H383"/>
      <c r="I383"/>
      <c r="J383"/>
      <c r="Q383"/>
    </row>
    <row r="384" spans="8:17" x14ac:dyDescent="0.25">
      <c r="H384"/>
      <c r="I384"/>
      <c r="J384"/>
      <c r="Q384"/>
    </row>
    <row r="385" spans="8:17" x14ac:dyDescent="0.25">
      <c r="H385"/>
      <c r="I385"/>
      <c r="J385"/>
      <c r="Q385"/>
    </row>
    <row r="386" spans="8:17" x14ac:dyDescent="0.25">
      <c r="H386"/>
      <c r="I386"/>
      <c r="J386"/>
      <c r="Q386"/>
    </row>
    <row r="387" spans="8:17" x14ac:dyDescent="0.25">
      <c r="H387"/>
      <c r="I387"/>
      <c r="J387"/>
      <c r="Q387"/>
    </row>
    <row r="388" spans="8:17" x14ac:dyDescent="0.25">
      <c r="H388"/>
      <c r="I388"/>
      <c r="J388"/>
      <c r="Q388"/>
    </row>
    <row r="389" spans="8:17" x14ac:dyDescent="0.25">
      <c r="H389"/>
      <c r="I389"/>
      <c r="J389"/>
      <c r="Q389"/>
    </row>
    <row r="390" spans="8:17" x14ac:dyDescent="0.25">
      <c r="H390"/>
      <c r="I390"/>
      <c r="J390"/>
      <c r="Q390"/>
    </row>
    <row r="391" spans="8:17" x14ac:dyDescent="0.25">
      <c r="H391"/>
      <c r="I391"/>
      <c r="J391"/>
      <c r="Q391"/>
    </row>
    <row r="392" spans="8:17" x14ac:dyDescent="0.25">
      <c r="H392"/>
      <c r="I392"/>
      <c r="J392"/>
      <c r="Q392"/>
    </row>
    <row r="393" spans="8:17" x14ac:dyDescent="0.25">
      <c r="H393"/>
      <c r="I393"/>
      <c r="J393"/>
      <c r="Q393"/>
    </row>
    <row r="394" spans="8:17" x14ac:dyDescent="0.25">
      <c r="H394"/>
      <c r="I394"/>
      <c r="J394"/>
      <c r="Q394"/>
    </row>
    <row r="395" spans="8:17" x14ac:dyDescent="0.25">
      <c r="H395"/>
      <c r="I395"/>
      <c r="J395"/>
      <c r="Q395"/>
    </row>
    <row r="396" spans="8:17" x14ac:dyDescent="0.25">
      <c r="H396"/>
      <c r="I396"/>
      <c r="J396"/>
      <c r="Q396"/>
    </row>
    <row r="397" spans="8:17" x14ac:dyDescent="0.25">
      <c r="H397"/>
      <c r="I397"/>
      <c r="J397"/>
      <c r="Q397"/>
    </row>
    <row r="398" spans="8:17" x14ac:dyDescent="0.25">
      <c r="H398"/>
      <c r="I398"/>
      <c r="J398"/>
      <c r="Q398"/>
    </row>
    <row r="399" spans="8:17" x14ac:dyDescent="0.25">
      <c r="H399"/>
      <c r="I399"/>
      <c r="J399"/>
      <c r="Q399"/>
    </row>
    <row r="400" spans="8:17" x14ac:dyDescent="0.25">
      <c r="H400"/>
      <c r="I400"/>
      <c r="J400"/>
      <c r="Q400"/>
    </row>
    <row r="401" spans="8:17" x14ac:dyDescent="0.25">
      <c r="H401"/>
      <c r="I401"/>
      <c r="J401"/>
      <c r="Q401"/>
    </row>
    <row r="402" spans="8:17" x14ac:dyDescent="0.25">
      <c r="H402"/>
      <c r="I402"/>
      <c r="J402"/>
      <c r="Q402"/>
    </row>
    <row r="403" spans="8:17" x14ac:dyDescent="0.25">
      <c r="H403"/>
      <c r="I403"/>
      <c r="J403"/>
      <c r="Q403"/>
    </row>
    <row r="404" spans="8:17" x14ac:dyDescent="0.25">
      <c r="H404"/>
      <c r="I404"/>
      <c r="J404"/>
      <c r="Q404"/>
    </row>
    <row r="405" spans="8:17" x14ac:dyDescent="0.25">
      <c r="H405"/>
      <c r="I405"/>
      <c r="J405"/>
      <c r="Q405"/>
    </row>
    <row r="406" spans="8:17" x14ac:dyDescent="0.25">
      <c r="H406"/>
      <c r="I406"/>
      <c r="J406"/>
      <c r="Q406"/>
    </row>
    <row r="407" spans="8:17" x14ac:dyDescent="0.25">
      <c r="H407"/>
      <c r="I407"/>
      <c r="J407"/>
      <c r="Q407"/>
    </row>
    <row r="408" spans="8:17" x14ac:dyDescent="0.25">
      <c r="H408"/>
      <c r="I408"/>
      <c r="J408"/>
      <c r="Q408"/>
    </row>
    <row r="409" spans="8:17" x14ac:dyDescent="0.25">
      <c r="H409"/>
      <c r="I409"/>
      <c r="J409"/>
      <c r="Q409"/>
    </row>
    <row r="410" spans="8:17" x14ac:dyDescent="0.25">
      <c r="H410"/>
      <c r="I410"/>
      <c r="J410"/>
      <c r="Q410"/>
    </row>
    <row r="411" spans="8:17" x14ac:dyDescent="0.25">
      <c r="H411"/>
      <c r="I411"/>
      <c r="J411"/>
      <c r="Q411"/>
    </row>
    <row r="412" spans="8:17" x14ac:dyDescent="0.25">
      <c r="H412"/>
      <c r="I412"/>
      <c r="J412"/>
      <c r="Q412"/>
    </row>
    <row r="413" spans="8:17" x14ac:dyDescent="0.25">
      <c r="H413"/>
      <c r="I413"/>
      <c r="J413"/>
      <c r="Q413"/>
    </row>
    <row r="414" spans="8:17" x14ac:dyDescent="0.25">
      <c r="H414"/>
      <c r="I414"/>
      <c r="J414"/>
      <c r="Q414"/>
    </row>
    <row r="415" spans="8:17" x14ac:dyDescent="0.25">
      <c r="H415"/>
      <c r="I415"/>
      <c r="J415"/>
      <c r="Q415"/>
    </row>
    <row r="416" spans="8:17" x14ac:dyDescent="0.25">
      <c r="H416"/>
      <c r="I416"/>
      <c r="J416"/>
      <c r="Q416"/>
    </row>
    <row r="417" spans="8:17" x14ac:dyDescent="0.25">
      <c r="H417"/>
      <c r="I417"/>
      <c r="J417"/>
      <c r="Q417"/>
    </row>
    <row r="418" spans="8:17" x14ac:dyDescent="0.25">
      <c r="H418"/>
      <c r="I418"/>
      <c r="J418"/>
      <c r="Q418"/>
    </row>
    <row r="419" spans="8:17" x14ac:dyDescent="0.25">
      <c r="H419"/>
      <c r="I419"/>
      <c r="J419"/>
      <c r="Q419"/>
    </row>
    <row r="420" spans="8:17" x14ac:dyDescent="0.25">
      <c r="H420"/>
      <c r="I420"/>
      <c r="J420"/>
      <c r="Q420"/>
    </row>
    <row r="421" spans="8:17" x14ac:dyDescent="0.25">
      <c r="H421"/>
      <c r="I421"/>
      <c r="J421"/>
      <c r="Q421"/>
    </row>
    <row r="422" spans="8:17" x14ac:dyDescent="0.25">
      <c r="H422"/>
      <c r="I422"/>
      <c r="J422"/>
      <c r="Q422"/>
    </row>
    <row r="423" spans="8:17" x14ac:dyDescent="0.25">
      <c r="H423"/>
      <c r="I423"/>
      <c r="J423"/>
      <c r="Q423"/>
    </row>
    <row r="424" spans="8:17" x14ac:dyDescent="0.25">
      <c r="H424"/>
      <c r="I424"/>
      <c r="J424"/>
      <c r="Q424"/>
    </row>
    <row r="425" spans="8:17" x14ac:dyDescent="0.25">
      <c r="H425"/>
      <c r="I425"/>
      <c r="J425"/>
      <c r="Q425"/>
    </row>
    <row r="426" spans="8:17" x14ac:dyDescent="0.25">
      <c r="H426"/>
      <c r="I426"/>
      <c r="J426"/>
      <c r="Q426"/>
    </row>
    <row r="427" spans="8:17" x14ac:dyDescent="0.25">
      <c r="H427"/>
      <c r="I427"/>
      <c r="J427"/>
      <c r="Q427"/>
    </row>
    <row r="428" spans="8:17" x14ac:dyDescent="0.25">
      <c r="H428"/>
      <c r="I428"/>
      <c r="J428"/>
      <c r="Q428"/>
    </row>
    <row r="429" spans="8:17" x14ac:dyDescent="0.25">
      <c r="H429"/>
      <c r="I429"/>
      <c r="J429"/>
      <c r="Q429"/>
    </row>
    <row r="430" spans="8:17" x14ac:dyDescent="0.25">
      <c r="H430"/>
      <c r="I430"/>
      <c r="J430"/>
      <c r="Q430"/>
    </row>
    <row r="431" spans="8:17" x14ac:dyDescent="0.25">
      <c r="H431"/>
      <c r="I431"/>
      <c r="J431"/>
      <c r="Q431"/>
    </row>
    <row r="432" spans="8:17" x14ac:dyDescent="0.25">
      <c r="H432"/>
      <c r="I432"/>
      <c r="J432"/>
      <c r="Q432"/>
    </row>
    <row r="433" spans="8:17" x14ac:dyDescent="0.25">
      <c r="H433"/>
      <c r="I433"/>
      <c r="J433"/>
      <c r="Q433"/>
    </row>
    <row r="434" spans="8:17" x14ac:dyDescent="0.25">
      <c r="H434"/>
      <c r="I434"/>
      <c r="J434"/>
      <c r="Q434"/>
    </row>
    <row r="435" spans="8:17" x14ac:dyDescent="0.25">
      <c r="H435"/>
      <c r="I435"/>
      <c r="J435"/>
      <c r="Q435"/>
    </row>
    <row r="436" spans="8:17" x14ac:dyDescent="0.25">
      <c r="H436"/>
      <c r="I436"/>
      <c r="J436"/>
      <c r="Q436"/>
    </row>
    <row r="437" spans="8:17" x14ac:dyDescent="0.25">
      <c r="H437"/>
      <c r="I437"/>
      <c r="J437"/>
      <c r="Q437"/>
    </row>
    <row r="438" spans="8:17" x14ac:dyDescent="0.25">
      <c r="H438"/>
      <c r="I438"/>
      <c r="J438"/>
      <c r="Q438"/>
    </row>
    <row r="439" spans="8:17" x14ac:dyDescent="0.25">
      <c r="H439"/>
      <c r="I439"/>
      <c r="J439"/>
      <c r="Q439"/>
    </row>
    <row r="440" spans="8:17" x14ac:dyDescent="0.25">
      <c r="H440"/>
      <c r="I440"/>
      <c r="J440"/>
      <c r="Q440"/>
    </row>
    <row r="441" spans="8:17" x14ac:dyDescent="0.25">
      <c r="H441"/>
      <c r="I441"/>
      <c r="J441"/>
      <c r="Q441"/>
    </row>
    <row r="442" spans="8:17" x14ac:dyDescent="0.25">
      <c r="H442"/>
      <c r="I442"/>
      <c r="J442"/>
      <c r="Q442"/>
    </row>
    <row r="443" spans="8:17" x14ac:dyDescent="0.25">
      <c r="H443"/>
      <c r="I443"/>
      <c r="J443"/>
      <c r="Q443"/>
    </row>
    <row r="444" spans="8:17" x14ac:dyDescent="0.25">
      <c r="H444"/>
      <c r="I444"/>
      <c r="J444"/>
      <c r="Q444"/>
    </row>
    <row r="445" spans="8:17" x14ac:dyDescent="0.25">
      <c r="H445"/>
      <c r="I445"/>
      <c r="J445"/>
      <c r="Q445"/>
    </row>
    <row r="446" spans="8:17" x14ac:dyDescent="0.25">
      <c r="H446"/>
      <c r="I446"/>
      <c r="J446"/>
      <c r="Q446"/>
    </row>
    <row r="447" spans="8:17" x14ac:dyDescent="0.25">
      <c r="H447"/>
      <c r="I447"/>
      <c r="J447"/>
      <c r="Q447"/>
    </row>
    <row r="448" spans="8:17" x14ac:dyDescent="0.25">
      <c r="H448"/>
      <c r="I448"/>
      <c r="J448"/>
      <c r="Q448"/>
    </row>
    <row r="449" spans="8:17" x14ac:dyDescent="0.25">
      <c r="H449"/>
      <c r="I449"/>
      <c r="J449"/>
      <c r="Q449"/>
    </row>
    <row r="450" spans="8:17" x14ac:dyDescent="0.25">
      <c r="H450"/>
      <c r="I450"/>
      <c r="J450"/>
      <c r="Q450"/>
    </row>
    <row r="451" spans="8:17" x14ac:dyDescent="0.25">
      <c r="H451"/>
      <c r="I451"/>
      <c r="J451"/>
      <c r="Q451"/>
    </row>
    <row r="452" spans="8:17" x14ac:dyDescent="0.25">
      <c r="H452"/>
      <c r="I452"/>
      <c r="J452"/>
      <c r="Q452"/>
    </row>
    <row r="453" spans="8:17" x14ac:dyDescent="0.25">
      <c r="H453"/>
      <c r="I453"/>
      <c r="J453"/>
      <c r="Q453"/>
    </row>
    <row r="454" spans="8:17" x14ac:dyDescent="0.25">
      <c r="H454"/>
      <c r="I454"/>
      <c r="J454"/>
      <c r="Q454"/>
    </row>
    <row r="455" spans="8:17" x14ac:dyDescent="0.25">
      <c r="H455"/>
      <c r="I455"/>
      <c r="J455"/>
      <c r="Q455"/>
    </row>
    <row r="456" spans="8:17" x14ac:dyDescent="0.25">
      <c r="H456"/>
      <c r="I456"/>
      <c r="J456"/>
      <c r="Q456"/>
    </row>
    <row r="457" spans="8:17" x14ac:dyDescent="0.25">
      <c r="H457"/>
      <c r="I457"/>
      <c r="J457"/>
      <c r="Q457"/>
    </row>
    <row r="458" spans="8:17" x14ac:dyDescent="0.25">
      <c r="H458"/>
      <c r="I458"/>
      <c r="J458"/>
      <c r="Q458"/>
    </row>
    <row r="459" spans="8:17" x14ac:dyDescent="0.25">
      <c r="H459"/>
      <c r="I459"/>
      <c r="J459"/>
      <c r="Q459"/>
    </row>
    <row r="460" spans="8:17" x14ac:dyDescent="0.25">
      <c r="H460"/>
      <c r="I460"/>
      <c r="J460"/>
      <c r="Q460"/>
    </row>
    <row r="461" spans="8:17" x14ac:dyDescent="0.25">
      <c r="H461"/>
      <c r="I461"/>
      <c r="J461"/>
      <c r="Q461"/>
    </row>
    <row r="462" spans="8:17" x14ac:dyDescent="0.25">
      <c r="H462"/>
      <c r="I462"/>
      <c r="J462"/>
      <c r="Q462"/>
    </row>
    <row r="463" spans="8:17" x14ac:dyDescent="0.25">
      <c r="H463"/>
      <c r="I463"/>
      <c r="J463"/>
      <c r="Q463"/>
    </row>
    <row r="464" spans="8:17" x14ac:dyDescent="0.25">
      <c r="H464"/>
      <c r="I464"/>
      <c r="J464"/>
      <c r="Q464"/>
    </row>
    <row r="465" spans="8:17" x14ac:dyDescent="0.25">
      <c r="H465"/>
      <c r="I465"/>
      <c r="J465"/>
      <c r="Q465"/>
    </row>
    <row r="466" spans="8:17" x14ac:dyDescent="0.25">
      <c r="H466"/>
      <c r="I466"/>
      <c r="J466"/>
      <c r="Q466"/>
    </row>
    <row r="467" spans="8:17" x14ac:dyDescent="0.25">
      <c r="H467"/>
      <c r="I467"/>
      <c r="J467"/>
      <c r="Q467"/>
    </row>
    <row r="468" spans="8:17" x14ac:dyDescent="0.25">
      <c r="H468"/>
      <c r="I468"/>
      <c r="J468"/>
      <c r="Q468"/>
    </row>
    <row r="469" spans="8:17" x14ac:dyDescent="0.25">
      <c r="H469"/>
      <c r="I469"/>
      <c r="J469"/>
      <c r="Q469"/>
    </row>
    <row r="470" spans="8:17" x14ac:dyDescent="0.25">
      <c r="H470"/>
      <c r="I470"/>
      <c r="J470"/>
      <c r="Q470"/>
    </row>
    <row r="471" spans="8:17" x14ac:dyDescent="0.25">
      <c r="H471"/>
      <c r="I471"/>
      <c r="J471"/>
      <c r="Q471"/>
    </row>
    <row r="472" spans="8:17" x14ac:dyDescent="0.25">
      <c r="H472"/>
      <c r="I472"/>
      <c r="J472"/>
      <c r="Q472"/>
    </row>
    <row r="473" spans="8:17" x14ac:dyDescent="0.25">
      <c r="H473"/>
      <c r="I473"/>
      <c r="J473"/>
      <c r="Q473"/>
    </row>
    <row r="474" spans="8:17" x14ac:dyDescent="0.25">
      <c r="H474"/>
      <c r="I474"/>
      <c r="J474"/>
      <c r="Q474"/>
    </row>
    <row r="475" spans="8:17" x14ac:dyDescent="0.25">
      <c r="H475"/>
      <c r="I475"/>
      <c r="J475"/>
      <c r="Q475"/>
    </row>
    <row r="476" spans="8:17" x14ac:dyDescent="0.25">
      <c r="H476"/>
      <c r="I476"/>
      <c r="J476"/>
      <c r="Q476"/>
    </row>
    <row r="477" spans="8:17" x14ac:dyDescent="0.25">
      <c r="H477"/>
      <c r="I477"/>
      <c r="J477"/>
      <c r="Q477"/>
    </row>
    <row r="478" spans="8:17" x14ac:dyDescent="0.25">
      <c r="H478"/>
      <c r="I478"/>
      <c r="J478"/>
      <c r="Q478"/>
    </row>
    <row r="479" spans="8:17" x14ac:dyDescent="0.25">
      <c r="H479"/>
      <c r="I479"/>
      <c r="J479"/>
      <c r="Q479"/>
    </row>
    <row r="480" spans="8:17" x14ac:dyDescent="0.25">
      <c r="H480"/>
      <c r="I480"/>
      <c r="J480"/>
      <c r="Q480"/>
    </row>
    <row r="481" spans="8:17" x14ac:dyDescent="0.25">
      <c r="H481"/>
      <c r="I481"/>
      <c r="J481"/>
      <c r="Q481"/>
    </row>
    <row r="482" spans="8:17" x14ac:dyDescent="0.25">
      <c r="H482"/>
      <c r="I482"/>
      <c r="J482"/>
      <c r="Q482"/>
    </row>
    <row r="483" spans="8:17" x14ac:dyDescent="0.25">
      <c r="H483"/>
      <c r="I483"/>
      <c r="J483"/>
      <c r="Q483"/>
    </row>
    <row r="484" spans="8:17" x14ac:dyDescent="0.25">
      <c r="H484"/>
      <c r="I484"/>
      <c r="J484"/>
      <c r="Q484"/>
    </row>
    <row r="485" spans="8:17" x14ac:dyDescent="0.25">
      <c r="H485"/>
      <c r="I485"/>
      <c r="J485"/>
      <c r="Q485"/>
    </row>
    <row r="486" spans="8:17" x14ac:dyDescent="0.25">
      <c r="H486"/>
      <c r="I486"/>
      <c r="J486"/>
      <c r="Q486"/>
    </row>
    <row r="487" spans="8:17" x14ac:dyDescent="0.25">
      <c r="H487"/>
      <c r="I487"/>
      <c r="J487"/>
      <c r="Q487"/>
    </row>
    <row r="488" spans="8:17" x14ac:dyDescent="0.25">
      <c r="H488"/>
      <c r="I488"/>
      <c r="J488"/>
      <c r="Q488"/>
    </row>
    <row r="489" spans="8:17" x14ac:dyDescent="0.25">
      <c r="H489"/>
      <c r="I489"/>
      <c r="J489"/>
      <c r="Q489"/>
    </row>
    <row r="490" spans="8:17" x14ac:dyDescent="0.25">
      <c r="H490"/>
      <c r="I490"/>
      <c r="J490"/>
      <c r="Q490"/>
    </row>
    <row r="491" spans="8:17" x14ac:dyDescent="0.25">
      <c r="H491"/>
      <c r="I491"/>
      <c r="J491"/>
      <c r="Q491"/>
    </row>
    <row r="492" spans="8:17" x14ac:dyDescent="0.25">
      <c r="H492"/>
      <c r="I492"/>
      <c r="J492"/>
      <c r="Q492"/>
    </row>
    <row r="493" spans="8:17" x14ac:dyDescent="0.25">
      <c r="H493"/>
      <c r="I493"/>
      <c r="J493"/>
      <c r="Q493"/>
    </row>
    <row r="494" spans="8:17" x14ac:dyDescent="0.25">
      <c r="H494"/>
      <c r="I494"/>
      <c r="J494"/>
      <c r="Q494"/>
    </row>
    <row r="495" spans="8:17" x14ac:dyDescent="0.25">
      <c r="H495"/>
      <c r="I495"/>
      <c r="J495"/>
      <c r="Q495"/>
    </row>
    <row r="496" spans="8:17" x14ac:dyDescent="0.25">
      <c r="H496"/>
      <c r="I496"/>
      <c r="J496"/>
      <c r="Q496"/>
    </row>
    <row r="497" spans="8:17" x14ac:dyDescent="0.25">
      <c r="H497"/>
      <c r="I497"/>
      <c r="J497"/>
      <c r="Q497"/>
    </row>
    <row r="498" spans="8:17" x14ac:dyDescent="0.25">
      <c r="H498"/>
      <c r="I498"/>
      <c r="J498"/>
      <c r="Q498"/>
    </row>
    <row r="499" spans="8:17" x14ac:dyDescent="0.25">
      <c r="H499"/>
      <c r="I499"/>
      <c r="J499"/>
      <c r="Q499"/>
    </row>
    <row r="500" spans="8:17" x14ac:dyDescent="0.25">
      <c r="H500"/>
      <c r="I500"/>
      <c r="J500"/>
      <c r="Q500"/>
    </row>
    <row r="501" spans="8:17" x14ac:dyDescent="0.25">
      <c r="H501"/>
      <c r="I501"/>
      <c r="J501"/>
      <c r="Q501"/>
    </row>
    <row r="502" spans="8:17" x14ac:dyDescent="0.25">
      <c r="H502"/>
      <c r="I502"/>
      <c r="J502"/>
      <c r="Q502"/>
    </row>
    <row r="503" spans="8:17" x14ac:dyDescent="0.25">
      <c r="H503"/>
      <c r="I503"/>
      <c r="J503"/>
      <c r="Q503"/>
    </row>
    <row r="504" spans="8:17" x14ac:dyDescent="0.25">
      <c r="H504"/>
      <c r="I504"/>
      <c r="J504"/>
      <c r="Q504"/>
    </row>
    <row r="505" spans="8:17" x14ac:dyDescent="0.25">
      <c r="H505"/>
      <c r="I505"/>
      <c r="J505"/>
      <c r="Q505"/>
    </row>
    <row r="506" spans="8:17" x14ac:dyDescent="0.25">
      <c r="H506"/>
      <c r="I506"/>
      <c r="J506"/>
      <c r="Q506"/>
    </row>
    <row r="507" spans="8:17" x14ac:dyDescent="0.25">
      <c r="H507"/>
      <c r="I507"/>
      <c r="J507"/>
      <c r="Q507"/>
    </row>
    <row r="508" spans="8:17" x14ac:dyDescent="0.25">
      <c r="H508"/>
      <c r="I508"/>
      <c r="J508"/>
      <c r="Q508"/>
    </row>
    <row r="509" spans="8:17" x14ac:dyDescent="0.25">
      <c r="H509"/>
      <c r="I509"/>
      <c r="J509"/>
      <c r="Q509"/>
    </row>
    <row r="510" spans="8:17" x14ac:dyDescent="0.25">
      <c r="H510"/>
      <c r="I510"/>
      <c r="J510"/>
      <c r="Q510"/>
    </row>
    <row r="511" spans="8:17" x14ac:dyDescent="0.25">
      <c r="H511"/>
      <c r="I511"/>
      <c r="J511"/>
      <c r="Q511"/>
    </row>
    <row r="512" spans="8:17" x14ac:dyDescent="0.25">
      <c r="H512"/>
      <c r="I512"/>
      <c r="J512"/>
      <c r="Q512"/>
    </row>
    <row r="513" spans="8:17" x14ac:dyDescent="0.25">
      <c r="H513"/>
      <c r="I513"/>
      <c r="J513"/>
      <c r="Q513"/>
    </row>
    <row r="514" spans="8:17" x14ac:dyDescent="0.25">
      <c r="H514"/>
      <c r="I514"/>
      <c r="J514"/>
      <c r="Q514"/>
    </row>
    <row r="515" spans="8:17" x14ac:dyDescent="0.25">
      <c r="H515"/>
      <c r="I515"/>
      <c r="J515"/>
      <c r="Q515"/>
    </row>
    <row r="516" spans="8:17" x14ac:dyDescent="0.25">
      <c r="H516"/>
      <c r="I516"/>
      <c r="J516"/>
      <c r="Q516"/>
    </row>
    <row r="517" spans="8:17" x14ac:dyDescent="0.25">
      <c r="H517"/>
      <c r="I517"/>
      <c r="J517"/>
      <c r="Q517"/>
    </row>
    <row r="518" spans="8:17" x14ac:dyDescent="0.25">
      <c r="H518"/>
      <c r="I518"/>
      <c r="J518"/>
      <c r="Q518"/>
    </row>
    <row r="519" spans="8:17" x14ac:dyDescent="0.25">
      <c r="H519"/>
      <c r="I519"/>
      <c r="J519"/>
      <c r="Q519"/>
    </row>
    <row r="520" spans="8:17" x14ac:dyDescent="0.25">
      <c r="H520"/>
      <c r="I520"/>
      <c r="J520"/>
      <c r="Q520"/>
    </row>
    <row r="521" spans="8:17" x14ac:dyDescent="0.25">
      <c r="H521"/>
      <c r="I521"/>
      <c r="J521"/>
      <c r="Q521"/>
    </row>
    <row r="522" spans="8:17" x14ac:dyDescent="0.25">
      <c r="H522"/>
      <c r="I522"/>
      <c r="J522"/>
      <c r="Q522"/>
    </row>
    <row r="523" spans="8:17" x14ac:dyDescent="0.25">
      <c r="H523"/>
      <c r="I523"/>
      <c r="J523"/>
      <c r="Q523"/>
    </row>
    <row r="524" spans="8:17" x14ac:dyDescent="0.25">
      <c r="H524"/>
      <c r="I524"/>
      <c r="J524"/>
      <c r="Q524"/>
    </row>
    <row r="525" spans="8:17" x14ac:dyDescent="0.25">
      <c r="H525"/>
      <c r="I525"/>
      <c r="J525"/>
      <c r="Q525"/>
    </row>
    <row r="526" spans="8:17" x14ac:dyDescent="0.25">
      <c r="H526"/>
      <c r="I526"/>
      <c r="J526"/>
      <c r="Q526"/>
    </row>
    <row r="527" spans="8:17" x14ac:dyDescent="0.25">
      <c r="H527"/>
      <c r="I527"/>
      <c r="J527"/>
      <c r="Q527"/>
    </row>
    <row r="528" spans="8:17" x14ac:dyDescent="0.25">
      <c r="H528"/>
      <c r="I528"/>
      <c r="J528"/>
      <c r="Q528"/>
    </row>
    <row r="529" spans="8:17" x14ac:dyDescent="0.25">
      <c r="H529"/>
      <c r="I529"/>
      <c r="J529"/>
      <c r="Q529"/>
    </row>
    <row r="530" spans="8:17" x14ac:dyDescent="0.25">
      <c r="H530"/>
      <c r="I530"/>
      <c r="J530"/>
      <c r="Q530"/>
    </row>
    <row r="531" spans="8:17" x14ac:dyDescent="0.25">
      <c r="H531"/>
      <c r="I531"/>
      <c r="J531"/>
      <c r="Q531"/>
    </row>
    <row r="532" spans="8:17" x14ac:dyDescent="0.25">
      <c r="H532"/>
      <c r="I532"/>
      <c r="J532"/>
      <c r="Q532"/>
    </row>
    <row r="533" spans="8:17" x14ac:dyDescent="0.25">
      <c r="H533"/>
      <c r="I533"/>
      <c r="J533"/>
      <c r="Q533"/>
    </row>
    <row r="534" spans="8:17" x14ac:dyDescent="0.25">
      <c r="H534"/>
      <c r="I534"/>
      <c r="J534"/>
      <c r="Q534"/>
    </row>
    <row r="535" spans="8:17" x14ac:dyDescent="0.25">
      <c r="H535"/>
      <c r="I535"/>
      <c r="J535"/>
      <c r="Q535"/>
    </row>
    <row r="536" spans="8:17" x14ac:dyDescent="0.25">
      <c r="H536"/>
      <c r="I536"/>
      <c r="J536"/>
      <c r="Q536"/>
    </row>
    <row r="537" spans="8:17" x14ac:dyDescent="0.25">
      <c r="H537"/>
      <c r="I537"/>
      <c r="J537"/>
      <c r="Q537"/>
    </row>
    <row r="538" spans="8:17" x14ac:dyDescent="0.25">
      <c r="H538"/>
      <c r="I538"/>
      <c r="J538"/>
      <c r="Q538"/>
    </row>
    <row r="539" spans="8:17" x14ac:dyDescent="0.25">
      <c r="H539"/>
      <c r="I539"/>
      <c r="J539"/>
      <c r="Q539"/>
    </row>
    <row r="540" spans="8:17" x14ac:dyDescent="0.25">
      <c r="H540"/>
      <c r="I540"/>
      <c r="J540"/>
      <c r="Q540"/>
    </row>
    <row r="541" spans="8:17" x14ac:dyDescent="0.25">
      <c r="H541"/>
      <c r="I541"/>
      <c r="J541"/>
      <c r="Q541"/>
    </row>
    <row r="542" spans="8:17" x14ac:dyDescent="0.25">
      <c r="H542"/>
      <c r="I542"/>
      <c r="J542"/>
      <c r="Q542"/>
    </row>
    <row r="543" spans="8:17" x14ac:dyDescent="0.25">
      <c r="H543"/>
      <c r="I543"/>
      <c r="J543"/>
      <c r="Q543"/>
    </row>
    <row r="544" spans="8:17" x14ac:dyDescent="0.25">
      <c r="H544"/>
      <c r="I544"/>
      <c r="J544"/>
      <c r="Q544"/>
    </row>
    <row r="545" spans="8:17" x14ac:dyDescent="0.25">
      <c r="H545"/>
      <c r="I545"/>
      <c r="J545"/>
      <c r="Q545"/>
    </row>
    <row r="546" spans="8:17" x14ac:dyDescent="0.25">
      <c r="H546"/>
      <c r="I546"/>
      <c r="J546"/>
      <c r="Q546"/>
    </row>
    <row r="547" spans="8:17" x14ac:dyDescent="0.25">
      <c r="H547"/>
      <c r="I547"/>
      <c r="J547"/>
      <c r="Q547"/>
    </row>
    <row r="548" spans="8:17" x14ac:dyDescent="0.25">
      <c r="H548"/>
      <c r="I548"/>
      <c r="J548"/>
      <c r="Q548"/>
    </row>
    <row r="549" spans="8:17" x14ac:dyDescent="0.25">
      <c r="H549"/>
      <c r="I549"/>
      <c r="J549"/>
      <c r="Q549"/>
    </row>
    <row r="550" spans="8:17" x14ac:dyDescent="0.25">
      <c r="H550"/>
      <c r="I550"/>
      <c r="J550"/>
      <c r="Q550"/>
    </row>
    <row r="551" spans="8:17" x14ac:dyDescent="0.25">
      <c r="H551"/>
      <c r="I551"/>
      <c r="J551"/>
      <c r="Q551"/>
    </row>
    <row r="552" spans="8:17" x14ac:dyDescent="0.25">
      <c r="H552"/>
      <c r="I552"/>
      <c r="J552"/>
      <c r="Q552"/>
    </row>
    <row r="553" spans="8:17" x14ac:dyDescent="0.25">
      <c r="H553"/>
      <c r="I553"/>
      <c r="J553"/>
      <c r="Q553"/>
    </row>
    <row r="554" spans="8:17" x14ac:dyDescent="0.25">
      <c r="H554"/>
      <c r="I554"/>
      <c r="J554"/>
      <c r="Q554"/>
    </row>
    <row r="555" spans="8:17" x14ac:dyDescent="0.25">
      <c r="H555"/>
      <c r="I555"/>
      <c r="J555"/>
      <c r="Q555"/>
    </row>
    <row r="556" spans="8:17" x14ac:dyDescent="0.25">
      <c r="H556"/>
      <c r="I556"/>
      <c r="J556"/>
      <c r="Q556"/>
    </row>
    <row r="557" spans="8:17" x14ac:dyDescent="0.25">
      <c r="H557"/>
      <c r="I557"/>
      <c r="J557"/>
      <c r="Q557"/>
    </row>
    <row r="558" spans="8:17" x14ac:dyDescent="0.25">
      <c r="H558"/>
      <c r="I558"/>
      <c r="J558"/>
      <c r="Q558"/>
    </row>
    <row r="559" spans="8:17" x14ac:dyDescent="0.25">
      <c r="H559"/>
      <c r="I559"/>
      <c r="J559"/>
      <c r="Q559"/>
    </row>
    <row r="560" spans="8:17" x14ac:dyDescent="0.25">
      <c r="H560"/>
      <c r="I560"/>
      <c r="J560"/>
      <c r="Q560"/>
    </row>
    <row r="561" spans="8:17" x14ac:dyDescent="0.25">
      <c r="H561"/>
      <c r="I561"/>
      <c r="J561"/>
      <c r="Q561"/>
    </row>
    <row r="562" spans="8:17" x14ac:dyDescent="0.25">
      <c r="H562"/>
      <c r="I562"/>
      <c r="J562"/>
      <c r="Q562"/>
    </row>
    <row r="563" spans="8:17" x14ac:dyDescent="0.25">
      <c r="H563"/>
      <c r="I563"/>
      <c r="J563"/>
      <c r="Q563"/>
    </row>
    <row r="564" spans="8:17" x14ac:dyDescent="0.25">
      <c r="H564"/>
      <c r="I564"/>
      <c r="J564"/>
      <c r="Q564"/>
    </row>
    <row r="565" spans="8:17" x14ac:dyDescent="0.25">
      <c r="H565"/>
      <c r="I565"/>
      <c r="J565"/>
      <c r="Q565"/>
    </row>
    <row r="566" spans="8:17" x14ac:dyDescent="0.25">
      <c r="H566"/>
      <c r="I566"/>
      <c r="J566"/>
      <c r="Q566"/>
    </row>
    <row r="567" spans="8:17" x14ac:dyDescent="0.25">
      <c r="H567"/>
      <c r="I567"/>
      <c r="J567"/>
      <c r="Q567"/>
    </row>
    <row r="568" spans="8:17" x14ac:dyDescent="0.25">
      <c r="H568"/>
      <c r="I568"/>
      <c r="J568"/>
      <c r="Q568"/>
    </row>
    <row r="569" spans="8:17" x14ac:dyDescent="0.25">
      <c r="H569"/>
      <c r="I569"/>
      <c r="J569"/>
      <c r="Q569"/>
    </row>
    <row r="570" spans="8:17" x14ac:dyDescent="0.25">
      <c r="H570"/>
      <c r="I570"/>
      <c r="J570"/>
      <c r="Q570"/>
    </row>
    <row r="571" spans="8:17" x14ac:dyDescent="0.25">
      <c r="H571"/>
      <c r="I571"/>
      <c r="J571"/>
      <c r="Q571"/>
    </row>
    <row r="572" spans="8:17" x14ac:dyDescent="0.25">
      <c r="H572"/>
      <c r="I572"/>
      <c r="J572"/>
      <c r="Q572"/>
    </row>
    <row r="573" spans="8:17" x14ac:dyDescent="0.25">
      <c r="H573"/>
      <c r="I573"/>
      <c r="J573"/>
      <c r="Q573"/>
    </row>
    <row r="574" spans="8:17" x14ac:dyDescent="0.25">
      <c r="H574"/>
      <c r="I574"/>
      <c r="J574"/>
      <c r="Q574"/>
    </row>
    <row r="575" spans="8:17" x14ac:dyDescent="0.25">
      <c r="H575"/>
      <c r="I575"/>
      <c r="J575"/>
      <c r="Q575"/>
    </row>
    <row r="576" spans="8:17" x14ac:dyDescent="0.25">
      <c r="H576"/>
      <c r="I576"/>
      <c r="J576"/>
      <c r="Q576"/>
    </row>
    <row r="577" spans="8:17" x14ac:dyDescent="0.25">
      <c r="H577"/>
      <c r="I577"/>
      <c r="J577"/>
      <c r="Q577"/>
    </row>
    <row r="578" spans="8:17" x14ac:dyDescent="0.25">
      <c r="H578"/>
      <c r="I578"/>
      <c r="J578"/>
      <c r="Q578"/>
    </row>
    <row r="579" spans="8:17" x14ac:dyDescent="0.25">
      <c r="H579"/>
      <c r="I579"/>
      <c r="J579"/>
      <c r="Q579"/>
    </row>
    <row r="580" spans="8:17" x14ac:dyDescent="0.25">
      <c r="H580"/>
      <c r="I580"/>
      <c r="J580"/>
      <c r="Q580"/>
    </row>
    <row r="581" spans="8:17" x14ac:dyDescent="0.25">
      <c r="H581"/>
      <c r="I581"/>
      <c r="J581"/>
      <c r="Q581"/>
    </row>
    <row r="582" spans="8:17" x14ac:dyDescent="0.25">
      <c r="H582"/>
      <c r="I582"/>
      <c r="J582"/>
      <c r="Q582"/>
    </row>
    <row r="583" spans="8:17" x14ac:dyDescent="0.25">
      <c r="H583"/>
      <c r="I583"/>
      <c r="J583"/>
      <c r="Q583"/>
    </row>
    <row r="584" spans="8:17" x14ac:dyDescent="0.25">
      <c r="H584"/>
      <c r="I584"/>
      <c r="J584"/>
      <c r="Q584"/>
    </row>
    <row r="585" spans="8:17" x14ac:dyDescent="0.25">
      <c r="H585"/>
      <c r="I585"/>
      <c r="J585"/>
      <c r="Q585"/>
    </row>
    <row r="586" spans="8:17" x14ac:dyDescent="0.25">
      <c r="H586"/>
      <c r="I586"/>
      <c r="J586"/>
      <c r="Q586"/>
    </row>
    <row r="587" spans="8:17" x14ac:dyDescent="0.25">
      <c r="H587"/>
      <c r="I587"/>
      <c r="J587"/>
      <c r="Q587"/>
    </row>
    <row r="588" spans="8:17" x14ac:dyDescent="0.25">
      <c r="H588"/>
      <c r="I588"/>
      <c r="J588"/>
      <c r="Q588"/>
    </row>
    <row r="589" spans="8:17" x14ac:dyDescent="0.25">
      <c r="H589"/>
      <c r="I589"/>
      <c r="J589"/>
      <c r="Q589"/>
    </row>
    <row r="590" spans="8:17" x14ac:dyDescent="0.25">
      <c r="H590"/>
      <c r="I590"/>
      <c r="J590"/>
      <c r="Q590"/>
    </row>
    <row r="591" spans="8:17" x14ac:dyDescent="0.25">
      <c r="H591"/>
      <c r="I591"/>
      <c r="J591"/>
      <c r="Q591"/>
    </row>
    <row r="592" spans="8:17" x14ac:dyDescent="0.25">
      <c r="H592"/>
      <c r="I592"/>
      <c r="J592"/>
      <c r="Q592"/>
    </row>
    <row r="593" spans="8:17" x14ac:dyDescent="0.25">
      <c r="H593"/>
      <c r="I593"/>
      <c r="J593"/>
      <c r="Q593"/>
    </row>
    <row r="594" spans="8:17" x14ac:dyDescent="0.25">
      <c r="H594"/>
      <c r="I594"/>
      <c r="J594"/>
      <c r="Q594"/>
    </row>
    <row r="595" spans="8:17" x14ac:dyDescent="0.25">
      <c r="H595"/>
      <c r="I595"/>
      <c r="J595"/>
      <c r="Q595"/>
    </row>
    <row r="596" spans="8:17" x14ac:dyDescent="0.25">
      <c r="H596"/>
      <c r="I596"/>
      <c r="J596"/>
      <c r="Q596"/>
    </row>
    <row r="597" spans="8:17" x14ac:dyDescent="0.25">
      <c r="H597"/>
      <c r="I597"/>
      <c r="J597"/>
      <c r="Q597"/>
    </row>
    <row r="598" spans="8:17" x14ac:dyDescent="0.25">
      <c r="H598"/>
      <c r="I598"/>
      <c r="J598"/>
      <c r="Q598"/>
    </row>
    <row r="599" spans="8:17" x14ac:dyDescent="0.25">
      <c r="H599"/>
      <c r="I599"/>
      <c r="J599"/>
      <c r="Q599"/>
    </row>
    <row r="600" spans="8:17" x14ac:dyDescent="0.25">
      <c r="H600"/>
      <c r="I600"/>
      <c r="J600"/>
      <c r="Q600"/>
    </row>
    <row r="601" spans="8:17" x14ac:dyDescent="0.25">
      <c r="H601"/>
      <c r="I601"/>
      <c r="J601"/>
      <c r="Q601"/>
    </row>
    <row r="602" spans="8:17" x14ac:dyDescent="0.25">
      <c r="H602"/>
      <c r="I602"/>
      <c r="J602"/>
      <c r="Q602"/>
    </row>
    <row r="603" spans="8:17" x14ac:dyDescent="0.25">
      <c r="H603"/>
      <c r="I603"/>
      <c r="J603"/>
      <c r="Q603"/>
    </row>
    <row r="604" spans="8:17" x14ac:dyDescent="0.25">
      <c r="H604"/>
      <c r="I604"/>
      <c r="J604"/>
      <c r="Q604"/>
    </row>
    <row r="605" spans="8:17" x14ac:dyDescent="0.25">
      <c r="H605"/>
      <c r="I605"/>
      <c r="J605"/>
      <c r="Q605"/>
    </row>
    <row r="606" spans="8:17" x14ac:dyDescent="0.25">
      <c r="H606"/>
      <c r="I606"/>
      <c r="J606"/>
      <c r="Q606"/>
    </row>
    <row r="607" spans="8:17" x14ac:dyDescent="0.25">
      <c r="H607"/>
      <c r="I607"/>
      <c r="J607"/>
      <c r="Q607"/>
    </row>
    <row r="608" spans="8:17" x14ac:dyDescent="0.25">
      <c r="H608"/>
      <c r="I608"/>
      <c r="J608"/>
      <c r="Q608"/>
    </row>
    <row r="609" spans="8:17" x14ac:dyDescent="0.25">
      <c r="H609"/>
      <c r="I609"/>
      <c r="J609"/>
      <c r="Q609"/>
    </row>
    <row r="610" spans="8:17" x14ac:dyDescent="0.25">
      <c r="H610"/>
      <c r="I610"/>
      <c r="J610"/>
      <c r="Q610"/>
    </row>
    <row r="611" spans="8:17" x14ac:dyDescent="0.25">
      <c r="H611"/>
      <c r="I611"/>
      <c r="J611"/>
      <c r="Q611"/>
    </row>
    <row r="612" spans="8:17" x14ac:dyDescent="0.25">
      <c r="H612"/>
      <c r="I612"/>
      <c r="J612"/>
      <c r="Q612"/>
    </row>
    <row r="613" spans="8:17" x14ac:dyDescent="0.25">
      <c r="H613"/>
      <c r="I613"/>
      <c r="J613"/>
      <c r="Q613"/>
    </row>
    <row r="614" spans="8:17" x14ac:dyDescent="0.25">
      <c r="H614"/>
      <c r="I614"/>
      <c r="J614"/>
      <c r="Q614"/>
    </row>
    <row r="615" spans="8:17" x14ac:dyDescent="0.25">
      <c r="H615"/>
      <c r="I615"/>
      <c r="J615"/>
      <c r="Q615"/>
    </row>
    <row r="616" spans="8:17" x14ac:dyDescent="0.25">
      <c r="H616"/>
      <c r="I616"/>
      <c r="J616"/>
      <c r="Q616"/>
    </row>
    <row r="617" spans="8:17" x14ac:dyDescent="0.25">
      <c r="H617"/>
      <c r="I617"/>
      <c r="J617"/>
      <c r="Q617"/>
    </row>
    <row r="618" spans="8:17" x14ac:dyDescent="0.25">
      <c r="H618"/>
      <c r="I618"/>
      <c r="J618"/>
      <c r="Q618"/>
    </row>
    <row r="619" spans="8:17" x14ac:dyDescent="0.25">
      <c r="H619"/>
      <c r="I619"/>
      <c r="J619"/>
      <c r="Q619"/>
    </row>
    <row r="620" spans="8:17" x14ac:dyDescent="0.25">
      <c r="H620"/>
      <c r="I620"/>
      <c r="J620"/>
      <c r="Q620"/>
    </row>
    <row r="621" spans="8:17" x14ac:dyDescent="0.25">
      <c r="H621"/>
      <c r="I621"/>
      <c r="J621"/>
      <c r="Q621"/>
    </row>
    <row r="622" spans="8:17" x14ac:dyDescent="0.25">
      <c r="H622"/>
      <c r="I622"/>
      <c r="J622"/>
      <c r="Q622"/>
    </row>
    <row r="623" spans="8:17" x14ac:dyDescent="0.25">
      <c r="H623"/>
      <c r="I623"/>
      <c r="J623"/>
      <c r="Q623"/>
    </row>
    <row r="624" spans="8:17" x14ac:dyDescent="0.25">
      <c r="H624"/>
      <c r="I624"/>
      <c r="J624"/>
      <c r="Q624"/>
    </row>
    <row r="625" spans="8:17" x14ac:dyDescent="0.25">
      <c r="H625"/>
      <c r="I625"/>
      <c r="J625"/>
      <c r="Q625"/>
    </row>
    <row r="626" spans="8:17" x14ac:dyDescent="0.25">
      <c r="H626"/>
      <c r="I626"/>
      <c r="J626"/>
      <c r="Q626"/>
    </row>
    <row r="627" spans="8:17" x14ac:dyDescent="0.25">
      <c r="H627"/>
      <c r="I627"/>
      <c r="J627"/>
      <c r="Q627"/>
    </row>
    <row r="628" spans="8:17" x14ac:dyDescent="0.25">
      <c r="H628"/>
      <c r="I628"/>
      <c r="J628"/>
      <c r="Q628"/>
    </row>
    <row r="629" spans="8:17" x14ac:dyDescent="0.25">
      <c r="H629"/>
      <c r="I629"/>
      <c r="J629"/>
      <c r="Q629"/>
    </row>
    <row r="630" spans="8:17" x14ac:dyDescent="0.25">
      <c r="H630"/>
      <c r="I630"/>
      <c r="J630"/>
      <c r="Q630"/>
    </row>
    <row r="631" spans="8:17" x14ac:dyDescent="0.25">
      <c r="H631"/>
      <c r="I631"/>
      <c r="J631"/>
      <c r="Q631"/>
    </row>
    <row r="632" spans="8:17" x14ac:dyDescent="0.25">
      <c r="H632"/>
      <c r="I632"/>
      <c r="J632"/>
      <c r="Q632"/>
    </row>
    <row r="633" spans="8:17" x14ac:dyDescent="0.25">
      <c r="H633"/>
      <c r="I633"/>
      <c r="J633"/>
      <c r="Q633"/>
    </row>
    <row r="634" spans="8:17" x14ac:dyDescent="0.25">
      <c r="H634"/>
      <c r="I634"/>
      <c r="J634"/>
      <c r="Q634"/>
    </row>
    <row r="635" spans="8:17" x14ac:dyDescent="0.25">
      <c r="H635"/>
      <c r="I635"/>
      <c r="J635"/>
      <c r="Q635"/>
    </row>
    <row r="636" spans="8:17" x14ac:dyDescent="0.25">
      <c r="H636"/>
      <c r="I636"/>
      <c r="J636"/>
      <c r="Q636"/>
    </row>
    <row r="637" spans="8:17" x14ac:dyDescent="0.25">
      <c r="H637"/>
      <c r="I637"/>
      <c r="J637"/>
      <c r="Q637"/>
    </row>
    <row r="638" spans="8:17" x14ac:dyDescent="0.25">
      <c r="H638"/>
      <c r="I638"/>
      <c r="J638"/>
      <c r="Q638"/>
    </row>
    <row r="639" spans="8:17" x14ac:dyDescent="0.25">
      <c r="H639"/>
      <c r="I639"/>
      <c r="J639"/>
      <c r="Q639"/>
    </row>
    <row r="640" spans="8:17" x14ac:dyDescent="0.25">
      <c r="H640"/>
      <c r="I640"/>
      <c r="J640"/>
      <c r="Q640"/>
    </row>
    <row r="641" spans="8:17" x14ac:dyDescent="0.25">
      <c r="H641"/>
      <c r="I641"/>
      <c r="J641"/>
      <c r="Q641"/>
    </row>
    <row r="642" spans="8:17" x14ac:dyDescent="0.25">
      <c r="H642"/>
      <c r="I642"/>
      <c r="J642"/>
      <c r="Q642"/>
    </row>
    <row r="643" spans="8:17" x14ac:dyDescent="0.25">
      <c r="H643"/>
      <c r="I643"/>
      <c r="J643"/>
      <c r="Q643"/>
    </row>
    <row r="644" spans="8:17" x14ac:dyDescent="0.25">
      <c r="H644"/>
      <c r="I644"/>
      <c r="J644"/>
      <c r="Q644"/>
    </row>
    <row r="645" spans="8:17" x14ac:dyDescent="0.25">
      <c r="H645"/>
      <c r="I645"/>
      <c r="J645"/>
      <c r="Q645"/>
    </row>
    <row r="646" spans="8:17" x14ac:dyDescent="0.25">
      <c r="H646"/>
      <c r="I646"/>
      <c r="J646"/>
      <c r="Q646"/>
    </row>
    <row r="647" spans="8:17" x14ac:dyDescent="0.25">
      <c r="H647"/>
      <c r="I647"/>
      <c r="J647"/>
      <c r="Q647"/>
    </row>
    <row r="648" spans="8:17" x14ac:dyDescent="0.25">
      <c r="H648"/>
      <c r="I648"/>
      <c r="J648"/>
      <c r="Q648"/>
    </row>
    <row r="649" spans="8:17" x14ac:dyDescent="0.25">
      <c r="H649"/>
      <c r="I649"/>
      <c r="J649"/>
      <c r="Q649"/>
    </row>
    <row r="650" spans="8:17" x14ac:dyDescent="0.25">
      <c r="H650"/>
      <c r="I650"/>
      <c r="J650"/>
      <c r="Q650"/>
    </row>
    <row r="651" spans="8:17" x14ac:dyDescent="0.25">
      <c r="H651"/>
      <c r="I651"/>
      <c r="J651"/>
      <c r="Q651"/>
    </row>
    <row r="652" spans="8:17" x14ac:dyDescent="0.25">
      <c r="H652"/>
      <c r="I652"/>
      <c r="J652"/>
      <c r="Q652"/>
    </row>
    <row r="653" spans="8:17" x14ac:dyDescent="0.25">
      <c r="H653"/>
      <c r="I653"/>
      <c r="J653"/>
      <c r="Q653"/>
    </row>
    <row r="654" spans="8:17" x14ac:dyDescent="0.25">
      <c r="H654"/>
      <c r="I654"/>
      <c r="J654"/>
      <c r="Q654"/>
    </row>
    <row r="655" spans="8:17" x14ac:dyDescent="0.25">
      <c r="H655"/>
      <c r="I655"/>
      <c r="J655"/>
      <c r="Q655"/>
    </row>
    <row r="656" spans="8:17" x14ac:dyDescent="0.25">
      <c r="H656"/>
      <c r="I656"/>
      <c r="J656"/>
      <c r="Q656"/>
    </row>
    <row r="657" spans="8:17" x14ac:dyDescent="0.25">
      <c r="H657"/>
      <c r="I657"/>
      <c r="J657"/>
      <c r="Q657"/>
    </row>
    <row r="658" spans="8:17" x14ac:dyDescent="0.25">
      <c r="H658"/>
      <c r="I658"/>
      <c r="J658"/>
      <c r="Q658"/>
    </row>
    <row r="659" spans="8:17" x14ac:dyDescent="0.25">
      <c r="H659"/>
      <c r="I659"/>
      <c r="J659"/>
      <c r="Q659"/>
    </row>
    <row r="660" spans="8:17" x14ac:dyDescent="0.25">
      <c r="H660"/>
      <c r="I660"/>
      <c r="J660"/>
      <c r="Q660"/>
    </row>
    <row r="661" spans="8:17" x14ac:dyDescent="0.25">
      <c r="H661"/>
      <c r="I661"/>
      <c r="J661"/>
      <c r="Q661"/>
    </row>
    <row r="662" spans="8:17" x14ac:dyDescent="0.25">
      <c r="H662"/>
      <c r="I662"/>
      <c r="J662"/>
      <c r="Q662"/>
    </row>
    <row r="663" spans="8:17" x14ac:dyDescent="0.25">
      <c r="H663"/>
      <c r="I663"/>
      <c r="J663"/>
      <c r="Q663"/>
    </row>
    <row r="664" spans="8:17" x14ac:dyDescent="0.25">
      <c r="H664"/>
      <c r="I664"/>
      <c r="J664"/>
      <c r="Q664"/>
    </row>
    <row r="665" spans="8:17" x14ac:dyDescent="0.25">
      <c r="H665"/>
      <c r="I665"/>
      <c r="J665"/>
      <c r="Q665"/>
    </row>
    <row r="666" spans="8:17" x14ac:dyDescent="0.25">
      <c r="H666"/>
      <c r="I666"/>
      <c r="J666"/>
      <c r="Q666"/>
    </row>
    <row r="667" spans="8:17" x14ac:dyDescent="0.25">
      <c r="H667"/>
      <c r="I667"/>
      <c r="J667"/>
      <c r="Q667"/>
    </row>
    <row r="668" spans="8:17" x14ac:dyDescent="0.25">
      <c r="H668"/>
      <c r="I668"/>
      <c r="J668"/>
      <c r="Q668"/>
    </row>
    <row r="669" spans="8:17" x14ac:dyDescent="0.25">
      <c r="H669"/>
      <c r="I669"/>
      <c r="J669"/>
      <c r="Q669"/>
    </row>
    <row r="670" spans="8:17" x14ac:dyDescent="0.25">
      <c r="H670"/>
      <c r="I670"/>
      <c r="J670"/>
      <c r="Q670"/>
    </row>
    <row r="671" spans="8:17" x14ac:dyDescent="0.25">
      <c r="H671"/>
      <c r="I671"/>
      <c r="J671"/>
      <c r="Q671"/>
    </row>
    <row r="672" spans="8:17" x14ac:dyDescent="0.25">
      <c r="H672"/>
      <c r="I672"/>
      <c r="J672"/>
      <c r="Q672"/>
    </row>
    <row r="673" spans="8:17" x14ac:dyDescent="0.25">
      <c r="H673"/>
      <c r="I673"/>
      <c r="J673"/>
      <c r="Q673"/>
    </row>
    <row r="674" spans="8:17" x14ac:dyDescent="0.25">
      <c r="H674"/>
      <c r="I674"/>
      <c r="J674"/>
      <c r="Q674"/>
    </row>
    <row r="675" spans="8:17" x14ac:dyDescent="0.25">
      <c r="H675"/>
      <c r="I675"/>
      <c r="J675"/>
      <c r="Q675"/>
    </row>
    <row r="676" spans="8:17" x14ac:dyDescent="0.25">
      <c r="H676"/>
      <c r="I676"/>
      <c r="J676"/>
      <c r="Q676"/>
    </row>
    <row r="677" spans="8:17" x14ac:dyDescent="0.25">
      <c r="H677"/>
      <c r="I677"/>
      <c r="J677"/>
      <c r="Q677"/>
    </row>
    <row r="678" spans="8:17" x14ac:dyDescent="0.25">
      <c r="H678"/>
      <c r="I678"/>
      <c r="J678"/>
      <c r="Q678"/>
    </row>
    <row r="679" spans="8:17" x14ac:dyDescent="0.25">
      <c r="H679"/>
      <c r="I679"/>
      <c r="J679"/>
      <c r="Q679"/>
    </row>
    <row r="680" spans="8:17" x14ac:dyDescent="0.25">
      <c r="H680"/>
      <c r="I680"/>
      <c r="J680"/>
      <c r="Q680"/>
    </row>
    <row r="681" spans="8:17" x14ac:dyDescent="0.25">
      <c r="H681"/>
      <c r="I681"/>
      <c r="J681"/>
      <c r="Q681"/>
    </row>
    <row r="682" spans="8:17" x14ac:dyDescent="0.25">
      <c r="H682"/>
      <c r="I682"/>
      <c r="J682"/>
      <c r="Q682"/>
    </row>
    <row r="683" spans="8:17" x14ac:dyDescent="0.25">
      <c r="H683"/>
      <c r="I683"/>
      <c r="J683"/>
      <c r="Q683"/>
    </row>
    <row r="684" spans="8:17" x14ac:dyDescent="0.25">
      <c r="H684"/>
      <c r="I684"/>
      <c r="J684"/>
      <c r="Q684"/>
    </row>
    <row r="685" spans="8:17" x14ac:dyDescent="0.25">
      <c r="H685"/>
      <c r="I685"/>
      <c r="J685"/>
      <c r="Q685"/>
    </row>
    <row r="686" spans="8:17" x14ac:dyDescent="0.25">
      <c r="H686"/>
      <c r="I686"/>
      <c r="J686"/>
      <c r="Q686"/>
    </row>
    <row r="687" spans="8:17" x14ac:dyDescent="0.25">
      <c r="H687"/>
      <c r="I687"/>
      <c r="J687"/>
      <c r="Q687"/>
    </row>
    <row r="688" spans="8:17" x14ac:dyDescent="0.25">
      <c r="H688"/>
      <c r="I688"/>
      <c r="J688"/>
      <c r="Q688"/>
    </row>
    <row r="689" spans="8:17" x14ac:dyDescent="0.25">
      <c r="H689"/>
      <c r="I689"/>
      <c r="J689"/>
      <c r="Q689"/>
    </row>
    <row r="690" spans="8:17" x14ac:dyDescent="0.25">
      <c r="H690"/>
      <c r="I690"/>
      <c r="J690"/>
      <c r="Q690"/>
    </row>
    <row r="691" spans="8:17" x14ac:dyDescent="0.25">
      <c r="H691"/>
      <c r="I691"/>
      <c r="J691"/>
      <c r="Q691"/>
    </row>
    <row r="692" spans="8:17" x14ac:dyDescent="0.25">
      <c r="H692"/>
      <c r="I692"/>
      <c r="J692"/>
      <c r="Q692"/>
    </row>
    <row r="693" spans="8:17" x14ac:dyDescent="0.25">
      <c r="H693"/>
      <c r="I693"/>
      <c r="J693"/>
      <c r="Q693"/>
    </row>
    <row r="694" spans="8:17" x14ac:dyDescent="0.25">
      <c r="H694"/>
      <c r="I694"/>
      <c r="J694"/>
      <c r="Q694"/>
    </row>
    <row r="695" spans="8:17" x14ac:dyDescent="0.25">
      <c r="H695"/>
      <c r="I695"/>
      <c r="J695"/>
      <c r="Q695"/>
    </row>
    <row r="696" spans="8:17" x14ac:dyDescent="0.25">
      <c r="H696"/>
      <c r="I696"/>
      <c r="J696"/>
      <c r="Q696"/>
    </row>
    <row r="697" spans="8:17" x14ac:dyDescent="0.25">
      <c r="H697"/>
      <c r="I697"/>
      <c r="J697"/>
      <c r="Q697"/>
    </row>
    <row r="698" spans="8:17" x14ac:dyDescent="0.25">
      <c r="H698"/>
      <c r="I698"/>
      <c r="J698"/>
      <c r="Q698"/>
    </row>
    <row r="699" spans="8:17" x14ac:dyDescent="0.25">
      <c r="H699"/>
      <c r="I699"/>
      <c r="J699"/>
      <c r="Q699"/>
    </row>
    <row r="700" spans="8:17" x14ac:dyDescent="0.25">
      <c r="H700"/>
      <c r="I700"/>
      <c r="J700"/>
      <c r="Q700"/>
    </row>
    <row r="701" spans="8:17" x14ac:dyDescent="0.25">
      <c r="H701"/>
      <c r="I701"/>
      <c r="J701"/>
      <c r="Q701"/>
    </row>
    <row r="702" spans="8:17" x14ac:dyDescent="0.25">
      <c r="H702"/>
      <c r="I702"/>
      <c r="J702"/>
      <c r="Q702"/>
    </row>
    <row r="703" spans="8:17" x14ac:dyDescent="0.25">
      <c r="H703"/>
      <c r="I703"/>
      <c r="J703"/>
      <c r="Q703"/>
    </row>
    <row r="704" spans="8:17" x14ac:dyDescent="0.25">
      <c r="H704"/>
      <c r="I704"/>
      <c r="J704"/>
      <c r="Q704"/>
    </row>
    <row r="705" spans="8:17" x14ac:dyDescent="0.25">
      <c r="H705"/>
      <c r="I705"/>
      <c r="J705"/>
      <c r="Q705"/>
    </row>
    <row r="706" spans="8:17" x14ac:dyDescent="0.25">
      <c r="H706"/>
      <c r="I706"/>
      <c r="J706"/>
      <c r="Q706"/>
    </row>
    <row r="707" spans="8:17" x14ac:dyDescent="0.25">
      <c r="H707"/>
      <c r="I707"/>
      <c r="J707"/>
      <c r="Q707"/>
    </row>
    <row r="708" spans="8:17" x14ac:dyDescent="0.25">
      <c r="H708"/>
      <c r="I708"/>
      <c r="J708"/>
      <c r="Q708"/>
    </row>
    <row r="709" spans="8:17" x14ac:dyDescent="0.25">
      <c r="H709"/>
      <c r="I709"/>
      <c r="J709"/>
      <c r="Q709"/>
    </row>
    <row r="710" spans="8:17" x14ac:dyDescent="0.25">
      <c r="H710"/>
      <c r="I710"/>
      <c r="J710"/>
      <c r="Q710"/>
    </row>
    <row r="711" spans="8:17" x14ac:dyDescent="0.25">
      <c r="H711"/>
      <c r="I711"/>
      <c r="J711"/>
      <c r="Q711"/>
    </row>
    <row r="712" spans="8:17" x14ac:dyDescent="0.25">
      <c r="H712"/>
      <c r="I712"/>
      <c r="J712"/>
      <c r="Q712"/>
    </row>
    <row r="713" spans="8:17" x14ac:dyDescent="0.25">
      <c r="H713"/>
      <c r="I713"/>
      <c r="J713"/>
      <c r="Q713"/>
    </row>
    <row r="714" spans="8:17" x14ac:dyDescent="0.25">
      <c r="H714"/>
      <c r="I714"/>
      <c r="J714"/>
      <c r="Q714"/>
    </row>
    <row r="715" spans="8:17" x14ac:dyDescent="0.25">
      <c r="H715"/>
      <c r="I715"/>
      <c r="J715"/>
      <c r="Q715"/>
    </row>
    <row r="716" spans="8:17" x14ac:dyDescent="0.25">
      <c r="H716"/>
      <c r="I716"/>
      <c r="J716"/>
      <c r="Q716"/>
    </row>
    <row r="717" spans="8:17" x14ac:dyDescent="0.25">
      <c r="H717"/>
      <c r="I717"/>
      <c r="J717"/>
      <c r="Q717"/>
    </row>
    <row r="718" spans="8:17" x14ac:dyDescent="0.25">
      <c r="H718"/>
      <c r="I718"/>
      <c r="J718"/>
      <c r="Q718"/>
    </row>
    <row r="719" spans="8:17" x14ac:dyDescent="0.25">
      <c r="H719"/>
      <c r="I719"/>
      <c r="J719"/>
      <c r="Q719"/>
    </row>
    <row r="720" spans="8:17" x14ac:dyDescent="0.25">
      <c r="H720"/>
      <c r="I720"/>
      <c r="J720"/>
      <c r="Q720"/>
    </row>
    <row r="721" spans="8:17" x14ac:dyDescent="0.25">
      <c r="H721"/>
      <c r="I721"/>
      <c r="J721"/>
      <c r="Q721"/>
    </row>
    <row r="722" spans="8:17" x14ac:dyDescent="0.25">
      <c r="H722"/>
      <c r="I722"/>
      <c r="J722"/>
      <c r="Q722"/>
    </row>
    <row r="723" spans="8:17" x14ac:dyDescent="0.25">
      <c r="H723"/>
      <c r="I723"/>
      <c r="J723"/>
      <c r="Q723"/>
    </row>
    <row r="724" spans="8:17" x14ac:dyDescent="0.25">
      <c r="H724"/>
      <c r="I724"/>
      <c r="J724"/>
      <c r="Q724"/>
    </row>
    <row r="725" spans="8:17" x14ac:dyDescent="0.25">
      <c r="H725"/>
      <c r="I725"/>
      <c r="J725"/>
      <c r="Q725"/>
    </row>
    <row r="726" spans="8:17" x14ac:dyDescent="0.25">
      <c r="H726"/>
      <c r="I726"/>
      <c r="J726"/>
      <c r="Q726"/>
    </row>
    <row r="727" spans="8:17" x14ac:dyDescent="0.25">
      <c r="H727"/>
      <c r="I727"/>
      <c r="J727"/>
      <c r="Q727"/>
    </row>
    <row r="728" spans="8:17" x14ac:dyDescent="0.25">
      <c r="H728"/>
      <c r="I728"/>
      <c r="J728"/>
      <c r="Q728"/>
    </row>
    <row r="729" spans="8:17" x14ac:dyDescent="0.25">
      <c r="H729"/>
      <c r="I729"/>
      <c r="J729"/>
      <c r="Q729"/>
    </row>
    <row r="730" spans="8:17" x14ac:dyDescent="0.25">
      <c r="H730"/>
      <c r="I730"/>
      <c r="J730"/>
      <c r="Q730"/>
    </row>
    <row r="731" spans="8:17" x14ac:dyDescent="0.25">
      <c r="H731"/>
      <c r="I731"/>
      <c r="J731"/>
      <c r="Q731"/>
    </row>
    <row r="732" spans="8:17" x14ac:dyDescent="0.25">
      <c r="H732"/>
      <c r="I732"/>
      <c r="J732"/>
      <c r="Q732"/>
    </row>
    <row r="733" spans="8:17" x14ac:dyDescent="0.25">
      <c r="H733"/>
      <c r="I733"/>
      <c r="J733"/>
      <c r="Q733"/>
    </row>
    <row r="734" spans="8:17" x14ac:dyDescent="0.25">
      <c r="H734"/>
      <c r="I734"/>
      <c r="J734"/>
      <c r="Q734"/>
    </row>
    <row r="735" spans="8:17" x14ac:dyDescent="0.25">
      <c r="H735"/>
      <c r="I735"/>
      <c r="J735"/>
      <c r="Q735"/>
    </row>
    <row r="736" spans="8:17" x14ac:dyDescent="0.25">
      <c r="H736"/>
      <c r="I736"/>
      <c r="J736"/>
      <c r="Q736"/>
    </row>
    <row r="737" spans="8:17" x14ac:dyDescent="0.25">
      <c r="H737"/>
      <c r="I737"/>
      <c r="J737"/>
      <c r="Q737"/>
    </row>
    <row r="738" spans="8:17" x14ac:dyDescent="0.25">
      <c r="H738"/>
      <c r="I738"/>
      <c r="J738"/>
      <c r="Q738"/>
    </row>
    <row r="739" spans="8:17" x14ac:dyDescent="0.25">
      <c r="H739"/>
      <c r="I739"/>
      <c r="J739"/>
      <c r="Q739"/>
    </row>
    <row r="740" spans="8:17" x14ac:dyDescent="0.25">
      <c r="H740"/>
      <c r="I740"/>
      <c r="J740"/>
      <c r="Q740"/>
    </row>
    <row r="741" spans="8:17" x14ac:dyDescent="0.25">
      <c r="H741"/>
      <c r="I741"/>
      <c r="J741"/>
      <c r="Q741"/>
    </row>
    <row r="742" spans="8:17" x14ac:dyDescent="0.25">
      <c r="H742"/>
      <c r="I742"/>
      <c r="J742"/>
      <c r="Q742"/>
    </row>
    <row r="743" spans="8:17" x14ac:dyDescent="0.25">
      <c r="H743"/>
      <c r="I743"/>
      <c r="J743"/>
      <c r="Q743"/>
    </row>
    <row r="744" spans="8:17" x14ac:dyDescent="0.25">
      <c r="Q744"/>
    </row>
    <row r="745" spans="8:17" x14ac:dyDescent="0.25">
      <c r="Q745"/>
    </row>
    <row r="746" spans="8:17" x14ac:dyDescent="0.25">
      <c r="Q746"/>
    </row>
    <row r="747" spans="8:17" x14ac:dyDescent="0.25">
      <c r="Q747"/>
    </row>
    <row r="748" spans="8:17" x14ac:dyDescent="0.25">
      <c r="Q748"/>
    </row>
    <row r="749" spans="8:17" x14ac:dyDescent="0.25">
      <c r="Q749"/>
    </row>
    <row r="750" spans="8:17" x14ac:dyDescent="0.25">
      <c r="Q750"/>
    </row>
    <row r="751" spans="8:17" x14ac:dyDescent="0.25">
      <c r="Q751"/>
    </row>
    <row r="752" spans="8:17" x14ac:dyDescent="0.25">
      <c r="Q752"/>
    </row>
    <row r="753" spans="17:17" x14ac:dyDescent="0.25">
      <c r="Q753"/>
    </row>
    <row r="754" spans="17:17" x14ac:dyDescent="0.25">
      <c r="Q754"/>
    </row>
    <row r="755" spans="17:17" x14ac:dyDescent="0.25">
      <c r="Q755"/>
    </row>
    <row r="756" spans="17:17" x14ac:dyDescent="0.25">
      <c r="Q756"/>
    </row>
    <row r="757" spans="17:17" x14ac:dyDescent="0.25">
      <c r="Q757"/>
    </row>
    <row r="758" spans="17:17" x14ac:dyDescent="0.25">
      <c r="Q758"/>
    </row>
    <row r="759" spans="17:17" x14ac:dyDescent="0.25">
      <c r="Q759"/>
    </row>
    <row r="760" spans="17:17" x14ac:dyDescent="0.25">
      <c r="Q760"/>
    </row>
    <row r="761" spans="17:17" x14ac:dyDescent="0.25">
      <c r="Q761"/>
    </row>
    <row r="762" spans="17:17" x14ac:dyDescent="0.25">
      <c r="Q762"/>
    </row>
    <row r="763" spans="17:17" x14ac:dyDescent="0.25">
      <c r="Q763"/>
    </row>
    <row r="764" spans="17:17" x14ac:dyDescent="0.25">
      <c r="Q764"/>
    </row>
    <row r="765" spans="17:17" x14ac:dyDescent="0.25">
      <c r="Q765"/>
    </row>
    <row r="766" spans="17:17" x14ac:dyDescent="0.25">
      <c r="Q766"/>
    </row>
    <row r="767" spans="17:17" x14ac:dyDescent="0.25">
      <c r="Q767"/>
    </row>
    <row r="768" spans="17:17" x14ac:dyDescent="0.25">
      <c r="Q768"/>
    </row>
    <row r="769" spans="17:17" x14ac:dyDescent="0.25">
      <c r="Q769"/>
    </row>
    <row r="770" spans="17:17" x14ac:dyDescent="0.25">
      <c r="Q770"/>
    </row>
    <row r="771" spans="17:17" x14ac:dyDescent="0.25">
      <c r="Q771"/>
    </row>
    <row r="772" spans="17:17" x14ac:dyDescent="0.25">
      <c r="Q772"/>
    </row>
    <row r="773" spans="17:17" x14ac:dyDescent="0.25">
      <c r="Q773"/>
    </row>
    <row r="774" spans="17:17" x14ac:dyDescent="0.25">
      <c r="Q774"/>
    </row>
    <row r="775" spans="17:17" x14ac:dyDescent="0.25">
      <c r="Q775"/>
    </row>
    <row r="776" spans="17:17" x14ac:dyDescent="0.25">
      <c r="Q776"/>
    </row>
    <row r="777" spans="17:17" x14ac:dyDescent="0.25">
      <c r="Q777"/>
    </row>
    <row r="778" spans="17:17" x14ac:dyDescent="0.25">
      <c r="Q778"/>
    </row>
    <row r="779" spans="17:17" x14ac:dyDescent="0.25">
      <c r="Q779"/>
    </row>
    <row r="780" spans="17:17" x14ac:dyDescent="0.25">
      <c r="Q780"/>
    </row>
    <row r="781" spans="17:17" x14ac:dyDescent="0.25">
      <c r="Q781"/>
    </row>
    <row r="782" spans="17:17" x14ac:dyDescent="0.25">
      <c r="Q782"/>
    </row>
    <row r="783" spans="17:17" x14ac:dyDescent="0.25">
      <c r="Q783"/>
    </row>
    <row r="784" spans="17:17" x14ac:dyDescent="0.25">
      <c r="Q784"/>
    </row>
    <row r="785" spans="17:17" x14ac:dyDescent="0.25">
      <c r="Q785"/>
    </row>
    <row r="786" spans="17:17" x14ac:dyDescent="0.25">
      <c r="Q786"/>
    </row>
    <row r="787" spans="17:17" x14ac:dyDescent="0.25">
      <c r="Q787"/>
    </row>
    <row r="788" spans="17:17" x14ac:dyDescent="0.25">
      <c r="Q788"/>
    </row>
    <row r="789" spans="17:17" x14ac:dyDescent="0.25">
      <c r="Q789"/>
    </row>
    <row r="790" spans="17:17" x14ac:dyDescent="0.25">
      <c r="Q790"/>
    </row>
    <row r="791" spans="17:17" x14ac:dyDescent="0.25">
      <c r="Q791"/>
    </row>
    <row r="792" spans="17:17" x14ac:dyDescent="0.25">
      <c r="Q792"/>
    </row>
    <row r="793" spans="17:17" x14ac:dyDescent="0.25">
      <c r="Q793"/>
    </row>
    <row r="794" spans="17:17" x14ac:dyDescent="0.25">
      <c r="Q794"/>
    </row>
    <row r="795" spans="17:17" x14ac:dyDescent="0.25">
      <c r="Q795"/>
    </row>
    <row r="796" spans="17:17" x14ac:dyDescent="0.25">
      <c r="Q796"/>
    </row>
    <row r="797" spans="17:17" x14ac:dyDescent="0.25">
      <c r="Q797"/>
    </row>
    <row r="798" spans="17:17" x14ac:dyDescent="0.25">
      <c r="Q798"/>
    </row>
    <row r="799" spans="17:17" x14ac:dyDescent="0.25">
      <c r="Q799"/>
    </row>
    <row r="800" spans="17:17" x14ac:dyDescent="0.25">
      <c r="Q800"/>
    </row>
    <row r="801" spans="17:17" x14ac:dyDescent="0.25">
      <c r="Q801"/>
    </row>
    <row r="802" spans="17:17" x14ac:dyDescent="0.25">
      <c r="Q802"/>
    </row>
    <row r="803" spans="17:17" x14ac:dyDescent="0.25">
      <c r="Q803"/>
    </row>
    <row r="804" spans="17:17" x14ac:dyDescent="0.25">
      <c r="Q804"/>
    </row>
    <row r="805" spans="17:17" x14ac:dyDescent="0.25">
      <c r="Q805"/>
    </row>
    <row r="806" spans="17:17" x14ac:dyDescent="0.25">
      <c r="Q806"/>
    </row>
    <row r="807" spans="17:17" x14ac:dyDescent="0.25">
      <c r="Q807"/>
    </row>
    <row r="808" spans="17:17" x14ac:dyDescent="0.25">
      <c r="Q808"/>
    </row>
    <row r="809" spans="17:17" x14ac:dyDescent="0.25">
      <c r="Q809"/>
    </row>
    <row r="810" spans="17:17" x14ac:dyDescent="0.25">
      <c r="Q810"/>
    </row>
    <row r="811" spans="17:17" x14ac:dyDescent="0.25">
      <c r="Q811"/>
    </row>
    <row r="812" spans="17:17" x14ac:dyDescent="0.25">
      <c r="Q812"/>
    </row>
    <row r="813" spans="17:17" x14ac:dyDescent="0.25">
      <c r="Q813"/>
    </row>
    <row r="814" spans="17:17" x14ac:dyDescent="0.25">
      <c r="Q814"/>
    </row>
    <row r="815" spans="17:17" x14ac:dyDescent="0.25">
      <c r="Q815"/>
    </row>
    <row r="816" spans="17:17" x14ac:dyDescent="0.25">
      <c r="Q816"/>
    </row>
    <row r="817" spans="17:17" x14ac:dyDescent="0.25">
      <c r="Q817"/>
    </row>
    <row r="818" spans="17:17" x14ac:dyDescent="0.25">
      <c r="Q818"/>
    </row>
    <row r="819" spans="17:17" x14ac:dyDescent="0.25">
      <c r="Q819"/>
    </row>
    <row r="820" spans="17:17" x14ac:dyDescent="0.25">
      <c r="Q820"/>
    </row>
    <row r="821" spans="17:17" x14ac:dyDescent="0.25">
      <c r="Q821"/>
    </row>
    <row r="822" spans="17:17" x14ac:dyDescent="0.25">
      <c r="Q822"/>
    </row>
    <row r="823" spans="17:17" x14ac:dyDescent="0.25">
      <c r="Q823"/>
    </row>
    <row r="824" spans="17:17" x14ac:dyDescent="0.25">
      <c r="Q824"/>
    </row>
    <row r="825" spans="17:17" x14ac:dyDescent="0.25">
      <c r="Q825"/>
    </row>
    <row r="826" spans="17:17" x14ac:dyDescent="0.25">
      <c r="Q826"/>
    </row>
    <row r="827" spans="17:17" x14ac:dyDescent="0.25">
      <c r="Q827"/>
    </row>
    <row r="828" spans="17:17" x14ac:dyDescent="0.25">
      <c r="Q828"/>
    </row>
    <row r="829" spans="17:17" x14ac:dyDescent="0.25">
      <c r="Q829"/>
    </row>
    <row r="830" spans="17:17" x14ac:dyDescent="0.25">
      <c r="Q830"/>
    </row>
    <row r="831" spans="17:17" x14ac:dyDescent="0.25">
      <c r="Q831"/>
    </row>
    <row r="832" spans="17:17" x14ac:dyDescent="0.25">
      <c r="Q832"/>
    </row>
    <row r="833" spans="17:17" x14ac:dyDescent="0.25">
      <c r="Q833"/>
    </row>
    <row r="834" spans="17:17" x14ac:dyDescent="0.25">
      <c r="Q834"/>
    </row>
    <row r="835" spans="17:17" x14ac:dyDescent="0.25">
      <c r="Q835"/>
    </row>
    <row r="836" spans="17:17" x14ac:dyDescent="0.25">
      <c r="Q836"/>
    </row>
    <row r="837" spans="17:17" x14ac:dyDescent="0.25">
      <c r="Q837"/>
    </row>
    <row r="838" spans="17:17" x14ac:dyDescent="0.25">
      <c r="Q838"/>
    </row>
    <row r="839" spans="17:17" x14ac:dyDescent="0.25">
      <c r="Q839"/>
    </row>
    <row r="840" spans="17:17" x14ac:dyDescent="0.25">
      <c r="Q840"/>
    </row>
    <row r="841" spans="17:17" x14ac:dyDescent="0.25">
      <c r="Q841"/>
    </row>
    <row r="842" spans="17:17" x14ac:dyDescent="0.25">
      <c r="Q842"/>
    </row>
    <row r="843" spans="17:17" x14ac:dyDescent="0.25">
      <c r="Q843"/>
    </row>
    <row r="844" spans="17:17" x14ac:dyDescent="0.25">
      <c r="Q844"/>
    </row>
    <row r="845" spans="17:17" x14ac:dyDescent="0.25">
      <c r="Q845"/>
    </row>
    <row r="846" spans="17:17" x14ac:dyDescent="0.25">
      <c r="Q846"/>
    </row>
    <row r="847" spans="17:17" x14ac:dyDescent="0.25">
      <c r="Q847"/>
    </row>
    <row r="848" spans="17:17" x14ac:dyDescent="0.25">
      <c r="Q848"/>
    </row>
    <row r="849" spans="17:17" x14ac:dyDescent="0.25">
      <c r="Q849"/>
    </row>
    <row r="850" spans="17:17" x14ac:dyDescent="0.25">
      <c r="Q850"/>
    </row>
    <row r="851" spans="17:17" x14ac:dyDescent="0.25">
      <c r="Q851"/>
    </row>
    <row r="852" spans="17:17" x14ac:dyDescent="0.25">
      <c r="Q852"/>
    </row>
    <row r="853" spans="17:17" x14ac:dyDescent="0.25">
      <c r="Q853"/>
    </row>
    <row r="854" spans="17:17" x14ac:dyDescent="0.25">
      <c r="Q854"/>
    </row>
    <row r="855" spans="17:17" x14ac:dyDescent="0.25">
      <c r="Q855"/>
    </row>
    <row r="856" spans="17:17" x14ac:dyDescent="0.25">
      <c r="Q856"/>
    </row>
    <row r="857" spans="17:17" x14ac:dyDescent="0.25">
      <c r="Q857"/>
    </row>
    <row r="858" spans="17:17" x14ac:dyDescent="0.25">
      <c r="Q858"/>
    </row>
    <row r="859" spans="17:17" x14ac:dyDescent="0.25">
      <c r="Q859"/>
    </row>
    <row r="860" spans="17:17" x14ac:dyDescent="0.25">
      <c r="Q860"/>
    </row>
    <row r="861" spans="17:17" x14ac:dyDescent="0.25">
      <c r="Q861"/>
    </row>
    <row r="862" spans="17:17" x14ac:dyDescent="0.25">
      <c r="Q862"/>
    </row>
    <row r="863" spans="17:17" x14ac:dyDescent="0.25">
      <c r="Q863"/>
    </row>
    <row r="864" spans="17:17" x14ac:dyDescent="0.25">
      <c r="Q864"/>
    </row>
    <row r="865" spans="17:17" x14ac:dyDescent="0.25">
      <c r="Q865"/>
    </row>
    <row r="866" spans="17:17" x14ac:dyDescent="0.25">
      <c r="Q866"/>
    </row>
    <row r="867" spans="17:17" x14ac:dyDescent="0.25">
      <c r="Q867"/>
    </row>
    <row r="868" spans="17:17" x14ac:dyDescent="0.25">
      <c r="Q868"/>
    </row>
    <row r="869" spans="17:17" x14ac:dyDescent="0.25">
      <c r="Q869"/>
    </row>
    <row r="870" spans="17:17" x14ac:dyDescent="0.25">
      <c r="Q870"/>
    </row>
    <row r="871" spans="17:17" x14ac:dyDescent="0.25">
      <c r="Q871"/>
    </row>
    <row r="872" spans="17:17" x14ac:dyDescent="0.25">
      <c r="Q872"/>
    </row>
    <row r="873" spans="17:17" x14ac:dyDescent="0.25">
      <c r="Q873"/>
    </row>
    <row r="874" spans="17:17" x14ac:dyDescent="0.25">
      <c r="Q874"/>
    </row>
    <row r="875" spans="17:17" x14ac:dyDescent="0.25">
      <c r="Q875"/>
    </row>
    <row r="876" spans="17:17" x14ac:dyDescent="0.25">
      <c r="Q876"/>
    </row>
    <row r="877" spans="17:17" x14ac:dyDescent="0.25">
      <c r="Q877"/>
    </row>
    <row r="878" spans="17:17" x14ac:dyDescent="0.25">
      <c r="Q878"/>
    </row>
    <row r="879" spans="17:17" x14ac:dyDescent="0.25">
      <c r="Q879"/>
    </row>
    <row r="880" spans="17:17" x14ac:dyDescent="0.25">
      <c r="Q880"/>
    </row>
    <row r="881" spans="17:17" x14ac:dyDescent="0.25">
      <c r="Q881"/>
    </row>
    <row r="882" spans="17:17" x14ac:dyDescent="0.25">
      <c r="Q882"/>
    </row>
    <row r="883" spans="17:17" x14ac:dyDescent="0.25">
      <c r="Q883"/>
    </row>
    <row r="884" spans="17:17" x14ac:dyDescent="0.25">
      <c r="Q884"/>
    </row>
    <row r="885" spans="17:17" x14ac:dyDescent="0.25">
      <c r="Q885"/>
    </row>
    <row r="886" spans="17:17" x14ac:dyDescent="0.25">
      <c r="Q886"/>
    </row>
    <row r="887" spans="17:17" x14ac:dyDescent="0.25">
      <c r="Q887"/>
    </row>
    <row r="888" spans="17:17" x14ac:dyDescent="0.25">
      <c r="Q888"/>
    </row>
    <row r="889" spans="17:17" x14ac:dyDescent="0.25">
      <c r="Q889"/>
    </row>
    <row r="890" spans="17:17" x14ac:dyDescent="0.25">
      <c r="Q890"/>
    </row>
    <row r="891" spans="17:17" x14ac:dyDescent="0.25">
      <c r="Q891"/>
    </row>
    <row r="892" spans="17:17" x14ac:dyDescent="0.25">
      <c r="Q892"/>
    </row>
    <row r="893" spans="17:17" x14ac:dyDescent="0.25">
      <c r="Q893"/>
    </row>
    <row r="894" spans="17:17" x14ac:dyDescent="0.25">
      <c r="Q894"/>
    </row>
    <row r="895" spans="17:17" x14ac:dyDescent="0.25">
      <c r="Q895"/>
    </row>
    <row r="896" spans="17:17" x14ac:dyDescent="0.25">
      <c r="Q896"/>
    </row>
    <row r="897" spans="17:17" x14ac:dyDescent="0.25">
      <c r="Q897"/>
    </row>
    <row r="898" spans="17:17" x14ac:dyDescent="0.25">
      <c r="Q898"/>
    </row>
    <row r="899" spans="17:17" x14ac:dyDescent="0.25">
      <c r="Q899"/>
    </row>
    <row r="900" spans="17:17" x14ac:dyDescent="0.25">
      <c r="Q900"/>
    </row>
    <row r="901" spans="17:17" x14ac:dyDescent="0.25">
      <c r="Q901"/>
    </row>
    <row r="902" spans="17:17" x14ac:dyDescent="0.25">
      <c r="Q902"/>
    </row>
    <row r="903" spans="17:17" x14ac:dyDescent="0.25">
      <c r="Q903"/>
    </row>
    <row r="904" spans="17:17" x14ac:dyDescent="0.25">
      <c r="Q904"/>
    </row>
    <row r="905" spans="17:17" x14ac:dyDescent="0.25">
      <c r="Q905"/>
    </row>
    <row r="906" spans="17:17" x14ac:dyDescent="0.25">
      <c r="Q906"/>
    </row>
    <row r="907" spans="17:17" x14ac:dyDescent="0.25">
      <c r="Q907"/>
    </row>
    <row r="908" spans="17:17" x14ac:dyDescent="0.25">
      <c r="Q908"/>
    </row>
    <row r="909" spans="17:17" x14ac:dyDescent="0.25">
      <c r="Q909"/>
    </row>
    <row r="910" spans="17:17" x14ac:dyDescent="0.25">
      <c r="Q910"/>
    </row>
    <row r="911" spans="17:17" x14ac:dyDescent="0.25">
      <c r="Q911"/>
    </row>
    <row r="912" spans="17:17" x14ac:dyDescent="0.25">
      <c r="Q912"/>
    </row>
    <row r="913" spans="17:17" x14ac:dyDescent="0.25">
      <c r="Q913"/>
    </row>
    <row r="914" spans="17:17" x14ac:dyDescent="0.25">
      <c r="Q914"/>
    </row>
    <row r="915" spans="17:17" x14ac:dyDescent="0.25">
      <c r="Q915"/>
    </row>
    <row r="916" spans="17:17" x14ac:dyDescent="0.25">
      <c r="Q916"/>
    </row>
    <row r="917" spans="17:17" x14ac:dyDescent="0.25">
      <c r="Q917"/>
    </row>
    <row r="918" spans="17:17" x14ac:dyDescent="0.25">
      <c r="Q918"/>
    </row>
    <row r="919" spans="17:17" x14ac:dyDescent="0.25">
      <c r="Q919"/>
    </row>
    <row r="920" spans="17:17" x14ac:dyDescent="0.25">
      <c r="Q920"/>
    </row>
    <row r="921" spans="17:17" x14ac:dyDescent="0.25">
      <c r="Q921"/>
    </row>
    <row r="922" spans="17:17" x14ac:dyDescent="0.25">
      <c r="Q922"/>
    </row>
    <row r="923" spans="17:17" x14ac:dyDescent="0.25">
      <c r="Q923"/>
    </row>
    <row r="924" spans="17:17" x14ac:dyDescent="0.25">
      <c r="Q924"/>
    </row>
    <row r="925" spans="17:17" x14ac:dyDescent="0.25">
      <c r="Q925"/>
    </row>
    <row r="926" spans="17:17" x14ac:dyDescent="0.25">
      <c r="Q926"/>
    </row>
    <row r="927" spans="17:17" x14ac:dyDescent="0.25">
      <c r="Q927"/>
    </row>
    <row r="928" spans="17:17" x14ac:dyDescent="0.25">
      <c r="Q928"/>
    </row>
    <row r="929" spans="17:17" x14ac:dyDescent="0.25">
      <c r="Q929"/>
    </row>
    <row r="930" spans="17:17" x14ac:dyDescent="0.25">
      <c r="Q930"/>
    </row>
    <row r="931" spans="17:17" x14ac:dyDescent="0.25">
      <c r="Q931"/>
    </row>
    <row r="932" spans="17:17" x14ac:dyDescent="0.25">
      <c r="Q932"/>
    </row>
    <row r="933" spans="17:17" x14ac:dyDescent="0.25">
      <c r="Q933"/>
    </row>
    <row r="934" spans="17:17" x14ac:dyDescent="0.25">
      <c r="Q934"/>
    </row>
    <row r="935" spans="17:17" x14ac:dyDescent="0.25">
      <c r="Q935"/>
    </row>
    <row r="936" spans="17:17" x14ac:dyDescent="0.25">
      <c r="Q936"/>
    </row>
    <row r="937" spans="17:17" x14ac:dyDescent="0.25">
      <c r="Q937"/>
    </row>
    <row r="938" spans="17:17" x14ac:dyDescent="0.25">
      <c r="Q938"/>
    </row>
    <row r="939" spans="17:17" x14ac:dyDescent="0.25">
      <c r="Q939"/>
    </row>
    <row r="940" spans="17:17" x14ac:dyDescent="0.25">
      <c r="Q940"/>
    </row>
    <row r="941" spans="17:17" x14ac:dyDescent="0.25">
      <c r="Q941"/>
    </row>
    <row r="942" spans="17:17" x14ac:dyDescent="0.25">
      <c r="Q942"/>
    </row>
    <row r="943" spans="17:17" x14ac:dyDescent="0.25">
      <c r="Q943"/>
    </row>
    <row r="944" spans="17:17" x14ac:dyDescent="0.25">
      <c r="Q944"/>
    </row>
    <row r="945" spans="17:17" x14ac:dyDescent="0.25">
      <c r="Q945"/>
    </row>
    <row r="946" spans="17:17" x14ac:dyDescent="0.25">
      <c r="Q946"/>
    </row>
    <row r="947" spans="17:17" x14ac:dyDescent="0.25">
      <c r="Q947"/>
    </row>
    <row r="948" spans="17:17" x14ac:dyDescent="0.25">
      <c r="Q948"/>
    </row>
    <row r="949" spans="17:17" x14ac:dyDescent="0.25">
      <c r="Q949"/>
    </row>
    <row r="950" spans="17:17" x14ac:dyDescent="0.25">
      <c r="Q950"/>
    </row>
    <row r="951" spans="17:17" x14ac:dyDescent="0.25">
      <c r="Q951"/>
    </row>
    <row r="952" spans="17:17" x14ac:dyDescent="0.25">
      <c r="Q952"/>
    </row>
    <row r="953" spans="17:17" x14ac:dyDescent="0.25">
      <c r="Q953"/>
    </row>
    <row r="954" spans="17:17" x14ac:dyDescent="0.25">
      <c r="Q954"/>
    </row>
    <row r="955" spans="17:17" x14ac:dyDescent="0.25">
      <c r="Q955"/>
    </row>
    <row r="956" spans="17:17" x14ac:dyDescent="0.25">
      <c r="Q956"/>
    </row>
    <row r="957" spans="17:17" x14ac:dyDescent="0.25">
      <c r="Q957"/>
    </row>
    <row r="958" spans="17:17" x14ac:dyDescent="0.25">
      <c r="Q958"/>
    </row>
    <row r="959" spans="17:17" x14ac:dyDescent="0.25">
      <c r="Q959"/>
    </row>
    <row r="960" spans="17:17" x14ac:dyDescent="0.25">
      <c r="Q960"/>
    </row>
    <row r="961" spans="17:17" x14ac:dyDescent="0.25">
      <c r="Q961"/>
    </row>
    <row r="962" spans="17:17" x14ac:dyDescent="0.25">
      <c r="Q962"/>
    </row>
    <row r="963" spans="17:17" x14ac:dyDescent="0.25">
      <c r="Q963"/>
    </row>
    <row r="964" spans="17:17" x14ac:dyDescent="0.25">
      <c r="Q964"/>
    </row>
    <row r="965" spans="17:17" x14ac:dyDescent="0.25">
      <c r="Q965"/>
    </row>
    <row r="966" spans="17:17" x14ac:dyDescent="0.25">
      <c r="Q966"/>
    </row>
    <row r="967" spans="17:17" x14ac:dyDescent="0.25">
      <c r="Q967"/>
    </row>
    <row r="968" spans="17:17" x14ac:dyDescent="0.25">
      <c r="Q968"/>
    </row>
    <row r="969" spans="17:17" x14ac:dyDescent="0.25">
      <c r="Q969"/>
    </row>
    <row r="970" spans="17:17" x14ac:dyDescent="0.25">
      <c r="Q970"/>
    </row>
    <row r="971" spans="17:17" x14ac:dyDescent="0.25">
      <c r="Q971"/>
    </row>
    <row r="972" spans="17:17" x14ac:dyDescent="0.25">
      <c r="Q972"/>
    </row>
    <row r="973" spans="17:17" x14ac:dyDescent="0.25">
      <c r="Q973"/>
    </row>
    <row r="974" spans="17:17" x14ac:dyDescent="0.25">
      <c r="Q974"/>
    </row>
    <row r="975" spans="17:17" x14ac:dyDescent="0.25">
      <c r="Q975"/>
    </row>
    <row r="976" spans="17:17" x14ac:dyDescent="0.25">
      <c r="Q976"/>
    </row>
    <row r="977" spans="17:17" x14ac:dyDescent="0.25">
      <c r="Q977"/>
    </row>
    <row r="978" spans="17:17" x14ac:dyDescent="0.25">
      <c r="Q978"/>
    </row>
    <row r="979" spans="17:17" x14ac:dyDescent="0.25">
      <c r="Q979"/>
    </row>
    <row r="980" spans="17:17" x14ac:dyDescent="0.25">
      <c r="Q980"/>
    </row>
    <row r="981" spans="17:17" x14ac:dyDescent="0.25">
      <c r="Q981"/>
    </row>
    <row r="982" spans="17:17" x14ac:dyDescent="0.25">
      <c r="Q982"/>
    </row>
    <row r="983" spans="17:17" x14ac:dyDescent="0.25">
      <c r="Q983"/>
    </row>
    <row r="984" spans="17:17" x14ac:dyDescent="0.25">
      <c r="Q984"/>
    </row>
    <row r="985" spans="17:17" x14ac:dyDescent="0.25">
      <c r="Q985"/>
    </row>
    <row r="986" spans="17:17" x14ac:dyDescent="0.25">
      <c r="Q986"/>
    </row>
    <row r="987" spans="17:17" x14ac:dyDescent="0.25">
      <c r="Q987"/>
    </row>
    <row r="988" spans="17:17" x14ac:dyDescent="0.25">
      <c r="Q988"/>
    </row>
    <row r="989" spans="17:17" x14ac:dyDescent="0.25">
      <c r="Q989"/>
    </row>
    <row r="990" spans="17:17" x14ac:dyDescent="0.25">
      <c r="Q990"/>
    </row>
    <row r="991" spans="17:17" x14ac:dyDescent="0.25">
      <c r="Q991"/>
    </row>
    <row r="992" spans="17:17" x14ac:dyDescent="0.25">
      <c r="Q992"/>
    </row>
    <row r="993" spans="17:17" x14ac:dyDescent="0.25">
      <c r="Q993"/>
    </row>
    <row r="994" spans="17:17" x14ac:dyDescent="0.25">
      <c r="Q994"/>
    </row>
    <row r="995" spans="17:17" x14ac:dyDescent="0.25">
      <c r="Q995"/>
    </row>
    <row r="996" spans="17:17" x14ac:dyDescent="0.25">
      <c r="Q996"/>
    </row>
    <row r="997" spans="17:17" x14ac:dyDescent="0.25">
      <c r="Q997"/>
    </row>
    <row r="998" spans="17:17" x14ac:dyDescent="0.25">
      <c r="Q998"/>
    </row>
    <row r="999" spans="17:17" x14ac:dyDescent="0.25">
      <c r="Q999"/>
    </row>
    <row r="1000" spans="17:17" x14ac:dyDescent="0.25">
      <c r="Q1000"/>
    </row>
    <row r="1001" spans="17:17" x14ac:dyDescent="0.25">
      <c r="Q1001"/>
    </row>
    <row r="1002" spans="17:17" x14ac:dyDescent="0.25">
      <c r="Q1002"/>
    </row>
    <row r="1003" spans="17:17" x14ac:dyDescent="0.25">
      <c r="Q1003"/>
    </row>
    <row r="1004" spans="17:17" x14ac:dyDescent="0.25">
      <c r="Q1004"/>
    </row>
    <row r="1005" spans="17:17" x14ac:dyDescent="0.25">
      <c r="Q1005"/>
    </row>
    <row r="1006" spans="17:17" x14ac:dyDescent="0.25">
      <c r="Q1006"/>
    </row>
    <row r="1007" spans="17:17" x14ac:dyDescent="0.25">
      <c r="Q1007"/>
    </row>
    <row r="1008" spans="17:17" x14ac:dyDescent="0.25">
      <c r="Q1008"/>
    </row>
    <row r="1009" spans="17:17" x14ac:dyDescent="0.25">
      <c r="Q1009"/>
    </row>
    <row r="1010" spans="17:17" x14ac:dyDescent="0.25">
      <c r="Q1010"/>
    </row>
    <row r="1011" spans="17:17" x14ac:dyDescent="0.25">
      <c r="Q1011"/>
    </row>
    <row r="1012" spans="17:17" x14ac:dyDescent="0.25">
      <c r="Q1012"/>
    </row>
    <row r="1013" spans="17:17" x14ac:dyDescent="0.25">
      <c r="Q1013"/>
    </row>
    <row r="1014" spans="17:17" x14ac:dyDescent="0.25">
      <c r="Q1014"/>
    </row>
    <row r="1015" spans="17:17" x14ac:dyDescent="0.25">
      <c r="Q1015"/>
    </row>
    <row r="1016" spans="17:17" x14ac:dyDescent="0.25">
      <c r="Q1016"/>
    </row>
    <row r="1017" spans="17:17" x14ac:dyDescent="0.25">
      <c r="Q1017"/>
    </row>
    <row r="1018" spans="17:17" x14ac:dyDescent="0.25">
      <c r="Q1018"/>
    </row>
    <row r="1019" spans="17:17" x14ac:dyDescent="0.25">
      <c r="Q1019"/>
    </row>
    <row r="1020" spans="17:17" x14ac:dyDescent="0.25">
      <c r="Q1020"/>
    </row>
    <row r="1021" spans="17:17" x14ac:dyDescent="0.25">
      <c r="Q1021"/>
    </row>
    <row r="1022" spans="17:17" x14ac:dyDescent="0.25">
      <c r="Q1022"/>
    </row>
    <row r="1023" spans="17:17" x14ac:dyDescent="0.25">
      <c r="Q1023"/>
    </row>
    <row r="1024" spans="17:17" x14ac:dyDescent="0.25">
      <c r="Q1024"/>
    </row>
    <row r="1025" spans="17:17" x14ac:dyDescent="0.25">
      <c r="Q1025"/>
    </row>
    <row r="1026" spans="17:17" x14ac:dyDescent="0.25">
      <c r="Q1026"/>
    </row>
    <row r="1027" spans="17:17" x14ac:dyDescent="0.25">
      <c r="Q1027"/>
    </row>
    <row r="1028" spans="17:17" x14ac:dyDescent="0.25">
      <c r="Q1028"/>
    </row>
    <row r="1029" spans="17:17" x14ac:dyDescent="0.25">
      <c r="Q1029"/>
    </row>
    <row r="1030" spans="17:17" x14ac:dyDescent="0.25">
      <c r="Q1030"/>
    </row>
    <row r="1031" spans="17:17" x14ac:dyDescent="0.25">
      <c r="Q1031"/>
    </row>
    <row r="1032" spans="17:17" x14ac:dyDescent="0.25">
      <c r="Q1032"/>
    </row>
    <row r="1033" spans="17:17" x14ac:dyDescent="0.25">
      <c r="Q1033"/>
    </row>
    <row r="1034" spans="17:17" x14ac:dyDescent="0.25">
      <c r="Q1034"/>
    </row>
    <row r="1035" spans="17:17" x14ac:dyDescent="0.25">
      <c r="Q1035"/>
    </row>
    <row r="1036" spans="17:17" x14ac:dyDescent="0.25">
      <c r="Q1036"/>
    </row>
    <row r="1037" spans="17:17" x14ac:dyDescent="0.25">
      <c r="Q1037"/>
    </row>
    <row r="1038" spans="17:17" x14ac:dyDescent="0.25">
      <c r="Q1038"/>
    </row>
    <row r="1039" spans="17:17" x14ac:dyDescent="0.25">
      <c r="Q1039"/>
    </row>
    <row r="1040" spans="17:17" x14ac:dyDescent="0.25">
      <c r="Q1040"/>
    </row>
    <row r="1041" spans="17:17" x14ac:dyDescent="0.25">
      <c r="Q1041"/>
    </row>
    <row r="1042" spans="17:17" x14ac:dyDescent="0.25">
      <c r="Q1042"/>
    </row>
    <row r="1043" spans="17:17" x14ac:dyDescent="0.25">
      <c r="Q1043"/>
    </row>
    <row r="1044" spans="17:17" x14ac:dyDescent="0.25">
      <c r="Q1044"/>
    </row>
    <row r="1045" spans="17:17" x14ac:dyDescent="0.25">
      <c r="Q1045"/>
    </row>
    <row r="1046" spans="17:17" x14ac:dyDescent="0.25">
      <c r="Q1046"/>
    </row>
    <row r="1047" spans="17:17" x14ac:dyDescent="0.25">
      <c r="Q1047"/>
    </row>
    <row r="1048" spans="17:17" x14ac:dyDescent="0.25">
      <c r="Q1048"/>
    </row>
    <row r="1049" spans="17:17" x14ac:dyDescent="0.25">
      <c r="Q1049"/>
    </row>
    <row r="1050" spans="17:17" x14ac:dyDescent="0.25">
      <c r="Q1050"/>
    </row>
    <row r="1051" spans="17:17" x14ac:dyDescent="0.25">
      <c r="Q1051"/>
    </row>
    <row r="1052" spans="17:17" x14ac:dyDescent="0.25">
      <c r="Q1052"/>
    </row>
    <row r="1053" spans="17:17" x14ac:dyDescent="0.25">
      <c r="Q1053"/>
    </row>
    <row r="1054" spans="17:17" x14ac:dyDescent="0.25">
      <c r="Q1054"/>
    </row>
    <row r="1055" spans="17:17" x14ac:dyDescent="0.25">
      <c r="Q1055"/>
    </row>
    <row r="1056" spans="17:17" x14ac:dyDescent="0.25">
      <c r="Q1056"/>
    </row>
    <row r="1057" spans="17:17" x14ac:dyDescent="0.25">
      <c r="Q1057"/>
    </row>
    <row r="1058" spans="17:17" x14ac:dyDescent="0.25">
      <c r="Q1058"/>
    </row>
    <row r="1059" spans="17:17" x14ac:dyDescent="0.25">
      <c r="Q1059"/>
    </row>
    <row r="1060" spans="17:17" x14ac:dyDescent="0.25">
      <c r="Q1060"/>
    </row>
    <row r="1061" spans="17:17" x14ac:dyDescent="0.25">
      <c r="Q1061"/>
    </row>
    <row r="1062" spans="17:17" x14ac:dyDescent="0.25">
      <c r="Q1062"/>
    </row>
    <row r="1063" spans="17:17" x14ac:dyDescent="0.25">
      <c r="Q1063"/>
    </row>
    <row r="1064" spans="17:17" x14ac:dyDescent="0.25">
      <c r="Q1064"/>
    </row>
    <row r="1065" spans="17:17" x14ac:dyDescent="0.25">
      <c r="Q1065"/>
    </row>
    <row r="1066" spans="17:17" x14ac:dyDescent="0.25">
      <c r="Q1066"/>
    </row>
    <row r="1067" spans="17:17" x14ac:dyDescent="0.25">
      <c r="Q1067"/>
    </row>
    <row r="1068" spans="17:17" x14ac:dyDescent="0.25">
      <c r="Q1068"/>
    </row>
    <row r="1069" spans="17:17" x14ac:dyDescent="0.25">
      <c r="Q1069"/>
    </row>
    <row r="1070" spans="17:17" x14ac:dyDescent="0.25">
      <c r="Q1070"/>
    </row>
    <row r="1071" spans="17:17" x14ac:dyDescent="0.25">
      <c r="Q1071"/>
    </row>
    <row r="1072" spans="17:17" x14ac:dyDescent="0.25">
      <c r="Q1072"/>
    </row>
    <row r="1073" spans="17:17" x14ac:dyDescent="0.25">
      <c r="Q1073"/>
    </row>
    <row r="1074" spans="17:17" x14ac:dyDescent="0.25">
      <c r="Q1074"/>
    </row>
    <row r="1075" spans="17:17" x14ac:dyDescent="0.25">
      <c r="Q1075"/>
    </row>
    <row r="1076" spans="17:17" x14ac:dyDescent="0.25">
      <c r="Q1076"/>
    </row>
    <row r="1077" spans="17:17" x14ac:dyDescent="0.25">
      <c r="Q1077"/>
    </row>
    <row r="1078" spans="17:17" x14ac:dyDescent="0.25">
      <c r="Q1078"/>
    </row>
    <row r="1079" spans="17:17" x14ac:dyDescent="0.25">
      <c r="Q1079"/>
    </row>
    <row r="1080" spans="17:17" x14ac:dyDescent="0.25">
      <c r="Q1080"/>
    </row>
    <row r="1081" spans="17:17" x14ac:dyDescent="0.25">
      <c r="Q1081"/>
    </row>
    <row r="1082" spans="17:17" x14ac:dyDescent="0.25">
      <c r="Q1082"/>
    </row>
    <row r="1083" spans="17:17" x14ac:dyDescent="0.25">
      <c r="Q1083"/>
    </row>
    <row r="1084" spans="17:17" x14ac:dyDescent="0.25">
      <c r="Q1084"/>
    </row>
    <row r="1085" spans="17:17" x14ac:dyDescent="0.25">
      <c r="Q1085"/>
    </row>
    <row r="1086" spans="17:17" x14ac:dyDescent="0.25">
      <c r="Q1086"/>
    </row>
    <row r="1087" spans="17:17" x14ac:dyDescent="0.25">
      <c r="Q1087"/>
    </row>
    <row r="1088" spans="17:17" x14ac:dyDescent="0.25">
      <c r="Q1088"/>
    </row>
    <row r="1089" spans="17:17" x14ac:dyDescent="0.25">
      <c r="Q1089"/>
    </row>
    <row r="1090" spans="17:17" x14ac:dyDescent="0.25">
      <c r="Q1090"/>
    </row>
    <row r="1091" spans="17:17" x14ac:dyDescent="0.25">
      <c r="Q1091"/>
    </row>
    <row r="1092" spans="17:17" x14ac:dyDescent="0.25">
      <c r="Q1092"/>
    </row>
    <row r="1093" spans="17:17" x14ac:dyDescent="0.25">
      <c r="Q1093"/>
    </row>
    <row r="1094" spans="17:17" x14ac:dyDescent="0.25">
      <c r="Q1094"/>
    </row>
    <row r="1095" spans="17:17" x14ac:dyDescent="0.25">
      <c r="Q1095"/>
    </row>
    <row r="1096" spans="17:17" x14ac:dyDescent="0.25">
      <c r="Q1096"/>
    </row>
    <row r="1097" spans="17:17" x14ac:dyDescent="0.25">
      <c r="Q1097"/>
    </row>
    <row r="1098" spans="17:17" x14ac:dyDescent="0.25">
      <c r="Q1098"/>
    </row>
    <row r="1099" spans="17:17" x14ac:dyDescent="0.25">
      <c r="Q1099"/>
    </row>
    <row r="1100" spans="17:17" x14ac:dyDescent="0.25">
      <c r="Q1100"/>
    </row>
    <row r="1101" spans="17:17" x14ac:dyDescent="0.25">
      <c r="Q1101"/>
    </row>
    <row r="1102" spans="17:17" x14ac:dyDescent="0.25">
      <c r="Q1102"/>
    </row>
    <row r="1103" spans="17:17" x14ac:dyDescent="0.25">
      <c r="Q1103"/>
    </row>
    <row r="1104" spans="17:17" x14ac:dyDescent="0.25">
      <c r="Q1104"/>
    </row>
    <row r="1105" spans="17:17" x14ac:dyDescent="0.25">
      <c r="Q1105"/>
    </row>
    <row r="1106" spans="17:17" x14ac:dyDescent="0.25">
      <c r="Q1106"/>
    </row>
    <row r="1107" spans="17:17" x14ac:dyDescent="0.25">
      <c r="Q1107"/>
    </row>
    <row r="1108" spans="17:17" x14ac:dyDescent="0.25">
      <c r="Q1108"/>
    </row>
    <row r="1109" spans="17:17" x14ac:dyDescent="0.25">
      <c r="Q1109"/>
    </row>
    <row r="1110" spans="17:17" x14ac:dyDescent="0.25">
      <c r="Q1110"/>
    </row>
    <row r="1111" spans="17:17" x14ac:dyDescent="0.25">
      <c r="Q1111"/>
    </row>
    <row r="1112" spans="17:17" x14ac:dyDescent="0.25">
      <c r="Q1112"/>
    </row>
    <row r="1113" spans="17:17" x14ac:dyDescent="0.25">
      <c r="Q1113"/>
    </row>
    <row r="1114" spans="17:17" x14ac:dyDescent="0.25">
      <c r="Q1114"/>
    </row>
    <row r="1115" spans="17:17" x14ac:dyDescent="0.25">
      <c r="Q1115"/>
    </row>
    <row r="1116" spans="17:17" x14ac:dyDescent="0.25">
      <c r="Q1116"/>
    </row>
    <row r="1117" spans="17:17" x14ac:dyDescent="0.25">
      <c r="Q1117"/>
    </row>
    <row r="1118" spans="17:17" x14ac:dyDescent="0.25">
      <c r="Q1118"/>
    </row>
    <row r="1119" spans="17:17" x14ac:dyDescent="0.25">
      <c r="Q1119"/>
    </row>
    <row r="1120" spans="17:17" x14ac:dyDescent="0.25">
      <c r="Q1120"/>
    </row>
    <row r="1121" spans="17:17" x14ac:dyDescent="0.25">
      <c r="Q1121"/>
    </row>
    <row r="1122" spans="17:17" x14ac:dyDescent="0.25">
      <c r="Q1122"/>
    </row>
    <row r="1123" spans="17:17" x14ac:dyDescent="0.25">
      <c r="Q1123"/>
    </row>
    <row r="1124" spans="17:17" x14ac:dyDescent="0.25">
      <c r="Q1124"/>
    </row>
    <row r="1125" spans="17:17" x14ac:dyDescent="0.25">
      <c r="Q1125"/>
    </row>
    <row r="1126" spans="17:17" x14ac:dyDescent="0.25">
      <c r="Q1126"/>
    </row>
    <row r="1127" spans="17:17" x14ac:dyDescent="0.25">
      <c r="Q1127"/>
    </row>
    <row r="1128" spans="17:17" x14ac:dyDescent="0.25">
      <c r="Q1128"/>
    </row>
    <row r="1129" spans="17:17" x14ac:dyDescent="0.25">
      <c r="Q1129"/>
    </row>
    <row r="1130" spans="17:17" x14ac:dyDescent="0.25">
      <c r="Q1130"/>
    </row>
    <row r="1131" spans="17:17" x14ac:dyDescent="0.25">
      <c r="Q1131"/>
    </row>
    <row r="1132" spans="17:17" x14ac:dyDescent="0.25">
      <c r="Q1132"/>
    </row>
    <row r="1133" spans="17:17" x14ac:dyDescent="0.25">
      <c r="Q1133"/>
    </row>
    <row r="1134" spans="17:17" x14ac:dyDescent="0.25">
      <c r="Q1134"/>
    </row>
    <row r="1135" spans="17:17" x14ac:dyDescent="0.25">
      <c r="Q1135"/>
    </row>
    <row r="1136" spans="17:17" x14ac:dyDescent="0.25">
      <c r="Q1136"/>
    </row>
    <row r="1137" spans="17:17" x14ac:dyDescent="0.25">
      <c r="Q1137"/>
    </row>
    <row r="1138" spans="17:17" x14ac:dyDescent="0.25">
      <c r="Q1138"/>
    </row>
    <row r="1139" spans="17:17" x14ac:dyDescent="0.25">
      <c r="Q1139"/>
    </row>
    <row r="1140" spans="17:17" x14ac:dyDescent="0.25">
      <c r="Q1140"/>
    </row>
    <row r="1141" spans="17:17" x14ac:dyDescent="0.25">
      <c r="Q1141"/>
    </row>
    <row r="1142" spans="17:17" x14ac:dyDescent="0.25">
      <c r="Q1142"/>
    </row>
    <row r="1143" spans="17:17" x14ac:dyDescent="0.25">
      <c r="Q1143"/>
    </row>
    <row r="1144" spans="17:17" x14ac:dyDescent="0.25">
      <c r="Q1144"/>
    </row>
    <row r="1145" spans="17:17" x14ac:dyDescent="0.25">
      <c r="Q1145"/>
    </row>
    <row r="1146" spans="17:17" x14ac:dyDescent="0.25">
      <c r="Q1146"/>
    </row>
    <row r="1147" spans="17:17" x14ac:dyDescent="0.25">
      <c r="Q1147"/>
    </row>
    <row r="1148" spans="17:17" x14ac:dyDescent="0.25">
      <c r="Q1148"/>
    </row>
    <row r="1149" spans="17:17" x14ac:dyDescent="0.25">
      <c r="Q1149"/>
    </row>
    <row r="1150" spans="17:17" x14ac:dyDescent="0.25">
      <c r="Q1150"/>
    </row>
    <row r="1151" spans="17:17" x14ac:dyDescent="0.25">
      <c r="Q1151"/>
    </row>
    <row r="1152" spans="17:17" x14ac:dyDescent="0.25">
      <c r="Q1152"/>
    </row>
    <row r="1153" spans="17:17" x14ac:dyDescent="0.25">
      <c r="Q1153"/>
    </row>
    <row r="1154" spans="17:17" x14ac:dyDescent="0.25">
      <c r="Q1154"/>
    </row>
    <row r="1155" spans="17:17" x14ac:dyDescent="0.25">
      <c r="Q1155"/>
    </row>
    <row r="1156" spans="17:17" x14ac:dyDescent="0.25">
      <c r="Q1156"/>
    </row>
    <row r="1157" spans="17:17" x14ac:dyDescent="0.25">
      <c r="Q1157"/>
    </row>
    <row r="1158" spans="17:17" x14ac:dyDescent="0.25">
      <c r="Q1158"/>
    </row>
    <row r="1159" spans="17:17" x14ac:dyDescent="0.25">
      <c r="Q1159"/>
    </row>
    <row r="1160" spans="17:17" x14ac:dyDescent="0.25">
      <c r="Q1160"/>
    </row>
    <row r="1161" spans="17:17" x14ac:dyDescent="0.25">
      <c r="Q1161"/>
    </row>
    <row r="1162" spans="17:17" x14ac:dyDescent="0.25">
      <c r="Q1162"/>
    </row>
    <row r="1163" spans="17:17" x14ac:dyDescent="0.25">
      <c r="Q1163"/>
    </row>
    <row r="1164" spans="17:17" x14ac:dyDescent="0.25">
      <c r="Q1164"/>
    </row>
    <row r="1165" spans="17:17" x14ac:dyDescent="0.25">
      <c r="Q1165"/>
    </row>
    <row r="1166" spans="17:17" x14ac:dyDescent="0.25">
      <c r="Q1166"/>
    </row>
    <row r="1167" spans="17:17" x14ac:dyDescent="0.25">
      <c r="Q1167"/>
    </row>
    <row r="1168" spans="17:17" x14ac:dyDescent="0.25">
      <c r="Q1168"/>
    </row>
    <row r="1169" spans="17:17" x14ac:dyDescent="0.25">
      <c r="Q1169"/>
    </row>
    <row r="1170" spans="17:17" x14ac:dyDescent="0.25">
      <c r="Q1170"/>
    </row>
    <row r="1171" spans="17:17" x14ac:dyDescent="0.25">
      <c r="Q1171"/>
    </row>
    <row r="1172" spans="17:17" x14ac:dyDescent="0.25">
      <c r="Q1172"/>
    </row>
    <row r="1173" spans="17:17" x14ac:dyDescent="0.25">
      <c r="Q1173"/>
    </row>
    <row r="1174" spans="17:17" x14ac:dyDescent="0.25">
      <c r="Q1174"/>
    </row>
    <row r="1175" spans="17:17" x14ac:dyDescent="0.25">
      <c r="Q1175"/>
    </row>
    <row r="1176" spans="17:17" x14ac:dyDescent="0.25">
      <c r="Q1176"/>
    </row>
    <row r="1177" spans="17:17" x14ac:dyDescent="0.25">
      <c r="Q1177"/>
    </row>
    <row r="1178" spans="17:17" x14ac:dyDescent="0.25">
      <c r="Q1178"/>
    </row>
    <row r="1179" spans="17:17" x14ac:dyDescent="0.25">
      <c r="Q1179"/>
    </row>
    <row r="1180" spans="17:17" x14ac:dyDescent="0.25">
      <c r="Q1180"/>
    </row>
    <row r="1181" spans="17:17" x14ac:dyDescent="0.25">
      <c r="Q1181"/>
    </row>
    <row r="1182" spans="17:17" x14ac:dyDescent="0.25">
      <c r="Q1182"/>
    </row>
    <row r="1183" spans="17:17" x14ac:dyDescent="0.25">
      <c r="Q1183"/>
    </row>
    <row r="1184" spans="17:17" x14ac:dyDescent="0.25">
      <c r="Q1184"/>
    </row>
    <row r="1185" spans="17:17" x14ac:dyDescent="0.25">
      <c r="Q1185"/>
    </row>
    <row r="1186" spans="17:17" x14ac:dyDescent="0.25">
      <c r="Q1186"/>
    </row>
    <row r="1187" spans="17:17" x14ac:dyDescent="0.25">
      <c r="Q1187"/>
    </row>
    <row r="1188" spans="17:17" x14ac:dyDescent="0.25">
      <c r="Q1188"/>
    </row>
    <row r="1189" spans="17:17" x14ac:dyDescent="0.25">
      <c r="Q1189"/>
    </row>
    <row r="1190" spans="17:17" x14ac:dyDescent="0.25">
      <c r="Q1190"/>
    </row>
    <row r="1191" spans="17:17" x14ac:dyDescent="0.25">
      <c r="Q1191"/>
    </row>
    <row r="1192" spans="17:17" x14ac:dyDescent="0.25">
      <c r="Q1192"/>
    </row>
    <row r="1193" spans="17:17" x14ac:dyDescent="0.25">
      <c r="Q1193"/>
    </row>
    <row r="1194" spans="17:17" x14ac:dyDescent="0.25">
      <c r="Q1194"/>
    </row>
    <row r="1195" spans="17:17" x14ac:dyDescent="0.25">
      <c r="Q1195"/>
    </row>
    <row r="1196" spans="17:17" x14ac:dyDescent="0.25">
      <c r="Q1196"/>
    </row>
    <row r="1197" spans="17:17" x14ac:dyDescent="0.25">
      <c r="Q1197"/>
    </row>
    <row r="1198" spans="17:17" x14ac:dyDescent="0.25">
      <c r="Q1198"/>
    </row>
    <row r="1199" spans="17:17" x14ac:dyDescent="0.25">
      <c r="Q1199"/>
    </row>
    <row r="1200" spans="17:17" x14ac:dyDescent="0.25">
      <c r="Q1200"/>
    </row>
    <row r="1201" spans="17:17" x14ac:dyDescent="0.25">
      <c r="Q1201"/>
    </row>
    <row r="1202" spans="17:17" x14ac:dyDescent="0.25">
      <c r="Q1202"/>
    </row>
    <row r="1203" spans="17:17" x14ac:dyDescent="0.25">
      <c r="Q1203"/>
    </row>
    <row r="1204" spans="17:17" x14ac:dyDescent="0.25">
      <c r="Q1204"/>
    </row>
    <row r="1205" spans="17:17" x14ac:dyDescent="0.25">
      <c r="Q1205"/>
    </row>
    <row r="1206" spans="17:17" x14ac:dyDescent="0.25">
      <c r="Q1206"/>
    </row>
    <row r="1207" spans="17:17" x14ac:dyDescent="0.25">
      <c r="Q1207"/>
    </row>
    <row r="1208" spans="17:17" x14ac:dyDescent="0.25">
      <c r="Q1208"/>
    </row>
    <row r="1209" spans="17:17" x14ac:dyDescent="0.25">
      <c r="Q1209"/>
    </row>
    <row r="1210" spans="17:17" x14ac:dyDescent="0.25">
      <c r="Q1210"/>
    </row>
    <row r="1211" spans="17:17" x14ac:dyDescent="0.25">
      <c r="Q1211"/>
    </row>
    <row r="1212" spans="17:17" x14ac:dyDescent="0.25">
      <c r="Q1212"/>
    </row>
    <row r="1213" spans="17:17" x14ac:dyDescent="0.25">
      <c r="Q1213"/>
    </row>
    <row r="1214" spans="17:17" x14ac:dyDescent="0.25">
      <c r="Q1214"/>
    </row>
    <row r="1215" spans="17:17" x14ac:dyDescent="0.25">
      <c r="Q1215"/>
    </row>
    <row r="1216" spans="17:17" x14ac:dyDescent="0.25">
      <c r="Q1216"/>
    </row>
    <row r="1217" spans="17:17" x14ac:dyDescent="0.25">
      <c r="Q1217"/>
    </row>
    <row r="1218" spans="17:17" x14ac:dyDescent="0.25">
      <c r="Q1218"/>
    </row>
    <row r="1219" spans="17:17" x14ac:dyDescent="0.25">
      <c r="Q1219"/>
    </row>
    <row r="1220" spans="17:17" x14ac:dyDescent="0.25">
      <c r="Q1220"/>
    </row>
    <row r="1221" spans="17:17" x14ac:dyDescent="0.25">
      <c r="Q1221"/>
    </row>
    <row r="1222" spans="17:17" x14ac:dyDescent="0.25">
      <c r="Q1222"/>
    </row>
    <row r="1223" spans="17:17" x14ac:dyDescent="0.25">
      <c r="Q1223"/>
    </row>
    <row r="1224" spans="17:17" x14ac:dyDescent="0.25">
      <c r="Q1224"/>
    </row>
    <row r="1225" spans="17:17" x14ac:dyDescent="0.25">
      <c r="Q1225"/>
    </row>
    <row r="1226" spans="17:17" x14ac:dyDescent="0.25">
      <c r="Q1226"/>
    </row>
    <row r="1227" spans="17:17" x14ac:dyDescent="0.25">
      <c r="Q1227"/>
    </row>
    <row r="1228" spans="17:17" x14ac:dyDescent="0.25">
      <c r="Q1228"/>
    </row>
    <row r="1229" spans="17:17" x14ac:dyDescent="0.25">
      <c r="Q1229"/>
    </row>
    <row r="1230" spans="17:17" x14ac:dyDescent="0.25">
      <c r="Q1230"/>
    </row>
    <row r="1231" spans="17:17" x14ac:dyDescent="0.25">
      <c r="Q1231"/>
    </row>
    <row r="1232" spans="17:17" x14ac:dyDescent="0.25">
      <c r="Q1232"/>
    </row>
    <row r="1233" spans="17:17" x14ac:dyDescent="0.25">
      <c r="Q1233"/>
    </row>
    <row r="1234" spans="17:17" x14ac:dyDescent="0.25">
      <c r="Q1234"/>
    </row>
    <row r="1235" spans="17:17" x14ac:dyDescent="0.25">
      <c r="Q1235"/>
    </row>
    <row r="1236" spans="17:17" x14ac:dyDescent="0.25">
      <c r="Q1236"/>
    </row>
    <row r="1237" spans="17:17" x14ac:dyDescent="0.25">
      <c r="Q1237"/>
    </row>
    <row r="1238" spans="17:17" x14ac:dyDescent="0.25">
      <c r="Q1238"/>
    </row>
    <row r="1239" spans="17:17" x14ac:dyDescent="0.25">
      <c r="Q1239"/>
    </row>
    <row r="1240" spans="17:17" x14ac:dyDescent="0.25">
      <c r="Q1240"/>
    </row>
    <row r="1241" spans="17:17" x14ac:dyDescent="0.25">
      <c r="Q1241"/>
    </row>
    <row r="1242" spans="17:17" x14ac:dyDescent="0.25">
      <c r="Q1242"/>
    </row>
    <row r="1243" spans="17:17" x14ac:dyDescent="0.25">
      <c r="Q1243"/>
    </row>
    <row r="1244" spans="17:17" x14ac:dyDescent="0.25">
      <c r="Q1244"/>
    </row>
    <row r="1245" spans="17:17" x14ac:dyDescent="0.25">
      <c r="Q1245"/>
    </row>
    <row r="1246" spans="17:17" x14ac:dyDescent="0.25">
      <c r="Q1246"/>
    </row>
    <row r="1247" spans="17:17" x14ac:dyDescent="0.25">
      <c r="Q1247"/>
    </row>
    <row r="1248" spans="17:17" x14ac:dyDescent="0.25">
      <c r="Q1248"/>
    </row>
    <row r="1249" spans="17:17" x14ac:dyDescent="0.25">
      <c r="Q1249"/>
    </row>
    <row r="1250" spans="17:17" x14ac:dyDescent="0.25">
      <c r="Q1250"/>
    </row>
    <row r="1251" spans="17:17" x14ac:dyDescent="0.25">
      <c r="Q1251"/>
    </row>
    <row r="1252" spans="17:17" x14ac:dyDescent="0.25">
      <c r="Q1252"/>
    </row>
    <row r="1253" spans="17:17" x14ac:dyDescent="0.25">
      <c r="Q1253"/>
    </row>
    <row r="1254" spans="17:17" x14ac:dyDescent="0.25">
      <c r="Q1254"/>
    </row>
    <row r="1255" spans="17:17" x14ac:dyDescent="0.25">
      <c r="Q1255"/>
    </row>
    <row r="1256" spans="17:17" x14ac:dyDescent="0.25">
      <c r="Q1256"/>
    </row>
    <row r="1257" spans="17:17" x14ac:dyDescent="0.25">
      <c r="Q1257"/>
    </row>
    <row r="1258" spans="17:17" x14ac:dyDescent="0.25">
      <c r="Q1258"/>
    </row>
    <row r="1259" spans="17:17" x14ac:dyDescent="0.25">
      <c r="Q1259"/>
    </row>
    <row r="1260" spans="17:17" x14ac:dyDescent="0.25">
      <c r="Q1260"/>
    </row>
    <row r="1261" spans="17:17" x14ac:dyDescent="0.25">
      <c r="Q1261"/>
    </row>
    <row r="1262" spans="17:17" x14ac:dyDescent="0.25">
      <c r="Q1262"/>
    </row>
    <row r="1263" spans="17:17" x14ac:dyDescent="0.25">
      <c r="Q1263"/>
    </row>
    <row r="1264" spans="17:17" x14ac:dyDescent="0.25">
      <c r="Q1264"/>
    </row>
    <row r="1265" spans="17:17" x14ac:dyDescent="0.25">
      <c r="Q1265"/>
    </row>
    <row r="1266" spans="17:17" x14ac:dyDescent="0.25">
      <c r="Q1266"/>
    </row>
    <row r="1267" spans="17:17" x14ac:dyDescent="0.25">
      <c r="Q1267"/>
    </row>
    <row r="1268" spans="17:17" x14ac:dyDescent="0.25">
      <c r="Q1268"/>
    </row>
    <row r="1269" spans="17:17" x14ac:dyDescent="0.25">
      <c r="Q1269"/>
    </row>
    <row r="1270" spans="17:17" x14ac:dyDescent="0.25">
      <c r="Q1270"/>
    </row>
    <row r="1271" spans="17:17" x14ac:dyDescent="0.25">
      <c r="Q1271"/>
    </row>
    <row r="1272" spans="17:17" x14ac:dyDescent="0.25">
      <c r="Q1272"/>
    </row>
    <row r="1273" spans="17:17" x14ac:dyDescent="0.25">
      <c r="Q1273"/>
    </row>
    <row r="1274" spans="17:17" x14ac:dyDescent="0.25">
      <c r="Q1274"/>
    </row>
    <row r="1275" spans="17:17" x14ac:dyDescent="0.25">
      <c r="Q1275"/>
    </row>
    <row r="1276" spans="17:17" x14ac:dyDescent="0.25">
      <c r="Q1276"/>
    </row>
    <row r="1277" spans="17:17" x14ac:dyDescent="0.25">
      <c r="Q1277"/>
    </row>
    <row r="1278" spans="17:17" x14ac:dyDescent="0.25">
      <c r="Q1278"/>
    </row>
    <row r="1279" spans="17:17" x14ac:dyDescent="0.25">
      <c r="Q1279"/>
    </row>
    <row r="1280" spans="17:17" x14ac:dyDescent="0.25">
      <c r="Q1280"/>
    </row>
    <row r="1281" spans="17:17" x14ac:dyDescent="0.25">
      <c r="Q1281"/>
    </row>
    <row r="1282" spans="17:17" x14ac:dyDescent="0.25">
      <c r="Q1282"/>
    </row>
    <row r="1283" spans="17:17" x14ac:dyDescent="0.25">
      <c r="Q1283"/>
    </row>
    <row r="1284" spans="17:17" x14ac:dyDescent="0.25">
      <c r="Q1284"/>
    </row>
    <row r="1285" spans="17:17" x14ac:dyDescent="0.25">
      <c r="Q1285"/>
    </row>
    <row r="1286" spans="17:17" x14ac:dyDescent="0.25">
      <c r="Q1286"/>
    </row>
    <row r="1287" spans="17:17" x14ac:dyDescent="0.25">
      <c r="Q1287"/>
    </row>
    <row r="1288" spans="17:17" x14ac:dyDescent="0.25">
      <c r="Q1288"/>
    </row>
    <row r="1289" spans="17:17" x14ac:dyDescent="0.25">
      <c r="Q1289"/>
    </row>
    <row r="1290" spans="17:17" x14ac:dyDescent="0.25">
      <c r="Q1290"/>
    </row>
    <row r="1291" spans="17:17" x14ac:dyDescent="0.25">
      <c r="Q1291"/>
    </row>
    <row r="1292" spans="17:17" x14ac:dyDescent="0.25">
      <c r="Q1292"/>
    </row>
    <row r="1293" spans="17:17" x14ac:dyDescent="0.25">
      <c r="Q1293"/>
    </row>
    <row r="1294" spans="17:17" x14ac:dyDescent="0.25">
      <c r="Q1294"/>
    </row>
    <row r="1295" spans="17:17" x14ac:dyDescent="0.25">
      <c r="Q1295"/>
    </row>
    <row r="1296" spans="17:17" x14ac:dyDescent="0.25">
      <c r="Q1296"/>
    </row>
    <row r="1297" spans="17:17" x14ac:dyDescent="0.25">
      <c r="Q1297"/>
    </row>
    <row r="1298" spans="17:17" x14ac:dyDescent="0.25">
      <c r="Q1298"/>
    </row>
    <row r="1299" spans="17:17" x14ac:dyDescent="0.25">
      <c r="Q1299"/>
    </row>
    <row r="1300" spans="17:17" x14ac:dyDescent="0.25">
      <c r="Q1300"/>
    </row>
    <row r="1301" spans="17:17" x14ac:dyDescent="0.25">
      <c r="Q1301"/>
    </row>
    <row r="1302" spans="17:17" x14ac:dyDescent="0.25">
      <c r="Q1302"/>
    </row>
    <row r="1303" spans="17:17" x14ac:dyDescent="0.25">
      <c r="Q1303"/>
    </row>
    <row r="1304" spans="17:17" x14ac:dyDescent="0.25">
      <c r="Q1304"/>
    </row>
    <row r="1305" spans="17:17" x14ac:dyDescent="0.25">
      <c r="Q1305"/>
    </row>
    <row r="1306" spans="17:17" x14ac:dyDescent="0.25">
      <c r="Q1306"/>
    </row>
    <row r="1307" spans="17:17" x14ac:dyDescent="0.25">
      <c r="Q1307"/>
    </row>
    <row r="1308" spans="17:17" x14ac:dyDescent="0.25">
      <c r="Q1308"/>
    </row>
    <row r="1309" spans="17:17" x14ac:dyDescent="0.25">
      <c r="Q1309"/>
    </row>
    <row r="1310" spans="17:17" x14ac:dyDescent="0.25">
      <c r="Q1310"/>
    </row>
    <row r="1311" spans="17:17" x14ac:dyDescent="0.25">
      <c r="Q1311"/>
    </row>
    <row r="1312" spans="17:17" x14ac:dyDescent="0.25">
      <c r="Q1312"/>
    </row>
    <row r="1313" spans="17:17" x14ac:dyDescent="0.25">
      <c r="Q1313"/>
    </row>
    <row r="1314" spans="17:17" x14ac:dyDescent="0.25">
      <c r="Q1314"/>
    </row>
    <row r="1315" spans="17:17" x14ac:dyDescent="0.25">
      <c r="Q1315"/>
    </row>
    <row r="1316" spans="17:17" x14ac:dyDescent="0.25">
      <c r="Q1316"/>
    </row>
    <row r="1317" spans="17:17" x14ac:dyDescent="0.25">
      <c r="Q1317"/>
    </row>
    <row r="1318" spans="17:17" x14ac:dyDescent="0.25">
      <c r="Q1318"/>
    </row>
    <row r="1319" spans="17:17" x14ac:dyDescent="0.25">
      <c r="Q1319"/>
    </row>
    <row r="1320" spans="17:17" x14ac:dyDescent="0.25">
      <c r="Q1320"/>
    </row>
    <row r="1321" spans="17:17" x14ac:dyDescent="0.25">
      <c r="Q1321"/>
    </row>
    <row r="1322" spans="17:17" x14ac:dyDescent="0.25">
      <c r="Q1322"/>
    </row>
    <row r="1323" spans="17:17" x14ac:dyDescent="0.25">
      <c r="Q1323"/>
    </row>
    <row r="1324" spans="17:17" x14ac:dyDescent="0.25">
      <c r="Q1324"/>
    </row>
    <row r="1325" spans="17:17" x14ac:dyDescent="0.25">
      <c r="Q1325"/>
    </row>
    <row r="1326" spans="17:17" x14ac:dyDescent="0.25">
      <c r="Q1326"/>
    </row>
    <row r="1327" spans="17:17" x14ac:dyDescent="0.25">
      <c r="Q1327"/>
    </row>
    <row r="1328" spans="17:17" x14ac:dyDescent="0.25">
      <c r="Q1328"/>
    </row>
    <row r="1329" spans="17:17" x14ac:dyDescent="0.25">
      <c r="Q1329"/>
    </row>
    <row r="1330" spans="17:17" x14ac:dyDescent="0.25">
      <c r="Q1330"/>
    </row>
    <row r="1331" spans="17:17" x14ac:dyDescent="0.25">
      <c r="Q1331"/>
    </row>
    <row r="1332" spans="17:17" x14ac:dyDescent="0.25">
      <c r="Q1332"/>
    </row>
    <row r="1333" spans="17:17" x14ac:dyDescent="0.25">
      <c r="Q1333"/>
    </row>
    <row r="1334" spans="17:17" x14ac:dyDescent="0.25">
      <c r="Q1334"/>
    </row>
    <row r="1335" spans="17:17" x14ac:dyDescent="0.25">
      <c r="Q1335"/>
    </row>
    <row r="1336" spans="17:17" x14ac:dyDescent="0.25">
      <c r="Q1336"/>
    </row>
    <row r="1337" spans="17:17" x14ac:dyDescent="0.25">
      <c r="Q1337"/>
    </row>
    <row r="1338" spans="17:17" x14ac:dyDescent="0.25">
      <c r="Q1338"/>
    </row>
    <row r="1339" spans="17:17" x14ac:dyDescent="0.25">
      <c r="Q1339"/>
    </row>
    <row r="1340" spans="17:17" x14ac:dyDescent="0.25">
      <c r="Q1340"/>
    </row>
    <row r="1341" spans="17:17" x14ac:dyDescent="0.25">
      <c r="Q1341"/>
    </row>
    <row r="1342" spans="17:17" x14ac:dyDescent="0.25">
      <c r="Q1342"/>
    </row>
    <row r="1343" spans="17:17" x14ac:dyDescent="0.25">
      <c r="Q1343"/>
    </row>
    <row r="1344" spans="17:17" x14ac:dyDescent="0.25">
      <c r="Q1344"/>
    </row>
    <row r="1345" spans="17:17" x14ac:dyDescent="0.25">
      <c r="Q1345"/>
    </row>
    <row r="1346" spans="17:17" x14ac:dyDescent="0.25">
      <c r="Q1346"/>
    </row>
    <row r="1347" spans="17:17" x14ac:dyDescent="0.25">
      <c r="Q1347"/>
    </row>
    <row r="1348" spans="17:17" x14ac:dyDescent="0.25">
      <c r="Q1348"/>
    </row>
    <row r="1349" spans="17:17" x14ac:dyDescent="0.25">
      <c r="Q1349"/>
    </row>
    <row r="1350" spans="17:17" x14ac:dyDescent="0.25">
      <c r="Q1350"/>
    </row>
    <row r="1351" spans="17:17" x14ac:dyDescent="0.25">
      <c r="Q1351"/>
    </row>
    <row r="1352" spans="17:17" x14ac:dyDescent="0.25">
      <c r="Q1352"/>
    </row>
    <row r="1353" spans="17:17" x14ac:dyDescent="0.25">
      <c r="Q1353"/>
    </row>
    <row r="1354" spans="17:17" x14ac:dyDescent="0.25">
      <c r="Q1354"/>
    </row>
    <row r="1355" spans="17:17" x14ac:dyDescent="0.25">
      <c r="Q1355"/>
    </row>
    <row r="1356" spans="17:17" x14ac:dyDescent="0.25">
      <c r="Q1356"/>
    </row>
    <row r="1357" spans="17:17" x14ac:dyDescent="0.25">
      <c r="Q1357"/>
    </row>
    <row r="1358" spans="17:17" x14ac:dyDescent="0.25">
      <c r="Q1358"/>
    </row>
    <row r="1359" spans="17:17" x14ac:dyDescent="0.25">
      <c r="Q1359"/>
    </row>
    <row r="1360" spans="17:17" x14ac:dyDescent="0.25">
      <c r="Q1360"/>
    </row>
    <row r="1361" spans="17:17" x14ac:dyDescent="0.25">
      <c r="Q1361"/>
    </row>
    <row r="1362" spans="17:17" x14ac:dyDescent="0.25">
      <c r="Q1362"/>
    </row>
    <row r="1363" spans="17:17" x14ac:dyDescent="0.25">
      <c r="Q1363"/>
    </row>
    <row r="1364" spans="17:17" x14ac:dyDescent="0.25">
      <c r="Q1364"/>
    </row>
    <row r="1365" spans="17:17" x14ac:dyDescent="0.25">
      <c r="Q1365"/>
    </row>
    <row r="1366" spans="17:17" x14ac:dyDescent="0.25">
      <c r="Q1366"/>
    </row>
    <row r="1367" spans="17:17" x14ac:dyDescent="0.25">
      <c r="Q1367"/>
    </row>
    <row r="1368" spans="17:17" x14ac:dyDescent="0.25">
      <c r="Q1368"/>
    </row>
    <row r="1369" spans="17:17" x14ac:dyDescent="0.25">
      <c r="Q1369"/>
    </row>
    <row r="1370" spans="17:17" x14ac:dyDescent="0.25">
      <c r="Q1370"/>
    </row>
    <row r="1371" spans="17:17" x14ac:dyDescent="0.25">
      <c r="Q1371"/>
    </row>
    <row r="1372" spans="17:17" x14ac:dyDescent="0.25">
      <c r="Q1372"/>
    </row>
    <row r="1373" spans="17:17" x14ac:dyDescent="0.25">
      <c r="Q1373"/>
    </row>
    <row r="1374" spans="17:17" x14ac:dyDescent="0.25">
      <c r="Q1374"/>
    </row>
    <row r="1375" spans="17:17" x14ac:dyDescent="0.25">
      <c r="Q1375"/>
    </row>
    <row r="1376" spans="17:17" x14ac:dyDescent="0.25">
      <c r="Q1376"/>
    </row>
    <row r="1377" spans="17:17" x14ac:dyDescent="0.25">
      <c r="Q1377"/>
    </row>
    <row r="1378" spans="17:17" x14ac:dyDescent="0.25">
      <c r="Q1378"/>
    </row>
    <row r="1379" spans="17:17" x14ac:dyDescent="0.25">
      <c r="Q1379"/>
    </row>
    <row r="1380" spans="17:17" x14ac:dyDescent="0.25">
      <c r="Q1380"/>
    </row>
    <row r="1381" spans="17:17" x14ac:dyDescent="0.25">
      <c r="Q1381"/>
    </row>
    <row r="1382" spans="17:17" x14ac:dyDescent="0.25">
      <c r="Q1382"/>
    </row>
    <row r="1383" spans="17:17" x14ac:dyDescent="0.25">
      <c r="Q1383"/>
    </row>
    <row r="1384" spans="17:17" x14ac:dyDescent="0.25">
      <c r="Q1384"/>
    </row>
    <row r="1385" spans="17:17" x14ac:dyDescent="0.25">
      <c r="Q1385"/>
    </row>
    <row r="1386" spans="17:17" x14ac:dyDescent="0.25">
      <c r="Q1386"/>
    </row>
    <row r="1387" spans="17:17" x14ac:dyDescent="0.25">
      <c r="Q1387"/>
    </row>
    <row r="1388" spans="17:17" x14ac:dyDescent="0.25">
      <c r="Q1388"/>
    </row>
    <row r="1389" spans="17:17" x14ac:dyDescent="0.25">
      <c r="Q1389"/>
    </row>
    <row r="1390" spans="17:17" x14ac:dyDescent="0.25">
      <c r="Q1390"/>
    </row>
    <row r="1391" spans="17:17" x14ac:dyDescent="0.25">
      <c r="Q1391"/>
    </row>
    <row r="1392" spans="17:17" x14ac:dyDescent="0.25">
      <c r="Q1392"/>
    </row>
    <row r="1393" spans="17:17" x14ac:dyDescent="0.25">
      <c r="Q1393"/>
    </row>
    <row r="1394" spans="17:17" x14ac:dyDescent="0.25">
      <c r="Q1394"/>
    </row>
    <row r="1395" spans="17:17" x14ac:dyDescent="0.25">
      <c r="Q1395"/>
    </row>
    <row r="1396" spans="17:17" x14ac:dyDescent="0.25">
      <c r="Q1396"/>
    </row>
    <row r="1397" spans="17:17" x14ac:dyDescent="0.25">
      <c r="Q1397"/>
    </row>
    <row r="1398" spans="17:17" x14ac:dyDescent="0.25">
      <c r="Q1398"/>
    </row>
    <row r="1399" spans="17:17" x14ac:dyDescent="0.25">
      <c r="Q1399"/>
    </row>
    <row r="1400" spans="17:17" x14ac:dyDescent="0.25">
      <c r="Q1400"/>
    </row>
    <row r="1401" spans="17:17" x14ac:dyDescent="0.25">
      <c r="Q1401"/>
    </row>
    <row r="1402" spans="17:17" x14ac:dyDescent="0.25">
      <c r="Q1402"/>
    </row>
    <row r="1403" spans="17:17" x14ac:dyDescent="0.25">
      <c r="Q1403"/>
    </row>
    <row r="1404" spans="17:17" x14ac:dyDescent="0.25">
      <c r="Q1404"/>
    </row>
    <row r="1405" spans="17:17" x14ac:dyDescent="0.25">
      <c r="Q1405"/>
    </row>
    <row r="1406" spans="17:17" x14ac:dyDescent="0.25">
      <c r="Q1406"/>
    </row>
    <row r="1407" spans="17:17" x14ac:dyDescent="0.25">
      <c r="Q1407"/>
    </row>
    <row r="1408" spans="17:17" x14ac:dyDescent="0.25">
      <c r="Q1408"/>
    </row>
    <row r="1409" spans="17:17" x14ac:dyDescent="0.25">
      <c r="Q1409"/>
    </row>
    <row r="1410" spans="17:17" x14ac:dyDescent="0.25">
      <c r="Q1410"/>
    </row>
    <row r="1411" spans="17:17" x14ac:dyDescent="0.25">
      <c r="Q1411"/>
    </row>
    <row r="1412" spans="17:17" x14ac:dyDescent="0.25">
      <c r="Q1412"/>
    </row>
    <row r="1413" spans="17:17" x14ac:dyDescent="0.25">
      <c r="Q1413"/>
    </row>
    <row r="1414" spans="17:17" x14ac:dyDescent="0.25">
      <c r="Q1414"/>
    </row>
    <row r="1415" spans="17:17" x14ac:dyDescent="0.25">
      <c r="Q1415"/>
    </row>
    <row r="1416" spans="17:17" x14ac:dyDescent="0.25">
      <c r="Q1416"/>
    </row>
    <row r="1417" spans="17:17" x14ac:dyDescent="0.25">
      <c r="Q1417"/>
    </row>
    <row r="1418" spans="17:17" x14ac:dyDescent="0.25">
      <c r="Q1418"/>
    </row>
    <row r="1419" spans="17:17" x14ac:dyDescent="0.25">
      <c r="Q1419"/>
    </row>
    <row r="1420" spans="17:17" x14ac:dyDescent="0.25">
      <c r="Q1420"/>
    </row>
    <row r="1421" spans="17:17" x14ac:dyDescent="0.25">
      <c r="Q1421"/>
    </row>
    <row r="1422" spans="17:17" x14ac:dyDescent="0.25">
      <c r="Q1422"/>
    </row>
    <row r="1423" spans="17:17" x14ac:dyDescent="0.25">
      <c r="Q1423"/>
    </row>
    <row r="1424" spans="17:17" x14ac:dyDescent="0.25">
      <c r="Q1424"/>
    </row>
  </sheetData>
  <pageMargins left="0.7" right="0.7" top="0.75" bottom="0.75" header="0.3" footer="0.3"/>
  <ignoredErrors>
    <ignoredError sqref="O11:Q13 AE4:AE9 AE11:AE13 AC11:AC13 AC4:AC9 AB4:AB9 AB11:AB13 AD4:AD9 AD11:AD13 T11:V13 AB15:AC15" formula="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2"/>
  <sheetViews>
    <sheetView showGridLines="0" workbookViewId="0">
      <pane ySplit="1980" topLeftCell="A49" activePane="bottomLeft"/>
      <selection sqref="A1:XFD1048576"/>
      <selection pane="bottomLeft" activeCell="A73" sqref="A73"/>
    </sheetView>
  </sheetViews>
  <sheetFormatPr defaultColWidth="9.140625" defaultRowHeight="12.75" x14ac:dyDescent="0.25"/>
  <cols>
    <col min="1" max="1" width="40" style="398" customWidth="1"/>
    <col min="2" max="2" width="15.140625" style="373" customWidth="1"/>
    <col min="3" max="3" width="14.28515625" style="373" customWidth="1"/>
    <col min="4" max="4" width="18.7109375" style="373" customWidth="1"/>
    <col min="5" max="5" width="12" style="373" customWidth="1"/>
    <col min="6" max="6" width="9.7109375" style="373" customWidth="1"/>
    <col min="7" max="7" width="28.28515625" style="373" customWidth="1"/>
    <col min="8" max="8" width="18.140625" style="373" customWidth="1"/>
    <col min="9" max="9" width="13.28515625" style="373" bestFit="1" customWidth="1"/>
    <col min="10" max="10" width="13.42578125" style="373" bestFit="1" customWidth="1"/>
    <col min="11" max="11" width="9.140625" style="373"/>
    <col min="12" max="12" width="3.5703125" style="377" customWidth="1"/>
    <col min="13" max="13" width="11.42578125" style="181" customWidth="1"/>
    <col min="14" max="16384" width="9.140625" style="181"/>
  </cols>
  <sheetData>
    <row r="1" spans="1:17" ht="25.5" customHeight="1" x14ac:dyDescent="0.25">
      <c r="A1" s="374" t="s">
        <v>423</v>
      </c>
      <c r="B1" s="375"/>
      <c r="C1" s="376"/>
      <c r="G1" s="376"/>
      <c r="J1" s="373">
        <f>'EFs &amp; Rates'!I11</f>
        <v>25</v>
      </c>
      <c r="K1" s="373">
        <f>'EFs &amp; Rates'!J11</f>
        <v>298</v>
      </c>
    </row>
    <row r="2" spans="1:17" ht="15" customHeight="1" x14ac:dyDescent="0.25">
      <c r="A2" s="378"/>
      <c r="B2" s="379"/>
      <c r="C2" s="380" t="s">
        <v>522</v>
      </c>
      <c r="D2" s="380"/>
      <c r="E2" s="379"/>
      <c r="G2" s="376">
        <v>2020</v>
      </c>
      <c r="H2" s="381" t="s">
        <v>462</v>
      </c>
      <c r="I2" s="382">
        <f>'EFs &amp; Rates'!R5</f>
        <v>963.42025100000001</v>
      </c>
      <c r="J2" s="383" t="s">
        <v>561</v>
      </c>
      <c r="N2" s="485" t="s">
        <v>578</v>
      </c>
    </row>
    <row r="3" spans="1:17" ht="23.45" customHeight="1" x14ac:dyDescent="0.25">
      <c r="A3" s="384" t="s">
        <v>0</v>
      </c>
      <c r="B3" s="385" t="s">
        <v>31</v>
      </c>
      <c r="C3" s="386" t="s">
        <v>562</v>
      </c>
      <c r="D3" s="386" t="s">
        <v>424</v>
      </c>
      <c r="E3" s="385" t="s">
        <v>425</v>
      </c>
      <c r="F3" s="387" t="s">
        <v>472</v>
      </c>
      <c r="G3" s="481" t="s">
        <v>576</v>
      </c>
      <c r="H3" s="387" t="s">
        <v>469</v>
      </c>
      <c r="I3" s="388" t="s">
        <v>537</v>
      </c>
      <c r="J3" s="388" t="s">
        <v>538</v>
      </c>
      <c r="K3" s="388" t="s">
        <v>539</v>
      </c>
      <c r="M3" s="439" t="s">
        <v>575</v>
      </c>
      <c r="N3" s="439" t="s">
        <v>577</v>
      </c>
      <c r="O3" s="407" t="s">
        <v>558</v>
      </c>
      <c r="P3" s="407" t="s">
        <v>559</v>
      </c>
      <c r="Q3" s="389" t="s">
        <v>452</v>
      </c>
    </row>
    <row r="4" spans="1:17" x14ac:dyDescent="0.2">
      <c r="A4" s="351" t="s">
        <v>263</v>
      </c>
      <c r="B4" s="352">
        <v>383706.2</v>
      </c>
      <c r="C4" s="419">
        <f t="shared" ref="C4:C67" si="0">G4</f>
        <v>0</v>
      </c>
      <c r="D4" s="352" t="s">
        <v>464</v>
      </c>
      <c r="E4" s="352" t="s">
        <v>426</v>
      </c>
      <c r="F4" s="356" t="s">
        <v>463</v>
      </c>
      <c r="G4" s="356">
        <f t="shared" ref="G4:G35" si="1">I4+(J4*25)+(K4*298)</f>
        <v>0</v>
      </c>
      <c r="H4" s="356"/>
      <c r="I4" s="356">
        <v>0</v>
      </c>
      <c r="J4" s="390">
        <v>0</v>
      </c>
      <c r="K4" s="390">
        <v>0</v>
      </c>
    </row>
    <row r="5" spans="1:17" x14ac:dyDescent="0.2">
      <c r="A5" s="351" t="s">
        <v>264</v>
      </c>
      <c r="B5" s="352">
        <v>52934.5</v>
      </c>
      <c r="C5" s="419">
        <f t="shared" si="0"/>
        <v>0</v>
      </c>
      <c r="D5" s="352" t="s">
        <v>464</v>
      </c>
      <c r="E5" s="352" t="s">
        <v>426</v>
      </c>
      <c r="F5" s="356" t="s">
        <v>463</v>
      </c>
      <c r="G5" s="356">
        <f t="shared" si="1"/>
        <v>0</v>
      </c>
      <c r="H5" s="356"/>
      <c r="I5" s="356">
        <v>0</v>
      </c>
      <c r="J5" s="390">
        <v>0</v>
      </c>
      <c r="K5" s="390">
        <v>0</v>
      </c>
    </row>
    <row r="6" spans="1:17" x14ac:dyDescent="0.2">
      <c r="A6" s="351" t="s">
        <v>265</v>
      </c>
      <c r="B6" s="352">
        <v>181415.1</v>
      </c>
      <c r="C6" s="419">
        <f t="shared" si="0"/>
        <v>0</v>
      </c>
      <c r="D6" s="352" t="s">
        <v>464</v>
      </c>
      <c r="E6" s="352" t="s">
        <v>426</v>
      </c>
      <c r="F6" s="356" t="s">
        <v>463</v>
      </c>
      <c r="G6" s="356">
        <f t="shared" si="1"/>
        <v>0</v>
      </c>
      <c r="H6" s="356"/>
      <c r="I6" s="356">
        <v>0</v>
      </c>
      <c r="J6" s="390">
        <v>0</v>
      </c>
      <c r="K6" s="390">
        <v>0</v>
      </c>
    </row>
    <row r="7" spans="1:17" x14ac:dyDescent="0.2">
      <c r="A7" s="351" t="s">
        <v>266</v>
      </c>
      <c r="B7" s="352">
        <v>362138.35499999998</v>
      </c>
      <c r="C7" s="419">
        <f t="shared" si="0"/>
        <v>0</v>
      </c>
      <c r="D7" s="352" t="s">
        <v>464</v>
      </c>
      <c r="E7" s="352" t="s">
        <v>426</v>
      </c>
      <c r="F7" s="391" t="s">
        <v>463</v>
      </c>
      <c r="G7" s="356">
        <f t="shared" si="1"/>
        <v>0</v>
      </c>
      <c r="H7" s="356"/>
      <c r="I7" s="356">
        <v>0</v>
      </c>
      <c r="J7" s="390">
        <v>0</v>
      </c>
      <c r="K7" s="390">
        <v>0</v>
      </c>
    </row>
    <row r="8" spans="1:17" x14ac:dyDescent="0.2">
      <c r="A8" s="351" t="s">
        <v>507</v>
      </c>
      <c r="B8" s="352">
        <v>2589</v>
      </c>
      <c r="C8" s="419">
        <f t="shared" si="0"/>
        <v>3264.0942504528002</v>
      </c>
      <c r="D8" s="352" t="s">
        <v>464</v>
      </c>
      <c r="E8" s="352" t="s">
        <v>427</v>
      </c>
      <c r="F8" s="391" t="s">
        <v>427</v>
      </c>
      <c r="G8" s="356">
        <f>I8+(J8*$J$1)+(K8*$K$1)</f>
        <v>3264.0942504528002</v>
      </c>
      <c r="H8" s="356"/>
      <c r="I8" s="356">
        <v>3238.5042294479999</v>
      </c>
      <c r="J8" s="390">
        <v>0.37442169599999997</v>
      </c>
      <c r="K8" s="390">
        <v>5.4461337600000007E-2</v>
      </c>
    </row>
    <row r="9" spans="1:17" x14ac:dyDescent="0.2">
      <c r="A9" s="351" t="s">
        <v>508</v>
      </c>
      <c r="B9" s="352">
        <v>5420</v>
      </c>
      <c r="C9" s="419">
        <f t="shared" si="0"/>
        <v>6402.3277994609998</v>
      </c>
      <c r="D9" s="352" t="s">
        <v>464</v>
      </c>
      <c r="E9" s="352" t="s">
        <v>427</v>
      </c>
      <c r="F9" s="391" t="s">
        <v>427</v>
      </c>
      <c r="G9" s="356">
        <f t="shared" ref="G9:G29" si="2">I9+(J9*$J$1)+(K9*$K$1)</f>
        <v>6402.3277994609998</v>
      </c>
      <c r="H9" s="356"/>
      <c r="I9" s="356">
        <v>6352.061910165</v>
      </c>
      <c r="J9" s="390">
        <v>0.73546791999999994</v>
      </c>
      <c r="K9" s="390">
        <v>0.10697715200000001</v>
      </c>
    </row>
    <row r="10" spans="1:17" x14ac:dyDescent="0.2">
      <c r="A10" s="351" t="s">
        <v>509</v>
      </c>
      <c r="B10" s="352">
        <v>1124165</v>
      </c>
      <c r="C10" s="419">
        <f t="shared" si="0"/>
        <v>1189078.8303417685</v>
      </c>
      <c r="D10" s="352" t="s">
        <v>464</v>
      </c>
      <c r="E10" s="352" t="s">
        <v>427</v>
      </c>
      <c r="F10" s="391" t="s">
        <v>427</v>
      </c>
      <c r="G10" s="356">
        <f t="shared" si="2"/>
        <v>1189078.8303417685</v>
      </c>
      <c r="H10" s="356"/>
      <c r="I10" s="356">
        <v>1179755.2277396882</v>
      </c>
      <c r="J10" s="390">
        <v>136.41679440705002</v>
      </c>
      <c r="K10" s="390">
        <v>19.842895107060002</v>
      </c>
    </row>
    <row r="11" spans="1:17" x14ac:dyDescent="0.2">
      <c r="A11" s="351" t="s">
        <v>510</v>
      </c>
      <c r="B11" s="352">
        <v>970164</v>
      </c>
      <c r="C11" s="419">
        <f t="shared" si="0"/>
        <v>891059.61564669583</v>
      </c>
      <c r="D11" s="352" t="s">
        <v>464</v>
      </c>
      <c r="E11" s="352" t="s">
        <v>427</v>
      </c>
      <c r="F11" s="391" t="s">
        <v>427</v>
      </c>
      <c r="G11" s="356">
        <f t="shared" si="2"/>
        <v>891059.61564669583</v>
      </c>
      <c r="H11" s="356"/>
      <c r="I11" s="356">
        <v>884068.1351748755</v>
      </c>
      <c r="J11" s="390">
        <v>102.29389816174998</v>
      </c>
      <c r="K11" s="390">
        <v>14.879640999250002</v>
      </c>
    </row>
    <row r="12" spans="1:17" x14ac:dyDescent="0.2">
      <c r="A12" s="351" t="s">
        <v>267</v>
      </c>
      <c r="B12" s="352">
        <v>533.92999999999995</v>
      </c>
      <c r="C12" s="419">
        <f t="shared" si="0"/>
        <v>514.04794022507429</v>
      </c>
      <c r="D12" s="352" t="s">
        <v>464</v>
      </c>
      <c r="E12" s="352" t="s">
        <v>428</v>
      </c>
      <c r="F12" s="391" t="s">
        <v>429</v>
      </c>
      <c r="G12" s="356">
        <f t="shared" si="2"/>
        <v>514.04794022507429</v>
      </c>
      <c r="H12" s="356"/>
      <c r="I12" s="356">
        <v>512.28997381951194</v>
      </c>
      <c r="J12" s="390">
        <v>2.0779744746600003E-2</v>
      </c>
      <c r="K12" s="390">
        <v>4.1559489493199998E-3</v>
      </c>
    </row>
    <row r="13" spans="1:17" x14ac:dyDescent="0.2">
      <c r="A13" s="351" t="s">
        <v>404</v>
      </c>
      <c r="B13" s="352">
        <v>118589.99333333335</v>
      </c>
      <c r="C13" s="419">
        <f t="shared" si="0"/>
        <v>55032.233847957104</v>
      </c>
      <c r="D13" s="352" t="s">
        <v>464</v>
      </c>
      <c r="E13" s="352" t="s">
        <v>429</v>
      </c>
      <c r="F13" s="391" t="s">
        <v>429</v>
      </c>
      <c r="G13" s="356">
        <f t="shared" si="2"/>
        <v>55032.233847957104</v>
      </c>
      <c r="H13" s="356"/>
      <c r="I13" s="356">
        <v>54976.355342966701</v>
      </c>
      <c r="J13" s="390">
        <v>1.0196807480000001</v>
      </c>
      <c r="K13" s="390">
        <v>0.10196807480000002</v>
      </c>
    </row>
    <row r="14" spans="1:17" x14ac:dyDescent="0.2">
      <c r="A14" s="351" t="s">
        <v>405</v>
      </c>
      <c r="B14" s="352">
        <v>127822.44333333333</v>
      </c>
      <c r="C14" s="419">
        <f t="shared" si="0"/>
        <v>62154.804198413389</v>
      </c>
      <c r="D14" s="352" t="s">
        <v>464</v>
      </c>
      <c r="E14" s="352" t="s">
        <v>429</v>
      </c>
      <c r="F14" s="391" t="s">
        <v>429</v>
      </c>
      <c r="G14" s="356">
        <f t="shared" si="2"/>
        <v>62154.804198413389</v>
      </c>
      <c r="H14" s="356"/>
      <c r="I14" s="356">
        <v>62091.692522616591</v>
      </c>
      <c r="J14" s="390">
        <v>1.1516729159999999</v>
      </c>
      <c r="K14" s="390">
        <v>0.1151672916</v>
      </c>
    </row>
    <row r="15" spans="1:17" x14ac:dyDescent="0.2">
      <c r="A15" s="351" t="s">
        <v>406</v>
      </c>
      <c r="B15" s="352">
        <v>126606.19333333333</v>
      </c>
      <c r="C15" s="419">
        <f t="shared" si="0"/>
        <v>61127.689787834592</v>
      </c>
      <c r="D15" s="352" t="s">
        <v>464</v>
      </c>
      <c r="E15" s="352" t="s">
        <v>429</v>
      </c>
      <c r="F15" s="391" t="s">
        <v>429</v>
      </c>
      <c r="G15" s="356">
        <f t="shared" si="2"/>
        <v>61127.689787834592</v>
      </c>
      <c r="H15" s="356"/>
      <c r="I15" s="356">
        <v>61065.619453312196</v>
      </c>
      <c r="J15" s="390">
        <v>1.1326703379999998</v>
      </c>
      <c r="K15" s="390">
        <v>0.11326703380000001</v>
      </c>
    </row>
    <row r="16" spans="1:17" x14ac:dyDescent="0.2">
      <c r="A16" s="351" t="s">
        <v>407</v>
      </c>
      <c r="B16" s="352">
        <v>563397</v>
      </c>
      <c r="C16" s="419">
        <f t="shared" si="0"/>
        <v>253456.1757261832</v>
      </c>
      <c r="D16" s="352" t="s">
        <v>464</v>
      </c>
      <c r="E16" s="352" t="s">
        <v>429</v>
      </c>
      <c r="F16" s="391" t="s">
        <v>429</v>
      </c>
      <c r="G16" s="356">
        <f t="shared" si="2"/>
        <v>253456.1757261832</v>
      </c>
      <c r="H16" s="356"/>
      <c r="I16" s="356">
        <v>253198.80593402399</v>
      </c>
      <c r="J16" s="390">
        <v>4.696529054</v>
      </c>
      <c r="K16" s="390">
        <v>0.46965290539999993</v>
      </c>
    </row>
    <row r="17" spans="1:11" x14ac:dyDescent="0.2">
      <c r="A17" s="351" t="s">
        <v>408</v>
      </c>
      <c r="B17" s="352">
        <v>559920</v>
      </c>
      <c r="C17" s="419">
        <f t="shared" si="0"/>
        <v>255692.8614489233</v>
      </c>
      <c r="D17" s="352" t="s">
        <v>464</v>
      </c>
      <c r="E17" s="352" t="s">
        <v>429</v>
      </c>
      <c r="F17" s="391" t="s">
        <v>429</v>
      </c>
      <c r="G17" s="356">
        <f t="shared" si="2"/>
        <v>255692.8614489233</v>
      </c>
      <c r="H17" s="356"/>
      <c r="I17" s="356">
        <v>255433.2227153721</v>
      </c>
      <c r="J17" s="390">
        <v>4.7379330939999997</v>
      </c>
      <c r="K17" s="390">
        <v>0.47379330939999997</v>
      </c>
    </row>
    <row r="18" spans="1:11" x14ac:dyDescent="0.2">
      <c r="A18" s="351" t="s">
        <v>409</v>
      </c>
      <c r="B18" s="352">
        <v>24260.9</v>
      </c>
      <c r="C18" s="419">
        <f t="shared" si="0"/>
        <v>18555.585060160887</v>
      </c>
      <c r="D18" s="352" t="s">
        <v>464</v>
      </c>
      <c r="E18" s="352" t="s">
        <v>429</v>
      </c>
      <c r="F18" s="391" t="s">
        <v>429</v>
      </c>
      <c r="G18" s="356">
        <f t="shared" si="2"/>
        <v>18555.585060160887</v>
      </c>
      <c r="H18" s="356"/>
      <c r="I18" s="356">
        <v>18536.192435115492</v>
      </c>
      <c r="J18" s="390">
        <v>0.35159429741884007</v>
      </c>
      <c r="K18" s="390">
        <v>3.5579757080284005E-2</v>
      </c>
    </row>
    <row r="19" spans="1:11" x14ac:dyDescent="0.2">
      <c r="A19" s="351" t="s">
        <v>410</v>
      </c>
      <c r="B19" s="352">
        <v>8040.6</v>
      </c>
      <c r="C19" s="419">
        <f t="shared" si="0"/>
        <v>6298.1503057700793</v>
      </c>
      <c r="D19" s="352" t="s">
        <v>464</v>
      </c>
      <c r="E19" s="352" t="s">
        <v>429</v>
      </c>
      <c r="F19" s="391" t="s">
        <v>429</v>
      </c>
      <c r="G19" s="356">
        <f t="shared" si="2"/>
        <v>6298.1503057700793</v>
      </c>
      <c r="H19" s="356"/>
      <c r="I19" s="356">
        <v>6291.6120199004854</v>
      </c>
      <c r="J19" s="390">
        <v>0.118940730174564</v>
      </c>
      <c r="K19" s="390">
        <v>1.1962307433656401E-2</v>
      </c>
    </row>
    <row r="20" spans="1:11" x14ac:dyDescent="0.2">
      <c r="A20" s="351" t="s">
        <v>411</v>
      </c>
      <c r="B20" s="352">
        <v>75907.3</v>
      </c>
      <c r="C20" s="419">
        <f t="shared" si="0"/>
        <v>57284.091976562348</v>
      </c>
      <c r="D20" s="352" t="s">
        <v>464</v>
      </c>
      <c r="E20" s="352" t="s">
        <v>429</v>
      </c>
      <c r="F20" s="391" t="s">
        <v>429</v>
      </c>
      <c r="G20" s="356">
        <f t="shared" si="2"/>
        <v>57284.091976562348</v>
      </c>
      <c r="H20" s="356"/>
      <c r="I20" s="356">
        <v>57222.436442918399</v>
      </c>
      <c r="J20" s="390">
        <v>1.1015922031200001</v>
      </c>
      <c r="K20" s="390">
        <v>0.11448231062400002</v>
      </c>
    </row>
    <row r="21" spans="1:11" x14ac:dyDescent="0.2">
      <c r="A21" s="351" t="s">
        <v>412</v>
      </c>
      <c r="B21" s="352">
        <v>86701.4</v>
      </c>
      <c r="C21" s="419">
        <f t="shared" si="0"/>
        <v>76894.818435905123</v>
      </c>
      <c r="D21" s="352" t="s">
        <v>464</v>
      </c>
      <c r="E21" s="352" t="s">
        <v>429</v>
      </c>
      <c r="F21" s="391" t="s">
        <v>429</v>
      </c>
      <c r="G21" s="356">
        <f t="shared" si="2"/>
        <v>76894.818435905123</v>
      </c>
      <c r="H21" s="356"/>
      <c r="I21" s="356">
        <v>76815.478115607344</v>
      </c>
      <c r="J21" s="390">
        <v>1.447762480248</v>
      </c>
      <c r="K21" s="390">
        <v>0.14478610164959999</v>
      </c>
    </row>
    <row r="22" spans="1:11" x14ac:dyDescent="0.2">
      <c r="A22" s="351" t="s">
        <v>413</v>
      </c>
      <c r="B22" s="352">
        <v>16300.8</v>
      </c>
      <c r="C22" s="419">
        <f t="shared" si="0"/>
        <v>10732.843497003798</v>
      </c>
      <c r="D22" s="352" t="s">
        <v>464</v>
      </c>
      <c r="E22" s="352" t="s">
        <v>429</v>
      </c>
      <c r="F22" s="391" t="s">
        <v>429</v>
      </c>
      <c r="G22" s="356">
        <f t="shared" si="2"/>
        <v>10732.843497003798</v>
      </c>
      <c r="H22" s="356"/>
      <c r="I22" s="356">
        <v>10722.242765474999</v>
      </c>
      <c r="J22" s="390">
        <v>0.193444006</v>
      </c>
      <c r="K22" s="390">
        <v>1.9344400599999999E-2</v>
      </c>
    </row>
    <row r="23" spans="1:11" x14ac:dyDescent="0.2">
      <c r="A23" s="351" t="s">
        <v>414</v>
      </c>
      <c r="B23" s="352">
        <v>10424.1</v>
      </c>
      <c r="C23" s="419">
        <f t="shared" si="0"/>
        <v>7094.9806084291004</v>
      </c>
      <c r="D23" s="352" t="s">
        <v>464</v>
      </c>
      <c r="E23" s="352" t="s">
        <v>429</v>
      </c>
      <c r="F23" s="391" t="s">
        <v>429</v>
      </c>
      <c r="G23" s="356">
        <f t="shared" si="2"/>
        <v>7094.9806084291004</v>
      </c>
      <c r="H23" s="356"/>
      <c r="I23" s="356">
        <v>7087.9619741426995</v>
      </c>
      <c r="J23" s="390">
        <v>0.12807726799999999</v>
      </c>
      <c r="K23" s="390">
        <v>1.28077268E-2</v>
      </c>
    </row>
    <row r="24" spans="1:11" x14ac:dyDescent="0.2">
      <c r="A24" s="351" t="s">
        <v>415</v>
      </c>
      <c r="B24" s="352">
        <v>478493.0015999999</v>
      </c>
      <c r="C24" s="419">
        <f t="shared" si="0"/>
        <v>184102.80586267504</v>
      </c>
      <c r="D24" s="352" t="s">
        <v>464</v>
      </c>
      <c r="E24" s="352" t="s">
        <v>429</v>
      </c>
      <c r="F24" s="391" t="s">
        <v>429</v>
      </c>
      <c r="G24" s="356">
        <f t="shared" si="2"/>
        <v>184102.80586267504</v>
      </c>
      <c r="H24" s="356"/>
      <c r="I24" s="356">
        <v>184009.56700959036</v>
      </c>
      <c r="J24" s="390">
        <v>1.7014389249026356</v>
      </c>
      <c r="K24" s="390">
        <v>0.17014389249026357</v>
      </c>
    </row>
    <row r="25" spans="1:11" x14ac:dyDescent="0.2">
      <c r="A25" s="351" t="s">
        <v>274</v>
      </c>
      <c r="B25" s="352">
        <v>2020178</v>
      </c>
      <c r="C25" s="419">
        <f t="shared" si="0"/>
        <v>730202.05805986584</v>
      </c>
      <c r="D25" s="352" t="s">
        <v>464</v>
      </c>
      <c r="E25" s="352" t="s">
        <v>429</v>
      </c>
      <c r="F25" s="391" t="s">
        <v>429</v>
      </c>
      <c r="G25" s="356">
        <f t="shared" si="2"/>
        <v>730202.05805986584</v>
      </c>
      <c r="H25" s="356"/>
      <c r="I25" s="356">
        <v>729460.59210013587</v>
      </c>
      <c r="J25" s="390">
        <v>13.530400725</v>
      </c>
      <c r="K25" s="390">
        <v>1.3530400725</v>
      </c>
    </row>
    <row r="26" spans="1:11" x14ac:dyDescent="0.2">
      <c r="A26" s="351" t="s">
        <v>277</v>
      </c>
      <c r="B26" s="352">
        <v>1794974.9</v>
      </c>
      <c r="C26" s="419">
        <f t="shared" si="0"/>
        <v>694037.25305941002</v>
      </c>
      <c r="D26" s="352" t="s">
        <v>464</v>
      </c>
      <c r="E26" s="352" t="s">
        <v>429</v>
      </c>
      <c r="F26" s="391" t="s">
        <v>429</v>
      </c>
      <c r="G26" s="356">
        <f t="shared" si="2"/>
        <v>694037.25305941002</v>
      </c>
      <c r="H26" s="356"/>
      <c r="I26" s="356">
        <v>693332.50845501001</v>
      </c>
      <c r="J26" s="390">
        <v>12.860303</v>
      </c>
      <c r="K26" s="390">
        <v>1.2860303000000002</v>
      </c>
    </row>
    <row r="27" spans="1:11" x14ac:dyDescent="0.2">
      <c r="A27" s="351" t="s">
        <v>278</v>
      </c>
      <c r="B27" s="352">
        <v>489120.3</v>
      </c>
      <c r="C27" s="419">
        <f t="shared" si="0"/>
        <v>226352.97429011497</v>
      </c>
      <c r="D27" s="352" t="s">
        <v>464</v>
      </c>
      <c r="E27" s="352" t="s">
        <v>429</v>
      </c>
      <c r="F27" s="391" t="s">
        <v>429</v>
      </c>
      <c r="G27" s="356">
        <f t="shared" si="2"/>
        <v>226352.97429011497</v>
      </c>
      <c r="H27" s="356"/>
      <c r="I27" s="356">
        <v>226123.12922796179</v>
      </c>
      <c r="J27" s="390">
        <v>4.1942529589999991</v>
      </c>
      <c r="K27" s="390">
        <v>0.41942529589999999</v>
      </c>
    </row>
    <row r="28" spans="1:11" x14ac:dyDescent="0.2">
      <c r="A28" s="351" t="s">
        <v>416</v>
      </c>
      <c r="B28" s="352">
        <v>3862.7</v>
      </c>
      <c r="C28" s="419">
        <f t="shared" si="0"/>
        <v>3310.4359231028402</v>
      </c>
      <c r="D28" s="352" t="s">
        <v>464</v>
      </c>
      <c r="E28" s="352" t="s">
        <v>429</v>
      </c>
      <c r="F28" s="356" t="s">
        <v>429</v>
      </c>
      <c r="G28" s="356">
        <f t="shared" si="2"/>
        <v>3310.4359231028402</v>
      </c>
      <c r="H28" s="356"/>
      <c r="I28" s="356">
        <v>3306.7967919279999</v>
      </c>
      <c r="J28" s="390">
        <v>6.434871939999999E-2</v>
      </c>
      <c r="K28" s="390">
        <v>6.8134670800000007E-3</v>
      </c>
    </row>
    <row r="29" spans="1:11" x14ac:dyDescent="0.2">
      <c r="A29" s="351" t="s">
        <v>417</v>
      </c>
      <c r="B29" s="352">
        <v>1618.3</v>
      </c>
      <c r="C29" s="419">
        <f t="shared" si="0"/>
        <v>1343.6862720647248</v>
      </c>
      <c r="D29" s="352" t="s">
        <v>464</v>
      </c>
      <c r="E29" s="352" t="s">
        <v>429</v>
      </c>
      <c r="F29" s="356" t="s">
        <v>429</v>
      </c>
      <c r="G29" s="356">
        <f t="shared" si="2"/>
        <v>1343.6862720647248</v>
      </c>
      <c r="H29" s="356"/>
      <c r="I29" s="356">
        <v>1341.8485628449998</v>
      </c>
      <c r="J29" s="390">
        <v>2.9379860375E-2</v>
      </c>
      <c r="K29" s="390">
        <v>3.7020560750000001E-3</v>
      </c>
    </row>
    <row r="30" spans="1:11" x14ac:dyDescent="0.2">
      <c r="A30" s="351" t="s">
        <v>280</v>
      </c>
      <c r="B30" s="352">
        <v>764889.94700000004</v>
      </c>
      <c r="C30" s="419">
        <f t="shared" si="0"/>
        <v>0</v>
      </c>
      <c r="D30" s="352" t="s">
        <v>464</v>
      </c>
      <c r="E30" s="352" t="s">
        <v>430</v>
      </c>
      <c r="F30" s="356" t="s">
        <v>463</v>
      </c>
      <c r="G30" s="356">
        <f t="shared" si="1"/>
        <v>0</v>
      </c>
      <c r="H30" s="356"/>
      <c r="I30" s="356">
        <v>0</v>
      </c>
      <c r="J30" s="390">
        <v>0</v>
      </c>
      <c r="K30" s="390">
        <v>0</v>
      </c>
    </row>
    <row r="31" spans="1:11" x14ac:dyDescent="0.2">
      <c r="A31" s="351" t="s">
        <v>276</v>
      </c>
      <c r="B31" s="352">
        <v>972680.38</v>
      </c>
      <c r="C31" s="419">
        <f t="shared" si="0"/>
        <v>0</v>
      </c>
      <c r="D31" s="352" t="s">
        <v>464</v>
      </c>
      <c r="E31" s="352" t="s">
        <v>430</v>
      </c>
      <c r="F31" s="356" t="s">
        <v>463</v>
      </c>
      <c r="G31" s="356">
        <f t="shared" si="1"/>
        <v>0</v>
      </c>
      <c r="H31" s="356"/>
      <c r="I31" s="356">
        <v>0</v>
      </c>
      <c r="J31" s="390">
        <v>0</v>
      </c>
      <c r="K31" s="390">
        <v>0</v>
      </c>
    </row>
    <row r="32" spans="1:11" x14ac:dyDescent="0.2">
      <c r="A32" s="351" t="s">
        <v>275</v>
      </c>
      <c r="B32" s="352">
        <v>478168.71600000001</v>
      </c>
      <c r="C32" s="419">
        <f t="shared" si="0"/>
        <v>0</v>
      </c>
      <c r="D32" s="352" t="s">
        <v>464</v>
      </c>
      <c r="E32" s="352" t="s">
        <v>430</v>
      </c>
      <c r="F32" s="356" t="s">
        <v>463</v>
      </c>
      <c r="G32" s="356">
        <f t="shared" si="1"/>
        <v>0</v>
      </c>
      <c r="H32" s="356"/>
      <c r="I32" s="356">
        <v>0</v>
      </c>
      <c r="J32" s="390">
        <v>0</v>
      </c>
      <c r="K32" s="390">
        <v>0</v>
      </c>
    </row>
    <row r="33" spans="1:13" x14ac:dyDescent="0.2">
      <c r="A33" s="351" t="s">
        <v>285</v>
      </c>
      <c r="B33" s="352">
        <v>1.335</v>
      </c>
      <c r="C33" s="419">
        <f t="shared" si="0"/>
        <v>0</v>
      </c>
      <c r="D33" s="352" t="s">
        <v>465</v>
      </c>
      <c r="E33" s="352" t="s">
        <v>431</v>
      </c>
      <c r="F33" s="356" t="s">
        <v>463</v>
      </c>
      <c r="G33" s="356">
        <f t="shared" si="1"/>
        <v>0</v>
      </c>
      <c r="H33" s="356"/>
      <c r="I33" s="356">
        <v>0</v>
      </c>
      <c r="J33" s="390">
        <v>0</v>
      </c>
      <c r="K33" s="390">
        <v>0</v>
      </c>
    </row>
    <row r="34" spans="1:13" x14ac:dyDescent="0.2">
      <c r="A34" s="351" t="s">
        <v>398</v>
      </c>
      <c r="B34" s="352">
        <v>150.51400000000001</v>
      </c>
      <c r="C34" s="419">
        <f t="shared" si="0"/>
        <v>0</v>
      </c>
      <c r="D34" s="352" t="s">
        <v>465</v>
      </c>
      <c r="E34" s="352" t="s">
        <v>431</v>
      </c>
      <c r="F34" s="356" t="s">
        <v>463</v>
      </c>
      <c r="G34" s="356">
        <f t="shared" si="1"/>
        <v>0</v>
      </c>
      <c r="H34" s="356"/>
      <c r="I34" s="356">
        <v>0</v>
      </c>
      <c r="J34" s="390">
        <v>0</v>
      </c>
      <c r="K34" s="390">
        <v>0</v>
      </c>
    </row>
    <row r="35" spans="1:13" x14ac:dyDescent="0.2">
      <c r="A35" s="351" t="s">
        <v>293</v>
      </c>
      <c r="B35" s="352">
        <v>494.69</v>
      </c>
      <c r="C35" s="419">
        <f t="shared" si="0"/>
        <v>0</v>
      </c>
      <c r="D35" s="352" t="s">
        <v>465</v>
      </c>
      <c r="E35" s="352" t="s">
        <v>431</v>
      </c>
      <c r="F35" s="356" t="s">
        <v>463</v>
      </c>
      <c r="G35" s="356">
        <f t="shared" si="1"/>
        <v>0</v>
      </c>
      <c r="H35" s="356"/>
      <c r="I35" s="356">
        <v>0</v>
      </c>
      <c r="J35" s="390">
        <v>0</v>
      </c>
      <c r="K35" s="390">
        <v>0</v>
      </c>
    </row>
    <row r="36" spans="1:13" x14ac:dyDescent="0.2">
      <c r="A36" s="351" t="s">
        <v>316</v>
      </c>
      <c r="B36" s="352">
        <v>31178.521000000001</v>
      </c>
      <c r="C36" s="419">
        <f t="shared" si="0"/>
        <v>0</v>
      </c>
      <c r="D36" s="352" t="s">
        <v>465</v>
      </c>
      <c r="E36" s="352" t="s">
        <v>431</v>
      </c>
      <c r="F36" s="356" t="s">
        <v>463</v>
      </c>
      <c r="G36" s="356">
        <f t="shared" ref="G36:G69" si="3">I36+(J36*25)+(K36*298)</f>
        <v>0</v>
      </c>
      <c r="H36" s="356"/>
      <c r="I36" s="356">
        <v>0</v>
      </c>
      <c r="J36" s="390">
        <v>0</v>
      </c>
      <c r="K36" s="390">
        <v>0</v>
      </c>
    </row>
    <row r="37" spans="1:13" x14ac:dyDescent="0.2">
      <c r="A37" s="351" t="s">
        <v>294</v>
      </c>
      <c r="B37" s="352">
        <v>3.649</v>
      </c>
      <c r="C37" s="419">
        <f t="shared" si="0"/>
        <v>0</v>
      </c>
      <c r="D37" s="352" t="s">
        <v>465</v>
      </c>
      <c r="E37" s="352" t="s">
        <v>431</v>
      </c>
      <c r="F37" s="356" t="s">
        <v>463</v>
      </c>
      <c r="G37" s="356">
        <f t="shared" si="3"/>
        <v>0</v>
      </c>
      <c r="H37" s="356"/>
      <c r="I37" s="356">
        <v>0</v>
      </c>
      <c r="J37" s="390">
        <v>0</v>
      </c>
      <c r="K37" s="390">
        <v>0</v>
      </c>
    </row>
    <row r="38" spans="1:13" x14ac:dyDescent="0.2">
      <c r="A38" s="351" t="s">
        <v>295</v>
      </c>
      <c r="B38" s="352">
        <v>3770.3829999999998</v>
      </c>
      <c r="C38" s="419">
        <f t="shared" si="0"/>
        <v>0</v>
      </c>
      <c r="D38" s="352" t="s">
        <v>465</v>
      </c>
      <c r="E38" s="352" t="s">
        <v>431</v>
      </c>
      <c r="F38" s="356" t="s">
        <v>463</v>
      </c>
      <c r="G38" s="356">
        <f t="shared" si="3"/>
        <v>0</v>
      </c>
      <c r="H38" s="356"/>
      <c r="I38" s="356">
        <v>0</v>
      </c>
      <c r="J38" s="390">
        <v>0</v>
      </c>
      <c r="K38" s="390">
        <v>0</v>
      </c>
    </row>
    <row r="39" spans="1:13" x14ac:dyDescent="0.2">
      <c r="A39" s="351" t="s">
        <v>319</v>
      </c>
      <c r="B39" s="352">
        <v>373.27</v>
      </c>
      <c r="C39" s="419">
        <f t="shared" si="0"/>
        <v>0</v>
      </c>
      <c r="D39" s="352" t="s">
        <v>465</v>
      </c>
      <c r="E39" s="352" t="s">
        <v>431</v>
      </c>
      <c r="F39" s="356" t="s">
        <v>463</v>
      </c>
      <c r="G39" s="356">
        <f t="shared" si="3"/>
        <v>0</v>
      </c>
      <c r="H39" s="356"/>
      <c r="I39" s="356">
        <v>0</v>
      </c>
      <c r="J39" s="390">
        <v>0</v>
      </c>
      <c r="K39" s="390">
        <v>0</v>
      </c>
    </row>
    <row r="40" spans="1:13" x14ac:dyDescent="0.2">
      <c r="A40" s="351" t="s">
        <v>305</v>
      </c>
      <c r="B40" s="352">
        <v>1590.7919999999999</v>
      </c>
      <c r="C40" s="419">
        <f t="shared" si="0"/>
        <v>0</v>
      </c>
      <c r="D40" s="352" t="s">
        <v>465</v>
      </c>
      <c r="E40" s="352" t="s">
        <v>431</v>
      </c>
      <c r="F40" s="356" t="s">
        <v>463</v>
      </c>
      <c r="G40" s="356">
        <f t="shared" si="3"/>
        <v>0</v>
      </c>
      <c r="H40" s="356"/>
      <c r="I40" s="356">
        <v>0</v>
      </c>
      <c r="J40" s="390">
        <v>0</v>
      </c>
      <c r="K40" s="390">
        <v>0</v>
      </c>
    </row>
    <row r="41" spans="1:13" x14ac:dyDescent="0.2">
      <c r="A41" s="351" t="s">
        <v>311</v>
      </c>
      <c r="B41" s="352">
        <v>111.008</v>
      </c>
      <c r="C41" s="419">
        <f t="shared" si="0"/>
        <v>0</v>
      </c>
      <c r="D41" s="352" t="s">
        <v>465</v>
      </c>
      <c r="E41" s="352" t="s">
        <v>431</v>
      </c>
      <c r="F41" s="356" t="s">
        <v>463</v>
      </c>
      <c r="G41" s="356">
        <f t="shared" si="3"/>
        <v>0</v>
      </c>
      <c r="H41" s="356"/>
      <c r="I41" s="356">
        <v>0</v>
      </c>
      <c r="J41" s="390">
        <v>0</v>
      </c>
      <c r="K41" s="390">
        <v>0</v>
      </c>
    </row>
    <row r="42" spans="1:13" x14ac:dyDescent="0.2">
      <c r="A42" s="351" t="s">
        <v>312</v>
      </c>
      <c r="B42" s="352">
        <v>2614.87</v>
      </c>
      <c r="C42" s="419">
        <f t="shared" si="0"/>
        <v>0</v>
      </c>
      <c r="D42" s="352" t="s">
        <v>465</v>
      </c>
      <c r="E42" s="352" t="s">
        <v>431</v>
      </c>
      <c r="F42" s="356" t="s">
        <v>463</v>
      </c>
      <c r="G42" s="356">
        <f t="shared" si="3"/>
        <v>0</v>
      </c>
      <c r="H42" s="356"/>
      <c r="I42" s="356">
        <v>0</v>
      </c>
      <c r="J42" s="390">
        <v>0</v>
      </c>
      <c r="K42" s="390">
        <v>0</v>
      </c>
    </row>
    <row r="43" spans="1:13" x14ac:dyDescent="0.2">
      <c r="A43" s="351" t="s">
        <v>310</v>
      </c>
      <c r="B43" s="352">
        <v>2500968</v>
      </c>
      <c r="C43" s="419">
        <f t="shared" si="0"/>
        <v>2671660.3659544718</v>
      </c>
      <c r="D43" s="352" t="s">
        <v>465</v>
      </c>
      <c r="E43" s="352" t="s">
        <v>427</v>
      </c>
      <c r="F43" s="356" t="s">
        <v>427</v>
      </c>
      <c r="G43" s="356">
        <f t="shared" ref="G43" si="4">I43+(J43*$J$1)+(K43*$K$1)</f>
        <v>2671660.3659544718</v>
      </c>
      <c r="H43" s="356"/>
      <c r="I43" s="356">
        <v>2650715.5162676908</v>
      </c>
      <c r="J43" s="390">
        <v>306.45563521493614</v>
      </c>
      <c r="K43" s="390">
        <v>44.575365122172542</v>
      </c>
      <c r="M43" s="181" t="s">
        <v>574</v>
      </c>
    </row>
    <row r="44" spans="1:13" x14ac:dyDescent="0.2">
      <c r="A44" s="351" t="s">
        <v>286</v>
      </c>
      <c r="B44" s="352">
        <v>12985.959000000001</v>
      </c>
      <c r="C44" s="419">
        <f t="shared" si="0"/>
        <v>0</v>
      </c>
      <c r="D44" s="352" t="s">
        <v>465</v>
      </c>
      <c r="E44" s="352" t="s">
        <v>426</v>
      </c>
      <c r="F44" s="356" t="s">
        <v>463</v>
      </c>
      <c r="G44" s="356">
        <f t="shared" si="3"/>
        <v>0</v>
      </c>
      <c r="H44" s="356"/>
      <c r="I44" s="356">
        <v>0</v>
      </c>
      <c r="J44" s="390">
        <v>0</v>
      </c>
      <c r="K44" s="390">
        <v>0</v>
      </c>
    </row>
    <row r="45" spans="1:13" x14ac:dyDescent="0.2">
      <c r="A45" s="351" t="s">
        <v>289</v>
      </c>
      <c r="B45" s="352">
        <v>2114198</v>
      </c>
      <c r="C45" s="419">
        <f t="shared" si="0"/>
        <v>0</v>
      </c>
      <c r="D45" s="352" t="s">
        <v>465</v>
      </c>
      <c r="E45" s="352" t="s">
        <v>426</v>
      </c>
      <c r="F45" s="356" t="s">
        <v>463</v>
      </c>
      <c r="G45" s="356">
        <f t="shared" si="3"/>
        <v>0</v>
      </c>
      <c r="H45" s="356" t="s">
        <v>461</v>
      </c>
      <c r="I45" s="356">
        <v>0</v>
      </c>
      <c r="J45" s="390">
        <v>0</v>
      </c>
      <c r="K45" s="390">
        <v>0</v>
      </c>
    </row>
    <row r="46" spans="1:13" x14ac:dyDescent="0.2">
      <c r="A46" s="351" t="s">
        <v>290</v>
      </c>
      <c r="B46" s="352">
        <v>-38838</v>
      </c>
      <c r="C46" s="419">
        <f t="shared" si="0"/>
        <v>0</v>
      </c>
      <c r="D46" s="352" t="s">
        <v>465</v>
      </c>
      <c r="E46" s="352" t="s">
        <v>426</v>
      </c>
      <c r="F46" s="356" t="s">
        <v>463</v>
      </c>
      <c r="G46" s="356">
        <f t="shared" si="3"/>
        <v>0</v>
      </c>
      <c r="H46" s="356" t="s">
        <v>461</v>
      </c>
      <c r="I46" s="356">
        <v>0</v>
      </c>
      <c r="J46" s="390">
        <v>0</v>
      </c>
      <c r="K46" s="390">
        <v>0</v>
      </c>
    </row>
    <row r="47" spans="1:13" x14ac:dyDescent="0.2">
      <c r="A47" s="351" t="s">
        <v>291</v>
      </c>
      <c r="B47" s="352">
        <v>-80626</v>
      </c>
      <c r="C47" s="419">
        <f t="shared" si="0"/>
        <v>0</v>
      </c>
      <c r="D47" s="352" t="s">
        <v>465</v>
      </c>
      <c r="E47" s="352" t="s">
        <v>426</v>
      </c>
      <c r="F47" s="356" t="s">
        <v>463</v>
      </c>
      <c r="G47" s="356">
        <f t="shared" si="3"/>
        <v>0</v>
      </c>
      <c r="H47" s="356" t="s">
        <v>461</v>
      </c>
      <c r="I47" s="356">
        <v>0</v>
      </c>
      <c r="J47" s="390">
        <v>0</v>
      </c>
      <c r="K47" s="390">
        <v>0</v>
      </c>
    </row>
    <row r="48" spans="1:13" x14ac:dyDescent="0.2">
      <c r="A48" s="351" t="s">
        <v>292</v>
      </c>
      <c r="B48" s="352">
        <v>1348999</v>
      </c>
      <c r="C48" s="419">
        <f t="shared" si="0"/>
        <v>0</v>
      </c>
      <c r="D48" s="352" t="s">
        <v>465</v>
      </c>
      <c r="E48" s="352" t="s">
        <v>426</v>
      </c>
      <c r="F48" s="356" t="s">
        <v>463</v>
      </c>
      <c r="G48" s="356">
        <f t="shared" si="3"/>
        <v>0</v>
      </c>
      <c r="H48" s="356" t="s">
        <v>461</v>
      </c>
      <c r="I48" s="356">
        <v>0</v>
      </c>
      <c r="J48" s="390">
        <v>0</v>
      </c>
      <c r="K48" s="390">
        <v>0</v>
      </c>
    </row>
    <row r="49" spans="1:11" x14ac:dyDescent="0.2">
      <c r="A49" s="351" t="s">
        <v>315</v>
      </c>
      <c r="B49" s="352">
        <v>95824.729000000007</v>
      </c>
      <c r="C49" s="419">
        <f t="shared" si="0"/>
        <v>0</v>
      </c>
      <c r="D49" s="352" t="s">
        <v>465</v>
      </c>
      <c r="E49" s="352" t="s">
        <v>426</v>
      </c>
      <c r="F49" s="356" t="s">
        <v>463</v>
      </c>
      <c r="G49" s="356">
        <f t="shared" si="3"/>
        <v>0</v>
      </c>
      <c r="H49" s="356"/>
      <c r="I49" s="356">
        <v>0</v>
      </c>
      <c r="J49" s="390">
        <v>0</v>
      </c>
      <c r="K49" s="390">
        <v>0</v>
      </c>
    </row>
    <row r="50" spans="1:11" x14ac:dyDescent="0.2">
      <c r="A50" s="351" t="s">
        <v>297</v>
      </c>
      <c r="B50" s="352">
        <v>453108</v>
      </c>
      <c r="C50" s="419">
        <f t="shared" si="0"/>
        <v>0</v>
      </c>
      <c r="D50" s="352" t="s">
        <v>465</v>
      </c>
      <c r="E50" s="352" t="s">
        <v>426</v>
      </c>
      <c r="F50" s="356" t="s">
        <v>463</v>
      </c>
      <c r="G50" s="356">
        <f t="shared" si="3"/>
        <v>0</v>
      </c>
      <c r="H50" s="356" t="s">
        <v>461</v>
      </c>
      <c r="I50" s="356">
        <v>0</v>
      </c>
      <c r="J50" s="390">
        <v>0</v>
      </c>
      <c r="K50" s="390">
        <v>0</v>
      </c>
    </row>
    <row r="51" spans="1:11" x14ac:dyDescent="0.2">
      <c r="A51" s="351" t="s">
        <v>535</v>
      </c>
      <c r="B51" s="352">
        <v>293721</v>
      </c>
      <c r="C51" s="419">
        <f t="shared" si="0"/>
        <v>0</v>
      </c>
      <c r="D51" s="352" t="s">
        <v>465</v>
      </c>
      <c r="E51" s="352" t="s">
        <v>426</v>
      </c>
      <c r="F51" s="356" t="s">
        <v>463</v>
      </c>
      <c r="G51" s="356">
        <f t="shared" si="3"/>
        <v>0</v>
      </c>
      <c r="H51" s="356"/>
      <c r="I51" s="356">
        <v>0</v>
      </c>
      <c r="J51" s="390">
        <v>0</v>
      </c>
      <c r="K51" s="390">
        <v>0</v>
      </c>
    </row>
    <row r="52" spans="1:11" x14ac:dyDescent="0.2">
      <c r="A52" s="351" t="s">
        <v>318</v>
      </c>
      <c r="B52" s="352">
        <v>40695.993999999999</v>
      </c>
      <c r="C52" s="419">
        <f t="shared" si="0"/>
        <v>0</v>
      </c>
      <c r="D52" s="352" t="s">
        <v>465</v>
      </c>
      <c r="E52" s="352" t="s">
        <v>426</v>
      </c>
      <c r="F52" s="356" t="s">
        <v>463</v>
      </c>
      <c r="G52" s="356">
        <f t="shared" si="3"/>
        <v>0</v>
      </c>
      <c r="H52" s="356"/>
      <c r="I52" s="356">
        <v>0</v>
      </c>
      <c r="J52" s="390">
        <v>0</v>
      </c>
      <c r="K52" s="390">
        <v>0</v>
      </c>
    </row>
    <row r="53" spans="1:11" x14ac:dyDescent="0.2">
      <c r="A53" s="351" t="s">
        <v>321</v>
      </c>
      <c r="B53" s="352">
        <v>24136.565999999999</v>
      </c>
      <c r="C53" s="419">
        <f t="shared" si="0"/>
        <v>0</v>
      </c>
      <c r="D53" s="352" t="s">
        <v>465</v>
      </c>
      <c r="E53" s="352" t="s">
        <v>426</v>
      </c>
      <c r="F53" s="356" t="s">
        <v>463</v>
      </c>
      <c r="G53" s="356">
        <f t="shared" si="3"/>
        <v>0</v>
      </c>
      <c r="H53" s="356"/>
      <c r="I53" s="356">
        <v>0</v>
      </c>
      <c r="J53" s="390">
        <v>0</v>
      </c>
      <c r="K53" s="390">
        <v>0</v>
      </c>
    </row>
    <row r="54" spans="1:11" x14ac:dyDescent="0.2">
      <c r="A54" s="351" t="s">
        <v>306</v>
      </c>
      <c r="B54" s="352">
        <v>4476.2690000000002</v>
      </c>
      <c r="C54" s="419">
        <f t="shared" si="0"/>
        <v>0</v>
      </c>
      <c r="D54" s="352" t="s">
        <v>465</v>
      </c>
      <c r="E54" s="352" t="s">
        <v>426</v>
      </c>
      <c r="F54" s="356" t="s">
        <v>463</v>
      </c>
      <c r="G54" s="356">
        <f t="shared" si="3"/>
        <v>0</v>
      </c>
      <c r="H54" s="356"/>
      <c r="I54" s="356">
        <v>0</v>
      </c>
      <c r="J54" s="390">
        <v>0</v>
      </c>
      <c r="K54" s="390">
        <v>0</v>
      </c>
    </row>
    <row r="55" spans="1:11" x14ac:dyDescent="0.2">
      <c r="A55" s="351" t="s">
        <v>307</v>
      </c>
      <c r="B55" s="352">
        <v>65.665000000000006</v>
      </c>
      <c r="C55" s="419">
        <f t="shared" si="0"/>
        <v>0</v>
      </c>
      <c r="D55" s="352" t="s">
        <v>465</v>
      </c>
      <c r="E55" s="352" t="s">
        <v>426</v>
      </c>
      <c r="F55" s="356" t="s">
        <v>463</v>
      </c>
      <c r="G55" s="356">
        <f t="shared" si="3"/>
        <v>0</v>
      </c>
      <c r="H55" s="356"/>
      <c r="I55" s="356">
        <v>0</v>
      </c>
      <c r="J55" s="390">
        <v>0</v>
      </c>
      <c r="K55" s="390">
        <v>0</v>
      </c>
    </row>
    <row r="56" spans="1:11" x14ac:dyDescent="0.2">
      <c r="A56" s="351" t="s">
        <v>326</v>
      </c>
      <c r="B56" s="352">
        <v>88706.023000000001</v>
      </c>
      <c r="C56" s="419">
        <f t="shared" si="0"/>
        <v>0</v>
      </c>
      <c r="D56" s="352" t="s">
        <v>465</v>
      </c>
      <c r="E56" s="352" t="s">
        <v>426</v>
      </c>
      <c r="F56" s="356" t="s">
        <v>463</v>
      </c>
      <c r="G56" s="356">
        <f t="shared" si="3"/>
        <v>0</v>
      </c>
      <c r="H56" s="356"/>
      <c r="I56" s="356">
        <v>0</v>
      </c>
      <c r="J56" s="390">
        <v>0</v>
      </c>
      <c r="K56" s="390">
        <v>0</v>
      </c>
    </row>
    <row r="57" spans="1:11" x14ac:dyDescent="0.2">
      <c r="A57" s="351" t="s">
        <v>327</v>
      </c>
      <c r="B57" s="352">
        <v>15901.587</v>
      </c>
      <c r="C57" s="419">
        <f t="shared" si="0"/>
        <v>0</v>
      </c>
      <c r="D57" s="352" t="s">
        <v>465</v>
      </c>
      <c r="E57" s="352" t="s">
        <v>426</v>
      </c>
      <c r="F57" s="356" t="s">
        <v>463</v>
      </c>
      <c r="G57" s="356">
        <f t="shared" si="3"/>
        <v>0</v>
      </c>
      <c r="H57" s="356"/>
      <c r="I57" s="356">
        <v>0</v>
      </c>
      <c r="J57" s="390">
        <v>0</v>
      </c>
      <c r="K57" s="390">
        <v>0</v>
      </c>
    </row>
    <row r="58" spans="1:11" x14ac:dyDescent="0.2">
      <c r="A58" s="351" t="s">
        <v>288</v>
      </c>
      <c r="B58" s="352">
        <v>25.094999999999999</v>
      </c>
      <c r="C58" s="419">
        <f t="shared" si="0"/>
        <v>0</v>
      </c>
      <c r="D58" s="352" t="s">
        <v>465</v>
      </c>
      <c r="E58" s="352" t="s">
        <v>433</v>
      </c>
      <c r="F58" s="356" t="s">
        <v>463</v>
      </c>
      <c r="G58" s="356">
        <f t="shared" si="3"/>
        <v>0</v>
      </c>
      <c r="H58" s="356"/>
      <c r="I58" s="356">
        <v>0</v>
      </c>
      <c r="J58" s="390">
        <v>0</v>
      </c>
      <c r="K58" s="390">
        <v>0</v>
      </c>
    </row>
    <row r="59" spans="1:11" x14ac:dyDescent="0.2">
      <c r="A59" s="351" t="s">
        <v>536</v>
      </c>
      <c r="B59" s="352">
        <v>31592.61</v>
      </c>
      <c r="C59" s="419">
        <f t="shared" si="0"/>
        <v>0</v>
      </c>
      <c r="D59" s="352" t="s">
        <v>465</v>
      </c>
      <c r="E59" s="352" t="s">
        <v>433</v>
      </c>
      <c r="F59" s="356" t="s">
        <v>463</v>
      </c>
      <c r="G59" s="356">
        <f t="shared" si="3"/>
        <v>0</v>
      </c>
      <c r="H59" s="356"/>
      <c r="I59" s="356">
        <v>0</v>
      </c>
      <c r="J59" s="390">
        <v>0</v>
      </c>
      <c r="K59" s="390">
        <v>0</v>
      </c>
    </row>
    <row r="60" spans="1:11" x14ac:dyDescent="0.2">
      <c r="A60" s="351" t="s">
        <v>399</v>
      </c>
      <c r="B60" s="352">
        <v>211.999</v>
      </c>
      <c r="C60" s="419">
        <f t="shared" si="0"/>
        <v>0</v>
      </c>
      <c r="D60" s="352" t="s">
        <v>465</v>
      </c>
      <c r="E60" s="352" t="s">
        <v>433</v>
      </c>
      <c r="F60" s="356" t="s">
        <v>463</v>
      </c>
      <c r="G60" s="356">
        <f t="shared" si="3"/>
        <v>0</v>
      </c>
      <c r="H60" s="356"/>
      <c r="I60" s="356">
        <v>0</v>
      </c>
      <c r="J60" s="390">
        <v>0</v>
      </c>
      <c r="K60" s="390">
        <v>0</v>
      </c>
    </row>
    <row r="61" spans="1:11" x14ac:dyDescent="0.2">
      <c r="A61" s="351" t="s">
        <v>299</v>
      </c>
      <c r="B61" s="352">
        <v>-31528.499</v>
      </c>
      <c r="C61" s="419">
        <f t="shared" si="0"/>
        <v>0</v>
      </c>
      <c r="D61" s="352" t="s">
        <v>465</v>
      </c>
      <c r="E61" s="352" t="s">
        <v>433</v>
      </c>
      <c r="F61" s="356" t="s">
        <v>463</v>
      </c>
      <c r="G61" s="356">
        <f t="shared" si="3"/>
        <v>0</v>
      </c>
      <c r="H61" s="356"/>
      <c r="I61" s="356">
        <v>0</v>
      </c>
      <c r="J61" s="390">
        <v>0</v>
      </c>
      <c r="K61" s="390">
        <v>0</v>
      </c>
    </row>
    <row r="62" spans="1:11" x14ac:dyDescent="0.2">
      <c r="A62" s="351" t="s">
        <v>284</v>
      </c>
      <c r="B62" s="352">
        <v>18325.150000000001</v>
      </c>
      <c r="C62" s="419">
        <f t="shared" si="0"/>
        <v>8008.0905499999999</v>
      </c>
      <c r="D62" s="352" t="s">
        <v>465</v>
      </c>
      <c r="E62" s="352" t="s">
        <v>432</v>
      </c>
      <c r="F62" s="392" t="s">
        <v>432</v>
      </c>
      <c r="G62" s="466">
        <f t="shared" ref="G62:G64" si="5">(B62*$I$2)/2204.623</f>
        <v>8008.0905499999999</v>
      </c>
      <c r="H62" s="356"/>
      <c r="I62" s="356"/>
      <c r="J62" s="390"/>
      <c r="K62" s="390"/>
    </row>
    <row r="63" spans="1:11" x14ac:dyDescent="0.2">
      <c r="A63" s="351" t="s">
        <v>173</v>
      </c>
      <c r="B63" s="352">
        <v>7000</v>
      </c>
      <c r="C63" s="419">
        <f t="shared" si="0"/>
        <v>3059</v>
      </c>
      <c r="D63" s="352" t="s">
        <v>465</v>
      </c>
      <c r="E63" s="352" t="s">
        <v>432</v>
      </c>
      <c r="F63" s="392" t="s">
        <v>432</v>
      </c>
      <c r="G63" s="466">
        <f t="shared" si="5"/>
        <v>3059</v>
      </c>
      <c r="H63" s="356"/>
      <c r="I63" s="356"/>
      <c r="J63" s="390"/>
      <c r="K63" s="390"/>
    </row>
    <row r="64" spans="1:11" x14ac:dyDescent="0.2">
      <c r="A64" s="351" t="s">
        <v>341</v>
      </c>
      <c r="B64" s="352">
        <v>680896</v>
      </c>
      <c r="C64" s="419">
        <f t="shared" si="0"/>
        <v>297551.55199999997</v>
      </c>
      <c r="D64" s="352" t="s">
        <v>465</v>
      </c>
      <c r="E64" s="352" t="s">
        <v>432</v>
      </c>
      <c r="F64" s="392" t="s">
        <v>432</v>
      </c>
      <c r="G64" s="466">
        <f t="shared" si="5"/>
        <v>297551.55199999997</v>
      </c>
      <c r="H64" s="356"/>
      <c r="I64" s="356"/>
      <c r="J64" s="390"/>
      <c r="K64" s="390"/>
    </row>
    <row r="65" spans="1:11" x14ac:dyDescent="0.2">
      <c r="A65" s="351" t="s">
        <v>283</v>
      </c>
      <c r="B65" s="352">
        <v>90.81</v>
      </c>
      <c r="C65" s="419">
        <f t="shared" si="0"/>
        <v>0</v>
      </c>
      <c r="D65" s="352" t="s">
        <v>465</v>
      </c>
      <c r="E65" s="352" t="s">
        <v>430</v>
      </c>
      <c r="F65" s="356" t="s">
        <v>463</v>
      </c>
      <c r="G65" s="356">
        <f t="shared" si="3"/>
        <v>0</v>
      </c>
      <c r="H65" s="356"/>
      <c r="I65" s="356">
        <v>0</v>
      </c>
      <c r="J65" s="390">
        <v>0</v>
      </c>
      <c r="K65" s="390">
        <v>0</v>
      </c>
    </row>
    <row r="66" spans="1:11" x14ac:dyDescent="0.2">
      <c r="A66" s="351" t="s">
        <v>301</v>
      </c>
      <c r="B66" s="352">
        <v>136728</v>
      </c>
      <c r="C66" s="419">
        <f t="shared" si="0"/>
        <v>0</v>
      </c>
      <c r="D66" s="352" t="s">
        <v>465</v>
      </c>
      <c r="E66" s="352" t="s">
        <v>430</v>
      </c>
      <c r="F66" s="356" t="s">
        <v>463</v>
      </c>
      <c r="G66" s="356">
        <f t="shared" si="3"/>
        <v>0</v>
      </c>
      <c r="H66" s="356"/>
      <c r="I66" s="356">
        <v>0</v>
      </c>
      <c r="J66" s="390">
        <v>0</v>
      </c>
      <c r="K66" s="390">
        <v>0</v>
      </c>
    </row>
    <row r="67" spans="1:11" x14ac:dyDescent="0.2">
      <c r="A67" s="351" t="s">
        <v>302</v>
      </c>
      <c r="B67" s="352">
        <v>134.804</v>
      </c>
      <c r="C67" s="419">
        <f t="shared" si="0"/>
        <v>0</v>
      </c>
      <c r="D67" s="352" t="s">
        <v>465</v>
      </c>
      <c r="E67" s="352" t="s">
        <v>430</v>
      </c>
      <c r="F67" s="356" t="s">
        <v>463</v>
      </c>
      <c r="G67" s="356">
        <f t="shared" si="3"/>
        <v>0</v>
      </c>
      <c r="H67" s="356"/>
      <c r="I67" s="356">
        <v>0</v>
      </c>
      <c r="J67" s="390">
        <v>0</v>
      </c>
      <c r="K67" s="390">
        <v>0</v>
      </c>
    </row>
    <row r="68" spans="1:11" x14ac:dyDescent="0.2">
      <c r="A68" s="351" t="s">
        <v>534</v>
      </c>
      <c r="B68" s="352">
        <v>150505.323</v>
      </c>
      <c r="C68" s="419">
        <f t="shared" ref="C68:C69" si="6">G68</f>
        <v>0</v>
      </c>
      <c r="D68" s="352" t="s">
        <v>465</v>
      </c>
      <c r="E68" s="352" t="s">
        <v>430</v>
      </c>
      <c r="F68" s="356" t="s">
        <v>463</v>
      </c>
      <c r="G68" s="356">
        <f t="shared" si="3"/>
        <v>0</v>
      </c>
      <c r="H68" s="356"/>
      <c r="I68" s="356">
        <v>0</v>
      </c>
      <c r="J68" s="390">
        <v>0</v>
      </c>
      <c r="K68" s="390">
        <v>0</v>
      </c>
    </row>
    <row r="69" spans="1:11" x14ac:dyDescent="0.2">
      <c r="A69" s="351" t="s">
        <v>309</v>
      </c>
      <c r="B69" s="352">
        <v>13426.7</v>
      </c>
      <c r="C69" s="419">
        <f t="shared" si="6"/>
        <v>0</v>
      </c>
      <c r="D69" s="352" t="s">
        <v>465</v>
      </c>
      <c r="E69" s="352" t="s">
        <v>430</v>
      </c>
      <c r="F69" s="356" t="s">
        <v>463</v>
      </c>
      <c r="G69" s="356">
        <f t="shared" si="3"/>
        <v>0</v>
      </c>
      <c r="H69" s="356"/>
      <c r="I69" s="356">
        <v>0</v>
      </c>
      <c r="J69" s="390">
        <v>0</v>
      </c>
      <c r="K69" s="390">
        <v>0</v>
      </c>
    </row>
    <row r="70" spans="1:11" ht="6.75" customHeight="1" x14ac:dyDescent="0.25">
      <c r="A70" s="353"/>
      <c r="B70" s="354"/>
      <c r="C70" s="354"/>
      <c r="D70" s="355"/>
      <c r="E70" s="356"/>
      <c r="F70" s="356"/>
      <c r="G70" s="356"/>
    </row>
    <row r="71" spans="1:11" x14ac:dyDescent="0.25">
      <c r="A71" s="357" t="s">
        <v>419</v>
      </c>
      <c r="B71" s="358">
        <f>SUM(B4:B69)</f>
        <v>19727042.875599992</v>
      </c>
      <c r="C71" s="358">
        <f>SUM(C4:C69)</f>
        <v>7774271.3728434509</v>
      </c>
      <c r="D71" s="359"/>
      <c r="E71" s="360"/>
      <c r="F71" s="356"/>
      <c r="G71" s="393"/>
    </row>
    <row r="72" spans="1:11" x14ac:dyDescent="0.25">
      <c r="A72" s="361" t="s">
        <v>442</v>
      </c>
      <c r="B72" s="362">
        <f>SUM(B33:B69)</f>
        <v>7922019.8160000006</v>
      </c>
      <c r="C72" s="362">
        <f>SUM(C33:C69)</f>
        <v>2980279.0085044717</v>
      </c>
      <c r="D72" s="363">
        <f>C71-C72</f>
        <v>4793992.3643389791</v>
      </c>
      <c r="E72" s="364"/>
      <c r="F72" s="394" t="s">
        <v>540</v>
      </c>
      <c r="G72" s="356"/>
    </row>
    <row r="73" spans="1:11" x14ac:dyDescent="0.25">
      <c r="A73" s="361" t="s">
        <v>632</v>
      </c>
      <c r="B73" s="362">
        <f>SUMIF(C33:C69,0,B33:B69)</f>
        <v>4714830.6659999993</v>
      </c>
      <c r="C73" s="362"/>
      <c r="D73" s="365"/>
      <c r="E73" s="366"/>
      <c r="F73" s="394" t="s">
        <v>540</v>
      </c>
    </row>
    <row r="74" spans="1:11" x14ac:dyDescent="0.25">
      <c r="A74" s="367" t="s">
        <v>441</v>
      </c>
      <c r="B74" s="368">
        <f>B73/B72</f>
        <v>0.59515512148524508</v>
      </c>
      <c r="C74" s="369"/>
      <c r="D74" s="370"/>
      <c r="E74" s="371"/>
    </row>
    <row r="75" spans="1:11" x14ac:dyDescent="0.25">
      <c r="A75" s="395"/>
      <c r="B75" s="396"/>
      <c r="C75" s="396"/>
      <c r="D75" s="396"/>
      <c r="E75" s="397"/>
    </row>
    <row r="76" spans="1:11" x14ac:dyDescent="0.25">
      <c r="A76" s="398" t="s">
        <v>444</v>
      </c>
      <c r="B76" s="399">
        <f>SUMIF(H33:H69,"Yes",B33:B69)</f>
        <v>3796841</v>
      </c>
      <c r="C76" s="400">
        <f>B76/'2020 Summary'!D23</f>
        <v>0.17329481767259625</v>
      </c>
      <c r="D76" s="174" t="s">
        <v>445</v>
      </c>
      <c r="E76" s="401"/>
      <c r="F76" s="394" t="s">
        <v>540</v>
      </c>
    </row>
    <row r="77" spans="1:11" x14ac:dyDescent="0.25">
      <c r="A77" s="398" t="s">
        <v>444</v>
      </c>
      <c r="B77" s="402">
        <f>B76/B72</f>
        <v>0.47927688748411984</v>
      </c>
      <c r="C77" s="174" t="s">
        <v>446</v>
      </c>
      <c r="D77" s="392"/>
      <c r="E77" s="392"/>
    </row>
    <row r="78" spans="1:11" x14ac:dyDescent="0.25">
      <c r="A78" s="395"/>
      <c r="B78" s="396"/>
      <c r="C78" s="396"/>
      <c r="D78" s="396"/>
      <c r="E78" s="397"/>
      <c r="F78" s="397"/>
      <c r="G78" s="397"/>
      <c r="H78" s="397"/>
      <c r="I78" s="397"/>
      <c r="J78" s="397"/>
      <c r="K78" s="397"/>
    </row>
    <row r="79" spans="1:11" x14ac:dyDescent="0.25">
      <c r="A79" s="403" t="s">
        <v>548</v>
      </c>
    </row>
    <row r="80" spans="1:11" ht="60.75" customHeight="1" x14ac:dyDescent="0.25">
      <c r="A80" s="632" t="s">
        <v>549</v>
      </c>
      <c r="B80" s="632"/>
      <c r="C80" s="632"/>
      <c r="D80" s="632"/>
      <c r="E80" s="632"/>
    </row>
    <row r="83" spans="1:3" x14ac:dyDescent="0.25">
      <c r="A83" s="453" t="s">
        <v>424</v>
      </c>
      <c r="B83" s="454" t="s">
        <v>425</v>
      </c>
      <c r="C83" s="455" t="s">
        <v>472</v>
      </c>
    </row>
    <row r="84" spans="1:3" x14ac:dyDescent="0.25">
      <c r="A84" s="456" t="s">
        <v>464</v>
      </c>
      <c r="B84" s="397" t="s">
        <v>426</v>
      </c>
      <c r="C84" s="366" t="s">
        <v>463</v>
      </c>
    </row>
    <row r="85" spans="1:3" x14ac:dyDescent="0.25">
      <c r="A85" s="456" t="s">
        <v>465</v>
      </c>
      <c r="B85" s="397" t="s">
        <v>427</v>
      </c>
      <c r="C85" s="366" t="s">
        <v>427</v>
      </c>
    </row>
    <row r="86" spans="1:3" x14ac:dyDescent="0.25">
      <c r="A86" s="456"/>
      <c r="B86" s="397" t="s">
        <v>428</v>
      </c>
      <c r="C86" s="366" t="s">
        <v>429</v>
      </c>
    </row>
    <row r="87" spans="1:3" x14ac:dyDescent="0.25">
      <c r="A87" s="456"/>
      <c r="B87" s="397" t="s">
        <v>429</v>
      </c>
      <c r="C87" s="366" t="s">
        <v>432</v>
      </c>
    </row>
    <row r="88" spans="1:3" x14ac:dyDescent="0.25">
      <c r="A88" s="456"/>
      <c r="B88" s="397" t="s">
        <v>430</v>
      </c>
      <c r="C88" s="366"/>
    </row>
    <row r="89" spans="1:3" x14ac:dyDescent="0.25">
      <c r="A89" s="456"/>
      <c r="B89" s="397" t="s">
        <v>432</v>
      </c>
      <c r="C89" s="366"/>
    </row>
    <row r="90" spans="1:3" x14ac:dyDescent="0.25">
      <c r="A90" s="456"/>
      <c r="B90" s="397" t="s">
        <v>431</v>
      </c>
      <c r="C90" s="366"/>
    </row>
    <row r="91" spans="1:3" x14ac:dyDescent="0.25">
      <c r="A91" s="456"/>
      <c r="B91" s="397" t="s">
        <v>433</v>
      </c>
      <c r="C91" s="366"/>
    </row>
    <row r="92" spans="1:3" x14ac:dyDescent="0.25">
      <c r="A92" s="457"/>
      <c r="B92" s="370"/>
      <c r="C92" s="371"/>
    </row>
  </sheetData>
  <autoFilter ref="A1:K69"/>
  <mergeCells count="1">
    <mergeCell ref="A80:E80"/>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2"/>
  <sheetViews>
    <sheetView showGridLines="0" topLeftCell="A2" workbookViewId="0">
      <pane ySplit="2190" topLeftCell="A55" activePane="bottomLeft"/>
      <selection activeCell="A2" sqref="A1:XFD1048576"/>
      <selection pane="bottomLeft" activeCell="J75" sqref="J75"/>
    </sheetView>
  </sheetViews>
  <sheetFormatPr defaultColWidth="9.140625" defaultRowHeight="12.75" x14ac:dyDescent="0.25"/>
  <cols>
    <col min="1" max="1" width="46.140625" style="181" customWidth="1"/>
    <col min="2" max="2" width="13.7109375" style="181" customWidth="1"/>
    <col min="3" max="3" width="12.5703125" style="181" customWidth="1"/>
    <col min="4" max="4" width="13.5703125" style="181" customWidth="1"/>
    <col min="5" max="5" width="2.7109375" style="181" customWidth="1"/>
    <col min="6" max="6" width="2.7109375" style="486" customWidth="1"/>
    <col min="7" max="8" width="21.85546875" style="181" customWidth="1"/>
    <col min="9" max="9" width="12.28515625" style="373" customWidth="1"/>
    <col min="10" max="10" width="16.7109375" style="181" customWidth="1"/>
    <col min="11" max="13" width="9.140625" style="181"/>
    <col min="14" max="14" width="9.140625" style="181" customWidth="1"/>
    <col min="15" max="15" width="14.28515625" style="406" customWidth="1"/>
    <col min="16" max="18" width="15.7109375" style="406" customWidth="1"/>
    <col min="19" max="19" width="22.7109375" style="406" customWidth="1"/>
    <col min="20" max="20" width="15.7109375" style="406" customWidth="1"/>
    <col min="21" max="21" width="15.7109375" style="181" customWidth="1"/>
    <col min="22" max="16384" width="9.140625" style="181"/>
  </cols>
  <sheetData>
    <row r="1" spans="1:21" x14ac:dyDescent="0.25">
      <c r="I1" s="397"/>
    </row>
    <row r="2" spans="1:21" ht="25.5" customHeight="1" x14ac:dyDescent="0.25">
      <c r="A2" s="487" t="s">
        <v>443</v>
      </c>
      <c r="B2" s="488"/>
      <c r="C2" s="447"/>
      <c r="D2" s="447"/>
      <c r="E2" s="447"/>
      <c r="F2" s="489"/>
      <c r="G2" s="490"/>
      <c r="H2" s="447"/>
      <c r="I2" s="447"/>
      <c r="J2" s="447"/>
      <c r="K2" s="447"/>
      <c r="L2" s="447"/>
      <c r="P2" s="514"/>
      <c r="Q2" s="514"/>
      <c r="R2" s="514"/>
      <c r="S2" s="514"/>
      <c r="T2" s="514"/>
    </row>
    <row r="3" spans="1:21" ht="27.2" customHeight="1" x14ac:dyDescent="0.25">
      <c r="A3" s="633" t="s">
        <v>0</v>
      </c>
      <c r="B3" s="635" t="s">
        <v>434</v>
      </c>
      <c r="C3" s="635" t="s">
        <v>579</v>
      </c>
      <c r="D3" s="635" t="s">
        <v>580</v>
      </c>
      <c r="E3" s="491"/>
      <c r="F3" s="377"/>
      <c r="G3" s="492"/>
      <c r="H3" s="353" t="s">
        <v>462</v>
      </c>
      <c r="I3" s="355">
        <f>'EFs &amp; Rates'!R5</f>
        <v>963.42025100000001</v>
      </c>
      <c r="J3" s="447" t="s">
        <v>561</v>
      </c>
      <c r="K3" s="447"/>
      <c r="L3" s="447"/>
      <c r="P3" s="515"/>
      <c r="Q3" s="515"/>
      <c r="R3" s="515"/>
      <c r="S3" s="515"/>
      <c r="T3" s="515"/>
    </row>
    <row r="4" spans="1:21" ht="27.2" customHeight="1" x14ac:dyDescent="0.25">
      <c r="A4" s="634"/>
      <c r="B4" s="636"/>
      <c r="C4" s="636"/>
      <c r="D4" s="636"/>
      <c r="E4" s="491"/>
      <c r="F4" s="377"/>
      <c r="G4" s="494">
        <v>2020</v>
      </c>
      <c r="H4" s="494" t="s">
        <v>473</v>
      </c>
      <c r="I4" s="494" t="s">
        <v>432</v>
      </c>
      <c r="J4" s="494" t="s">
        <v>432</v>
      </c>
      <c r="K4" s="447"/>
      <c r="L4" s="528" t="s">
        <v>598</v>
      </c>
      <c r="M4" s="528" t="s">
        <v>599</v>
      </c>
      <c r="N4" s="528" t="s">
        <v>424</v>
      </c>
      <c r="O4" s="526" t="s">
        <v>600</v>
      </c>
      <c r="P4" s="527" t="s">
        <v>418</v>
      </c>
      <c r="Q4" s="495"/>
      <c r="R4" s="530" t="s">
        <v>604</v>
      </c>
      <c r="S4" s="530"/>
      <c r="T4" s="530" t="s">
        <v>622</v>
      </c>
      <c r="U4" s="534"/>
    </row>
    <row r="5" spans="1:21" ht="15" customHeight="1" x14ac:dyDescent="0.2">
      <c r="A5" s="445" t="str">
        <f>O5</f>
        <v>Avista Corp. WWP Division</v>
      </c>
      <c r="B5" s="430">
        <f>P5</f>
        <v>-12055</v>
      </c>
      <c r="C5" s="352">
        <f>R5</f>
        <v>868.82446522238627</v>
      </c>
      <c r="D5" s="496">
        <f>T5</f>
        <v>-4750.7800328019202</v>
      </c>
      <c r="E5" s="354"/>
      <c r="L5" s="181" t="s">
        <v>460</v>
      </c>
      <c r="M5" s="181" t="s">
        <v>601</v>
      </c>
      <c r="O5" s="406" t="s">
        <v>187</v>
      </c>
      <c r="P5" s="516">
        <v>-12055</v>
      </c>
      <c r="Q5" s="424"/>
      <c r="R5" s="391">
        <f t="shared" ref="R5:R55" si="0">IF(P5&gt;0,I$3,I$8)</f>
        <v>868.82446522238627</v>
      </c>
      <c r="S5" s="424"/>
      <c r="T5" s="391">
        <f>(P5*R5)/2204.623</f>
        <v>-4750.7800328019202</v>
      </c>
      <c r="U5" s="471"/>
    </row>
    <row r="6" spans="1:21" ht="15" customHeight="1" x14ac:dyDescent="0.2">
      <c r="A6" s="445" t="str">
        <f t="shared" ref="A6:A69" si="1">O6</f>
        <v>Avista Nichols Pump</v>
      </c>
      <c r="B6" s="430">
        <f t="shared" ref="B6:B69" si="2">P6</f>
        <v>18586.560000000001</v>
      </c>
      <c r="C6" s="352">
        <f t="shared" ref="C6:C69" si="3">R6</f>
        <v>963.42025100000001</v>
      </c>
      <c r="D6" s="496">
        <f t="shared" ref="D6:D69" si="4">T6</f>
        <v>8122.32672</v>
      </c>
      <c r="E6" s="497"/>
      <c r="G6" s="447"/>
      <c r="H6" s="498" t="s">
        <v>437</v>
      </c>
      <c r="I6" s="499">
        <f>'2020 Known'!B71</f>
        <v>19727042.875599992</v>
      </c>
      <c r="J6" s="447" t="s">
        <v>418</v>
      </c>
      <c r="K6" s="329" t="s">
        <v>512</v>
      </c>
      <c r="L6" s="181" t="s">
        <v>460</v>
      </c>
      <c r="M6" s="181" t="s">
        <v>601</v>
      </c>
      <c r="O6" s="406" t="s">
        <v>171</v>
      </c>
      <c r="P6" s="516">
        <v>18586.560000000001</v>
      </c>
      <c r="Q6" s="424"/>
      <c r="R6" s="391">
        <f t="shared" si="0"/>
        <v>963.42025100000001</v>
      </c>
      <c r="S6" s="424"/>
      <c r="T6" s="391">
        <f t="shared" ref="T6:T69" si="5">(P6*R6)/2204.623</f>
        <v>8122.32672</v>
      </c>
    </row>
    <row r="7" spans="1:21" ht="15" customHeight="1" x14ac:dyDescent="0.2">
      <c r="A7" s="445" t="str">
        <f t="shared" si="1"/>
        <v>Black Hills Power</v>
      </c>
      <c r="B7" s="430">
        <f t="shared" si="2"/>
        <v>445</v>
      </c>
      <c r="C7" s="352">
        <f t="shared" si="3"/>
        <v>963.42025100000001</v>
      </c>
      <c r="D7" s="496">
        <f t="shared" si="4"/>
        <v>194.465</v>
      </c>
      <c r="E7" s="497"/>
      <c r="F7" s="377"/>
      <c r="G7" s="490"/>
      <c r="H7" s="498" t="s">
        <v>438</v>
      </c>
      <c r="I7" s="499">
        <f>'2020 Known'!C71</f>
        <v>7774271.3728434509</v>
      </c>
      <c r="J7" s="447" t="s">
        <v>541</v>
      </c>
      <c r="K7" s="329" t="s">
        <v>512</v>
      </c>
      <c r="L7" s="181" t="s">
        <v>460</v>
      </c>
      <c r="M7" s="181" t="s">
        <v>601</v>
      </c>
      <c r="O7" s="406" t="s">
        <v>189</v>
      </c>
      <c r="P7" s="516">
        <v>445</v>
      </c>
      <c r="Q7" s="424"/>
      <c r="R7" s="391">
        <f t="shared" si="0"/>
        <v>963.42025100000001</v>
      </c>
      <c r="S7" s="424"/>
      <c r="T7" s="391">
        <f t="shared" si="5"/>
        <v>194.465</v>
      </c>
    </row>
    <row r="8" spans="1:21" ht="15" customHeight="1" x14ac:dyDescent="0.2">
      <c r="A8" s="445"/>
      <c r="B8" s="430"/>
      <c r="C8" s="352"/>
      <c r="D8" s="496"/>
      <c r="E8" s="497"/>
      <c r="F8" s="377"/>
      <c r="G8" s="447"/>
      <c r="H8" s="498" t="s">
        <v>439</v>
      </c>
      <c r="I8" s="354">
        <f>(I7*2204.623)/I6</f>
        <v>868.82446522238627</v>
      </c>
      <c r="J8" s="447" t="s">
        <v>581</v>
      </c>
      <c r="K8" s="447"/>
      <c r="L8" s="181" t="s">
        <v>460</v>
      </c>
      <c r="M8" s="181" t="s">
        <v>601</v>
      </c>
      <c r="O8" s="524" t="s">
        <v>191</v>
      </c>
      <c r="P8" s="516">
        <v>437600</v>
      </c>
      <c r="Q8" s="424"/>
      <c r="R8" s="391">
        <f t="shared" si="0"/>
        <v>963.42025100000001</v>
      </c>
      <c r="S8" s="424"/>
      <c r="T8" s="391">
        <f t="shared" si="5"/>
        <v>191231.19999999998</v>
      </c>
    </row>
    <row r="9" spans="1:21" ht="15" customHeight="1" x14ac:dyDescent="0.2">
      <c r="A9" s="445" t="str">
        <f t="shared" si="1"/>
        <v>BP Energy Co.</v>
      </c>
      <c r="B9" s="430">
        <f t="shared" si="2"/>
        <v>997090</v>
      </c>
      <c r="C9" s="352">
        <f t="shared" si="3"/>
        <v>963.42025100000001</v>
      </c>
      <c r="D9" s="496">
        <f t="shared" si="4"/>
        <v>435728.32999999996</v>
      </c>
      <c r="E9" s="497"/>
      <c r="G9" s="447"/>
      <c r="H9" s="447"/>
      <c r="I9" s="447"/>
      <c r="J9" s="447"/>
      <c r="K9" s="447"/>
      <c r="L9" s="181" t="s">
        <v>460</v>
      </c>
      <c r="M9" s="181" t="s">
        <v>601</v>
      </c>
      <c r="O9" s="406" t="s">
        <v>192</v>
      </c>
      <c r="P9" s="516">
        <v>997090</v>
      </c>
      <c r="Q9" s="424"/>
      <c r="R9" s="391">
        <f t="shared" si="0"/>
        <v>963.42025100000001</v>
      </c>
      <c r="S9" s="424"/>
      <c r="T9" s="391">
        <f t="shared" si="5"/>
        <v>435728.32999999996</v>
      </c>
    </row>
    <row r="10" spans="1:21" ht="15" customHeight="1" x14ac:dyDescent="0.2">
      <c r="A10" s="445" t="str">
        <f t="shared" si="1"/>
        <v>BPA</v>
      </c>
      <c r="B10" s="430">
        <f t="shared" si="2"/>
        <v>-774812</v>
      </c>
      <c r="C10" s="352">
        <f t="shared" si="3"/>
        <v>868.82446522238627</v>
      </c>
      <c r="D10" s="496">
        <f t="shared" si="4"/>
        <v>-305347.27322897728</v>
      </c>
      <c r="E10" s="497"/>
      <c r="I10" s="181"/>
      <c r="L10" s="181" t="s">
        <v>460</v>
      </c>
      <c r="M10" s="181" t="s">
        <v>601</v>
      </c>
      <c r="O10" s="406" t="s">
        <v>173</v>
      </c>
      <c r="P10" s="516">
        <v>-774812</v>
      </c>
      <c r="Q10" s="424"/>
      <c r="R10" s="391">
        <f t="shared" si="0"/>
        <v>868.82446522238627</v>
      </c>
      <c r="S10" s="424"/>
      <c r="T10" s="391">
        <f t="shared" si="5"/>
        <v>-305347.27322897728</v>
      </c>
    </row>
    <row r="11" spans="1:21" ht="15" customHeight="1" x14ac:dyDescent="0.2">
      <c r="A11" s="445" t="str">
        <f t="shared" si="1"/>
        <v>BPA - NWPP Reserve Sharing Energy</v>
      </c>
      <c r="B11" s="430">
        <f t="shared" si="2"/>
        <v>-103</v>
      </c>
      <c r="C11" s="352">
        <f t="shared" si="3"/>
        <v>868.82446522238627</v>
      </c>
      <c r="D11" s="496">
        <f t="shared" si="4"/>
        <v>-40.591484311787454</v>
      </c>
      <c r="E11" s="497"/>
      <c r="I11" s="181"/>
      <c r="L11" s="181" t="s">
        <v>460</v>
      </c>
      <c r="M11" s="181" t="s">
        <v>601</v>
      </c>
      <c r="O11" s="406" t="s">
        <v>342</v>
      </c>
      <c r="P11" s="516">
        <v>-103</v>
      </c>
      <c r="Q11" s="424"/>
      <c r="R11" s="391">
        <f t="shared" si="0"/>
        <v>868.82446522238627</v>
      </c>
      <c r="S11" s="424"/>
      <c r="T11" s="391">
        <f t="shared" si="5"/>
        <v>-40.591484311787454</v>
      </c>
    </row>
    <row r="12" spans="1:21" ht="15" customHeight="1" x14ac:dyDescent="0.2">
      <c r="A12" s="445" t="str">
        <f t="shared" si="1"/>
        <v>British Columbia Transmission Corp</v>
      </c>
      <c r="B12" s="430">
        <f t="shared" si="2"/>
        <v>-38</v>
      </c>
      <c r="C12" s="352">
        <f t="shared" si="3"/>
        <v>868.82446522238627</v>
      </c>
      <c r="D12" s="496">
        <f t="shared" si="4"/>
        <v>-14.975499066484689</v>
      </c>
      <c r="E12" s="497"/>
      <c r="I12" s="181"/>
      <c r="L12" s="181" t="s">
        <v>460</v>
      </c>
      <c r="M12" s="181" t="s">
        <v>601</v>
      </c>
      <c r="O12" s="406" t="s">
        <v>193</v>
      </c>
      <c r="P12" s="516">
        <v>-38</v>
      </c>
      <c r="Q12" s="424"/>
      <c r="R12" s="391">
        <f t="shared" si="0"/>
        <v>868.82446522238627</v>
      </c>
      <c r="S12" s="424"/>
      <c r="T12" s="391">
        <f t="shared" si="5"/>
        <v>-14.975499066484689</v>
      </c>
    </row>
    <row r="13" spans="1:21" x14ac:dyDescent="0.2">
      <c r="A13" s="445" t="str">
        <f t="shared" si="1"/>
        <v>Brookfield Energy Marketing</v>
      </c>
      <c r="B13" s="430">
        <f t="shared" si="2"/>
        <v>-11493</v>
      </c>
      <c r="C13" s="352">
        <f t="shared" si="3"/>
        <v>868.82446522238627</v>
      </c>
      <c r="D13" s="496">
        <f t="shared" si="4"/>
        <v>-4529.3002834502249</v>
      </c>
      <c r="E13" s="497"/>
      <c r="I13" s="181"/>
      <c r="L13" s="181" t="s">
        <v>460</v>
      </c>
      <c r="M13" s="181" t="s">
        <v>601</v>
      </c>
      <c r="O13" s="406" t="s">
        <v>194</v>
      </c>
      <c r="P13" s="516">
        <v>-11493</v>
      </c>
      <c r="Q13" s="424"/>
      <c r="R13" s="391">
        <f t="shared" si="0"/>
        <v>868.82446522238627</v>
      </c>
      <c r="S13" s="424"/>
      <c r="T13" s="391">
        <f t="shared" si="5"/>
        <v>-4529.3002834502249</v>
      </c>
    </row>
    <row r="14" spans="1:21" x14ac:dyDescent="0.2">
      <c r="A14" s="445" t="str">
        <f t="shared" si="1"/>
        <v>California ISO</v>
      </c>
      <c r="B14" s="430">
        <f t="shared" si="2"/>
        <v>2605.75</v>
      </c>
      <c r="C14" s="352">
        <f t="shared" si="3"/>
        <v>963.42025100000001</v>
      </c>
      <c r="D14" s="496">
        <f t="shared" si="4"/>
        <v>1138.7127499999999</v>
      </c>
      <c r="E14" s="497"/>
      <c r="L14" s="181" t="s">
        <v>460</v>
      </c>
      <c r="M14" s="181" t="s">
        <v>601</v>
      </c>
      <c r="O14" s="406" t="s">
        <v>197</v>
      </c>
      <c r="P14" s="516">
        <v>2605.75</v>
      </c>
      <c r="Q14" s="424"/>
      <c r="R14" s="391">
        <f t="shared" si="0"/>
        <v>963.42025100000001</v>
      </c>
      <c r="S14" s="424"/>
      <c r="T14" s="391">
        <f t="shared" si="5"/>
        <v>1138.7127499999999</v>
      </c>
    </row>
    <row r="15" spans="1:21" x14ac:dyDescent="0.2">
      <c r="A15" s="445" t="str">
        <f t="shared" si="1"/>
        <v>Chelan County PUD #1</v>
      </c>
      <c r="B15" s="430">
        <f t="shared" si="2"/>
        <v>97274</v>
      </c>
      <c r="C15" s="352">
        <f t="shared" si="3"/>
        <v>963.42025100000001</v>
      </c>
      <c r="D15" s="496">
        <f t="shared" si="4"/>
        <v>42508.737999999998</v>
      </c>
      <c r="E15" s="497"/>
      <c r="L15" s="181" t="s">
        <v>460</v>
      </c>
      <c r="M15" s="181" t="s">
        <v>601</v>
      </c>
      <c r="O15" s="406" t="s">
        <v>199</v>
      </c>
      <c r="P15" s="516">
        <v>97274</v>
      </c>
      <c r="Q15" s="424"/>
      <c r="R15" s="391">
        <f t="shared" si="0"/>
        <v>963.42025100000001</v>
      </c>
      <c r="S15" s="424"/>
      <c r="T15" s="391">
        <f t="shared" si="5"/>
        <v>42508.737999999998</v>
      </c>
    </row>
    <row r="16" spans="1:21" x14ac:dyDescent="0.2">
      <c r="A16" s="445" t="str">
        <f t="shared" si="1"/>
        <v>Citigroup Energy Inc</v>
      </c>
      <c r="B16" s="430">
        <f t="shared" si="2"/>
        <v>578332</v>
      </c>
      <c r="C16" s="352">
        <f t="shared" si="3"/>
        <v>963.42025100000001</v>
      </c>
      <c r="D16" s="496">
        <f t="shared" si="4"/>
        <v>252731.08399999997</v>
      </c>
      <c r="E16" s="497"/>
      <c r="I16" s="181"/>
      <c r="L16" s="181" t="s">
        <v>460</v>
      </c>
      <c r="M16" s="181" t="s">
        <v>601</v>
      </c>
      <c r="O16" s="406" t="s">
        <v>185</v>
      </c>
      <c r="P16" s="516">
        <v>578332</v>
      </c>
      <c r="Q16" s="424"/>
      <c r="R16" s="391">
        <f t="shared" si="0"/>
        <v>963.42025100000001</v>
      </c>
      <c r="S16" s="424"/>
      <c r="T16" s="391">
        <f t="shared" si="5"/>
        <v>252731.08399999997</v>
      </c>
    </row>
    <row r="17" spans="1:20" x14ac:dyDescent="0.2">
      <c r="A17" s="445" t="str">
        <f t="shared" si="1"/>
        <v>City of Roseville</v>
      </c>
      <c r="B17" s="430">
        <f t="shared" si="2"/>
        <v>-9503</v>
      </c>
      <c r="C17" s="352">
        <f t="shared" si="3"/>
        <v>868.82446522238627</v>
      </c>
      <c r="D17" s="496">
        <f t="shared" si="4"/>
        <v>-3745.0570428632632</v>
      </c>
      <c r="E17" s="497"/>
      <c r="I17" s="181"/>
      <c r="L17" s="181" t="s">
        <v>460</v>
      </c>
      <c r="M17" s="181" t="s">
        <v>601</v>
      </c>
      <c r="O17" s="406" t="s">
        <v>532</v>
      </c>
      <c r="P17" s="516">
        <v>-9503</v>
      </c>
      <c r="Q17" s="424"/>
      <c r="R17" s="391">
        <f t="shared" si="0"/>
        <v>868.82446522238627</v>
      </c>
      <c r="S17" s="424"/>
      <c r="T17" s="391">
        <f t="shared" si="5"/>
        <v>-3745.0570428632632</v>
      </c>
    </row>
    <row r="18" spans="1:20" x14ac:dyDescent="0.2">
      <c r="A18" s="445" t="str">
        <f t="shared" si="1"/>
        <v>Clatskanie PUD</v>
      </c>
      <c r="B18" s="430">
        <f t="shared" si="2"/>
        <v>-6564</v>
      </c>
      <c r="C18" s="352">
        <f t="shared" si="3"/>
        <v>868.82446522238627</v>
      </c>
      <c r="D18" s="496">
        <f t="shared" si="4"/>
        <v>-2586.8204176948821</v>
      </c>
      <c r="E18" s="497"/>
      <c r="I18" s="181"/>
      <c r="L18" s="181" t="s">
        <v>460</v>
      </c>
      <c r="M18" s="181" t="s">
        <v>601</v>
      </c>
      <c r="O18" s="406" t="s">
        <v>202</v>
      </c>
      <c r="P18" s="516">
        <v>-6564</v>
      </c>
      <c r="Q18" s="424"/>
      <c r="R18" s="391">
        <f t="shared" si="0"/>
        <v>868.82446522238627</v>
      </c>
      <c r="S18" s="424"/>
      <c r="T18" s="391">
        <f t="shared" si="5"/>
        <v>-2586.8204176948821</v>
      </c>
    </row>
    <row r="19" spans="1:20" x14ac:dyDescent="0.2">
      <c r="A19" s="445" t="str">
        <f t="shared" si="1"/>
        <v>Conoco, Inc.</v>
      </c>
      <c r="B19" s="430">
        <f t="shared" si="2"/>
        <v>245199</v>
      </c>
      <c r="C19" s="352">
        <f t="shared" si="3"/>
        <v>963.42025100000001</v>
      </c>
      <c r="D19" s="496">
        <f t="shared" si="4"/>
        <v>107151.963</v>
      </c>
      <c r="E19" s="497"/>
      <c r="I19" s="181"/>
      <c r="L19" s="181" t="s">
        <v>460</v>
      </c>
      <c r="M19" s="181" t="s">
        <v>601</v>
      </c>
      <c r="O19" s="406" t="s">
        <v>203</v>
      </c>
      <c r="P19" s="516">
        <v>245199</v>
      </c>
      <c r="Q19" s="424"/>
      <c r="R19" s="391">
        <f t="shared" si="0"/>
        <v>963.42025100000001</v>
      </c>
      <c r="S19" s="424"/>
      <c r="T19" s="391">
        <f t="shared" si="5"/>
        <v>107151.963</v>
      </c>
    </row>
    <row r="20" spans="1:20" x14ac:dyDescent="0.2">
      <c r="A20" s="445" t="str">
        <f t="shared" si="1"/>
        <v>CP Energy Marketing (Epcor)</v>
      </c>
      <c r="B20" s="430">
        <f t="shared" si="2"/>
        <v>750</v>
      </c>
      <c r="C20" s="352">
        <f t="shared" si="3"/>
        <v>963.42025100000001</v>
      </c>
      <c r="D20" s="496">
        <f t="shared" si="4"/>
        <v>327.75</v>
      </c>
      <c r="E20" s="497"/>
      <c r="I20" s="181"/>
      <c r="L20" s="181" t="s">
        <v>460</v>
      </c>
      <c r="M20" s="181" t="s">
        <v>601</v>
      </c>
      <c r="O20" s="406" t="s">
        <v>204</v>
      </c>
      <c r="P20" s="516">
        <v>750</v>
      </c>
      <c r="Q20" s="424"/>
      <c r="R20" s="391">
        <f t="shared" si="0"/>
        <v>963.42025100000001</v>
      </c>
      <c r="S20" s="424"/>
      <c r="T20" s="391">
        <f t="shared" si="5"/>
        <v>327.75</v>
      </c>
    </row>
    <row r="21" spans="1:20" x14ac:dyDescent="0.2">
      <c r="A21" s="445" t="str">
        <f t="shared" si="1"/>
        <v>Deviation</v>
      </c>
      <c r="B21" s="430">
        <f t="shared" si="2"/>
        <v>-71667.350000000006</v>
      </c>
      <c r="C21" s="352">
        <f t="shared" si="3"/>
        <v>868.82446522238627</v>
      </c>
      <c r="D21" s="496">
        <f t="shared" si="4"/>
        <v>-28243.535079537676</v>
      </c>
      <c r="E21" s="497"/>
      <c r="I21" s="181"/>
      <c r="K21" s="525" t="s">
        <v>621</v>
      </c>
      <c r="L21" s="181" t="s">
        <v>460</v>
      </c>
      <c r="M21" s="181" t="s">
        <v>601</v>
      </c>
      <c r="O21" s="406" t="s">
        <v>176</v>
      </c>
      <c r="P21" s="516">
        <v>-71667.350000000006</v>
      </c>
      <c r="Q21" s="424"/>
      <c r="R21" s="391">
        <f t="shared" si="0"/>
        <v>868.82446522238627</v>
      </c>
      <c r="S21" s="424"/>
      <c r="T21" s="391">
        <f t="shared" si="5"/>
        <v>-28243.535079537676</v>
      </c>
    </row>
    <row r="22" spans="1:20" x14ac:dyDescent="0.2">
      <c r="A22" s="445" t="str">
        <f t="shared" si="1"/>
        <v>Douglas County PUD #1</v>
      </c>
      <c r="B22" s="430">
        <f t="shared" si="2"/>
        <v>-9618</v>
      </c>
      <c r="C22" s="352">
        <f t="shared" si="3"/>
        <v>868.82446522238627</v>
      </c>
      <c r="D22" s="496">
        <f t="shared" si="4"/>
        <v>-3790.3776321434148</v>
      </c>
      <c r="E22" s="497"/>
      <c r="I22" s="181"/>
      <c r="L22" s="181" t="s">
        <v>460</v>
      </c>
      <c r="M22" s="181" t="s">
        <v>601</v>
      </c>
      <c r="O22" s="406" t="s">
        <v>177</v>
      </c>
      <c r="P22" s="516">
        <v>-9618</v>
      </c>
      <c r="Q22" s="424"/>
      <c r="R22" s="391">
        <f t="shared" si="0"/>
        <v>868.82446522238627</v>
      </c>
      <c r="S22" s="424"/>
      <c r="T22" s="391">
        <f t="shared" si="5"/>
        <v>-3790.3776321434148</v>
      </c>
    </row>
    <row r="23" spans="1:20" x14ac:dyDescent="0.2">
      <c r="A23" s="445" t="str">
        <f t="shared" si="1"/>
        <v>DTE Energy Trading</v>
      </c>
      <c r="B23" s="430">
        <f t="shared" si="2"/>
        <v>-139450</v>
      </c>
      <c r="C23" s="352">
        <f t="shared" si="3"/>
        <v>868.82446522238627</v>
      </c>
      <c r="D23" s="496">
        <f t="shared" si="4"/>
        <v>-54956.140653191847</v>
      </c>
      <c r="E23" s="497"/>
      <c r="I23" s="181"/>
      <c r="L23" s="181" t="s">
        <v>460</v>
      </c>
      <c r="M23" s="181" t="s">
        <v>601</v>
      </c>
      <c r="O23" s="406" t="s">
        <v>533</v>
      </c>
      <c r="P23" s="516">
        <v>-139450</v>
      </c>
      <c r="Q23" s="424"/>
      <c r="R23" s="391">
        <f t="shared" si="0"/>
        <v>868.82446522238627</v>
      </c>
      <c r="S23" s="424"/>
      <c r="T23" s="391">
        <f t="shared" si="5"/>
        <v>-54956.140653191847</v>
      </c>
    </row>
    <row r="24" spans="1:20" x14ac:dyDescent="0.2">
      <c r="A24" s="445" t="str">
        <f t="shared" si="1"/>
        <v>EDF Trading NA LLC</v>
      </c>
      <c r="B24" s="430">
        <f t="shared" si="2"/>
        <v>-53414</v>
      </c>
      <c r="C24" s="352">
        <f t="shared" si="3"/>
        <v>868.82446522238627</v>
      </c>
      <c r="D24" s="496">
        <f t="shared" si="4"/>
        <v>-21050.034398347718</v>
      </c>
      <c r="E24" s="497"/>
      <c r="I24" s="181"/>
      <c r="L24" s="181" t="s">
        <v>460</v>
      </c>
      <c r="M24" s="181" t="s">
        <v>601</v>
      </c>
      <c r="O24" s="406" t="s">
        <v>208</v>
      </c>
      <c r="P24" s="516">
        <v>-53414</v>
      </c>
      <c r="Q24" s="424"/>
      <c r="R24" s="391">
        <f t="shared" si="0"/>
        <v>868.82446522238627</v>
      </c>
      <c r="S24" s="424"/>
      <c r="T24" s="391">
        <f t="shared" si="5"/>
        <v>-21050.034398347718</v>
      </c>
    </row>
    <row r="25" spans="1:20" x14ac:dyDescent="0.2">
      <c r="A25" s="445" t="str">
        <f t="shared" si="1"/>
        <v>Energy Keepers Inc.</v>
      </c>
      <c r="B25" s="430">
        <f t="shared" si="2"/>
        <v>896</v>
      </c>
      <c r="C25" s="352">
        <f t="shared" si="3"/>
        <v>963.42025100000001</v>
      </c>
      <c r="D25" s="496">
        <f t="shared" si="4"/>
        <v>391.55200000000002</v>
      </c>
      <c r="E25" s="497"/>
      <c r="I25" s="181"/>
      <c r="L25" s="181" t="s">
        <v>460</v>
      </c>
      <c r="M25" s="181" t="s">
        <v>601</v>
      </c>
      <c r="O25" s="406" t="s">
        <v>397</v>
      </c>
      <c r="P25" s="516">
        <v>896</v>
      </c>
      <c r="Q25" s="424"/>
      <c r="R25" s="391">
        <f t="shared" si="0"/>
        <v>963.42025100000001</v>
      </c>
      <c r="S25" s="424"/>
      <c r="T25" s="391">
        <f t="shared" si="5"/>
        <v>391.55200000000002</v>
      </c>
    </row>
    <row r="26" spans="1:20" x14ac:dyDescent="0.2">
      <c r="A26" s="445" t="str">
        <f t="shared" si="1"/>
        <v>Eugene Water &amp; Electric</v>
      </c>
      <c r="B26" s="430">
        <f t="shared" si="2"/>
        <v>-24550</v>
      </c>
      <c r="C26" s="352">
        <f t="shared" si="3"/>
        <v>868.82446522238627</v>
      </c>
      <c r="D26" s="496">
        <f t="shared" si="4"/>
        <v>-9674.9605811105048</v>
      </c>
      <c r="E26" s="497"/>
      <c r="F26" s="315"/>
      <c r="I26" s="181"/>
      <c r="L26" s="181" t="s">
        <v>460</v>
      </c>
      <c r="M26" s="181" t="s">
        <v>601</v>
      </c>
      <c r="O26" s="406" t="s">
        <v>211</v>
      </c>
      <c r="P26" s="516">
        <v>-24550</v>
      </c>
      <c r="Q26" s="424"/>
      <c r="R26" s="391">
        <f t="shared" si="0"/>
        <v>868.82446522238627</v>
      </c>
      <c r="S26" s="424"/>
      <c r="T26" s="391">
        <f t="shared" si="5"/>
        <v>-9674.9605811105048</v>
      </c>
    </row>
    <row r="27" spans="1:20" x14ac:dyDescent="0.2">
      <c r="A27" s="445" t="str">
        <f t="shared" si="1"/>
        <v>Exelon Generation Co LLC</v>
      </c>
      <c r="B27" s="430">
        <f t="shared" si="2"/>
        <v>132140</v>
      </c>
      <c r="C27" s="352">
        <f t="shared" si="3"/>
        <v>963.42025100000001</v>
      </c>
      <c r="D27" s="496">
        <f t="shared" si="4"/>
        <v>57745.18</v>
      </c>
      <c r="E27" s="497"/>
      <c r="F27" s="315"/>
      <c r="I27" s="181"/>
      <c r="L27" s="181" t="s">
        <v>460</v>
      </c>
      <c r="M27" s="181" t="s">
        <v>601</v>
      </c>
      <c r="O27" s="406" t="s">
        <v>186</v>
      </c>
      <c r="P27" s="516">
        <v>132140</v>
      </c>
      <c r="Q27" s="424"/>
      <c r="R27" s="391">
        <f t="shared" si="0"/>
        <v>963.42025100000001</v>
      </c>
      <c r="S27" s="424"/>
      <c r="T27" s="391">
        <f t="shared" si="5"/>
        <v>57745.18</v>
      </c>
    </row>
    <row r="28" spans="1:20" x14ac:dyDescent="0.2">
      <c r="A28" s="445" t="str">
        <f t="shared" si="1"/>
        <v>Grant County PUD #2</v>
      </c>
      <c r="B28" s="430">
        <f t="shared" si="2"/>
        <v>18398</v>
      </c>
      <c r="C28" s="352">
        <f t="shared" si="3"/>
        <v>963.42025100000001</v>
      </c>
      <c r="D28" s="496">
        <f t="shared" si="4"/>
        <v>8039.9259999999995</v>
      </c>
      <c r="E28" s="497"/>
      <c r="F28" s="315"/>
      <c r="I28" s="181"/>
      <c r="L28" s="181" t="s">
        <v>460</v>
      </c>
      <c r="M28" s="181" t="s">
        <v>601</v>
      </c>
      <c r="O28" s="406" t="s">
        <v>213</v>
      </c>
      <c r="P28" s="516">
        <v>18398</v>
      </c>
      <c r="Q28" s="424"/>
      <c r="R28" s="391">
        <f t="shared" si="0"/>
        <v>963.42025100000001</v>
      </c>
      <c r="S28" s="424"/>
      <c r="T28" s="391">
        <f t="shared" si="5"/>
        <v>8039.9259999999995</v>
      </c>
    </row>
    <row r="29" spans="1:20" x14ac:dyDescent="0.2">
      <c r="A29" s="445" t="str">
        <f t="shared" si="1"/>
        <v>GRIDFORCE ENERGY MANAGEMENT, LLC.</v>
      </c>
      <c r="B29" s="430">
        <f t="shared" si="2"/>
        <v>-257</v>
      </c>
      <c r="C29" s="352">
        <f t="shared" si="3"/>
        <v>868.82446522238627</v>
      </c>
      <c r="D29" s="496">
        <f t="shared" si="4"/>
        <v>-101.28166473912015</v>
      </c>
      <c r="E29" s="497"/>
      <c r="F29" s="315"/>
      <c r="I29" s="181"/>
      <c r="L29" s="181" t="s">
        <v>460</v>
      </c>
      <c r="M29" s="181" t="s">
        <v>601</v>
      </c>
      <c r="O29" s="406" t="s">
        <v>343</v>
      </c>
      <c r="P29" s="516">
        <v>-257</v>
      </c>
      <c r="Q29" s="424"/>
      <c r="R29" s="391">
        <f t="shared" si="0"/>
        <v>868.82446522238627</v>
      </c>
      <c r="S29" s="424"/>
      <c r="T29" s="391">
        <f t="shared" si="5"/>
        <v>-101.28166473912015</v>
      </c>
    </row>
    <row r="30" spans="1:20" x14ac:dyDescent="0.2">
      <c r="A30" s="445" t="str">
        <f t="shared" si="1"/>
        <v>Iberdrola Renewables (PPM Energy)</v>
      </c>
      <c r="B30" s="430">
        <f t="shared" si="2"/>
        <v>773434</v>
      </c>
      <c r="C30" s="352">
        <f t="shared" si="3"/>
        <v>963.42025100000001</v>
      </c>
      <c r="D30" s="496">
        <f t="shared" si="4"/>
        <v>337990.658</v>
      </c>
      <c r="E30" s="497"/>
      <c r="F30" s="315"/>
      <c r="I30" s="181"/>
      <c r="L30" s="181" t="s">
        <v>460</v>
      </c>
      <c r="M30" s="181" t="s">
        <v>601</v>
      </c>
      <c r="O30" s="406" t="s">
        <v>215</v>
      </c>
      <c r="P30" s="516">
        <v>773434</v>
      </c>
      <c r="Q30" s="424"/>
      <c r="R30" s="391">
        <f t="shared" si="0"/>
        <v>963.42025100000001</v>
      </c>
      <c r="S30" s="424"/>
      <c r="T30" s="391">
        <f t="shared" si="5"/>
        <v>337990.658</v>
      </c>
    </row>
    <row r="31" spans="1:20" x14ac:dyDescent="0.2">
      <c r="A31" s="445" t="str">
        <f t="shared" si="1"/>
        <v>Idaho Power Company</v>
      </c>
      <c r="B31" s="430">
        <f t="shared" si="2"/>
        <v>-59278</v>
      </c>
      <c r="C31" s="352">
        <f t="shared" si="3"/>
        <v>868.82446522238627</v>
      </c>
      <c r="D31" s="496">
        <f t="shared" si="4"/>
        <v>-23360.990359554722</v>
      </c>
      <c r="E31" s="497"/>
      <c r="F31" s="315"/>
      <c r="I31" s="181"/>
      <c r="L31" s="181" t="s">
        <v>460</v>
      </c>
      <c r="M31" s="181" t="s">
        <v>601</v>
      </c>
      <c r="O31" s="406" t="s">
        <v>217</v>
      </c>
      <c r="P31" s="516">
        <v>-59278</v>
      </c>
      <c r="Q31" s="424"/>
      <c r="R31" s="391">
        <f t="shared" si="0"/>
        <v>868.82446522238627</v>
      </c>
      <c r="S31" s="424"/>
      <c r="T31" s="391">
        <f t="shared" si="5"/>
        <v>-23360.990359554722</v>
      </c>
    </row>
    <row r="32" spans="1:20" x14ac:dyDescent="0.2">
      <c r="A32" s="445" t="str">
        <f t="shared" si="1"/>
        <v>Morgan Stanley CG</v>
      </c>
      <c r="B32" s="430">
        <f t="shared" si="2"/>
        <v>335179</v>
      </c>
      <c r="C32" s="352">
        <f t="shared" si="3"/>
        <v>963.42025100000001</v>
      </c>
      <c r="D32" s="496">
        <f t="shared" si="4"/>
        <v>146473.223</v>
      </c>
      <c r="E32" s="497"/>
      <c r="F32" s="315"/>
      <c r="I32" s="181"/>
      <c r="L32" s="181" t="s">
        <v>460</v>
      </c>
      <c r="M32" s="181" t="s">
        <v>601</v>
      </c>
      <c r="O32" s="406" t="s">
        <v>178</v>
      </c>
      <c r="P32" s="516">
        <v>335179</v>
      </c>
      <c r="Q32" s="424"/>
      <c r="R32" s="391">
        <f t="shared" si="0"/>
        <v>963.42025100000001</v>
      </c>
      <c r="S32" s="424"/>
      <c r="T32" s="391">
        <f t="shared" si="5"/>
        <v>146473.223</v>
      </c>
    </row>
    <row r="33" spans="1:20" x14ac:dyDescent="0.2">
      <c r="A33" s="445" t="str">
        <f t="shared" si="1"/>
        <v>Natur Ener USA</v>
      </c>
      <c r="B33" s="430">
        <f t="shared" si="2"/>
        <v>-141</v>
      </c>
      <c r="C33" s="352">
        <f t="shared" si="3"/>
        <v>868.82446522238627</v>
      </c>
      <c r="D33" s="496">
        <f t="shared" si="4"/>
        <v>-55.566983378272141</v>
      </c>
      <c r="E33" s="497"/>
      <c r="F33" s="315"/>
      <c r="I33" s="181"/>
      <c r="L33" s="181" t="s">
        <v>460</v>
      </c>
      <c r="M33" s="181" t="s">
        <v>601</v>
      </c>
      <c r="O33" s="406" t="s">
        <v>226</v>
      </c>
      <c r="P33" s="516">
        <v>-141</v>
      </c>
      <c r="Q33" s="424"/>
      <c r="R33" s="391">
        <f t="shared" si="0"/>
        <v>868.82446522238627</v>
      </c>
      <c r="S33" s="424"/>
      <c r="T33" s="391">
        <f t="shared" si="5"/>
        <v>-55.566983378272141</v>
      </c>
    </row>
    <row r="34" spans="1:20" x14ac:dyDescent="0.2">
      <c r="A34" s="445" t="str">
        <f t="shared" si="1"/>
        <v>NextEra Energy Power Marketing</v>
      </c>
      <c r="B34" s="430">
        <f t="shared" si="2"/>
        <v>10139</v>
      </c>
      <c r="C34" s="352">
        <f t="shared" si="3"/>
        <v>963.42025100000001</v>
      </c>
      <c r="D34" s="496">
        <f t="shared" si="4"/>
        <v>4430.7430000000004</v>
      </c>
      <c r="E34" s="497"/>
      <c r="F34" s="315"/>
      <c r="I34" s="181"/>
      <c r="L34" s="181" t="s">
        <v>460</v>
      </c>
      <c r="M34" s="181" t="s">
        <v>601</v>
      </c>
      <c r="O34" s="406" t="s">
        <v>227</v>
      </c>
      <c r="P34" s="516">
        <v>10139</v>
      </c>
      <c r="Q34" s="424"/>
      <c r="R34" s="391">
        <f t="shared" si="0"/>
        <v>963.42025100000001</v>
      </c>
      <c r="S34" s="424"/>
      <c r="T34" s="391">
        <f t="shared" si="5"/>
        <v>4430.7430000000004</v>
      </c>
    </row>
    <row r="35" spans="1:20" x14ac:dyDescent="0.2">
      <c r="A35" s="445" t="str">
        <f t="shared" si="1"/>
        <v>Northwestern Energy</v>
      </c>
      <c r="B35" s="430">
        <f t="shared" si="2"/>
        <v>-47262</v>
      </c>
      <c r="C35" s="352">
        <f t="shared" si="3"/>
        <v>868.82446522238627</v>
      </c>
      <c r="D35" s="496">
        <f t="shared" si="4"/>
        <v>-18625.579917899984</v>
      </c>
      <c r="E35" s="497"/>
      <c r="F35" s="315"/>
      <c r="I35" s="181"/>
      <c r="L35" s="181" t="s">
        <v>460</v>
      </c>
      <c r="M35" s="181" t="s">
        <v>601</v>
      </c>
      <c r="O35" s="406" t="s">
        <v>231</v>
      </c>
      <c r="P35" s="516">
        <v>-47262</v>
      </c>
      <c r="Q35" s="424"/>
      <c r="R35" s="391">
        <f t="shared" si="0"/>
        <v>868.82446522238627</v>
      </c>
      <c r="S35" s="424"/>
      <c r="T35" s="391">
        <f t="shared" si="5"/>
        <v>-18625.579917899984</v>
      </c>
    </row>
    <row r="36" spans="1:20" x14ac:dyDescent="0.2">
      <c r="A36" s="445" t="str">
        <f t="shared" si="1"/>
        <v>Okanogan PUD</v>
      </c>
      <c r="B36" s="430">
        <f t="shared" si="2"/>
        <v>2643</v>
      </c>
      <c r="C36" s="352">
        <f t="shared" si="3"/>
        <v>963.42025100000001</v>
      </c>
      <c r="D36" s="496">
        <f t="shared" si="4"/>
        <v>1154.991</v>
      </c>
      <c r="E36" s="497"/>
      <c r="F36" s="315"/>
      <c r="I36" s="181"/>
      <c r="L36" s="181" t="s">
        <v>460</v>
      </c>
      <c r="M36" s="181" t="s">
        <v>601</v>
      </c>
      <c r="O36" s="406" t="s">
        <v>233</v>
      </c>
      <c r="P36" s="516">
        <v>2643</v>
      </c>
      <c r="Q36" s="424"/>
      <c r="R36" s="391">
        <f t="shared" si="0"/>
        <v>963.42025100000001</v>
      </c>
      <c r="S36" s="424"/>
      <c r="T36" s="391">
        <f t="shared" si="5"/>
        <v>1154.991</v>
      </c>
    </row>
    <row r="37" spans="1:20" x14ac:dyDescent="0.2">
      <c r="A37" s="445" t="str">
        <f t="shared" si="1"/>
        <v>Pacificorp</v>
      </c>
      <c r="B37" s="430">
        <f t="shared" si="2"/>
        <v>-122382.62</v>
      </c>
      <c r="C37" s="352">
        <f t="shared" si="3"/>
        <v>868.82446522238627</v>
      </c>
      <c r="D37" s="496">
        <f t="shared" si="4"/>
        <v>-48230.021356946068</v>
      </c>
      <c r="E37" s="497"/>
      <c r="F37" s="315"/>
      <c r="I37" s="181"/>
      <c r="L37" s="181" t="s">
        <v>460</v>
      </c>
      <c r="M37" s="181" t="s">
        <v>601</v>
      </c>
      <c r="O37" s="406" t="s">
        <v>236</v>
      </c>
      <c r="P37" s="516">
        <v>-122382.62</v>
      </c>
      <c r="Q37" s="424"/>
      <c r="R37" s="391">
        <f t="shared" si="0"/>
        <v>868.82446522238627</v>
      </c>
      <c r="S37" s="424"/>
      <c r="T37" s="391">
        <f t="shared" si="5"/>
        <v>-48230.021356946068</v>
      </c>
    </row>
    <row r="38" spans="1:20" x14ac:dyDescent="0.2">
      <c r="A38" s="445" t="str">
        <f t="shared" si="1"/>
        <v>Portland General Electric</v>
      </c>
      <c r="B38" s="430">
        <f t="shared" si="2"/>
        <v>-139259</v>
      </c>
      <c r="C38" s="352">
        <f t="shared" si="3"/>
        <v>868.82446522238627</v>
      </c>
      <c r="D38" s="496">
        <f t="shared" si="4"/>
        <v>-54880.869065778723</v>
      </c>
      <c r="E38" s="497"/>
      <c r="F38" s="315"/>
      <c r="I38" s="181"/>
      <c r="L38" s="181" t="s">
        <v>460</v>
      </c>
      <c r="M38" s="181" t="s">
        <v>601</v>
      </c>
      <c r="O38" s="406" t="s">
        <v>238</v>
      </c>
      <c r="P38" s="516">
        <v>-139259</v>
      </c>
      <c r="Q38" s="424"/>
      <c r="R38" s="391">
        <f t="shared" si="0"/>
        <v>868.82446522238627</v>
      </c>
      <c r="S38" s="424"/>
      <c r="T38" s="391">
        <f t="shared" si="5"/>
        <v>-54880.869065778723</v>
      </c>
    </row>
    <row r="39" spans="1:20" x14ac:dyDescent="0.2">
      <c r="A39" s="445" t="str">
        <f t="shared" si="1"/>
        <v>Powerex Corp.</v>
      </c>
      <c r="B39" s="430">
        <f t="shared" si="2"/>
        <v>-115467</v>
      </c>
      <c r="C39" s="352">
        <f t="shared" si="3"/>
        <v>868.82446522238627</v>
      </c>
      <c r="D39" s="496">
        <f t="shared" si="4"/>
        <v>-45504.630281836522</v>
      </c>
      <c r="E39" s="497"/>
      <c r="F39" s="315"/>
      <c r="I39" s="181"/>
      <c r="L39" s="181" t="s">
        <v>460</v>
      </c>
      <c r="M39" s="181" t="s">
        <v>601</v>
      </c>
      <c r="O39" s="406" t="s">
        <v>180</v>
      </c>
      <c r="P39" s="516">
        <v>-115467</v>
      </c>
      <c r="Q39" s="424"/>
      <c r="R39" s="391">
        <f t="shared" si="0"/>
        <v>868.82446522238627</v>
      </c>
      <c r="S39" s="424"/>
      <c r="T39" s="391">
        <f t="shared" si="5"/>
        <v>-45504.630281836522</v>
      </c>
    </row>
    <row r="40" spans="1:20" x14ac:dyDescent="0.2">
      <c r="A40" s="445" t="str">
        <f t="shared" si="1"/>
        <v>Public Service of Colorado</v>
      </c>
      <c r="B40" s="430">
        <f t="shared" si="2"/>
        <v>-316</v>
      </c>
      <c r="C40" s="352">
        <f t="shared" si="3"/>
        <v>868.82446522238627</v>
      </c>
      <c r="D40" s="496">
        <f t="shared" si="4"/>
        <v>-124.53309750024111</v>
      </c>
      <c r="E40" s="497"/>
      <c r="F40" s="315"/>
      <c r="I40" s="181"/>
      <c r="L40" s="181" t="s">
        <v>460</v>
      </c>
      <c r="M40" s="181" t="s">
        <v>601</v>
      </c>
      <c r="O40" s="406" t="s">
        <v>239</v>
      </c>
      <c r="P40" s="516">
        <v>-316</v>
      </c>
      <c r="Q40" s="424"/>
      <c r="R40" s="391">
        <f t="shared" si="0"/>
        <v>868.82446522238627</v>
      </c>
      <c r="S40" s="424"/>
      <c r="T40" s="391">
        <f t="shared" si="5"/>
        <v>-124.53309750024111</v>
      </c>
    </row>
    <row r="41" spans="1:20" x14ac:dyDescent="0.2">
      <c r="A41" s="445" t="str">
        <f t="shared" si="1"/>
        <v>Rainbow Energy Marketing</v>
      </c>
      <c r="B41" s="430">
        <f t="shared" si="2"/>
        <v>-9090</v>
      </c>
      <c r="C41" s="352">
        <f t="shared" si="3"/>
        <v>868.82446522238627</v>
      </c>
      <c r="D41" s="496">
        <f t="shared" si="4"/>
        <v>-3582.2970135354167</v>
      </c>
      <c r="E41" s="497"/>
      <c r="F41" s="315"/>
      <c r="I41" s="181"/>
      <c r="L41" s="181" t="s">
        <v>460</v>
      </c>
      <c r="M41" s="181" t="s">
        <v>601</v>
      </c>
      <c r="O41" s="406" t="s">
        <v>240</v>
      </c>
      <c r="P41" s="516">
        <v>-9090</v>
      </c>
      <c r="Q41" s="424"/>
      <c r="R41" s="391">
        <f t="shared" si="0"/>
        <v>868.82446522238627</v>
      </c>
      <c r="S41" s="424"/>
      <c r="T41" s="391">
        <f t="shared" si="5"/>
        <v>-3582.2970135354167</v>
      </c>
    </row>
    <row r="42" spans="1:20" x14ac:dyDescent="0.2">
      <c r="A42" s="445" t="str">
        <f t="shared" si="1"/>
        <v>Sacramento Municipal</v>
      </c>
      <c r="B42" s="430">
        <f t="shared" si="2"/>
        <v>-4827</v>
      </c>
      <c r="C42" s="352">
        <f t="shared" si="3"/>
        <v>868.82446522238627</v>
      </c>
      <c r="D42" s="496">
        <f t="shared" si="4"/>
        <v>-1902.2824735242525</v>
      </c>
      <c r="E42" s="497"/>
      <c r="F42" s="315"/>
      <c r="I42" s="181"/>
      <c r="L42" s="181" t="s">
        <v>460</v>
      </c>
      <c r="M42" s="181" t="s">
        <v>601</v>
      </c>
      <c r="O42" s="406" t="s">
        <v>242</v>
      </c>
      <c r="P42" s="516">
        <v>-4827</v>
      </c>
      <c r="Q42" s="424"/>
      <c r="R42" s="391">
        <f t="shared" si="0"/>
        <v>868.82446522238627</v>
      </c>
      <c r="S42" s="424"/>
      <c r="T42" s="391">
        <f t="shared" si="5"/>
        <v>-1902.2824735242525</v>
      </c>
    </row>
    <row r="43" spans="1:20" x14ac:dyDescent="0.2">
      <c r="A43" s="445" t="str">
        <f t="shared" si="1"/>
        <v>Seattle City Light Marketing</v>
      </c>
      <c r="B43" s="430">
        <f t="shared" si="2"/>
        <v>55062</v>
      </c>
      <c r="C43" s="352">
        <f t="shared" si="3"/>
        <v>963.42025100000001</v>
      </c>
      <c r="D43" s="496">
        <f t="shared" si="4"/>
        <v>24062.093999999997</v>
      </c>
      <c r="E43" s="497"/>
      <c r="F43" s="315"/>
      <c r="I43" s="181"/>
      <c r="L43" s="181" t="s">
        <v>460</v>
      </c>
      <c r="M43" s="181" t="s">
        <v>601</v>
      </c>
      <c r="O43" s="406" t="s">
        <v>181</v>
      </c>
      <c r="P43" s="516">
        <v>55062</v>
      </c>
      <c r="Q43" s="424"/>
      <c r="R43" s="391">
        <f t="shared" si="0"/>
        <v>963.42025100000001</v>
      </c>
      <c r="S43" s="424"/>
      <c r="T43" s="391">
        <f t="shared" si="5"/>
        <v>24062.093999999997</v>
      </c>
    </row>
    <row r="44" spans="1:20" x14ac:dyDescent="0.2">
      <c r="A44" s="445" t="str">
        <f t="shared" si="1"/>
        <v>Shell Energy (Coral Pwr)</v>
      </c>
      <c r="B44" s="430">
        <f t="shared" si="2"/>
        <v>114775</v>
      </c>
      <c r="C44" s="352">
        <f t="shared" si="3"/>
        <v>963.42025100000001</v>
      </c>
      <c r="D44" s="496">
        <f t="shared" si="4"/>
        <v>50156.674999999996</v>
      </c>
      <c r="E44" s="497"/>
      <c r="F44" s="315"/>
      <c r="I44" s="181"/>
      <c r="L44" s="181" t="s">
        <v>460</v>
      </c>
      <c r="M44" s="181" t="s">
        <v>601</v>
      </c>
      <c r="O44" s="406" t="s">
        <v>182</v>
      </c>
      <c r="P44" s="516">
        <v>114775</v>
      </c>
      <c r="Q44" s="424"/>
      <c r="R44" s="391">
        <f t="shared" si="0"/>
        <v>963.42025100000001</v>
      </c>
      <c r="S44" s="424"/>
      <c r="T44" s="391">
        <f t="shared" si="5"/>
        <v>50156.674999999996</v>
      </c>
    </row>
    <row r="45" spans="1:20" x14ac:dyDescent="0.2">
      <c r="A45" s="445" t="str">
        <f t="shared" si="1"/>
        <v>Snohomish County PUD #1</v>
      </c>
      <c r="B45" s="430">
        <f t="shared" si="2"/>
        <v>2845</v>
      </c>
      <c r="C45" s="352">
        <f t="shared" si="3"/>
        <v>963.42025100000001</v>
      </c>
      <c r="D45" s="496">
        <f t="shared" si="4"/>
        <v>1243.2650000000001</v>
      </c>
      <c r="E45" s="497"/>
      <c r="F45" s="315"/>
      <c r="I45" s="181"/>
      <c r="L45" s="181" t="s">
        <v>460</v>
      </c>
      <c r="M45" s="181" t="s">
        <v>601</v>
      </c>
      <c r="O45" s="406" t="s">
        <v>247</v>
      </c>
      <c r="P45" s="516">
        <v>2845</v>
      </c>
      <c r="Q45" s="424"/>
      <c r="R45" s="391">
        <f t="shared" si="0"/>
        <v>963.42025100000001</v>
      </c>
      <c r="S45" s="424"/>
      <c r="T45" s="391">
        <f t="shared" si="5"/>
        <v>1243.2650000000001</v>
      </c>
    </row>
    <row r="46" spans="1:20" x14ac:dyDescent="0.2">
      <c r="A46" s="445" t="str">
        <f t="shared" si="1"/>
        <v>Tacoma Power</v>
      </c>
      <c r="B46" s="430">
        <f t="shared" si="2"/>
        <v>128424</v>
      </c>
      <c r="C46" s="352">
        <f t="shared" si="3"/>
        <v>963.42025100000001</v>
      </c>
      <c r="D46" s="496">
        <f t="shared" si="4"/>
        <v>56121.288</v>
      </c>
      <c r="E46" s="497"/>
      <c r="F46" s="315"/>
      <c r="I46" s="181"/>
      <c r="L46" s="181" t="s">
        <v>460</v>
      </c>
      <c r="M46" s="181" t="s">
        <v>601</v>
      </c>
      <c r="O46" s="406" t="s">
        <v>183</v>
      </c>
      <c r="P46" s="516">
        <v>128424</v>
      </c>
      <c r="Q46" s="424"/>
      <c r="R46" s="391">
        <f t="shared" si="0"/>
        <v>963.42025100000001</v>
      </c>
      <c r="S46" s="424"/>
      <c r="T46" s="391">
        <f t="shared" si="5"/>
        <v>56121.288</v>
      </c>
    </row>
    <row r="47" spans="1:20" x14ac:dyDescent="0.2">
      <c r="A47" s="445" t="str">
        <f t="shared" si="1"/>
        <v>Tenaska Power Services Co.</v>
      </c>
      <c r="B47" s="430">
        <f t="shared" si="2"/>
        <v>604</v>
      </c>
      <c r="C47" s="352">
        <f t="shared" si="3"/>
        <v>963.42025100000001</v>
      </c>
      <c r="D47" s="496">
        <f t="shared" si="4"/>
        <v>263.94799999999998</v>
      </c>
      <c r="E47" s="497"/>
      <c r="F47" s="315"/>
      <c r="I47" s="181"/>
      <c r="L47" s="181" t="s">
        <v>460</v>
      </c>
      <c r="M47" s="181" t="s">
        <v>601</v>
      </c>
      <c r="O47" s="406" t="s">
        <v>251</v>
      </c>
      <c r="P47" s="516">
        <v>604</v>
      </c>
      <c r="Q47" s="424"/>
      <c r="R47" s="391">
        <f t="shared" si="0"/>
        <v>963.42025100000001</v>
      </c>
      <c r="S47" s="424"/>
      <c r="T47" s="391">
        <f t="shared" si="5"/>
        <v>263.94799999999998</v>
      </c>
    </row>
    <row r="48" spans="1:20" x14ac:dyDescent="0.2">
      <c r="A48" s="445" t="str">
        <f t="shared" si="1"/>
        <v>The Energy Authority</v>
      </c>
      <c r="B48" s="430">
        <f t="shared" si="2"/>
        <v>-36771</v>
      </c>
      <c r="C48" s="352">
        <f t="shared" si="3"/>
        <v>868.82446522238627</v>
      </c>
      <c r="D48" s="496">
        <f t="shared" si="4"/>
        <v>-14491.159899308119</v>
      </c>
      <c r="E48" s="497"/>
      <c r="F48" s="315"/>
      <c r="I48" s="181"/>
      <c r="L48" s="181" t="s">
        <v>460</v>
      </c>
      <c r="M48" s="181" t="s">
        <v>601</v>
      </c>
      <c r="O48" s="406" t="s">
        <v>252</v>
      </c>
      <c r="P48" s="516">
        <v>-36771</v>
      </c>
      <c r="Q48" s="424"/>
      <c r="R48" s="391">
        <f t="shared" ref="R48" si="6">IF(P48&gt;0,I$3,I$8)</f>
        <v>868.82446522238627</v>
      </c>
      <c r="S48" s="424"/>
      <c r="T48" s="391">
        <f t="shared" ref="T48" si="7">(P48*R48)/2204.623</f>
        <v>-14491.159899308119</v>
      </c>
    </row>
    <row r="49" spans="1:20" x14ac:dyDescent="0.2">
      <c r="A49" s="445" t="str">
        <f t="shared" si="1"/>
        <v>TransAlta Energy Marketing</v>
      </c>
      <c r="B49" s="430">
        <f t="shared" si="2"/>
        <v>621378</v>
      </c>
      <c r="C49" s="352">
        <f t="shared" si="3"/>
        <v>963.42025100000001</v>
      </c>
      <c r="D49" s="496">
        <f t="shared" si="4"/>
        <v>271542.18599999999</v>
      </c>
      <c r="E49" s="497"/>
      <c r="F49" s="315"/>
      <c r="I49" s="181"/>
      <c r="L49" s="181" t="s">
        <v>460</v>
      </c>
      <c r="M49" s="181" t="s">
        <v>601</v>
      </c>
      <c r="O49" s="406" t="s">
        <v>184</v>
      </c>
      <c r="P49" s="516">
        <v>621378</v>
      </c>
      <c r="Q49" s="424"/>
      <c r="R49" s="391">
        <f t="shared" si="0"/>
        <v>963.42025100000001</v>
      </c>
      <c r="S49" s="424"/>
      <c r="T49" s="391">
        <f t="shared" si="5"/>
        <v>271542.18599999999</v>
      </c>
    </row>
    <row r="50" spans="1:20" x14ac:dyDescent="0.2">
      <c r="A50" s="445" t="str">
        <f t="shared" si="1"/>
        <v>TransCanada Energy Sales Ltd</v>
      </c>
      <c r="B50" s="430">
        <f t="shared" si="2"/>
        <v>-15398</v>
      </c>
      <c r="C50" s="352">
        <f t="shared" si="3"/>
        <v>868.82446522238627</v>
      </c>
      <c r="D50" s="496">
        <f t="shared" si="4"/>
        <v>-6068.2298585718754</v>
      </c>
      <c r="E50" s="497"/>
      <c r="F50" s="315"/>
      <c r="I50" s="181"/>
      <c r="L50" s="181" t="s">
        <v>460</v>
      </c>
      <c r="M50" s="181" t="s">
        <v>601</v>
      </c>
      <c r="O50" s="406" t="s">
        <v>254</v>
      </c>
      <c r="P50" s="516">
        <v>-15398</v>
      </c>
      <c r="Q50" s="424"/>
      <c r="R50" s="391">
        <f t="shared" si="0"/>
        <v>868.82446522238627</v>
      </c>
      <c r="S50" s="424"/>
      <c r="T50" s="391">
        <f t="shared" si="5"/>
        <v>-6068.2298585718754</v>
      </c>
    </row>
    <row r="51" spans="1:20" x14ac:dyDescent="0.2">
      <c r="A51" s="445" t="str">
        <f t="shared" si="1"/>
        <v>Turlock Irrigation District</v>
      </c>
      <c r="B51" s="430">
        <f t="shared" si="2"/>
        <v>-4705</v>
      </c>
      <c r="C51" s="352">
        <f t="shared" si="3"/>
        <v>868.82446522238627</v>
      </c>
      <c r="D51" s="496">
        <f t="shared" si="4"/>
        <v>-1854.2032396792229</v>
      </c>
      <c r="E51" s="497"/>
      <c r="F51" s="315"/>
      <c r="I51" s="181"/>
      <c r="L51" s="181" t="s">
        <v>460</v>
      </c>
      <c r="M51" s="181" t="s">
        <v>601</v>
      </c>
      <c r="O51" s="406" t="s">
        <v>256</v>
      </c>
      <c r="P51" s="516">
        <v>-4705</v>
      </c>
      <c r="Q51" s="424"/>
      <c r="R51" s="391">
        <f t="shared" si="0"/>
        <v>868.82446522238627</v>
      </c>
      <c r="S51" s="424"/>
      <c r="T51" s="391">
        <f t="shared" si="5"/>
        <v>-1854.2032396792229</v>
      </c>
    </row>
    <row r="52" spans="1:20" x14ac:dyDescent="0.2">
      <c r="A52" s="445" t="str">
        <f t="shared" si="1"/>
        <v>Vitol Inc.</v>
      </c>
      <c r="B52" s="430">
        <f t="shared" si="2"/>
        <v>4786</v>
      </c>
      <c r="C52" s="352">
        <f t="shared" si="3"/>
        <v>963.42025100000001</v>
      </c>
      <c r="D52" s="496">
        <f t="shared" si="4"/>
        <v>2091.482</v>
      </c>
      <c r="E52" s="497"/>
      <c r="F52" s="315"/>
      <c r="I52" s="181"/>
      <c r="L52" s="181" t="s">
        <v>460</v>
      </c>
      <c r="M52" s="181" t="s">
        <v>601</v>
      </c>
      <c r="O52" s="406" t="s">
        <v>257</v>
      </c>
      <c r="P52" s="516">
        <v>4786</v>
      </c>
      <c r="Q52" s="424"/>
      <c r="R52" s="391">
        <f t="shared" si="0"/>
        <v>963.42025100000001</v>
      </c>
      <c r="S52" s="424"/>
      <c r="T52" s="391">
        <f t="shared" si="5"/>
        <v>2091.482</v>
      </c>
    </row>
    <row r="53" spans="1:20" x14ac:dyDescent="0.2">
      <c r="A53" s="445" t="str">
        <f t="shared" si="1"/>
        <v>Western Area Power Association</v>
      </c>
      <c r="B53" s="430">
        <f t="shared" si="2"/>
        <v>-7880</v>
      </c>
      <c r="C53" s="352">
        <f t="shared" si="3"/>
        <v>868.82446522238627</v>
      </c>
      <c r="D53" s="496">
        <f t="shared" si="4"/>
        <v>-3105.4455958920885</v>
      </c>
      <c r="E53" s="497"/>
      <c r="F53" s="315"/>
      <c r="I53" s="181"/>
      <c r="L53" s="181" t="s">
        <v>460</v>
      </c>
      <c r="M53" s="181" t="s">
        <v>601</v>
      </c>
      <c r="O53" s="406" t="s">
        <v>258</v>
      </c>
      <c r="P53" s="516">
        <v>-7880</v>
      </c>
      <c r="Q53" s="424"/>
      <c r="R53" s="391">
        <f t="shared" si="0"/>
        <v>868.82446522238627</v>
      </c>
      <c r="S53" s="424"/>
      <c r="T53" s="391">
        <f t="shared" si="5"/>
        <v>-3105.4455958920885</v>
      </c>
    </row>
    <row r="54" spans="1:20" x14ac:dyDescent="0.2">
      <c r="A54" s="445" t="str">
        <f t="shared" si="1"/>
        <v>Williams Power Company</v>
      </c>
      <c r="B54" s="430">
        <f t="shared" si="2"/>
        <v>-37895</v>
      </c>
      <c r="C54" s="352">
        <f t="shared" si="3"/>
        <v>868.82446522238627</v>
      </c>
      <c r="D54" s="496">
        <f t="shared" si="4"/>
        <v>-14934.119398011509</v>
      </c>
      <c r="E54" s="497"/>
      <c r="F54" s="315"/>
      <c r="I54" s="181"/>
      <c r="L54" s="181" t="s">
        <v>460</v>
      </c>
      <c r="M54" s="181" t="s">
        <v>601</v>
      </c>
      <c r="O54" s="406" t="s">
        <v>259</v>
      </c>
      <c r="P54" s="516">
        <v>-37895</v>
      </c>
      <c r="Q54" s="424"/>
      <c r="R54" s="391">
        <f t="shared" si="0"/>
        <v>868.82446522238627</v>
      </c>
      <c r="S54" s="424"/>
      <c r="T54" s="391">
        <f t="shared" si="5"/>
        <v>-14934.119398011509</v>
      </c>
    </row>
    <row r="55" spans="1:20" x14ac:dyDescent="0.2">
      <c r="A55" s="445" t="str">
        <f t="shared" si="1"/>
        <v>CAISO EESC Load Undistributed Costs</v>
      </c>
      <c r="B55" s="430">
        <f t="shared" si="2"/>
        <v>-1428.8579999999999</v>
      </c>
      <c r="C55" s="352">
        <f t="shared" si="3"/>
        <v>868.82446522238627</v>
      </c>
      <c r="D55" s="496">
        <f t="shared" si="4"/>
        <v>-563.10162224050475</v>
      </c>
      <c r="E55" s="497"/>
      <c r="F55" s="315"/>
      <c r="I55" s="181"/>
      <c r="L55" s="181" t="s">
        <v>460</v>
      </c>
      <c r="M55" s="181" t="s">
        <v>602</v>
      </c>
      <c r="O55" s="406" t="s">
        <v>196</v>
      </c>
      <c r="P55" s="516">
        <v>-1428.8579999999999</v>
      </c>
      <c r="Q55" s="424"/>
      <c r="R55" s="391">
        <f t="shared" si="0"/>
        <v>868.82446522238627</v>
      </c>
      <c r="S55" s="424"/>
      <c r="T55" s="391">
        <f t="shared" si="5"/>
        <v>-563.10162224050475</v>
      </c>
    </row>
    <row r="56" spans="1:20" x14ac:dyDescent="0.2">
      <c r="A56" s="445" t="str">
        <f t="shared" si="1"/>
        <v>CAISO PRSC Undistributed Costs</v>
      </c>
      <c r="B56" s="430">
        <f t="shared" si="2"/>
        <v>-55496.86</v>
      </c>
      <c r="C56" s="352">
        <f t="shared" si="3"/>
        <v>868.82446522238627</v>
      </c>
      <c r="D56" s="496">
        <f t="shared" si="4"/>
        <v>-21870.873029548198</v>
      </c>
      <c r="E56" s="497"/>
      <c r="F56" s="315"/>
      <c r="I56" s="181"/>
      <c r="L56" s="181" t="s">
        <v>460</v>
      </c>
      <c r="M56" s="181" t="s">
        <v>602</v>
      </c>
      <c r="O56" s="406" t="s">
        <v>344</v>
      </c>
      <c r="P56" s="516">
        <v>-55496.86</v>
      </c>
      <c r="Q56" s="424"/>
      <c r="R56" s="391">
        <f t="shared" ref="R56:R76" si="8">IF(P56&gt;0,I$3,I$8)</f>
        <v>868.82446522238627</v>
      </c>
      <c r="S56" s="424"/>
      <c r="T56" s="391">
        <f t="shared" si="5"/>
        <v>-21870.873029548198</v>
      </c>
    </row>
    <row r="57" spans="1:20" x14ac:dyDescent="0.2">
      <c r="A57" s="445" t="str">
        <f t="shared" si="1"/>
        <v>Chelan PUD - RI &amp; RR</v>
      </c>
      <c r="B57" s="430">
        <f t="shared" si="2"/>
        <v>-81503.024000000005</v>
      </c>
      <c r="C57" s="352">
        <f t="shared" si="3"/>
        <v>868.82446522238627</v>
      </c>
      <c r="D57" s="496">
        <f t="shared" si="4"/>
        <v>-32119.696311254724</v>
      </c>
      <c r="E57" s="497"/>
      <c r="F57" s="315"/>
      <c r="I57" s="181"/>
      <c r="L57" s="181" t="s">
        <v>460</v>
      </c>
      <c r="M57" s="181" t="s">
        <v>602</v>
      </c>
      <c r="N57" s="181" t="s">
        <v>426</v>
      </c>
      <c r="O57" s="406" t="s">
        <v>289</v>
      </c>
      <c r="P57" s="516">
        <v>-81503.024000000005</v>
      </c>
      <c r="Q57" s="424"/>
      <c r="R57" s="391">
        <f t="shared" si="8"/>
        <v>868.82446522238627</v>
      </c>
      <c r="S57" s="424"/>
      <c r="T57" s="391">
        <f t="shared" si="5"/>
        <v>-32119.696311254724</v>
      </c>
    </row>
    <row r="58" spans="1:20" x14ac:dyDescent="0.2">
      <c r="A58" s="445" t="str">
        <f t="shared" si="1"/>
        <v>Colstrip - Energy Imbalance Market</v>
      </c>
      <c r="B58" s="430">
        <f t="shared" si="2"/>
        <v>-6912.152</v>
      </c>
      <c r="C58" s="352">
        <f t="shared" si="3"/>
        <v>868.82446522238627</v>
      </c>
      <c r="D58" s="496">
        <f t="shared" si="4"/>
        <v>-2724.0243637736917</v>
      </c>
      <c r="E58" s="497"/>
      <c r="F58" s="315"/>
      <c r="I58" s="181"/>
      <c r="L58" s="181" t="s">
        <v>461</v>
      </c>
      <c r="M58" s="181" t="s">
        <v>602</v>
      </c>
      <c r="O58" s="406" t="s">
        <v>345</v>
      </c>
      <c r="P58" s="516">
        <v>-6912.152</v>
      </c>
      <c r="Q58" s="424"/>
      <c r="R58" s="391">
        <f t="shared" si="8"/>
        <v>868.82446522238627</v>
      </c>
      <c r="S58" s="424"/>
      <c r="T58" s="391">
        <f t="shared" si="5"/>
        <v>-2724.0243637736917</v>
      </c>
    </row>
    <row r="59" spans="1:20" x14ac:dyDescent="0.2">
      <c r="A59" s="445" t="str">
        <f t="shared" si="1"/>
        <v>Douglas PUD - Wells Project</v>
      </c>
      <c r="B59" s="430">
        <f t="shared" si="2"/>
        <v>-25885.481</v>
      </c>
      <c r="C59" s="352">
        <f t="shared" si="3"/>
        <v>868.82446522238627</v>
      </c>
      <c r="D59" s="496">
        <f t="shared" si="4"/>
        <v>-10201.263067131767</v>
      </c>
      <c r="E59" s="497"/>
      <c r="F59" s="315"/>
      <c r="I59" s="181"/>
      <c r="L59" s="181" t="s">
        <v>460</v>
      </c>
      <c r="M59" s="181" t="s">
        <v>602</v>
      </c>
      <c r="N59" s="181" t="s">
        <v>426</v>
      </c>
      <c r="O59" s="406" t="s">
        <v>292</v>
      </c>
      <c r="P59" s="516">
        <v>-25885.481</v>
      </c>
      <c r="Q59" s="424"/>
      <c r="R59" s="391">
        <f t="shared" si="8"/>
        <v>868.82446522238627</v>
      </c>
      <c r="S59" s="424"/>
      <c r="T59" s="391">
        <f t="shared" si="5"/>
        <v>-10201.263067131767</v>
      </c>
    </row>
    <row r="60" spans="1:20" x14ac:dyDescent="0.2">
      <c r="A60" s="445" t="str">
        <f t="shared" si="1"/>
        <v>Encogen</v>
      </c>
      <c r="B60" s="430">
        <f t="shared" si="2"/>
        <v>-8664.2360000000008</v>
      </c>
      <c r="C60" s="352">
        <f t="shared" si="3"/>
        <v>868.82446522238627</v>
      </c>
      <c r="D60" s="496">
        <f t="shared" si="4"/>
        <v>-3414.5067928895542</v>
      </c>
      <c r="E60" s="497"/>
      <c r="F60" s="315"/>
      <c r="I60" s="181"/>
      <c r="L60" s="181" t="s">
        <v>461</v>
      </c>
      <c r="M60" s="181" t="s">
        <v>602</v>
      </c>
      <c r="O60" s="406" t="s">
        <v>268</v>
      </c>
      <c r="P60" s="516">
        <v>-8664.2360000000008</v>
      </c>
      <c r="Q60" s="424"/>
      <c r="R60" s="391">
        <f t="shared" si="8"/>
        <v>868.82446522238627</v>
      </c>
      <c r="S60" s="424"/>
      <c r="T60" s="391">
        <f t="shared" si="5"/>
        <v>-3414.5067928895542</v>
      </c>
    </row>
    <row r="61" spans="1:20" x14ac:dyDescent="0.2">
      <c r="A61" s="445" t="str">
        <f t="shared" si="1"/>
        <v>Ferndale Co-Generation</v>
      </c>
      <c r="B61" s="430">
        <f t="shared" si="2"/>
        <v>-12666.776999999995</v>
      </c>
      <c r="C61" s="352">
        <f t="shared" si="3"/>
        <v>868.82446522238627</v>
      </c>
      <c r="D61" s="496">
        <f t="shared" si="4"/>
        <v>-4991.8765036544655</v>
      </c>
      <c r="E61" s="497"/>
      <c r="F61" s="315"/>
      <c r="I61" s="181"/>
      <c r="L61" s="181" t="s">
        <v>461</v>
      </c>
      <c r="M61" s="181" t="s">
        <v>602</v>
      </c>
      <c r="O61" s="406" t="s">
        <v>269</v>
      </c>
      <c r="P61" s="516">
        <v>-12666.776999999995</v>
      </c>
      <c r="Q61" s="424"/>
      <c r="R61" s="391">
        <f t="shared" si="8"/>
        <v>868.82446522238627</v>
      </c>
      <c r="S61" s="424"/>
      <c r="T61" s="391">
        <f t="shared" si="5"/>
        <v>-4991.8765036544655</v>
      </c>
    </row>
    <row r="62" spans="1:20" x14ac:dyDescent="0.2">
      <c r="A62" s="445" t="str">
        <f t="shared" si="1"/>
        <v>Freddie #1</v>
      </c>
      <c r="B62" s="430">
        <f t="shared" si="2"/>
        <v>2617.3470000000002</v>
      </c>
      <c r="C62" s="352">
        <f t="shared" si="3"/>
        <v>963.42025100000001</v>
      </c>
      <c r="D62" s="496">
        <f t="shared" si="4"/>
        <v>1143.7806390000001</v>
      </c>
      <c r="E62" s="497"/>
      <c r="F62" s="315"/>
      <c r="I62" s="181"/>
      <c r="L62" s="181" t="s">
        <v>461</v>
      </c>
      <c r="M62" s="181" t="s">
        <v>602</v>
      </c>
      <c r="O62" s="406" t="s">
        <v>270</v>
      </c>
      <c r="P62" s="516">
        <v>2617.3470000000002</v>
      </c>
      <c r="Q62" s="424"/>
      <c r="R62" s="391">
        <f t="shared" si="8"/>
        <v>963.42025100000001</v>
      </c>
      <c r="S62" s="424"/>
      <c r="T62" s="391">
        <f t="shared" si="5"/>
        <v>1143.7806390000001</v>
      </c>
    </row>
    <row r="63" spans="1:20" x14ac:dyDescent="0.2">
      <c r="A63" s="445" t="str">
        <f t="shared" si="1"/>
        <v>Fredonia - Energy Imbalance Market</v>
      </c>
      <c r="B63" s="430">
        <f t="shared" si="2"/>
        <v>9949.2950000000019</v>
      </c>
      <c r="C63" s="352">
        <f t="shared" si="3"/>
        <v>963.42025100000001</v>
      </c>
      <c r="D63" s="496">
        <f t="shared" si="4"/>
        <v>4347.8419150000009</v>
      </c>
      <c r="E63" s="497"/>
      <c r="F63" s="315"/>
      <c r="I63" s="181"/>
      <c r="L63" s="181" t="s">
        <v>461</v>
      </c>
      <c r="M63" s="181" t="s">
        <v>602</v>
      </c>
      <c r="O63" s="406" t="s">
        <v>346</v>
      </c>
      <c r="P63" s="516">
        <v>9949.2950000000019</v>
      </c>
      <c r="Q63" s="424"/>
      <c r="R63" s="391">
        <f t="shared" si="8"/>
        <v>963.42025100000001</v>
      </c>
      <c r="S63" s="424"/>
      <c r="T63" s="391">
        <f t="shared" si="5"/>
        <v>4347.8419150000009</v>
      </c>
    </row>
    <row r="64" spans="1:20" x14ac:dyDescent="0.2">
      <c r="A64" s="445" t="str">
        <f t="shared" si="1"/>
        <v>Fredrickson 1 &amp; 2</v>
      </c>
      <c r="B64" s="430">
        <f t="shared" si="2"/>
        <v>9764.1170000000002</v>
      </c>
      <c r="C64" s="352">
        <f t="shared" si="3"/>
        <v>963.42025100000001</v>
      </c>
      <c r="D64" s="496">
        <f t="shared" si="4"/>
        <v>4266.9191289999999</v>
      </c>
      <c r="E64" s="497"/>
      <c r="F64" s="315"/>
      <c r="I64" s="181"/>
      <c r="L64" s="181" t="s">
        <v>461</v>
      </c>
      <c r="M64" s="181" t="s">
        <v>602</v>
      </c>
      <c r="O64" s="406" t="s">
        <v>273</v>
      </c>
      <c r="P64" s="516">
        <v>9764.1170000000002</v>
      </c>
      <c r="Q64" s="424"/>
      <c r="R64" s="391">
        <f t="shared" si="8"/>
        <v>963.42025100000001</v>
      </c>
      <c r="S64" s="424"/>
      <c r="T64" s="391">
        <f t="shared" si="5"/>
        <v>4266.9191289999999</v>
      </c>
    </row>
    <row r="65" spans="1:21" x14ac:dyDescent="0.2">
      <c r="A65" s="445" t="str">
        <f t="shared" si="1"/>
        <v>Goldendale</v>
      </c>
      <c r="B65" s="430">
        <f t="shared" si="2"/>
        <v>-26233.511000000006</v>
      </c>
      <c r="C65" s="352">
        <f t="shared" si="3"/>
        <v>868.82446522238627</v>
      </c>
      <c r="D65" s="496">
        <f t="shared" si="4"/>
        <v>-10338.418933976734</v>
      </c>
      <c r="E65" s="497"/>
      <c r="F65" s="315"/>
      <c r="I65" s="181"/>
      <c r="L65" s="181" t="s">
        <v>461</v>
      </c>
      <c r="M65" s="181" t="s">
        <v>602</v>
      </c>
      <c r="O65" s="406" t="s">
        <v>274</v>
      </c>
      <c r="P65" s="516">
        <v>-26233.511000000006</v>
      </c>
      <c r="Q65" s="424"/>
      <c r="R65" s="391">
        <f t="shared" si="8"/>
        <v>868.82446522238627</v>
      </c>
      <c r="S65" s="424"/>
      <c r="T65" s="391">
        <f t="shared" si="5"/>
        <v>-10338.418933976734</v>
      </c>
    </row>
    <row r="66" spans="1:21" x14ac:dyDescent="0.2">
      <c r="A66" s="445" t="str">
        <f t="shared" si="1"/>
        <v>Grant County PUD #2</v>
      </c>
      <c r="B66" s="430">
        <f t="shared" si="2"/>
        <v>-5070.1459999999997</v>
      </c>
      <c r="C66" s="352">
        <f t="shared" si="3"/>
        <v>868.82446522238627</v>
      </c>
      <c r="D66" s="496">
        <f t="shared" si="4"/>
        <v>-1998.104386577397</v>
      </c>
      <c r="E66" s="497"/>
      <c r="F66" s="315"/>
      <c r="I66" s="181"/>
      <c r="L66" s="181" t="s">
        <v>460</v>
      </c>
      <c r="M66" s="181" t="s">
        <v>602</v>
      </c>
      <c r="N66" s="181" t="s">
        <v>426</v>
      </c>
      <c r="O66" s="406" t="s">
        <v>213</v>
      </c>
      <c r="P66" s="516">
        <v>-5070.1459999999997</v>
      </c>
      <c r="Q66" s="424"/>
      <c r="R66" s="391">
        <f t="shared" si="8"/>
        <v>868.82446522238627</v>
      </c>
      <c r="S66" s="424"/>
      <c r="T66" s="391">
        <f t="shared" si="5"/>
        <v>-1998.104386577397</v>
      </c>
    </row>
    <row r="67" spans="1:21" x14ac:dyDescent="0.2">
      <c r="A67" s="445" t="str">
        <f t="shared" si="1"/>
        <v>Grant PUD - Priest Rapids Project</v>
      </c>
      <c r="B67" s="430">
        <f t="shared" si="2"/>
        <v>-43878.452999999994</v>
      </c>
      <c r="C67" s="352">
        <f t="shared" si="3"/>
        <v>868.82446522238627</v>
      </c>
      <c r="D67" s="496">
        <f t="shared" si="4"/>
        <v>-17292.15084053401</v>
      </c>
      <c r="E67" s="497"/>
      <c r="F67" s="315"/>
      <c r="I67" s="181"/>
      <c r="L67" s="181" t="s">
        <v>460</v>
      </c>
      <c r="M67" s="181" t="s">
        <v>602</v>
      </c>
      <c r="N67" s="181" t="s">
        <v>426</v>
      </c>
      <c r="O67" s="406" t="s">
        <v>297</v>
      </c>
      <c r="P67" s="516">
        <v>-43878.452999999994</v>
      </c>
      <c r="Q67" s="424"/>
      <c r="R67" s="391">
        <f t="shared" si="8"/>
        <v>868.82446522238627</v>
      </c>
      <c r="S67" s="424"/>
      <c r="T67" s="391">
        <f t="shared" si="5"/>
        <v>-17292.15084053401</v>
      </c>
    </row>
    <row r="68" spans="1:21" x14ac:dyDescent="0.2">
      <c r="A68" s="445" t="str">
        <f t="shared" si="1"/>
        <v>Lower Baker</v>
      </c>
      <c r="B68" s="430">
        <f t="shared" si="2"/>
        <v>1745.394</v>
      </c>
      <c r="C68" s="352">
        <f t="shared" si="3"/>
        <v>963.42025100000001</v>
      </c>
      <c r="D68" s="496">
        <f t="shared" si="4"/>
        <v>762.73717799999997</v>
      </c>
      <c r="E68" s="497"/>
      <c r="F68" s="315"/>
      <c r="I68" s="181"/>
      <c r="L68" s="181" t="s">
        <v>461</v>
      </c>
      <c r="M68" s="181" t="s">
        <v>602</v>
      </c>
      <c r="O68" s="406" t="s">
        <v>263</v>
      </c>
      <c r="P68" s="516">
        <v>1745.394</v>
      </c>
      <c r="Q68" s="424"/>
      <c r="R68" s="391">
        <f t="shared" si="8"/>
        <v>963.42025100000001</v>
      </c>
      <c r="S68" s="424"/>
      <c r="T68" s="391">
        <f t="shared" si="5"/>
        <v>762.73717799999997</v>
      </c>
    </row>
    <row r="69" spans="1:21" x14ac:dyDescent="0.2">
      <c r="A69" s="445" t="str">
        <f t="shared" si="1"/>
        <v>MID-C for Energy Imbalance Market</v>
      </c>
      <c r="B69" s="430">
        <f t="shared" si="2"/>
        <v>-267</v>
      </c>
      <c r="C69" s="352">
        <f t="shared" si="3"/>
        <v>868.82446522238627</v>
      </c>
      <c r="D69" s="496">
        <f t="shared" si="4"/>
        <v>-105.2225855460898</v>
      </c>
      <c r="E69" s="497"/>
      <c r="F69" s="315"/>
      <c r="I69" s="181"/>
      <c r="L69" s="181" t="s">
        <v>460</v>
      </c>
      <c r="M69" s="181" t="s">
        <v>602</v>
      </c>
      <c r="N69" s="181" t="s">
        <v>462</v>
      </c>
      <c r="O69" s="406" t="s">
        <v>347</v>
      </c>
      <c r="P69" s="516">
        <v>-267</v>
      </c>
      <c r="Q69" s="424"/>
      <c r="R69" s="391">
        <f t="shared" si="8"/>
        <v>868.82446522238627</v>
      </c>
      <c r="S69" s="424"/>
      <c r="T69" s="391">
        <f t="shared" si="5"/>
        <v>-105.2225855460898</v>
      </c>
    </row>
    <row r="70" spans="1:21" x14ac:dyDescent="0.2">
      <c r="A70" s="445" t="str">
        <f t="shared" ref="A70:A76" si="9">O70</f>
        <v>Mint Farm</v>
      </c>
      <c r="B70" s="430">
        <f t="shared" ref="B70:B76" si="10">P70</f>
        <v>-15042.885000000002</v>
      </c>
      <c r="C70" s="352">
        <f t="shared" ref="C70:C76" si="11">R70</f>
        <v>868.82446522238627</v>
      </c>
      <c r="D70" s="496">
        <f t="shared" ref="D70:D76" si="12">T70</f>
        <v>-5928.2818493351733</v>
      </c>
      <c r="E70" s="497"/>
      <c r="F70" s="315"/>
      <c r="I70" s="181"/>
      <c r="L70" s="181" t="s">
        <v>461</v>
      </c>
      <c r="M70" s="181" t="s">
        <v>602</v>
      </c>
      <c r="O70" s="406" t="s">
        <v>277</v>
      </c>
      <c r="P70" s="516">
        <v>-15042.885000000002</v>
      </c>
      <c r="Q70" s="424"/>
      <c r="R70" s="391">
        <f t="shared" si="8"/>
        <v>868.82446522238627</v>
      </c>
      <c r="S70" s="424"/>
      <c r="T70" s="391">
        <f t="shared" ref="T70:T76" si="13">(P70*R70)/2204.623</f>
        <v>-5928.2818493351733</v>
      </c>
    </row>
    <row r="71" spans="1:21" x14ac:dyDescent="0.2">
      <c r="A71" s="445" t="str">
        <f t="shared" si="9"/>
        <v>Skookumchuck Wind PPA</v>
      </c>
      <c r="B71" s="430">
        <f t="shared" si="10"/>
        <v>-7906.1110000000008</v>
      </c>
      <c r="C71" s="352">
        <f t="shared" si="11"/>
        <v>868.82446522238627</v>
      </c>
      <c r="D71" s="496">
        <f t="shared" si="12"/>
        <v>-3115.7357342111668</v>
      </c>
      <c r="E71" s="497"/>
      <c r="F71" s="315"/>
      <c r="I71" s="181"/>
      <c r="L71" s="181" t="s">
        <v>460</v>
      </c>
      <c r="M71" s="181" t="s">
        <v>602</v>
      </c>
      <c r="N71" s="181" t="s">
        <v>430</v>
      </c>
      <c r="O71" s="406" t="s">
        <v>534</v>
      </c>
      <c r="P71" s="516">
        <v>-7906.1110000000008</v>
      </c>
      <c r="Q71" s="424"/>
      <c r="R71" s="391">
        <f t="shared" si="8"/>
        <v>868.82446522238627</v>
      </c>
      <c r="S71" s="424"/>
      <c r="T71" s="391">
        <f t="shared" si="13"/>
        <v>-3115.7357342111668</v>
      </c>
    </row>
    <row r="72" spans="1:21" x14ac:dyDescent="0.2">
      <c r="A72" s="445" t="str">
        <f t="shared" si="9"/>
        <v>Snoqualmie-Energy Imbalance Market</v>
      </c>
      <c r="B72" s="430">
        <f t="shared" si="10"/>
        <v>-1333.3810000000001</v>
      </c>
      <c r="C72" s="352">
        <f t="shared" si="11"/>
        <v>868.82446522238627</v>
      </c>
      <c r="D72" s="496">
        <f t="shared" si="12"/>
        <v>-525.47489265180059</v>
      </c>
      <c r="E72" s="497"/>
      <c r="F72" s="315"/>
      <c r="I72" s="181"/>
      <c r="L72" s="181" t="s">
        <v>461</v>
      </c>
      <c r="M72" s="181" t="s">
        <v>602</v>
      </c>
      <c r="O72" s="406" t="s">
        <v>348</v>
      </c>
      <c r="P72" s="516">
        <v>-1333.3810000000001</v>
      </c>
      <c r="Q72" s="424"/>
      <c r="R72" s="391">
        <f t="shared" si="8"/>
        <v>868.82446522238627</v>
      </c>
      <c r="S72" s="424"/>
      <c r="T72" s="391">
        <f t="shared" si="13"/>
        <v>-525.47489265180059</v>
      </c>
    </row>
    <row r="73" spans="1:21" x14ac:dyDescent="0.2">
      <c r="A73" s="445" t="str">
        <f t="shared" si="9"/>
        <v>Sumas</v>
      </c>
      <c r="B73" s="430">
        <f t="shared" si="10"/>
        <v>7177.5319999999992</v>
      </c>
      <c r="C73" s="352">
        <f t="shared" si="11"/>
        <v>963.42025100000001</v>
      </c>
      <c r="D73" s="496">
        <f t="shared" si="12"/>
        <v>3136.5814839999998</v>
      </c>
      <c r="E73" s="497"/>
      <c r="F73" s="315"/>
      <c r="I73" s="181"/>
      <c r="L73" s="181" t="s">
        <v>461</v>
      </c>
      <c r="M73" s="181" t="s">
        <v>602</v>
      </c>
      <c r="O73" s="406" t="s">
        <v>278</v>
      </c>
      <c r="P73" s="516">
        <v>7177.5319999999992</v>
      </c>
      <c r="Q73" s="424"/>
      <c r="R73" s="391">
        <f t="shared" si="8"/>
        <v>963.42025100000001</v>
      </c>
      <c r="S73" s="424"/>
      <c r="T73" s="391">
        <f t="shared" si="13"/>
        <v>3136.5814839999998</v>
      </c>
    </row>
    <row r="74" spans="1:21" x14ac:dyDescent="0.2">
      <c r="A74" s="445" t="str">
        <f t="shared" si="9"/>
        <v>Upper Baker</v>
      </c>
      <c r="B74" s="430">
        <f t="shared" si="10"/>
        <v>19267.506999999998</v>
      </c>
      <c r="C74" s="352">
        <f t="shared" si="11"/>
        <v>963.42025100000001</v>
      </c>
      <c r="D74" s="496">
        <f t="shared" si="12"/>
        <v>8419.9005589999979</v>
      </c>
      <c r="E74" s="497"/>
      <c r="F74" s="315"/>
      <c r="I74" s="181"/>
      <c r="L74" s="181" t="s">
        <v>461</v>
      </c>
      <c r="M74" s="181" t="s">
        <v>602</v>
      </c>
      <c r="O74" s="406" t="s">
        <v>266</v>
      </c>
      <c r="P74" s="516">
        <v>19267.506999999998</v>
      </c>
      <c r="Q74" s="424"/>
      <c r="R74" s="391">
        <f t="shared" si="8"/>
        <v>963.42025100000001</v>
      </c>
      <c r="S74" s="424"/>
      <c r="T74" s="391">
        <f t="shared" si="13"/>
        <v>8419.9005589999979</v>
      </c>
    </row>
    <row r="75" spans="1:21" x14ac:dyDescent="0.2">
      <c r="A75" s="445" t="str">
        <f t="shared" si="9"/>
        <v>Whitehorn 2&amp;3</v>
      </c>
      <c r="B75" s="430">
        <f t="shared" si="10"/>
        <v>1691.7310000000002</v>
      </c>
      <c r="C75" s="352">
        <f t="shared" si="11"/>
        <v>963.42025100000001</v>
      </c>
      <c r="D75" s="496">
        <f t="shared" si="12"/>
        <v>739.28644700000007</v>
      </c>
      <c r="E75" s="497"/>
      <c r="F75" s="315"/>
      <c r="I75" s="181"/>
      <c r="L75" s="181" t="s">
        <v>461</v>
      </c>
      <c r="M75" s="181" t="s">
        <v>602</v>
      </c>
      <c r="O75" s="406" t="s">
        <v>279</v>
      </c>
      <c r="P75" s="516">
        <v>1691.7310000000002</v>
      </c>
      <c r="Q75" s="424"/>
      <c r="R75" s="391">
        <f t="shared" si="8"/>
        <v>963.42025100000001</v>
      </c>
      <c r="S75" s="424"/>
      <c r="T75" s="391">
        <f t="shared" si="13"/>
        <v>739.28644700000007</v>
      </c>
    </row>
    <row r="76" spans="1:21" x14ac:dyDescent="0.2">
      <c r="A76" s="445" t="str">
        <f t="shared" si="9"/>
        <v>Wild Horse (W183)</v>
      </c>
      <c r="B76" s="430">
        <f t="shared" si="10"/>
        <v>-4035.875</v>
      </c>
      <c r="C76" s="352">
        <f t="shared" si="11"/>
        <v>868.82446522238627</v>
      </c>
      <c r="D76" s="496">
        <f t="shared" si="12"/>
        <v>-1590.5063761828658</v>
      </c>
      <c r="E76" s="497"/>
      <c r="F76" s="315"/>
      <c r="I76" s="181"/>
      <c r="L76" s="181" t="s">
        <v>461</v>
      </c>
      <c r="M76" s="181" t="s">
        <v>602</v>
      </c>
      <c r="O76" s="406" t="s">
        <v>280</v>
      </c>
      <c r="P76" s="516">
        <v>-4035.875</v>
      </c>
      <c r="Q76" s="424"/>
      <c r="R76" s="391">
        <f t="shared" si="8"/>
        <v>868.82446522238627</v>
      </c>
      <c r="S76" s="424"/>
      <c r="T76" s="391">
        <f t="shared" si="13"/>
        <v>-1590.5063761828658</v>
      </c>
    </row>
    <row r="77" spans="1:21" x14ac:dyDescent="0.2">
      <c r="A77" s="445"/>
      <c r="B77" s="430"/>
      <c r="C77" s="352"/>
      <c r="D77" s="496"/>
      <c r="E77" s="497"/>
      <c r="F77" s="315"/>
      <c r="I77" s="181"/>
      <c r="O77" s="519" t="s">
        <v>605</v>
      </c>
      <c r="P77" s="517">
        <f>SUM(P5:P76)</f>
        <v>2620277.5130000003</v>
      </c>
      <c r="Q77" s="424"/>
      <c r="R77" s="362"/>
      <c r="S77" s="426"/>
      <c r="T77" s="362">
        <f>SUM(T5:T76)</f>
        <v>1231328.5339918383</v>
      </c>
      <c r="U77" s="447"/>
    </row>
    <row r="78" spans="1:21" x14ac:dyDescent="0.2">
      <c r="A78" s="445"/>
      <c r="B78" s="430"/>
      <c r="C78" s="352"/>
      <c r="D78" s="496"/>
      <c r="E78" s="497"/>
      <c r="F78" s="315"/>
      <c r="I78" s="181"/>
      <c r="O78" s="519"/>
      <c r="P78" s="517"/>
      <c r="Q78" s="424"/>
      <c r="R78" s="362"/>
      <c r="S78" s="426"/>
      <c r="T78" s="391"/>
      <c r="U78" s="447"/>
    </row>
    <row r="79" spans="1:21" x14ac:dyDescent="0.2">
      <c r="A79" s="445"/>
      <c r="B79" s="430"/>
      <c r="C79" s="352"/>
      <c r="D79" s="496"/>
      <c r="E79" s="497"/>
      <c r="F79" s="315"/>
      <c r="I79" s="181"/>
      <c r="P79" s="517"/>
      <c r="Q79" s="424"/>
      <c r="R79" s="362"/>
      <c r="S79" s="426"/>
      <c r="T79" s="391"/>
    </row>
    <row r="80" spans="1:21" x14ac:dyDescent="0.2">
      <c r="A80" s="445"/>
      <c r="B80" s="430"/>
      <c r="C80" s="352"/>
      <c r="D80" s="496"/>
      <c r="E80" s="497"/>
      <c r="F80" s="315"/>
      <c r="I80" s="181"/>
      <c r="P80" s="517"/>
      <c r="Q80" s="424"/>
      <c r="R80" s="362"/>
      <c r="S80" s="426"/>
      <c r="T80" s="391"/>
      <c r="U80" s="447"/>
    </row>
    <row r="81" spans="1:21" ht="21" customHeight="1" x14ac:dyDescent="0.25">
      <c r="A81" s="498" t="s">
        <v>419</v>
      </c>
      <c r="B81" s="521">
        <f>SUM(B5:B80)</f>
        <v>2182677.5130000003</v>
      </c>
      <c r="C81" s="502"/>
      <c r="D81" s="501">
        <f>SUM(D5:D80)</f>
        <v>1040097.3339918386</v>
      </c>
      <c r="E81" s="501"/>
      <c r="I81" s="181"/>
      <c r="P81" s="518"/>
      <c r="Q81" s="518"/>
      <c r="R81" s="518"/>
      <c r="S81" s="518"/>
      <c r="T81" s="518"/>
      <c r="U81" s="447"/>
    </row>
    <row r="82" spans="1:21" x14ac:dyDescent="0.25">
      <c r="A82" s="513"/>
      <c r="B82" s="520"/>
      <c r="I82" s="181"/>
    </row>
    <row r="83" spans="1:21" x14ac:dyDescent="0.25">
      <c r="I83" s="181"/>
    </row>
    <row r="84" spans="1:21" x14ac:dyDescent="0.25">
      <c r="I84" s="181"/>
    </row>
    <row r="85" spans="1:21" x14ac:dyDescent="0.25">
      <c r="I85" s="181"/>
    </row>
    <row r="86" spans="1:21" x14ac:dyDescent="0.25">
      <c r="I86" s="181"/>
    </row>
    <row r="87" spans="1:21" x14ac:dyDescent="0.25">
      <c r="I87" s="181"/>
    </row>
    <row r="88" spans="1:21" x14ac:dyDescent="0.25">
      <c r="I88" s="181"/>
    </row>
    <row r="89" spans="1:21" x14ac:dyDescent="0.25">
      <c r="I89" s="181"/>
    </row>
    <row r="90" spans="1:21" x14ac:dyDescent="0.25">
      <c r="I90" s="181"/>
    </row>
    <row r="91" spans="1:21" x14ac:dyDescent="0.25">
      <c r="I91" s="181"/>
    </row>
    <row r="92" spans="1:21" x14ac:dyDescent="0.25">
      <c r="I92" s="181"/>
    </row>
    <row r="93" spans="1:21" x14ac:dyDescent="0.25">
      <c r="I93" s="181"/>
    </row>
    <row r="94" spans="1:21" x14ac:dyDescent="0.25">
      <c r="I94" s="181"/>
    </row>
    <row r="95" spans="1:21" x14ac:dyDescent="0.25">
      <c r="I95" s="181"/>
    </row>
    <row r="96" spans="1:21" x14ac:dyDescent="0.25">
      <c r="I96" s="181"/>
    </row>
    <row r="97" spans="9:9" x14ac:dyDescent="0.25">
      <c r="I97" s="181"/>
    </row>
    <row r="98" spans="9:9" x14ac:dyDescent="0.25">
      <c r="I98" s="181"/>
    </row>
    <row r="99" spans="9:9" x14ac:dyDescent="0.25">
      <c r="I99" s="181"/>
    </row>
    <row r="100" spans="9:9" x14ac:dyDescent="0.25">
      <c r="I100" s="181"/>
    </row>
    <row r="101" spans="9:9" x14ac:dyDescent="0.25">
      <c r="I101" s="181"/>
    </row>
    <row r="102" spans="9:9" x14ac:dyDescent="0.25">
      <c r="I102" s="181"/>
    </row>
    <row r="103" spans="9:9" x14ac:dyDescent="0.25">
      <c r="I103" s="181"/>
    </row>
    <row r="104" spans="9:9" x14ac:dyDescent="0.25">
      <c r="I104" s="181"/>
    </row>
    <row r="105" spans="9:9" x14ac:dyDescent="0.25">
      <c r="I105" s="181"/>
    </row>
    <row r="106" spans="9:9" x14ac:dyDescent="0.25">
      <c r="I106" s="181"/>
    </row>
    <row r="107" spans="9:9" x14ac:dyDescent="0.25">
      <c r="I107" s="181"/>
    </row>
    <row r="108" spans="9:9" x14ac:dyDescent="0.25">
      <c r="I108" s="181"/>
    </row>
    <row r="109" spans="9:9" x14ac:dyDescent="0.25">
      <c r="I109" s="181"/>
    </row>
    <row r="110" spans="9:9" x14ac:dyDescent="0.25">
      <c r="I110" s="181"/>
    </row>
    <row r="111" spans="9:9" x14ac:dyDescent="0.25">
      <c r="I111" s="181"/>
    </row>
    <row r="112" spans="9:9" x14ac:dyDescent="0.25">
      <c r="I112" s="181"/>
    </row>
    <row r="113" spans="9:9" x14ac:dyDescent="0.25">
      <c r="I113" s="181"/>
    </row>
    <row r="114" spans="9:9" x14ac:dyDescent="0.25">
      <c r="I114" s="181"/>
    </row>
    <row r="115" spans="9:9" x14ac:dyDescent="0.25">
      <c r="I115" s="181"/>
    </row>
    <row r="116" spans="9:9" x14ac:dyDescent="0.25">
      <c r="I116" s="181"/>
    </row>
    <row r="117" spans="9:9" x14ac:dyDescent="0.25">
      <c r="I117" s="181"/>
    </row>
    <row r="118" spans="9:9" x14ac:dyDescent="0.25">
      <c r="I118" s="181"/>
    </row>
    <row r="119" spans="9:9" x14ac:dyDescent="0.25">
      <c r="I119" s="181"/>
    </row>
    <row r="120" spans="9:9" x14ac:dyDescent="0.25">
      <c r="I120" s="181"/>
    </row>
    <row r="121" spans="9:9" x14ac:dyDescent="0.25">
      <c r="I121" s="181"/>
    </row>
    <row r="122" spans="9:9" x14ac:dyDescent="0.25">
      <c r="I122" s="181"/>
    </row>
    <row r="123" spans="9:9" x14ac:dyDescent="0.25">
      <c r="I123" s="181"/>
    </row>
    <row r="124" spans="9:9" x14ac:dyDescent="0.25">
      <c r="I124" s="181"/>
    </row>
    <row r="125" spans="9:9" x14ac:dyDescent="0.25">
      <c r="I125" s="181"/>
    </row>
    <row r="126" spans="9:9" x14ac:dyDescent="0.25">
      <c r="I126" s="181"/>
    </row>
    <row r="127" spans="9:9" x14ac:dyDescent="0.25">
      <c r="I127" s="181"/>
    </row>
    <row r="128" spans="9:9" x14ac:dyDescent="0.25">
      <c r="I128" s="181"/>
    </row>
    <row r="129" spans="9:9" x14ac:dyDescent="0.25">
      <c r="I129" s="181"/>
    </row>
    <row r="130" spans="9:9" x14ac:dyDescent="0.25">
      <c r="I130" s="181"/>
    </row>
    <row r="131" spans="9:9" x14ac:dyDescent="0.25">
      <c r="I131" s="181"/>
    </row>
    <row r="132" spans="9:9" x14ac:dyDescent="0.25">
      <c r="I132" s="181"/>
    </row>
    <row r="133" spans="9:9" x14ac:dyDescent="0.25">
      <c r="I133" s="181"/>
    </row>
    <row r="134" spans="9:9" x14ac:dyDescent="0.25">
      <c r="I134" s="181"/>
    </row>
    <row r="135" spans="9:9" x14ac:dyDescent="0.25">
      <c r="I135" s="181"/>
    </row>
    <row r="136" spans="9:9" x14ac:dyDescent="0.25">
      <c r="I136" s="181"/>
    </row>
    <row r="137" spans="9:9" x14ac:dyDescent="0.25">
      <c r="I137" s="181"/>
    </row>
    <row r="138" spans="9:9" x14ac:dyDescent="0.25">
      <c r="I138" s="181"/>
    </row>
    <row r="139" spans="9:9" x14ac:dyDescent="0.25">
      <c r="I139" s="181"/>
    </row>
    <row r="140" spans="9:9" x14ac:dyDescent="0.25">
      <c r="I140" s="181"/>
    </row>
    <row r="141" spans="9:9" x14ac:dyDescent="0.25">
      <c r="I141" s="181"/>
    </row>
    <row r="142" spans="9:9" x14ac:dyDescent="0.25">
      <c r="I142" s="181"/>
    </row>
    <row r="143" spans="9:9" x14ac:dyDescent="0.25">
      <c r="I143" s="181"/>
    </row>
    <row r="144" spans="9:9" x14ac:dyDescent="0.25">
      <c r="I144" s="181"/>
    </row>
    <row r="145" spans="9:9" x14ac:dyDescent="0.25">
      <c r="I145" s="181"/>
    </row>
    <row r="146" spans="9:9" x14ac:dyDescent="0.25">
      <c r="I146" s="181"/>
    </row>
    <row r="147" spans="9:9" x14ac:dyDescent="0.25">
      <c r="I147" s="181"/>
    </row>
    <row r="148" spans="9:9" x14ac:dyDescent="0.25">
      <c r="I148" s="181"/>
    </row>
    <row r="149" spans="9:9" x14ac:dyDescent="0.25">
      <c r="I149" s="181"/>
    </row>
    <row r="150" spans="9:9" x14ac:dyDescent="0.25">
      <c r="I150" s="181"/>
    </row>
    <row r="151" spans="9:9" x14ac:dyDescent="0.25">
      <c r="I151" s="181"/>
    </row>
    <row r="152" spans="9:9" x14ac:dyDescent="0.25">
      <c r="I152" s="181"/>
    </row>
    <row r="153" spans="9:9" x14ac:dyDescent="0.25">
      <c r="I153" s="181"/>
    </row>
    <row r="154" spans="9:9" x14ac:dyDescent="0.25">
      <c r="I154" s="181"/>
    </row>
    <row r="155" spans="9:9" x14ac:dyDescent="0.25">
      <c r="I155" s="181"/>
    </row>
    <row r="156" spans="9:9" x14ac:dyDescent="0.25">
      <c r="I156" s="181"/>
    </row>
    <row r="157" spans="9:9" x14ac:dyDescent="0.25">
      <c r="I157" s="181"/>
    </row>
    <row r="158" spans="9:9" x14ac:dyDescent="0.25">
      <c r="I158" s="181"/>
    </row>
    <row r="159" spans="9:9" x14ac:dyDescent="0.25">
      <c r="I159" s="181"/>
    </row>
    <row r="160" spans="9:9" x14ac:dyDescent="0.25">
      <c r="I160" s="181"/>
    </row>
    <row r="161" spans="9:9" x14ac:dyDescent="0.25">
      <c r="I161" s="181"/>
    </row>
    <row r="162" spans="9:9" x14ac:dyDescent="0.25">
      <c r="I162" s="181"/>
    </row>
  </sheetData>
  <mergeCells count="4">
    <mergeCell ref="A3:A4"/>
    <mergeCell ref="B3:B4"/>
    <mergeCell ref="C3:C4"/>
    <mergeCell ref="D3:D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4" workbookViewId="0">
      <selection activeCell="A19" sqref="A19:C19"/>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s>
  <sheetData>
    <row r="1" spans="1:11" ht="18.75" x14ac:dyDescent="0.3">
      <c r="A1" s="2" t="s">
        <v>11</v>
      </c>
    </row>
    <row r="2" spans="1:11" ht="9.1999999999999993" customHeight="1" x14ac:dyDescent="0.25"/>
    <row r="3" spans="1:11" x14ac:dyDescent="0.25">
      <c r="A3" s="260"/>
      <c r="B3" s="322" t="s">
        <v>15</v>
      </c>
      <c r="C3" s="260" t="s">
        <v>25</v>
      </c>
      <c r="D3" s="262"/>
      <c r="E3" s="64"/>
      <c r="F3" s="125"/>
      <c r="G3" s="125"/>
      <c r="J3" s="125" t="s">
        <v>515</v>
      </c>
    </row>
    <row r="4" spans="1:11" x14ac:dyDescent="0.25">
      <c r="A4" s="627" t="s">
        <v>16</v>
      </c>
      <c r="B4" s="628"/>
      <c r="C4" s="263">
        <v>2019</v>
      </c>
      <c r="D4" s="264" t="s">
        <v>39</v>
      </c>
      <c r="E4" s="64"/>
      <c r="F4" s="125"/>
      <c r="G4" s="125"/>
      <c r="J4" s="350">
        <v>2.4946999999999999</v>
      </c>
    </row>
    <row r="5" spans="1:11" x14ac:dyDescent="0.25">
      <c r="A5" s="627" t="s">
        <v>21</v>
      </c>
      <c r="B5" s="628"/>
      <c r="C5" s="259">
        <f>+F10*J4</f>
        <v>2557127.3728</v>
      </c>
      <c r="D5" s="265">
        <f>+D14/C5</f>
        <v>8.1499796301425764</v>
      </c>
      <c r="E5" s="125"/>
      <c r="F5" s="125"/>
      <c r="G5" s="125"/>
    </row>
    <row r="6" spans="1:11" x14ac:dyDescent="0.25">
      <c r="A6" s="211"/>
      <c r="B6" s="211"/>
      <c r="C6" s="21"/>
      <c r="D6" s="125"/>
      <c r="E6" s="266"/>
      <c r="F6" s="125"/>
      <c r="G6" s="125"/>
    </row>
    <row r="7" spans="1:11" ht="18.75" x14ac:dyDescent="0.3">
      <c r="A7" s="267" t="s">
        <v>36</v>
      </c>
      <c r="B7" s="125"/>
      <c r="C7" s="21"/>
      <c r="D7" s="125"/>
      <c r="E7" s="266"/>
      <c r="F7" s="125"/>
      <c r="G7" s="125"/>
      <c r="J7" s="125"/>
      <c r="K7" s="125"/>
    </row>
    <row r="8" spans="1:11" x14ac:dyDescent="0.25">
      <c r="A8" s="268"/>
      <c r="B8" s="269"/>
      <c r="C8" s="269"/>
      <c r="D8" s="269"/>
      <c r="E8" s="269"/>
      <c r="F8" s="270" t="s">
        <v>20</v>
      </c>
      <c r="G8" s="271" t="s">
        <v>40</v>
      </c>
      <c r="J8" s="125" t="s">
        <v>516</v>
      </c>
      <c r="K8" s="125"/>
    </row>
    <row r="9" spans="1:11" x14ac:dyDescent="0.25">
      <c r="A9" s="272"/>
      <c r="B9" s="273"/>
      <c r="C9" s="273"/>
      <c r="D9" s="263" t="s">
        <v>14</v>
      </c>
      <c r="E9" s="274" t="s">
        <v>28</v>
      </c>
      <c r="F9" s="275" t="s">
        <v>35</v>
      </c>
      <c r="G9" s="258" t="s">
        <v>20</v>
      </c>
      <c r="J9" s="125" t="s">
        <v>517</v>
      </c>
      <c r="K9" s="125"/>
    </row>
    <row r="10" spans="1:11" x14ac:dyDescent="0.25">
      <c r="A10" s="345" t="s">
        <v>12</v>
      </c>
      <c r="B10" s="346"/>
      <c r="C10" s="347"/>
      <c r="D10" s="330">
        <v>10756628</v>
      </c>
      <c r="E10" s="276">
        <f>+D10/D14</f>
        <v>0.51613970005377985</v>
      </c>
      <c r="F10" s="331">
        <v>1025024</v>
      </c>
      <c r="G10" s="277">
        <f>+D10/F10</f>
        <v>10.494025505744256</v>
      </c>
      <c r="J10" s="209"/>
      <c r="K10" s="125"/>
    </row>
    <row r="11" spans="1:11" x14ac:dyDescent="0.25">
      <c r="A11" s="345" t="s">
        <v>17</v>
      </c>
      <c r="B11" s="346"/>
      <c r="C11" s="347"/>
      <c r="D11" s="330">
        <v>8837457</v>
      </c>
      <c r="E11" s="276">
        <f>+D11/D14</f>
        <v>0.42405132958192632</v>
      </c>
      <c r="F11" s="330">
        <v>129944</v>
      </c>
      <c r="G11" s="277">
        <f>+D11/F11</f>
        <v>68.009734962753186</v>
      </c>
      <c r="J11" s="209"/>
      <c r="K11" s="125"/>
    </row>
    <row r="12" spans="1:11" x14ac:dyDescent="0.25">
      <c r="A12" s="342" t="s">
        <v>18</v>
      </c>
      <c r="B12" s="343"/>
      <c r="C12" s="344"/>
      <c r="D12" s="330">
        <v>1161149</v>
      </c>
      <c r="E12" s="276">
        <f>+D12/D14</f>
        <v>5.5715889456969821E-2</v>
      </c>
      <c r="F12" s="211"/>
      <c r="G12" s="278"/>
      <c r="J12" s="1"/>
    </row>
    <row r="13" spans="1:11" x14ac:dyDescent="0.25">
      <c r="A13" s="345" t="s">
        <v>547</v>
      </c>
      <c r="B13" s="339"/>
      <c r="C13" s="340"/>
      <c r="D13" s="330">
        <v>85302</v>
      </c>
      <c r="E13" s="276">
        <f>+D13/D14</f>
        <v>4.0930809073240725E-3</v>
      </c>
      <c r="F13" s="211"/>
      <c r="G13" s="278"/>
      <c r="J13" s="1"/>
    </row>
    <row r="14" spans="1:11" x14ac:dyDescent="0.25">
      <c r="A14" s="321"/>
      <c r="B14" s="631" t="s">
        <v>13</v>
      </c>
      <c r="C14" s="628"/>
      <c r="D14" s="280">
        <f>SUM(D10:D13)</f>
        <v>20840536</v>
      </c>
      <c r="E14" s="276">
        <f>SUM(E10:E13)</f>
        <v>1</v>
      </c>
      <c r="F14" s="273"/>
      <c r="G14" s="282"/>
    </row>
    <row r="15" spans="1:11" x14ac:dyDescent="0.25">
      <c r="A15" s="125"/>
      <c r="B15" s="125"/>
      <c r="C15" s="125"/>
      <c r="D15" s="125"/>
      <c r="E15" s="125"/>
      <c r="F15" s="125"/>
      <c r="G15" s="125"/>
    </row>
    <row r="16" spans="1:11" ht="18.75" x14ac:dyDescent="0.3">
      <c r="A16" s="283" t="s">
        <v>37</v>
      </c>
      <c r="B16" s="125"/>
      <c r="C16" s="125"/>
      <c r="D16" s="125"/>
      <c r="E16" s="125"/>
      <c r="F16" s="125"/>
      <c r="G16" s="125"/>
    </row>
    <row r="17" spans="1:9" x14ac:dyDescent="0.25">
      <c r="A17" s="268"/>
      <c r="B17" s="269"/>
      <c r="C17" s="269"/>
      <c r="D17" s="269"/>
      <c r="E17" s="270" t="s">
        <v>29</v>
      </c>
      <c r="F17" s="271" t="s">
        <v>522</v>
      </c>
      <c r="G17" s="284"/>
    </row>
    <row r="18" spans="1:9" ht="18" x14ac:dyDescent="0.35">
      <c r="A18" s="285"/>
      <c r="B18" s="211"/>
      <c r="C18" s="211"/>
      <c r="D18" s="274" t="s">
        <v>19</v>
      </c>
      <c r="E18" s="275" t="s">
        <v>30</v>
      </c>
      <c r="F18" s="258" t="s">
        <v>8</v>
      </c>
      <c r="G18" s="286"/>
    </row>
    <row r="19" spans="1:9" x14ac:dyDescent="0.25">
      <c r="A19" s="637" t="s">
        <v>542</v>
      </c>
      <c r="B19" s="638"/>
      <c r="C19" s="639"/>
      <c r="D19" s="323">
        <f>'2019 Known'!B58</f>
        <v>20028146.622499999</v>
      </c>
      <c r="E19" s="276">
        <f>+D19/(D19+D21)</f>
        <v>0.89784014241076548</v>
      </c>
      <c r="F19" s="323">
        <f>'2019 Known'!C58</f>
        <v>11007798.750540299</v>
      </c>
      <c r="G19" s="286"/>
    </row>
    <row r="20" spans="1:9" x14ac:dyDescent="0.25">
      <c r="A20" s="463"/>
      <c r="B20" s="464"/>
      <c r="C20" s="337" t="s">
        <v>543</v>
      </c>
      <c r="D20" s="323">
        <v>0</v>
      </c>
      <c r="E20" s="276">
        <f>+D20/(D20+D22)</f>
        <v>0</v>
      </c>
      <c r="F20" s="323">
        <v>0</v>
      </c>
      <c r="G20" s="286"/>
    </row>
    <row r="21" spans="1:9" ht="18" x14ac:dyDescent="0.35">
      <c r="A21" s="627" t="s">
        <v>34</v>
      </c>
      <c r="B21" s="631"/>
      <c r="C21" s="628"/>
      <c r="D21" s="323">
        <f>'2019 Unknown - Net by'!B80</f>
        <v>2278882.9660000005</v>
      </c>
      <c r="E21" s="287">
        <f>+D21/(D19+D21)</f>
        <v>0.1021598575892345</v>
      </c>
      <c r="F21" s="324">
        <f>'2019 Unknown - Net by'!D80</f>
        <v>744608.3509279727</v>
      </c>
      <c r="G21" s="36" t="s">
        <v>38</v>
      </c>
    </row>
    <row r="22" spans="1:9" ht="33" x14ac:dyDescent="0.35">
      <c r="A22" s="272"/>
      <c r="B22" s="273"/>
      <c r="C22" s="288" t="s">
        <v>514</v>
      </c>
      <c r="D22" s="289">
        <f>SUM(D19:D21)</f>
        <v>22307029.588500001</v>
      </c>
      <c r="E22" s="325" t="s">
        <v>523</v>
      </c>
      <c r="F22" s="289">
        <f>SUM(F19:F21)</f>
        <v>11752407.101468273</v>
      </c>
      <c r="G22" s="290">
        <f>+F22/G24</f>
        <v>1.8650579450097211</v>
      </c>
      <c r="I22" s="98"/>
    </row>
    <row r="23" spans="1:9" x14ac:dyDescent="0.25">
      <c r="A23" s="125"/>
      <c r="B23" s="125"/>
      <c r="C23" s="125"/>
      <c r="D23" s="125"/>
      <c r="E23" s="125"/>
      <c r="F23" s="125"/>
      <c r="G23" s="125"/>
    </row>
    <row r="24" spans="1:9" ht="18" x14ac:dyDescent="0.35">
      <c r="A24" s="125"/>
      <c r="B24" s="125"/>
      <c r="C24" s="291"/>
      <c r="D24" s="291"/>
      <c r="E24" s="125"/>
      <c r="F24" s="292" t="s">
        <v>524</v>
      </c>
      <c r="G24" s="188">
        <f>+G31</f>
        <v>6301362.9860207997</v>
      </c>
      <c r="H24" s="29"/>
    </row>
    <row r="26" spans="1:9" x14ac:dyDescent="0.25">
      <c r="E26" s="29" t="s">
        <v>22</v>
      </c>
      <c r="F26" s="24"/>
      <c r="G26" s="24"/>
    </row>
    <row r="27" spans="1:9" x14ac:dyDescent="0.25">
      <c r="E27" s="24"/>
      <c r="F27" s="24"/>
      <c r="G27" s="27" t="s">
        <v>26</v>
      </c>
    </row>
    <row r="28" spans="1:9" ht="18" x14ac:dyDescent="0.35">
      <c r="E28" s="24"/>
      <c r="F28" s="24"/>
      <c r="G28" s="28" t="s">
        <v>525</v>
      </c>
    </row>
    <row r="29" spans="1:9" x14ac:dyDescent="0.25">
      <c r="E29" s="24"/>
      <c r="F29" s="25" t="s">
        <v>23</v>
      </c>
      <c r="G29" s="26">
        <f>1131957*0.9071847</f>
        <v>1026894.0714579</v>
      </c>
    </row>
    <row r="30" spans="1:9" x14ac:dyDescent="0.25">
      <c r="E30" s="24"/>
      <c r="F30" s="25" t="s">
        <v>24</v>
      </c>
      <c r="G30" s="26">
        <f>2399078*0.9071847</f>
        <v>2176406.8557066</v>
      </c>
    </row>
    <row r="31" spans="1:9" x14ac:dyDescent="0.25">
      <c r="E31" s="24"/>
      <c r="F31" s="25" t="s">
        <v>25</v>
      </c>
      <c r="G31" s="26">
        <f>6946064*0.9071847</f>
        <v>6301362.9860207997</v>
      </c>
    </row>
    <row r="34" spans="5:6" x14ac:dyDescent="0.25">
      <c r="E34" s="22" t="s">
        <v>422</v>
      </c>
      <c r="F34" s="24" t="s">
        <v>340</v>
      </c>
    </row>
    <row r="35" spans="5:6" x14ac:dyDescent="0.25">
      <c r="F35" s="24" t="s">
        <v>420</v>
      </c>
    </row>
    <row r="36" spans="5:6" x14ac:dyDescent="0.25">
      <c r="F36" s="24" t="s">
        <v>421</v>
      </c>
    </row>
  </sheetData>
  <mergeCells count="5">
    <mergeCell ref="A19:C19"/>
    <mergeCell ref="A21:C21"/>
    <mergeCell ref="A4:B4"/>
    <mergeCell ref="A5:B5"/>
    <mergeCell ref="B14:C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7"/>
  <sheetViews>
    <sheetView workbookViewId="0">
      <pane ySplit="2025" topLeftCell="A43" activePane="bottomLeft"/>
      <selection activeCell="I2" sqref="I2"/>
      <selection pane="bottomLeft" activeCell="A72" sqref="A72"/>
    </sheetView>
  </sheetViews>
  <sheetFormatPr defaultColWidth="9.140625" defaultRowHeight="12.75" x14ac:dyDescent="0.25"/>
  <cols>
    <col min="1" max="1" width="40" style="439" customWidth="1"/>
    <col min="2" max="2" width="13.140625" style="373" customWidth="1"/>
    <col min="3" max="3" width="14.28515625" style="373" customWidth="1"/>
    <col min="4" max="4" width="18.7109375" style="373" customWidth="1"/>
    <col min="5" max="5" width="12" style="373" customWidth="1"/>
    <col min="6" max="6" width="9.7109375" style="373" customWidth="1"/>
    <col min="7" max="7" width="28.28515625" style="373" customWidth="1"/>
    <col min="8" max="8" width="18.140625" style="373" customWidth="1"/>
    <col min="9" max="9" width="13.28515625" style="181" bestFit="1" customWidth="1"/>
    <col min="10" max="10" width="13.42578125" style="181" bestFit="1" customWidth="1"/>
    <col min="11" max="11" width="9.140625" style="181"/>
    <col min="12" max="12" width="3.5703125" style="377" customWidth="1"/>
    <col min="13" max="14" width="12.140625" style="373" customWidth="1"/>
    <col min="15" max="16" width="9.140625" style="373"/>
    <col min="17" max="16384" width="9.140625" style="181"/>
  </cols>
  <sheetData>
    <row r="1" spans="1:17" ht="25.5" customHeight="1" x14ac:dyDescent="0.25">
      <c r="A1" s="389" t="s">
        <v>423</v>
      </c>
      <c r="B1" s="375"/>
      <c r="C1" s="376"/>
      <c r="G1" s="446"/>
      <c r="J1" s="373">
        <f>'EFs &amp; Rates'!I11</f>
        <v>25</v>
      </c>
      <c r="K1" s="373">
        <f>'EFs &amp; Rates'!J11</f>
        <v>298</v>
      </c>
    </row>
    <row r="2" spans="1:17" ht="15" customHeight="1" x14ac:dyDescent="0.25">
      <c r="A2" s="378"/>
      <c r="B2" s="379"/>
      <c r="C2" s="380" t="s">
        <v>522</v>
      </c>
      <c r="D2" s="380"/>
      <c r="E2" s="379"/>
      <c r="G2" s="446">
        <v>2019</v>
      </c>
      <c r="H2" s="353" t="s">
        <v>462</v>
      </c>
      <c r="I2" s="355">
        <f>'EFs &amp; Rates'!Q5</f>
        <v>963.42025100000001</v>
      </c>
      <c r="J2" s="447" t="s">
        <v>561</v>
      </c>
      <c r="N2" s="485" t="s">
        <v>578</v>
      </c>
    </row>
    <row r="3" spans="1:17" ht="45.75" customHeight="1" x14ac:dyDescent="0.25">
      <c r="A3" s="384" t="s">
        <v>0</v>
      </c>
      <c r="B3" s="385" t="s">
        <v>31</v>
      </c>
      <c r="C3" s="386" t="s">
        <v>562</v>
      </c>
      <c r="D3" s="386" t="s">
        <v>424</v>
      </c>
      <c r="E3" s="385" t="s">
        <v>425</v>
      </c>
      <c r="F3" s="387" t="s">
        <v>472</v>
      </c>
      <c r="G3" s="481" t="s">
        <v>576</v>
      </c>
      <c r="H3" s="387" t="s">
        <v>469</v>
      </c>
      <c r="I3" s="388" t="s">
        <v>537</v>
      </c>
      <c r="J3" s="388" t="s">
        <v>538</v>
      </c>
      <c r="K3" s="388" t="s">
        <v>539</v>
      </c>
      <c r="M3" s="439" t="s">
        <v>575</v>
      </c>
      <c r="N3" s="465" t="s">
        <v>577</v>
      </c>
      <c r="O3" s="407" t="s">
        <v>558</v>
      </c>
      <c r="P3" s="407" t="s">
        <v>559</v>
      </c>
      <c r="Q3" s="389" t="s">
        <v>452</v>
      </c>
    </row>
    <row r="4" spans="1:17" x14ac:dyDescent="0.2">
      <c r="A4" s="445" t="s">
        <v>263</v>
      </c>
      <c r="B4" s="352">
        <v>263805.8</v>
      </c>
      <c r="C4" s="419">
        <f t="shared" ref="C4:C56" si="0">G4</f>
        <v>0</v>
      </c>
      <c r="D4" s="444" t="s">
        <v>464</v>
      </c>
      <c r="E4" s="444" t="s">
        <v>426</v>
      </c>
      <c r="F4" s="356" t="s">
        <v>463</v>
      </c>
      <c r="G4" s="356">
        <v>0</v>
      </c>
      <c r="K4" s="373"/>
    </row>
    <row r="5" spans="1:17" x14ac:dyDescent="0.2">
      <c r="A5" s="445" t="s">
        <v>264</v>
      </c>
      <c r="B5" s="352">
        <v>48585</v>
      </c>
      <c r="C5" s="419">
        <f t="shared" si="0"/>
        <v>0</v>
      </c>
      <c r="D5" s="352" t="s">
        <v>464</v>
      </c>
      <c r="E5" s="352" t="s">
        <v>426</v>
      </c>
      <c r="F5" s="356" t="s">
        <v>463</v>
      </c>
      <c r="G5" s="356">
        <v>0</v>
      </c>
      <c r="I5" s="373"/>
      <c r="J5" s="373"/>
      <c r="K5" s="373"/>
    </row>
    <row r="6" spans="1:17" x14ac:dyDescent="0.2">
      <c r="A6" s="445" t="s">
        <v>265</v>
      </c>
      <c r="B6" s="352">
        <v>137390.9</v>
      </c>
      <c r="C6" s="419">
        <f t="shared" si="0"/>
        <v>0</v>
      </c>
      <c r="D6" s="352" t="s">
        <v>464</v>
      </c>
      <c r="E6" s="352" t="s">
        <v>426</v>
      </c>
      <c r="F6" s="356" t="s">
        <v>463</v>
      </c>
      <c r="G6" s="356">
        <v>0</v>
      </c>
      <c r="I6" s="373"/>
      <c r="J6" s="373"/>
      <c r="K6" s="373"/>
    </row>
    <row r="7" spans="1:17" x14ac:dyDescent="0.2">
      <c r="A7" s="445" t="s">
        <v>266</v>
      </c>
      <c r="B7" s="352">
        <v>262945.5</v>
      </c>
      <c r="C7" s="419">
        <f t="shared" si="0"/>
        <v>0</v>
      </c>
      <c r="D7" s="448" t="s">
        <v>464</v>
      </c>
      <c r="E7" s="448" t="s">
        <v>426</v>
      </c>
      <c r="F7" s="391" t="s">
        <v>463</v>
      </c>
      <c r="G7" s="391">
        <v>0</v>
      </c>
      <c r="H7" s="392"/>
      <c r="I7" s="373"/>
      <c r="J7" s="373"/>
      <c r="K7" s="373"/>
    </row>
    <row r="8" spans="1:17" x14ac:dyDescent="0.2">
      <c r="A8" s="445" t="s">
        <v>571</v>
      </c>
      <c r="B8" s="469">
        <f>738901+898946+1354739+1258653</f>
        <v>4251239</v>
      </c>
      <c r="C8" s="419">
        <f t="shared" si="0"/>
        <v>4531771.9809035081</v>
      </c>
      <c r="D8" s="448" t="s">
        <v>464</v>
      </c>
      <c r="E8" s="448" t="s">
        <v>427</v>
      </c>
      <c r="F8" s="391" t="s">
        <v>427</v>
      </c>
      <c r="G8" s="478">
        <f t="shared" ref="G8" si="1">I8+(J8*$J$1)+(K8*$K$1)</f>
        <v>4531771.9809035081</v>
      </c>
      <c r="H8" s="392"/>
      <c r="I8" s="373">
        <v>4496228.5157999489</v>
      </c>
      <c r="J8" s="373">
        <v>520.01763720190002</v>
      </c>
      <c r="K8" s="373">
        <v>75.647732125879998</v>
      </c>
    </row>
    <row r="9" spans="1:17" x14ac:dyDescent="0.2">
      <c r="A9" s="445" t="s">
        <v>267</v>
      </c>
      <c r="B9" s="469">
        <v>185.52</v>
      </c>
      <c r="C9" s="419">
        <f t="shared" si="0"/>
        <v>154.63486408054271</v>
      </c>
      <c r="D9" s="448" t="s">
        <v>464</v>
      </c>
      <c r="E9" s="450" t="s">
        <v>428</v>
      </c>
      <c r="F9" s="391" t="s">
        <v>429</v>
      </c>
      <c r="G9" s="478">
        <f t="shared" ref="G9" si="2">I9+(J9*$J$1)+(K9*$K$1)</f>
        <v>154.63486408054271</v>
      </c>
      <c r="H9" s="392"/>
      <c r="I9" s="373">
        <v>154.10603617382398</v>
      </c>
      <c r="J9" s="373">
        <v>6.2509208831999993E-3</v>
      </c>
      <c r="K9" s="373">
        <v>1.2501841766399998E-3</v>
      </c>
    </row>
    <row r="10" spans="1:17" x14ac:dyDescent="0.2">
      <c r="A10" s="445" t="s">
        <v>268</v>
      </c>
      <c r="B10" s="352">
        <f>135883.363333333+131562.333333333+135578.333333333</f>
        <v>403024.02999999898</v>
      </c>
      <c r="C10" s="419">
        <f t="shared" si="0"/>
        <v>191710.18799999999</v>
      </c>
      <c r="D10" s="448" t="s">
        <v>464</v>
      </c>
      <c r="E10" s="448" t="s">
        <v>429</v>
      </c>
      <c r="F10" s="391" t="s">
        <v>429</v>
      </c>
      <c r="G10" s="475">
        <v>191710.18799999999</v>
      </c>
      <c r="H10" s="470"/>
      <c r="I10" s="475"/>
      <c r="J10" s="373"/>
      <c r="K10" s="373"/>
    </row>
    <row r="11" spans="1:17" x14ac:dyDescent="0.2">
      <c r="A11" s="445" t="s">
        <v>569</v>
      </c>
      <c r="B11" s="352">
        <f>535488.5+530603.5</f>
        <v>1066092</v>
      </c>
      <c r="C11" s="419">
        <f t="shared" si="0"/>
        <v>478279.87599999999</v>
      </c>
      <c r="D11" s="448" t="s">
        <v>464</v>
      </c>
      <c r="E11" s="448" t="s">
        <v>429</v>
      </c>
      <c r="F11" s="391" t="s">
        <v>429</v>
      </c>
      <c r="G11" s="475">
        <v>478279.87599999999</v>
      </c>
      <c r="H11" s="470"/>
      <c r="I11" s="475"/>
      <c r="J11" s="373"/>
    </row>
    <row r="12" spans="1:17" x14ac:dyDescent="0.2">
      <c r="A12" s="408" t="s">
        <v>570</v>
      </c>
      <c r="B12" s="448">
        <f>50624+33571.6</f>
        <v>84195.6</v>
      </c>
      <c r="C12" s="419">
        <f t="shared" si="0"/>
        <v>70030.933999999994</v>
      </c>
      <c r="D12" s="448" t="s">
        <v>464</v>
      </c>
      <c r="E12" s="448" t="s">
        <v>429</v>
      </c>
      <c r="F12" s="391" t="s">
        <v>429</v>
      </c>
      <c r="G12" s="475">
        <v>70030.933999999994</v>
      </c>
      <c r="H12" s="470"/>
      <c r="I12" s="475"/>
      <c r="J12" s="373"/>
    </row>
    <row r="13" spans="1:17" x14ac:dyDescent="0.2">
      <c r="A13" s="408" t="s">
        <v>271</v>
      </c>
      <c r="B13" s="448">
        <f>54580.2+111955.5+3591.7+29791.3</f>
        <v>199918.7</v>
      </c>
      <c r="C13" s="419">
        <f t="shared" si="0"/>
        <v>154543.666</v>
      </c>
      <c r="D13" s="448" t="s">
        <v>464</v>
      </c>
      <c r="E13" s="448" t="s">
        <v>429</v>
      </c>
      <c r="F13" s="391" t="s">
        <v>429</v>
      </c>
      <c r="G13" s="475">
        <v>154543.666</v>
      </c>
      <c r="H13" s="470"/>
      <c r="I13" s="475"/>
      <c r="J13" s="373"/>
    </row>
    <row r="14" spans="1:17" x14ac:dyDescent="0.2">
      <c r="A14" s="408" t="s">
        <v>415</v>
      </c>
      <c r="B14" s="448">
        <v>669752.19750000001</v>
      </c>
      <c r="C14" s="419">
        <f t="shared" si="0"/>
        <v>256480.91398399998</v>
      </c>
      <c r="D14" s="448" t="s">
        <v>464</v>
      </c>
      <c r="E14" s="448" t="s">
        <v>429</v>
      </c>
      <c r="F14" s="391" t="s">
        <v>429</v>
      </c>
      <c r="G14" s="475">
        <f>514505.344*0.4985</f>
        <v>256480.91398399998</v>
      </c>
      <c r="H14" s="392"/>
      <c r="I14" s="373"/>
      <c r="J14" s="373"/>
    </row>
    <row r="15" spans="1:17" x14ac:dyDescent="0.2">
      <c r="A15" s="408" t="s">
        <v>274</v>
      </c>
      <c r="B15" s="448">
        <v>1942118</v>
      </c>
      <c r="C15" s="419">
        <f t="shared" si="0"/>
        <v>729130.348</v>
      </c>
      <c r="D15" s="448" t="s">
        <v>464</v>
      </c>
      <c r="E15" s="448" t="s">
        <v>429</v>
      </c>
      <c r="F15" s="391" t="s">
        <v>429</v>
      </c>
      <c r="G15" s="475">
        <v>729130.348</v>
      </c>
      <c r="H15" s="392"/>
    </row>
    <row r="16" spans="1:17" x14ac:dyDescent="0.2">
      <c r="A16" s="408" t="s">
        <v>277</v>
      </c>
      <c r="B16" s="448">
        <v>1930573.5</v>
      </c>
      <c r="C16" s="419">
        <f t="shared" si="0"/>
        <v>759454.83600000001</v>
      </c>
      <c r="D16" s="448" t="s">
        <v>464</v>
      </c>
      <c r="E16" s="448" t="s">
        <v>429</v>
      </c>
      <c r="F16" s="391" t="s">
        <v>429</v>
      </c>
      <c r="G16" s="475">
        <v>759454.83600000001</v>
      </c>
      <c r="H16" s="392"/>
    </row>
    <row r="17" spans="1:15" x14ac:dyDescent="0.2">
      <c r="A17" s="408" t="s">
        <v>278</v>
      </c>
      <c r="B17" s="448">
        <v>494780.2</v>
      </c>
      <c r="C17" s="419">
        <f t="shared" si="0"/>
        <v>227714.25599999999</v>
      </c>
      <c r="D17" s="448" t="s">
        <v>464</v>
      </c>
      <c r="E17" s="448" t="s">
        <v>429</v>
      </c>
      <c r="F17" s="391" t="s">
        <v>429</v>
      </c>
      <c r="G17" s="475">
        <v>227714.25599999999</v>
      </c>
      <c r="H17" s="392"/>
    </row>
    <row r="18" spans="1:15" x14ac:dyDescent="0.2">
      <c r="A18" s="445" t="s">
        <v>568</v>
      </c>
      <c r="B18" s="352">
        <f>4913.3+3776.1</f>
        <v>8689.4</v>
      </c>
      <c r="C18" s="419">
        <f t="shared" si="0"/>
        <v>6838.3680000000004</v>
      </c>
      <c r="D18" s="352" t="s">
        <v>464</v>
      </c>
      <c r="E18" s="352" t="s">
        <v>429</v>
      </c>
      <c r="F18" s="356" t="s">
        <v>429</v>
      </c>
      <c r="G18" s="475">
        <v>6838.3680000000004</v>
      </c>
    </row>
    <row r="19" spans="1:15" x14ac:dyDescent="0.2">
      <c r="A19" s="445" t="s">
        <v>275</v>
      </c>
      <c r="B19" s="352">
        <v>340498.88</v>
      </c>
      <c r="C19" s="419">
        <f t="shared" si="0"/>
        <v>0</v>
      </c>
      <c r="D19" s="352" t="s">
        <v>464</v>
      </c>
      <c r="E19" s="352" t="s">
        <v>430</v>
      </c>
      <c r="F19" s="356" t="s">
        <v>463</v>
      </c>
      <c r="G19" s="391">
        <v>0</v>
      </c>
    </row>
    <row r="20" spans="1:15" x14ac:dyDescent="0.2">
      <c r="A20" s="445" t="s">
        <v>276</v>
      </c>
      <c r="B20" s="352">
        <v>714103.69400000002</v>
      </c>
      <c r="C20" s="419">
        <f t="shared" si="0"/>
        <v>0</v>
      </c>
      <c r="D20" s="352" t="s">
        <v>464</v>
      </c>
      <c r="E20" s="352" t="s">
        <v>430</v>
      </c>
      <c r="F20" s="356" t="s">
        <v>463</v>
      </c>
      <c r="G20" s="391">
        <v>0</v>
      </c>
    </row>
    <row r="21" spans="1:15" x14ac:dyDescent="0.2">
      <c r="A21" s="445" t="s">
        <v>280</v>
      </c>
      <c r="B21" s="352">
        <v>612886.21799999999</v>
      </c>
      <c r="C21" s="419">
        <f t="shared" si="0"/>
        <v>0</v>
      </c>
      <c r="D21" s="352" t="s">
        <v>464</v>
      </c>
      <c r="E21" s="352" t="s">
        <v>430</v>
      </c>
      <c r="F21" s="356" t="s">
        <v>463</v>
      </c>
      <c r="G21" s="356">
        <v>0</v>
      </c>
    </row>
    <row r="22" spans="1:15" x14ac:dyDescent="0.2">
      <c r="A22" s="445" t="s">
        <v>285</v>
      </c>
      <c r="B22" s="352">
        <v>8.1270000000000007</v>
      </c>
      <c r="C22" s="419">
        <f t="shared" si="0"/>
        <v>0</v>
      </c>
      <c r="D22" s="352" t="s">
        <v>465</v>
      </c>
      <c r="E22" s="431" t="s">
        <v>431</v>
      </c>
      <c r="F22" s="356" t="s">
        <v>463</v>
      </c>
      <c r="G22" s="356">
        <v>0</v>
      </c>
    </row>
    <row r="23" spans="1:15" x14ac:dyDescent="0.2">
      <c r="A23" s="445" t="s">
        <v>398</v>
      </c>
      <c r="B23" s="352">
        <v>69.373999999999995</v>
      </c>
      <c r="C23" s="419">
        <f t="shared" si="0"/>
        <v>0</v>
      </c>
      <c r="D23" s="352" t="s">
        <v>465</v>
      </c>
      <c r="E23" s="352" t="s">
        <v>431</v>
      </c>
      <c r="F23" s="356" t="s">
        <v>463</v>
      </c>
      <c r="G23" s="356">
        <v>0</v>
      </c>
    </row>
    <row r="24" spans="1:15" x14ac:dyDescent="0.2">
      <c r="A24" s="445" t="s">
        <v>293</v>
      </c>
      <c r="B24" s="352">
        <v>3546.098</v>
      </c>
      <c r="C24" s="419">
        <f t="shared" si="0"/>
        <v>0</v>
      </c>
      <c r="D24" s="352" t="s">
        <v>465</v>
      </c>
      <c r="E24" s="352" t="s">
        <v>431</v>
      </c>
      <c r="F24" s="356" t="s">
        <v>463</v>
      </c>
      <c r="G24" s="356">
        <v>0</v>
      </c>
    </row>
    <row r="25" spans="1:15" x14ac:dyDescent="0.2">
      <c r="A25" s="445" t="s">
        <v>316</v>
      </c>
      <c r="B25" s="352">
        <v>31113.473000000002</v>
      </c>
      <c r="C25" s="419">
        <f t="shared" si="0"/>
        <v>0</v>
      </c>
      <c r="D25" s="352" t="s">
        <v>465</v>
      </c>
      <c r="E25" s="352" t="s">
        <v>431</v>
      </c>
      <c r="F25" s="356" t="s">
        <v>463</v>
      </c>
      <c r="G25" s="356">
        <v>0</v>
      </c>
    </row>
    <row r="26" spans="1:15" x14ac:dyDescent="0.2">
      <c r="A26" s="445" t="s">
        <v>294</v>
      </c>
      <c r="B26" s="352">
        <v>4062.4189999999999</v>
      </c>
      <c r="C26" s="419">
        <f t="shared" si="0"/>
        <v>0</v>
      </c>
      <c r="D26" s="352" t="s">
        <v>465</v>
      </c>
      <c r="E26" s="352" t="s">
        <v>431</v>
      </c>
      <c r="F26" s="356" t="s">
        <v>463</v>
      </c>
      <c r="G26" s="356">
        <v>0</v>
      </c>
    </row>
    <row r="27" spans="1:15" x14ac:dyDescent="0.2">
      <c r="A27" s="445" t="s">
        <v>295</v>
      </c>
      <c r="B27" s="352">
        <v>5308.4669999999996</v>
      </c>
      <c r="C27" s="419">
        <f t="shared" si="0"/>
        <v>0</v>
      </c>
      <c r="D27" s="352" t="s">
        <v>465</v>
      </c>
      <c r="E27" s="352" t="s">
        <v>431</v>
      </c>
      <c r="F27" s="356" t="s">
        <v>463</v>
      </c>
      <c r="G27" s="356">
        <v>0</v>
      </c>
    </row>
    <row r="28" spans="1:15" x14ac:dyDescent="0.2">
      <c r="A28" s="445" t="s">
        <v>319</v>
      </c>
      <c r="B28" s="352">
        <v>270.40800000000002</v>
      </c>
      <c r="C28" s="419">
        <f t="shared" si="0"/>
        <v>0</v>
      </c>
      <c r="D28" s="352" t="s">
        <v>465</v>
      </c>
      <c r="E28" s="352" t="s">
        <v>431</v>
      </c>
      <c r="F28" s="356" t="s">
        <v>463</v>
      </c>
      <c r="G28" s="356">
        <v>0</v>
      </c>
    </row>
    <row r="29" spans="1:15" x14ac:dyDescent="0.2">
      <c r="A29" s="445" t="s">
        <v>305</v>
      </c>
      <c r="B29" s="352">
        <v>4296.8339999999998</v>
      </c>
      <c r="C29" s="419">
        <f t="shared" si="0"/>
        <v>0</v>
      </c>
      <c r="D29" s="352" t="s">
        <v>465</v>
      </c>
      <c r="E29" s="352" t="s">
        <v>431</v>
      </c>
      <c r="F29" s="356" t="s">
        <v>463</v>
      </c>
      <c r="G29" s="356">
        <v>0</v>
      </c>
    </row>
    <row r="30" spans="1:15" x14ac:dyDescent="0.2">
      <c r="A30" s="445" t="s">
        <v>311</v>
      </c>
      <c r="B30" s="352">
        <v>1559.164</v>
      </c>
      <c r="C30" s="419">
        <f t="shared" si="0"/>
        <v>0</v>
      </c>
      <c r="D30" s="352" t="s">
        <v>465</v>
      </c>
      <c r="E30" s="352" t="s">
        <v>431</v>
      </c>
      <c r="F30" s="356" t="s">
        <v>463</v>
      </c>
      <c r="G30" s="356">
        <v>0</v>
      </c>
    </row>
    <row r="31" spans="1:15" x14ac:dyDescent="0.2">
      <c r="A31" s="445" t="s">
        <v>312</v>
      </c>
      <c r="B31" s="352">
        <v>4284.8249999999998</v>
      </c>
      <c r="C31" s="419">
        <f t="shared" si="0"/>
        <v>0</v>
      </c>
      <c r="D31" s="352" t="s">
        <v>465</v>
      </c>
      <c r="E31" s="352" t="s">
        <v>431</v>
      </c>
      <c r="F31" s="356" t="s">
        <v>463</v>
      </c>
      <c r="G31" s="391">
        <v>0</v>
      </c>
    </row>
    <row r="32" spans="1:15" x14ac:dyDescent="0.2">
      <c r="A32" s="445" t="s">
        <v>310</v>
      </c>
      <c r="B32" s="451">
        <v>3036992</v>
      </c>
      <c r="C32" s="419">
        <f t="shared" si="0"/>
        <v>3395866.6580467108</v>
      </c>
      <c r="D32" s="352" t="s">
        <v>465</v>
      </c>
      <c r="E32" s="352" t="s">
        <v>427</v>
      </c>
      <c r="F32" s="356" t="s">
        <v>427</v>
      </c>
      <c r="G32" s="449">
        <f>M32*B32</f>
        <v>3395866.6580467108</v>
      </c>
      <c r="M32" s="373">
        <f>N32/O32</f>
        <v>1.118167798284194</v>
      </c>
      <c r="N32" s="373">
        <v>8000386.6059999997</v>
      </c>
      <c r="O32" s="373">
        <v>7154906.9989999998</v>
      </c>
    </row>
    <row r="33" spans="1:8" x14ac:dyDescent="0.2">
      <c r="A33" s="445" t="s">
        <v>286</v>
      </c>
      <c r="B33" s="352">
        <v>8033.4319999999998</v>
      </c>
      <c r="C33" s="419">
        <f t="shared" si="0"/>
        <v>0</v>
      </c>
      <c r="D33" s="352" t="s">
        <v>465</v>
      </c>
      <c r="E33" s="352" t="s">
        <v>426</v>
      </c>
      <c r="F33" s="356" t="s">
        <v>463</v>
      </c>
      <c r="G33" s="391">
        <v>0</v>
      </c>
    </row>
    <row r="34" spans="1:8" x14ac:dyDescent="0.2">
      <c r="A34" s="445" t="s">
        <v>289</v>
      </c>
      <c r="B34" s="352">
        <v>1904130</v>
      </c>
      <c r="C34" s="419">
        <f t="shared" si="0"/>
        <v>0</v>
      </c>
      <c r="D34" s="352" t="s">
        <v>465</v>
      </c>
      <c r="E34" s="352" t="s">
        <v>426</v>
      </c>
      <c r="F34" s="356" t="s">
        <v>463</v>
      </c>
      <c r="G34" s="391">
        <v>0</v>
      </c>
      <c r="H34" s="373" t="s">
        <v>461</v>
      </c>
    </row>
    <row r="35" spans="1:8" x14ac:dyDescent="0.2">
      <c r="A35" s="445" t="s">
        <v>290</v>
      </c>
      <c r="B35" s="352">
        <v>-39120</v>
      </c>
      <c r="C35" s="419">
        <f t="shared" si="0"/>
        <v>0</v>
      </c>
      <c r="D35" s="352" t="s">
        <v>465</v>
      </c>
      <c r="E35" s="352" t="s">
        <v>426</v>
      </c>
      <c r="F35" s="356" t="s">
        <v>463</v>
      </c>
      <c r="G35" s="356">
        <v>0</v>
      </c>
      <c r="H35" s="373" t="s">
        <v>461</v>
      </c>
    </row>
    <row r="36" spans="1:8" x14ac:dyDescent="0.2">
      <c r="A36" s="445" t="s">
        <v>291</v>
      </c>
      <c r="B36" s="352">
        <v>-80741</v>
      </c>
      <c r="C36" s="419">
        <f t="shared" si="0"/>
        <v>0</v>
      </c>
      <c r="D36" s="352" t="s">
        <v>465</v>
      </c>
      <c r="E36" s="352" t="s">
        <v>426</v>
      </c>
      <c r="F36" s="356" t="s">
        <v>463</v>
      </c>
      <c r="G36" s="356">
        <v>0</v>
      </c>
      <c r="H36" s="373" t="s">
        <v>461</v>
      </c>
    </row>
    <row r="37" spans="1:8" x14ac:dyDescent="0.2">
      <c r="A37" s="445" t="s">
        <v>292</v>
      </c>
      <c r="B37" s="352">
        <v>812102</v>
      </c>
      <c r="C37" s="419">
        <f t="shared" si="0"/>
        <v>0</v>
      </c>
      <c r="D37" s="352" t="s">
        <v>465</v>
      </c>
      <c r="E37" s="352" t="s">
        <v>426</v>
      </c>
      <c r="F37" s="356" t="s">
        <v>463</v>
      </c>
      <c r="G37" s="356">
        <v>0</v>
      </c>
      <c r="H37" s="373" t="s">
        <v>461</v>
      </c>
    </row>
    <row r="38" spans="1:8" x14ac:dyDescent="0.2">
      <c r="A38" s="445" t="s">
        <v>315</v>
      </c>
      <c r="B38" s="352">
        <v>143654.046</v>
      </c>
      <c r="C38" s="419">
        <f t="shared" si="0"/>
        <v>0</v>
      </c>
      <c r="D38" s="352" t="s">
        <v>465</v>
      </c>
      <c r="E38" s="352" t="s">
        <v>426</v>
      </c>
      <c r="F38" s="356" t="s">
        <v>463</v>
      </c>
      <c r="G38" s="356">
        <v>0</v>
      </c>
    </row>
    <row r="39" spans="1:8" x14ac:dyDescent="0.2">
      <c r="A39" s="445" t="s">
        <v>297</v>
      </c>
      <c r="B39" s="352">
        <v>45806</v>
      </c>
      <c r="C39" s="419">
        <f t="shared" si="0"/>
        <v>0</v>
      </c>
      <c r="D39" s="352" t="s">
        <v>465</v>
      </c>
      <c r="E39" s="352" t="s">
        <v>426</v>
      </c>
      <c r="F39" s="356" t="s">
        <v>463</v>
      </c>
      <c r="G39" s="356">
        <v>0</v>
      </c>
      <c r="H39" s="373" t="s">
        <v>461</v>
      </c>
    </row>
    <row r="40" spans="1:8" x14ac:dyDescent="0.2">
      <c r="A40" s="445" t="s">
        <v>318</v>
      </c>
      <c r="B40" s="352">
        <v>29784.255000000001</v>
      </c>
      <c r="C40" s="419">
        <f t="shared" si="0"/>
        <v>0</v>
      </c>
      <c r="D40" s="352" t="s">
        <v>465</v>
      </c>
      <c r="E40" s="352" t="s">
        <v>426</v>
      </c>
      <c r="F40" s="356" t="s">
        <v>463</v>
      </c>
      <c r="G40" s="356">
        <v>0</v>
      </c>
    </row>
    <row r="41" spans="1:8" x14ac:dyDescent="0.2">
      <c r="A41" s="445" t="s">
        <v>321</v>
      </c>
      <c r="B41" s="352">
        <v>22782.893</v>
      </c>
      <c r="C41" s="419">
        <f t="shared" si="0"/>
        <v>0</v>
      </c>
      <c r="D41" s="352" t="s">
        <v>465</v>
      </c>
      <c r="E41" s="352" t="s">
        <v>426</v>
      </c>
      <c r="F41" s="356" t="s">
        <v>463</v>
      </c>
      <c r="G41" s="356">
        <v>0</v>
      </c>
    </row>
    <row r="42" spans="1:8" x14ac:dyDescent="0.2">
      <c r="A42" s="445" t="s">
        <v>306</v>
      </c>
      <c r="B42" s="352">
        <v>2326.2150000000001</v>
      </c>
      <c r="C42" s="419">
        <f t="shared" si="0"/>
        <v>0</v>
      </c>
      <c r="D42" s="352" t="s">
        <v>465</v>
      </c>
      <c r="E42" s="352" t="s">
        <v>426</v>
      </c>
      <c r="F42" s="356" t="s">
        <v>463</v>
      </c>
      <c r="G42" s="356">
        <v>0</v>
      </c>
    </row>
    <row r="43" spans="1:8" x14ac:dyDescent="0.2">
      <c r="A43" s="445" t="s">
        <v>307</v>
      </c>
      <c r="B43" s="352">
        <v>89.1</v>
      </c>
      <c r="C43" s="419">
        <f t="shared" si="0"/>
        <v>0</v>
      </c>
      <c r="D43" s="352" t="s">
        <v>465</v>
      </c>
      <c r="E43" s="352" t="s">
        <v>426</v>
      </c>
      <c r="F43" s="356" t="s">
        <v>463</v>
      </c>
      <c r="G43" s="356">
        <v>0</v>
      </c>
    </row>
    <row r="44" spans="1:8" x14ac:dyDescent="0.2">
      <c r="A44" s="445" t="s">
        <v>325</v>
      </c>
      <c r="B44" s="352">
        <v>414</v>
      </c>
      <c r="C44" s="419">
        <f t="shared" si="0"/>
        <v>0</v>
      </c>
      <c r="D44" s="352" t="s">
        <v>465</v>
      </c>
      <c r="E44" s="352" t="s">
        <v>426</v>
      </c>
      <c r="F44" s="356" t="s">
        <v>463</v>
      </c>
      <c r="G44" s="356">
        <v>0</v>
      </c>
    </row>
    <row r="45" spans="1:8" x14ac:dyDescent="0.2">
      <c r="A45" s="445" t="s">
        <v>326</v>
      </c>
      <c r="B45" s="352">
        <v>52656.472999999998</v>
      </c>
      <c r="C45" s="419">
        <f t="shared" si="0"/>
        <v>0</v>
      </c>
      <c r="D45" s="352" t="s">
        <v>465</v>
      </c>
      <c r="E45" s="352" t="s">
        <v>426</v>
      </c>
      <c r="F45" s="356" t="s">
        <v>463</v>
      </c>
      <c r="G45" s="356">
        <v>0</v>
      </c>
    </row>
    <row r="46" spans="1:8" x14ac:dyDescent="0.2">
      <c r="A46" s="445" t="s">
        <v>327</v>
      </c>
      <c r="B46" s="352">
        <v>9412.7900000000009</v>
      </c>
      <c r="C46" s="419">
        <f t="shared" si="0"/>
        <v>0</v>
      </c>
      <c r="D46" s="352" t="s">
        <v>465</v>
      </c>
      <c r="E46" s="352" t="s">
        <v>426</v>
      </c>
      <c r="F46" s="356" t="s">
        <v>463</v>
      </c>
      <c r="G46" s="356">
        <v>0</v>
      </c>
    </row>
    <row r="47" spans="1:8" x14ac:dyDescent="0.2">
      <c r="A47" s="445" t="s">
        <v>288</v>
      </c>
      <c r="B47" s="352">
        <v>29.87</v>
      </c>
      <c r="C47" s="419">
        <f t="shared" si="0"/>
        <v>0</v>
      </c>
      <c r="D47" s="352" t="s">
        <v>465</v>
      </c>
      <c r="E47" s="431" t="s">
        <v>433</v>
      </c>
      <c r="F47" s="356" t="s">
        <v>463</v>
      </c>
      <c r="G47" s="356">
        <v>0</v>
      </c>
    </row>
    <row r="48" spans="1:8" x14ac:dyDescent="0.2">
      <c r="A48" s="445" t="s">
        <v>399</v>
      </c>
      <c r="B48" s="352">
        <v>71.965000000000003</v>
      </c>
      <c r="C48" s="419">
        <f t="shared" si="0"/>
        <v>0</v>
      </c>
      <c r="D48" s="352" t="s">
        <v>465</v>
      </c>
      <c r="E48" s="431" t="s">
        <v>433</v>
      </c>
      <c r="F48" s="356" t="s">
        <v>463</v>
      </c>
      <c r="G48" s="356">
        <v>0</v>
      </c>
    </row>
    <row r="49" spans="1:9" x14ac:dyDescent="0.2">
      <c r="A49" s="408" t="s">
        <v>299</v>
      </c>
      <c r="B49" s="448">
        <v>62.09</v>
      </c>
      <c r="C49" s="419">
        <f t="shared" si="0"/>
        <v>0</v>
      </c>
      <c r="D49" s="448" t="s">
        <v>465</v>
      </c>
      <c r="E49" s="450" t="s">
        <v>433</v>
      </c>
      <c r="F49" s="391" t="s">
        <v>463</v>
      </c>
      <c r="G49" s="391">
        <v>0</v>
      </c>
      <c r="H49" s="392"/>
      <c r="I49" s="406"/>
    </row>
    <row r="50" spans="1:9" x14ac:dyDescent="0.2">
      <c r="A50" s="408" t="s">
        <v>284</v>
      </c>
      <c r="B50" s="448">
        <v>20444.766</v>
      </c>
      <c r="C50" s="419">
        <f t="shared" si="0"/>
        <v>8934.3627419999993</v>
      </c>
      <c r="D50" s="448" t="s">
        <v>465</v>
      </c>
      <c r="E50" s="450" t="s">
        <v>432</v>
      </c>
      <c r="F50" s="392" t="s">
        <v>432</v>
      </c>
      <c r="G50" s="466">
        <f t="shared" ref="G50:G52" si="3">(B50*$I$2)/2204.623</f>
        <v>8934.3627419999993</v>
      </c>
      <c r="H50" s="392"/>
      <c r="I50" s="406"/>
    </row>
    <row r="51" spans="1:9" x14ac:dyDescent="0.2">
      <c r="A51" s="408" t="s">
        <v>173</v>
      </c>
      <c r="B51" s="448">
        <v>3500</v>
      </c>
      <c r="C51" s="419">
        <f t="shared" si="0"/>
        <v>1529.5</v>
      </c>
      <c r="D51" s="448" t="s">
        <v>465</v>
      </c>
      <c r="E51" s="448" t="s">
        <v>432</v>
      </c>
      <c r="F51" s="392" t="s">
        <v>432</v>
      </c>
      <c r="G51" s="466">
        <f t="shared" si="3"/>
        <v>1529.5</v>
      </c>
      <c r="H51" s="392"/>
      <c r="I51" s="406"/>
    </row>
    <row r="52" spans="1:9" x14ac:dyDescent="0.2">
      <c r="A52" s="408" t="s">
        <v>310</v>
      </c>
      <c r="B52" s="452">
        <v>447044</v>
      </c>
      <c r="C52" s="419">
        <f t="shared" si="0"/>
        <v>195358.228</v>
      </c>
      <c r="D52" s="448" t="s">
        <v>465</v>
      </c>
      <c r="E52" s="448" t="s">
        <v>432</v>
      </c>
      <c r="F52" s="392" t="s">
        <v>432</v>
      </c>
      <c r="G52" s="466">
        <f t="shared" si="3"/>
        <v>195358.228</v>
      </c>
      <c r="H52" s="392"/>
      <c r="I52" s="406"/>
    </row>
    <row r="53" spans="1:9" x14ac:dyDescent="0.2">
      <c r="A53" s="408" t="s">
        <v>283</v>
      </c>
      <c r="B53" s="448">
        <v>132.80000000000001</v>
      </c>
      <c r="C53" s="419">
        <f t="shared" si="0"/>
        <v>0</v>
      </c>
      <c r="D53" s="448" t="s">
        <v>465</v>
      </c>
      <c r="E53" s="448" t="s">
        <v>430</v>
      </c>
      <c r="F53" s="391" t="s">
        <v>463</v>
      </c>
      <c r="G53" s="391">
        <v>0</v>
      </c>
      <c r="H53" s="392"/>
      <c r="I53" s="406"/>
    </row>
    <row r="54" spans="1:9" x14ac:dyDescent="0.2">
      <c r="A54" s="445" t="s">
        <v>301</v>
      </c>
      <c r="B54" s="352">
        <v>112955</v>
      </c>
      <c r="C54" s="419">
        <f t="shared" si="0"/>
        <v>0</v>
      </c>
      <c r="D54" s="352" t="s">
        <v>465</v>
      </c>
      <c r="E54" s="352" t="s">
        <v>430</v>
      </c>
      <c r="F54" s="356" t="s">
        <v>463</v>
      </c>
      <c r="G54" s="356">
        <v>0</v>
      </c>
    </row>
    <row r="55" spans="1:9" x14ac:dyDescent="0.2">
      <c r="A55" s="445" t="s">
        <v>302</v>
      </c>
      <c r="B55" s="352">
        <v>56.256</v>
      </c>
      <c r="C55" s="419">
        <f t="shared" si="0"/>
        <v>0</v>
      </c>
      <c r="D55" s="352" t="s">
        <v>465</v>
      </c>
      <c r="E55" s="352" t="s">
        <v>430</v>
      </c>
      <c r="F55" s="356" t="s">
        <v>463</v>
      </c>
      <c r="G55" s="356">
        <v>0</v>
      </c>
    </row>
    <row r="56" spans="1:9" x14ac:dyDescent="0.2">
      <c r="A56" s="445" t="s">
        <v>309</v>
      </c>
      <c r="B56" s="352">
        <v>10224.343000000001</v>
      </c>
      <c r="C56" s="419">
        <f t="shared" si="0"/>
        <v>0</v>
      </c>
      <c r="D56" s="352" t="s">
        <v>465</v>
      </c>
      <c r="E56" s="352" t="s">
        <v>430</v>
      </c>
      <c r="F56" s="356" t="s">
        <v>463</v>
      </c>
      <c r="G56" s="356">
        <v>0</v>
      </c>
    </row>
    <row r="57" spans="1:9" ht="6.75" customHeight="1" x14ac:dyDescent="0.25">
      <c r="A57" s="432"/>
      <c r="B57" s="354"/>
      <c r="C57" s="354"/>
      <c r="D57" s="355"/>
      <c r="E57" s="356"/>
      <c r="F57" s="356"/>
      <c r="G57" s="356"/>
    </row>
    <row r="58" spans="1:9" x14ac:dyDescent="0.25">
      <c r="A58" s="433" t="s">
        <v>419</v>
      </c>
      <c r="B58" s="358">
        <f>SUM(B4:B56)</f>
        <v>20028146.622499999</v>
      </c>
      <c r="C58" s="358">
        <f>SUM(C4:C56)</f>
        <v>11007798.750540299</v>
      </c>
      <c r="D58" s="359"/>
      <c r="E58" s="360"/>
      <c r="F58" s="356"/>
      <c r="G58" s="358">
        <f>SUM(G4:G56)</f>
        <v>11007798.750540299</v>
      </c>
    </row>
    <row r="59" spans="1:9" x14ac:dyDescent="0.25">
      <c r="A59" s="436" t="s">
        <v>442</v>
      </c>
      <c r="B59" s="362">
        <f>SUM(B22:B56)</f>
        <v>6597362.4829999991</v>
      </c>
      <c r="C59" s="362">
        <f>SUM(C22:C56)</f>
        <v>3601688.7487887107</v>
      </c>
      <c r="D59" s="355"/>
      <c r="E59" s="364"/>
      <c r="F59" s="356"/>
      <c r="G59" s="356"/>
    </row>
    <row r="60" spans="1:9" x14ac:dyDescent="0.25">
      <c r="A60" s="436" t="s">
        <v>440</v>
      </c>
      <c r="B60" s="362">
        <f>SUMIF(C22:C56,0,B22:B56)</f>
        <v>3089381.7169999997</v>
      </c>
      <c r="C60" s="362"/>
      <c r="D60" s="397"/>
      <c r="E60" s="366"/>
    </row>
    <row r="61" spans="1:9" x14ac:dyDescent="0.25">
      <c r="A61" s="437" t="s">
        <v>441</v>
      </c>
      <c r="B61" s="368">
        <f>B60/B59</f>
        <v>0.46827527287771131</v>
      </c>
      <c r="C61" s="369"/>
      <c r="D61" s="370"/>
      <c r="E61" s="371"/>
    </row>
    <row r="62" spans="1:9" x14ac:dyDescent="0.25">
      <c r="A62" s="438"/>
      <c r="B62" s="396"/>
      <c r="C62" s="396"/>
      <c r="D62" s="396"/>
      <c r="E62" s="397"/>
    </row>
    <row r="63" spans="1:9" x14ac:dyDescent="0.25">
      <c r="A63" s="439" t="s">
        <v>444</v>
      </c>
      <c r="B63" s="399">
        <f>SUMIF(H22:H56,"Yes",B22:B56)</f>
        <v>2642177</v>
      </c>
      <c r="C63" s="400">
        <f>B63/'2019 Summary'!D22</f>
        <v>0.11844593604529616</v>
      </c>
      <c r="D63" s="174" t="s">
        <v>445</v>
      </c>
      <c r="E63" s="401"/>
    </row>
    <row r="64" spans="1:9" x14ac:dyDescent="0.25">
      <c r="A64" s="439" t="s">
        <v>444</v>
      </c>
      <c r="B64" s="402">
        <f>B63/B59</f>
        <v>0.40048989377320537</v>
      </c>
      <c r="C64" s="174" t="s">
        <v>446</v>
      </c>
      <c r="D64" s="392"/>
      <c r="E64" s="392"/>
    </row>
    <row r="65" spans="2:4" x14ac:dyDescent="0.25">
      <c r="B65" s="392"/>
      <c r="C65" s="392"/>
      <c r="D65" s="392"/>
    </row>
    <row r="66" spans="2:4" x14ac:dyDescent="0.25">
      <c r="B66" s="391"/>
      <c r="C66" s="392"/>
      <c r="D66" s="392"/>
    </row>
    <row r="67" spans="2:4" x14ac:dyDescent="0.25">
      <c r="B67" s="356"/>
    </row>
  </sheetData>
  <autoFilter ref="A1:K56"/>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1"/>
  <sheetViews>
    <sheetView topLeftCell="A49" workbookViewId="0">
      <selection activeCell="A74" sqref="A74"/>
    </sheetView>
  </sheetViews>
  <sheetFormatPr defaultColWidth="9.140625" defaultRowHeight="15" x14ac:dyDescent="0.25"/>
  <cols>
    <col min="1" max="1" width="46.140625" style="131" customWidth="1"/>
    <col min="2" max="2" width="13.7109375" style="131" customWidth="1"/>
    <col min="3" max="3" width="12.5703125" style="131" customWidth="1"/>
    <col min="4" max="4" width="13.5703125" style="131" customWidth="1"/>
    <col min="5" max="5" width="2.7109375" style="131" customWidth="1"/>
    <col min="6" max="6" width="2.7109375" style="311" customWidth="1"/>
    <col min="7" max="8" width="21.85546875" style="131" customWidth="1"/>
    <col min="9" max="9" width="12.28515625" style="136" customWidth="1"/>
    <col min="10" max="10" width="16.7109375" style="131" customWidth="1"/>
    <col min="11" max="11" width="9.140625" style="131"/>
    <col min="12" max="13" width="9.140625" style="181"/>
    <col min="14" max="14" width="9.140625" style="181" customWidth="1"/>
    <col min="15" max="15" width="16.5703125" style="406" customWidth="1"/>
    <col min="16" max="16" width="15.7109375" style="181" customWidth="1"/>
    <col min="17" max="18" width="15.7109375" style="406" customWidth="1"/>
    <col min="19" max="19" width="22.7109375" style="406" customWidth="1"/>
    <col min="20" max="20" width="15.7109375" style="406" customWidth="1"/>
    <col min="21" max="21" width="15.7109375" style="131" customWidth="1"/>
    <col min="22" max="16384" width="9.140625" style="131"/>
  </cols>
  <sheetData>
    <row r="1" spans="1:20" x14ac:dyDescent="0.25">
      <c r="I1" s="139"/>
    </row>
    <row r="2" spans="1:20" ht="25.5" customHeight="1" x14ac:dyDescent="0.25">
      <c r="A2" s="145" t="s">
        <v>443</v>
      </c>
      <c r="B2" s="153"/>
      <c r="C2" s="134"/>
      <c r="D2" s="134"/>
      <c r="E2" s="134"/>
      <c r="F2" s="312"/>
      <c r="G2" s="308" t="s">
        <v>513</v>
      </c>
      <c r="H2" s="134"/>
      <c r="I2" s="134"/>
      <c r="J2" s="134"/>
      <c r="K2" s="134"/>
      <c r="L2" s="447"/>
      <c r="P2" s="328"/>
      <c r="Q2" s="514"/>
      <c r="R2" s="514"/>
      <c r="S2" s="514"/>
      <c r="T2" s="514"/>
    </row>
    <row r="3" spans="1:20" ht="27.2" customHeight="1" x14ac:dyDescent="0.25">
      <c r="A3" s="640" t="s">
        <v>0</v>
      </c>
      <c r="B3" s="642" t="s">
        <v>434</v>
      </c>
      <c r="C3" s="642" t="s">
        <v>435</v>
      </c>
      <c r="D3" s="642" t="s">
        <v>521</v>
      </c>
      <c r="E3" s="317"/>
      <c r="F3" s="313"/>
      <c r="G3" s="154"/>
      <c r="H3" s="186" t="s">
        <v>462</v>
      </c>
      <c r="I3" s="304">
        <f>'EFs &amp; Rates'!Q5</f>
        <v>963.42025100000001</v>
      </c>
      <c r="J3" s="134" t="s">
        <v>511</v>
      </c>
      <c r="K3" s="134"/>
      <c r="L3" s="447"/>
      <c r="P3" s="493"/>
      <c r="Q3" s="515"/>
      <c r="R3" s="533"/>
      <c r="S3" s="533"/>
      <c r="T3" s="533"/>
    </row>
    <row r="4" spans="1:20" ht="27.2" customHeight="1" x14ac:dyDescent="0.25">
      <c r="A4" s="641"/>
      <c r="B4" s="643"/>
      <c r="C4" s="643"/>
      <c r="D4" s="643"/>
      <c r="E4" s="317"/>
      <c r="F4" s="314"/>
      <c r="G4" s="310">
        <v>2019</v>
      </c>
      <c r="H4" s="310" t="s">
        <v>473</v>
      </c>
      <c r="I4" s="310" t="s">
        <v>432</v>
      </c>
      <c r="J4" s="310" t="s">
        <v>432</v>
      </c>
      <c r="K4" s="134"/>
      <c r="L4" s="528" t="s">
        <v>598</v>
      </c>
      <c r="M4" s="528" t="s">
        <v>599</v>
      </c>
      <c r="N4" s="528" t="s">
        <v>424</v>
      </c>
      <c r="O4" s="526" t="s">
        <v>600</v>
      </c>
      <c r="P4" s="532" t="s">
        <v>418</v>
      </c>
      <c r="Q4" s="495"/>
      <c r="R4" s="530" t="s">
        <v>604</v>
      </c>
      <c r="S4" s="530"/>
      <c r="T4" s="530" t="s">
        <v>622</v>
      </c>
    </row>
    <row r="5" spans="1:20" ht="15" customHeight="1" x14ac:dyDescent="0.2">
      <c r="A5" s="176" t="str">
        <f>O5</f>
        <v>Avista Corp. WWP Division</v>
      </c>
      <c r="B5" s="137">
        <f>P5</f>
        <v>73875</v>
      </c>
      <c r="C5" s="148">
        <f>R5</f>
        <v>963.42025100000001</v>
      </c>
      <c r="D5" s="149">
        <f>T5</f>
        <v>32283.374999999996</v>
      </c>
      <c r="E5" s="138"/>
      <c r="L5" s="181" t="s">
        <v>460</v>
      </c>
      <c r="M5" s="181" t="s">
        <v>601</v>
      </c>
      <c r="O5" s="406" t="s">
        <v>187</v>
      </c>
      <c r="P5" s="471">
        <v>73875</v>
      </c>
      <c r="Q5" s="424"/>
      <c r="R5" s="391">
        <f t="shared" ref="R5:R68" si="0">IF(P5&gt;0,I$3,I$8)</f>
        <v>963.42025100000001</v>
      </c>
      <c r="S5" s="424"/>
      <c r="T5" s="391">
        <f>(P5*R5)/2204.623</f>
        <v>32283.374999999996</v>
      </c>
    </row>
    <row r="6" spans="1:20" ht="15" customHeight="1" x14ac:dyDescent="0.2">
      <c r="A6" s="176" t="str">
        <f t="shared" ref="A6:A69" si="1">O6</f>
        <v>Avista Nichols Pump</v>
      </c>
      <c r="B6" s="137">
        <f t="shared" ref="B6:B69" si="2">P6</f>
        <v>30836.84</v>
      </c>
      <c r="C6" s="148">
        <f t="shared" ref="C6:C69" si="3">R6</f>
        <v>963.42025100000001</v>
      </c>
      <c r="D6" s="149">
        <f t="shared" ref="D6:D69" si="4">T6</f>
        <v>13475.69908</v>
      </c>
      <c r="E6" s="316"/>
      <c r="G6" s="134"/>
      <c r="H6" s="144" t="s">
        <v>437</v>
      </c>
      <c r="I6" s="336">
        <f>'2019 Known'!B58</f>
        <v>20028146.622499999</v>
      </c>
      <c r="J6" s="134" t="s">
        <v>418</v>
      </c>
      <c r="K6" s="329" t="s">
        <v>512</v>
      </c>
      <c r="L6" s="181" t="s">
        <v>460</v>
      </c>
      <c r="M6" s="181" t="s">
        <v>601</v>
      </c>
      <c r="O6" s="406" t="s">
        <v>171</v>
      </c>
      <c r="P6" s="471">
        <v>30836.84</v>
      </c>
      <c r="Q6" s="424"/>
      <c r="R6" s="391">
        <f t="shared" si="0"/>
        <v>963.42025100000001</v>
      </c>
      <c r="S6" s="424"/>
      <c r="T6" s="391">
        <f t="shared" ref="T6:T69" si="5">(P6*R6)/2204.623</f>
        <v>13475.69908</v>
      </c>
    </row>
    <row r="7" spans="1:20" ht="15" customHeight="1" x14ac:dyDescent="0.2">
      <c r="A7" s="176" t="str">
        <f t="shared" si="1"/>
        <v>Black Hills Power</v>
      </c>
      <c r="B7" s="137">
        <f t="shared" si="2"/>
        <v>-300</v>
      </c>
      <c r="C7" s="148">
        <f t="shared" si="3"/>
        <v>1211.697056259276</v>
      </c>
      <c r="D7" s="149">
        <f t="shared" si="4"/>
        <v>-164.88493355906328</v>
      </c>
      <c r="E7" s="316"/>
      <c r="F7" s="313"/>
      <c r="G7" s="308"/>
      <c r="H7" s="144" t="s">
        <v>438</v>
      </c>
      <c r="I7" s="336">
        <f>'2019 Known'!C58</f>
        <v>11007798.750540299</v>
      </c>
      <c r="J7" s="134" t="s">
        <v>520</v>
      </c>
      <c r="K7" s="329" t="s">
        <v>512</v>
      </c>
      <c r="L7" s="181" t="s">
        <v>460</v>
      </c>
      <c r="M7" s="181" t="s">
        <v>601</v>
      </c>
      <c r="O7" s="406" t="s">
        <v>189</v>
      </c>
      <c r="P7" s="471">
        <v>-300</v>
      </c>
      <c r="Q7" s="424"/>
      <c r="R7" s="391">
        <f t="shared" si="0"/>
        <v>1211.697056259276</v>
      </c>
      <c r="S7" s="424"/>
      <c r="T7" s="391">
        <f t="shared" si="5"/>
        <v>-164.88493355906328</v>
      </c>
    </row>
    <row r="8" spans="1:20" ht="15" customHeight="1" x14ac:dyDescent="0.2">
      <c r="A8" s="176"/>
      <c r="B8" s="137"/>
      <c r="C8" s="148"/>
      <c r="D8" s="149"/>
      <c r="E8" s="316"/>
      <c r="F8" s="314"/>
      <c r="G8" s="134"/>
      <c r="H8" s="144" t="s">
        <v>439</v>
      </c>
      <c r="I8" s="138">
        <f>(I7*2204.623)/I6</f>
        <v>1211.697056259276</v>
      </c>
      <c r="J8" s="134" t="s">
        <v>6</v>
      </c>
      <c r="K8" s="134"/>
      <c r="L8" s="181" t="s">
        <v>460</v>
      </c>
      <c r="M8" s="181" t="s">
        <v>601</v>
      </c>
      <c r="O8" s="524" t="s">
        <v>191</v>
      </c>
      <c r="P8" s="471">
        <v>125764</v>
      </c>
      <c r="Q8" s="424"/>
      <c r="R8" s="391">
        <f t="shared" si="0"/>
        <v>963.42025100000001</v>
      </c>
      <c r="S8" s="424"/>
      <c r="T8" s="391">
        <f t="shared" si="5"/>
        <v>54958.868000000002</v>
      </c>
    </row>
    <row r="9" spans="1:20" ht="15" customHeight="1" x14ac:dyDescent="0.2">
      <c r="A9" s="176" t="str">
        <f t="shared" si="1"/>
        <v>BP Energy Co.</v>
      </c>
      <c r="B9" s="137">
        <f t="shared" si="2"/>
        <v>701366</v>
      </c>
      <c r="C9" s="148">
        <f t="shared" si="3"/>
        <v>963.42025100000001</v>
      </c>
      <c r="D9" s="149">
        <f t="shared" si="4"/>
        <v>306496.94199999998</v>
      </c>
      <c r="E9" s="316"/>
      <c r="G9" s="134"/>
      <c r="H9" s="134"/>
      <c r="I9" s="134"/>
      <c r="J9" s="134"/>
      <c r="K9" s="134"/>
      <c r="L9" s="181" t="s">
        <v>460</v>
      </c>
      <c r="M9" s="181" t="s">
        <v>601</v>
      </c>
      <c r="O9" s="406" t="s">
        <v>192</v>
      </c>
      <c r="P9" s="471">
        <v>701366</v>
      </c>
      <c r="Q9" s="424"/>
      <c r="R9" s="391">
        <f t="shared" si="0"/>
        <v>963.42025100000001</v>
      </c>
      <c r="S9" s="424"/>
      <c r="T9" s="391">
        <f t="shared" si="5"/>
        <v>306496.94199999998</v>
      </c>
    </row>
    <row r="10" spans="1:20" ht="15" customHeight="1" x14ac:dyDescent="0.2">
      <c r="A10" s="176" t="str">
        <f t="shared" si="1"/>
        <v>BPA</v>
      </c>
      <c r="B10" s="137">
        <f t="shared" si="2"/>
        <v>-151230</v>
      </c>
      <c r="C10" s="148">
        <f t="shared" si="3"/>
        <v>1211.697056259276</v>
      </c>
      <c r="D10" s="149">
        <f t="shared" si="4"/>
        <v>-83118.495007123813</v>
      </c>
      <c r="E10" s="316"/>
      <c r="I10" s="131"/>
      <c r="L10" s="181" t="s">
        <v>460</v>
      </c>
      <c r="M10" s="181" t="s">
        <v>601</v>
      </c>
      <c r="O10" s="406" t="s">
        <v>173</v>
      </c>
      <c r="P10" s="471">
        <v>-151230</v>
      </c>
      <c r="Q10" s="424"/>
      <c r="R10" s="391">
        <f t="shared" si="0"/>
        <v>1211.697056259276</v>
      </c>
      <c r="S10" s="424"/>
      <c r="T10" s="391">
        <f t="shared" si="5"/>
        <v>-83118.495007123813</v>
      </c>
    </row>
    <row r="11" spans="1:20" ht="15" customHeight="1" x14ac:dyDescent="0.2">
      <c r="A11" s="176" t="str">
        <f t="shared" si="1"/>
        <v>BPA - NWPP Reserve Sharing Energy</v>
      </c>
      <c r="B11" s="137">
        <f t="shared" si="2"/>
        <v>-10</v>
      </c>
      <c r="C11" s="148">
        <f t="shared" si="3"/>
        <v>1211.697056259276</v>
      </c>
      <c r="D11" s="149">
        <f t="shared" si="4"/>
        <v>-5.4961644519687765</v>
      </c>
      <c r="E11" s="316"/>
      <c r="I11" s="131"/>
      <c r="L11" s="181" t="s">
        <v>460</v>
      </c>
      <c r="M11" s="181" t="s">
        <v>601</v>
      </c>
      <c r="O11" s="406" t="s">
        <v>342</v>
      </c>
      <c r="P11" s="471">
        <v>-10</v>
      </c>
      <c r="Q11" s="424"/>
      <c r="R11" s="391">
        <f t="shared" si="0"/>
        <v>1211.697056259276</v>
      </c>
      <c r="S11" s="424"/>
      <c r="T11" s="391">
        <f t="shared" si="5"/>
        <v>-5.4961644519687765</v>
      </c>
    </row>
    <row r="12" spans="1:20" ht="15" customHeight="1" x14ac:dyDescent="0.2">
      <c r="A12" s="176" t="str">
        <f t="shared" si="1"/>
        <v>British Columbia Transmission Corp</v>
      </c>
      <c r="B12" s="137">
        <f t="shared" si="2"/>
        <v>4</v>
      </c>
      <c r="C12" s="148">
        <f t="shared" si="3"/>
        <v>963.42025100000001</v>
      </c>
      <c r="D12" s="149">
        <f t="shared" si="4"/>
        <v>1.748</v>
      </c>
      <c r="E12" s="316"/>
      <c r="I12" s="131"/>
      <c r="L12" s="181" t="s">
        <v>460</v>
      </c>
      <c r="M12" s="181" t="s">
        <v>601</v>
      </c>
      <c r="O12" s="406" t="s">
        <v>193</v>
      </c>
      <c r="P12" s="471">
        <v>4</v>
      </c>
      <c r="Q12" s="424"/>
      <c r="R12" s="391">
        <f t="shared" si="0"/>
        <v>963.42025100000001</v>
      </c>
      <c r="S12" s="424"/>
      <c r="T12" s="391">
        <f t="shared" si="5"/>
        <v>1.748</v>
      </c>
    </row>
    <row r="13" spans="1:20" x14ac:dyDescent="0.2">
      <c r="A13" s="176" t="str">
        <f t="shared" si="1"/>
        <v>Brookfield Energy Marketing</v>
      </c>
      <c r="B13" s="137">
        <f t="shared" si="2"/>
        <v>-9900</v>
      </c>
      <c r="C13" s="148">
        <f t="shared" si="3"/>
        <v>1211.697056259276</v>
      </c>
      <c r="D13" s="149">
        <f t="shared" si="4"/>
        <v>-5441.2028074490891</v>
      </c>
      <c r="E13" s="316"/>
      <c r="I13" s="131"/>
      <c r="L13" s="181" t="s">
        <v>460</v>
      </c>
      <c r="M13" s="181" t="s">
        <v>601</v>
      </c>
      <c r="O13" s="406" t="s">
        <v>194</v>
      </c>
      <c r="P13" s="471">
        <v>-9900</v>
      </c>
      <c r="Q13" s="424"/>
      <c r="R13" s="391">
        <f t="shared" si="0"/>
        <v>1211.697056259276</v>
      </c>
      <c r="S13" s="424"/>
      <c r="T13" s="391">
        <f t="shared" si="5"/>
        <v>-5441.2028074490891</v>
      </c>
    </row>
    <row r="14" spans="1:20" x14ac:dyDescent="0.2">
      <c r="A14" s="176" t="str">
        <f t="shared" si="1"/>
        <v>California ISO</v>
      </c>
      <c r="B14" s="137">
        <f t="shared" si="2"/>
        <v>44639.25</v>
      </c>
      <c r="C14" s="148">
        <f t="shared" si="3"/>
        <v>963.42025100000001</v>
      </c>
      <c r="D14" s="149">
        <f t="shared" si="4"/>
        <v>19507.352249999996</v>
      </c>
      <c r="E14" s="316"/>
      <c r="L14" s="181" t="s">
        <v>460</v>
      </c>
      <c r="M14" s="181" t="s">
        <v>601</v>
      </c>
      <c r="O14" s="406" t="s">
        <v>197</v>
      </c>
      <c r="P14" s="471">
        <v>44639.25</v>
      </c>
      <c r="Q14" s="424"/>
      <c r="R14" s="391">
        <f t="shared" si="0"/>
        <v>963.42025100000001</v>
      </c>
      <c r="S14" s="424"/>
      <c r="T14" s="391">
        <f t="shared" si="5"/>
        <v>19507.352249999996</v>
      </c>
    </row>
    <row r="15" spans="1:20" x14ac:dyDescent="0.2">
      <c r="A15" s="176" t="str">
        <f t="shared" si="1"/>
        <v>Chelan County PUD #1</v>
      </c>
      <c r="B15" s="137">
        <f t="shared" si="2"/>
        <v>78665</v>
      </c>
      <c r="C15" s="148">
        <f t="shared" si="3"/>
        <v>963.42025100000001</v>
      </c>
      <c r="D15" s="149">
        <f t="shared" si="4"/>
        <v>34376.605000000003</v>
      </c>
      <c r="E15" s="316"/>
      <c r="L15" s="181" t="s">
        <v>460</v>
      </c>
      <c r="M15" s="181" t="s">
        <v>601</v>
      </c>
      <c r="O15" s="406" t="s">
        <v>199</v>
      </c>
      <c r="P15" s="471">
        <v>78665</v>
      </c>
      <c r="Q15" s="424"/>
      <c r="R15" s="391">
        <f t="shared" si="0"/>
        <v>963.42025100000001</v>
      </c>
      <c r="S15" s="424"/>
      <c r="T15" s="391">
        <f t="shared" si="5"/>
        <v>34376.605000000003</v>
      </c>
    </row>
    <row r="16" spans="1:20" x14ac:dyDescent="0.2">
      <c r="A16" s="176" t="str">
        <f t="shared" si="1"/>
        <v>Citigroup Energy Inc</v>
      </c>
      <c r="B16" s="137">
        <f t="shared" si="2"/>
        <v>830595</v>
      </c>
      <c r="C16" s="148">
        <f t="shared" si="3"/>
        <v>963.42025100000001</v>
      </c>
      <c r="D16" s="149">
        <f t="shared" si="4"/>
        <v>362970.01500000001</v>
      </c>
      <c r="E16" s="316"/>
      <c r="I16" s="131"/>
      <c r="L16" s="181" t="s">
        <v>460</v>
      </c>
      <c r="M16" s="181" t="s">
        <v>601</v>
      </c>
      <c r="O16" s="406" t="s">
        <v>185</v>
      </c>
      <c r="P16" s="471">
        <v>830595</v>
      </c>
      <c r="Q16" s="424"/>
      <c r="R16" s="391">
        <f t="shared" si="0"/>
        <v>963.42025100000001</v>
      </c>
      <c r="S16" s="424"/>
      <c r="T16" s="391">
        <f t="shared" si="5"/>
        <v>362970.01500000001</v>
      </c>
    </row>
    <row r="17" spans="1:20" x14ac:dyDescent="0.2">
      <c r="A17" s="176" t="str">
        <f t="shared" si="1"/>
        <v>Clatskanie PUD</v>
      </c>
      <c r="B17" s="137">
        <f t="shared" si="2"/>
        <v>-47072</v>
      </c>
      <c r="C17" s="148">
        <f t="shared" si="3"/>
        <v>1211.697056259276</v>
      </c>
      <c r="D17" s="149">
        <f t="shared" si="4"/>
        <v>-25871.545308307424</v>
      </c>
      <c r="E17" s="316"/>
      <c r="I17" s="131"/>
      <c r="L17" s="181" t="s">
        <v>460</v>
      </c>
      <c r="M17" s="181" t="s">
        <v>601</v>
      </c>
      <c r="O17" s="406" t="s">
        <v>202</v>
      </c>
      <c r="P17" s="471">
        <v>-47072</v>
      </c>
      <c r="Q17" s="424"/>
      <c r="R17" s="391">
        <f t="shared" si="0"/>
        <v>1211.697056259276</v>
      </c>
      <c r="S17" s="424"/>
      <c r="T17" s="391">
        <f t="shared" si="5"/>
        <v>-25871.545308307424</v>
      </c>
    </row>
    <row r="18" spans="1:20" x14ac:dyDescent="0.2">
      <c r="A18" s="176" t="str">
        <f t="shared" si="1"/>
        <v>Conoco, Inc.</v>
      </c>
      <c r="B18" s="137">
        <f t="shared" si="2"/>
        <v>-77225</v>
      </c>
      <c r="C18" s="148">
        <f t="shared" si="3"/>
        <v>1211.697056259276</v>
      </c>
      <c r="D18" s="149">
        <f t="shared" si="4"/>
        <v>-42444.129980328871</v>
      </c>
      <c r="E18" s="316"/>
      <c r="I18" s="131"/>
      <c r="L18" s="181" t="s">
        <v>460</v>
      </c>
      <c r="M18" s="181" t="s">
        <v>601</v>
      </c>
      <c r="O18" s="406" t="s">
        <v>203</v>
      </c>
      <c r="P18" s="471">
        <v>-77225</v>
      </c>
      <c r="Q18" s="424"/>
      <c r="R18" s="391">
        <f t="shared" si="0"/>
        <v>1211.697056259276</v>
      </c>
      <c r="S18" s="424"/>
      <c r="T18" s="391">
        <f t="shared" si="5"/>
        <v>-42444.129980328871</v>
      </c>
    </row>
    <row r="19" spans="1:20" x14ac:dyDescent="0.2">
      <c r="A19" s="176" t="str">
        <f t="shared" si="1"/>
        <v>CP Energy Marketing (Epcor)</v>
      </c>
      <c r="B19" s="137">
        <f t="shared" si="2"/>
        <v>20114</v>
      </c>
      <c r="C19" s="148">
        <f t="shared" si="3"/>
        <v>963.42025100000001</v>
      </c>
      <c r="D19" s="149">
        <f t="shared" si="4"/>
        <v>8789.8180000000011</v>
      </c>
      <c r="E19" s="316"/>
      <c r="I19" s="131"/>
      <c r="L19" s="181" t="s">
        <v>460</v>
      </c>
      <c r="M19" s="181" t="s">
        <v>601</v>
      </c>
      <c r="O19" s="406" t="s">
        <v>204</v>
      </c>
      <c r="P19" s="471">
        <v>20114</v>
      </c>
      <c r="Q19" s="424"/>
      <c r="R19" s="391">
        <f t="shared" si="0"/>
        <v>963.42025100000001</v>
      </c>
      <c r="S19" s="424"/>
      <c r="T19" s="391">
        <f t="shared" si="5"/>
        <v>8789.8180000000011</v>
      </c>
    </row>
    <row r="20" spans="1:20" x14ac:dyDescent="0.2">
      <c r="A20" s="176" t="str">
        <f t="shared" si="1"/>
        <v>Deviation</v>
      </c>
      <c r="B20" s="137">
        <f t="shared" si="2"/>
        <v>-437530.68</v>
      </c>
      <c r="C20" s="148">
        <f t="shared" si="3"/>
        <v>1211.697056259276</v>
      </c>
      <c r="D20" s="149">
        <f t="shared" si="4"/>
        <v>-240474.0570061726</v>
      </c>
      <c r="E20" s="316"/>
      <c r="I20" s="131"/>
      <c r="K20" s="525" t="s">
        <v>621</v>
      </c>
      <c r="L20" s="181" t="s">
        <v>460</v>
      </c>
      <c r="M20" s="181" t="s">
        <v>601</v>
      </c>
      <c r="O20" s="406" t="s">
        <v>176</v>
      </c>
      <c r="P20" s="471">
        <v>-437530.68</v>
      </c>
      <c r="Q20" s="424"/>
      <c r="R20" s="391">
        <f t="shared" si="0"/>
        <v>1211.697056259276</v>
      </c>
      <c r="S20" s="424"/>
      <c r="T20" s="391">
        <f t="shared" si="5"/>
        <v>-240474.0570061726</v>
      </c>
    </row>
    <row r="21" spans="1:20" x14ac:dyDescent="0.2">
      <c r="A21" s="176" t="str">
        <f t="shared" si="1"/>
        <v>Douglas County PUD #1</v>
      </c>
      <c r="B21" s="137">
        <f t="shared" si="2"/>
        <v>7642</v>
      </c>
      <c r="C21" s="148">
        <f t="shared" si="3"/>
        <v>963.42025100000001</v>
      </c>
      <c r="D21" s="149">
        <f t="shared" si="4"/>
        <v>3339.5540000000001</v>
      </c>
      <c r="E21" s="316"/>
      <c r="I21" s="131"/>
      <c r="L21" s="181" t="s">
        <v>460</v>
      </c>
      <c r="M21" s="181" t="s">
        <v>601</v>
      </c>
      <c r="O21" s="406" t="s">
        <v>177</v>
      </c>
      <c r="P21" s="471">
        <v>7642</v>
      </c>
      <c r="Q21" s="424"/>
      <c r="R21" s="391">
        <f t="shared" si="0"/>
        <v>963.42025100000001</v>
      </c>
      <c r="S21" s="424"/>
      <c r="T21" s="391">
        <f t="shared" si="5"/>
        <v>3339.5540000000001</v>
      </c>
    </row>
    <row r="22" spans="1:20" x14ac:dyDescent="0.2">
      <c r="A22" s="176" t="str">
        <f t="shared" si="1"/>
        <v>EDF Trading NA LLC</v>
      </c>
      <c r="B22" s="137">
        <f t="shared" si="2"/>
        <v>508530</v>
      </c>
      <c r="C22" s="148">
        <f t="shared" si="3"/>
        <v>963.42025100000001</v>
      </c>
      <c r="D22" s="149">
        <f t="shared" si="4"/>
        <v>222227.61</v>
      </c>
      <c r="E22" s="316"/>
      <c r="I22" s="131"/>
      <c r="L22" s="181" t="s">
        <v>460</v>
      </c>
      <c r="M22" s="181" t="s">
        <v>601</v>
      </c>
      <c r="O22" s="406" t="s">
        <v>208</v>
      </c>
      <c r="P22" s="471">
        <v>508530</v>
      </c>
      <c r="Q22" s="424"/>
      <c r="R22" s="391">
        <f t="shared" si="0"/>
        <v>963.42025100000001</v>
      </c>
      <c r="S22" s="424"/>
      <c r="T22" s="391">
        <f t="shared" si="5"/>
        <v>222227.61</v>
      </c>
    </row>
    <row r="23" spans="1:20" x14ac:dyDescent="0.2">
      <c r="A23" s="176" t="str">
        <f t="shared" si="1"/>
        <v>Energy Keepers Inc.</v>
      </c>
      <c r="B23" s="137">
        <f t="shared" si="2"/>
        <v>-996</v>
      </c>
      <c r="C23" s="148">
        <f t="shared" si="3"/>
        <v>1211.697056259276</v>
      </c>
      <c r="D23" s="149">
        <f t="shared" si="4"/>
        <v>-547.41797941609013</v>
      </c>
      <c r="E23" s="316"/>
      <c r="I23" s="131"/>
      <c r="L23" s="181" t="s">
        <v>460</v>
      </c>
      <c r="M23" s="181" t="s">
        <v>601</v>
      </c>
      <c r="O23" s="406" t="s">
        <v>397</v>
      </c>
      <c r="P23" s="471">
        <v>-996</v>
      </c>
      <c r="Q23" s="424"/>
      <c r="R23" s="391">
        <f t="shared" si="0"/>
        <v>1211.697056259276</v>
      </c>
      <c r="S23" s="424"/>
      <c r="T23" s="391">
        <f t="shared" si="5"/>
        <v>-547.41797941609013</v>
      </c>
    </row>
    <row r="24" spans="1:20" x14ac:dyDescent="0.2">
      <c r="A24" s="176" t="str">
        <f t="shared" si="1"/>
        <v>Eugene Water &amp; Electric</v>
      </c>
      <c r="B24" s="137">
        <f t="shared" si="2"/>
        <v>-87110</v>
      </c>
      <c r="C24" s="148">
        <f t="shared" si="3"/>
        <v>1211.697056259276</v>
      </c>
      <c r="D24" s="149">
        <f t="shared" si="4"/>
        <v>-47877.088541100013</v>
      </c>
      <c r="E24" s="316"/>
      <c r="I24" s="131"/>
      <c r="L24" s="181" t="s">
        <v>460</v>
      </c>
      <c r="M24" s="181" t="s">
        <v>601</v>
      </c>
      <c r="O24" s="406" t="s">
        <v>211</v>
      </c>
      <c r="P24" s="471">
        <v>-87110</v>
      </c>
      <c r="Q24" s="424"/>
      <c r="R24" s="391">
        <f t="shared" si="0"/>
        <v>1211.697056259276</v>
      </c>
      <c r="S24" s="424"/>
      <c r="T24" s="391">
        <f t="shared" si="5"/>
        <v>-47877.088541100013</v>
      </c>
    </row>
    <row r="25" spans="1:20" x14ac:dyDescent="0.2">
      <c r="A25" s="176" t="str">
        <f t="shared" si="1"/>
        <v>Exelon Generation Co LLC</v>
      </c>
      <c r="B25" s="137">
        <f t="shared" si="2"/>
        <v>-19037</v>
      </c>
      <c r="C25" s="148">
        <f t="shared" si="3"/>
        <v>1211.697056259276</v>
      </c>
      <c r="D25" s="149">
        <f t="shared" si="4"/>
        <v>-10463.04826721296</v>
      </c>
      <c r="E25" s="316"/>
      <c r="I25" s="131"/>
      <c r="L25" s="181" t="s">
        <v>460</v>
      </c>
      <c r="M25" s="181" t="s">
        <v>601</v>
      </c>
      <c r="O25" s="406" t="s">
        <v>186</v>
      </c>
      <c r="P25" s="471">
        <v>-19037</v>
      </c>
      <c r="Q25" s="424"/>
      <c r="R25" s="391">
        <f t="shared" si="0"/>
        <v>1211.697056259276</v>
      </c>
      <c r="S25" s="424"/>
      <c r="T25" s="391">
        <f t="shared" si="5"/>
        <v>-10463.04826721296</v>
      </c>
    </row>
    <row r="26" spans="1:20" x14ac:dyDescent="0.2">
      <c r="A26" s="176" t="str">
        <f t="shared" si="1"/>
        <v>Grant County PUD #2</v>
      </c>
      <c r="B26" s="137">
        <f t="shared" si="2"/>
        <v>2</v>
      </c>
      <c r="C26" s="148">
        <f t="shared" si="3"/>
        <v>963.42025100000001</v>
      </c>
      <c r="D26" s="149">
        <f t="shared" si="4"/>
        <v>0.874</v>
      </c>
      <c r="E26" s="316"/>
      <c r="F26" s="315"/>
      <c r="I26" s="131"/>
      <c r="L26" s="181" t="s">
        <v>460</v>
      </c>
      <c r="M26" s="181" t="s">
        <v>601</v>
      </c>
      <c r="O26" s="406" t="s">
        <v>213</v>
      </c>
      <c r="P26" s="471">
        <v>2</v>
      </c>
      <c r="Q26" s="424"/>
      <c r="R26" s="391">
        <f t="shared" si="0"/>
        <v>963.42025100000001</v>
      </c>
      <c r="S26" s="424"/>
      <c r="T26" s="391">
        <f t="shared" si="5"/>
        <v>0.874</v>
      </c>
    </row>
    <row r="27" spans="1:20" x14ac:dyDescent="0.2">
      <c r="A27" s="176" t="str">
        <f t="shared" si="1"/>
        <v>GRIDFORCE ENERGY MANAGEMENT, LLC.</v>
      </c>
      <c r="B27" s="137">
        <f t="shared" si="2"/>
        <v>-575</v>
      </c>
      <c r="C27" s="148">
        <f t="shared" si="3"/>
        <v>1211.697056259276</v>
      </c>
      <c r="D27" s="149">
        <f t="shared" si="4"/>
        <v>-316.02945598820463</v>
      </c>
      <c r="E27" s="316"/>
      <c r="F27" s="315"/>
      <c r="I27" s="131"/>
      <c r="L27" s="181" t="s">
        <v>460</v>
      </c>
      <c r="M27" s="181" t="s">
        <v>601</v>
      </c>
      <c r="O27" s="406" t="s">
        <v>343</v>
      </c>
      <c r="P27" s="471">
        <v>-575</v>
      </c>
      <c r="Q27" s="424"/>
      <c r="R27" s="391">
        <f t="shared" si="0"/>
        <v>1211.697056259276</v>
      </c>
      <c r="S27" s="424"/>
      <c r="T27" s="391">
        <f t="shared" si="5"/>
        <v>-316.02945598820463</v>
      </c>
    </row>
    <row r="28" spans="1:20" x14ac:dyDescent="0.2">
      <c r="A28" s="176" t="str">
        <f t="shared" si="1"/>
        <v>Iberdrola Renewables (PPM Energy)</v>
      </c>
      <c r="B28" s="137">
        <f t="shared" si="2"/>
        <v>-76721</v>
      </c>
      <c r="C28" s="148">
        <f t="shared" si="3"/>
        <v>1211.697056259276</v>
      </c>
      <c r="D28" s="149">
        <f t="shared" si="4"/>
        <v>-42167.123291949647</v>
      </c>
      <c r="E28" s="316"/>
      <c r="F28" s="315"/>
      <c r="I28" s="131"/>
      <c r="L28" s="181" t="s">
        <v>460</v>
      </c>
      <c r="M28" s="181" t="s">
        <v>601</v>
      </c>
      <c r="O28" s="406" t="s">
        <v>215</v>
      </c>
      <c r="P28" s="471">
        <v>-76721</v>
      </c>
      <c r="Q28" s="424"/>
      <c r="R28" s="391">
        <f t="shared" si="0"/>
        <v>1211.697056259276</v>
      </c>
      <c r="S28" s="424"/>
      <c r="T28" s="391">
        <f t="shared" si="5"/>
        <v>-42167.123291949647</v>
      </c>
    </row>
    <row r="29" spans="1:20" x14ac:dyDescent="0.2">
      <c r="A29" s="176" t="str">
        <f t="shared" si="1"/>
        <v>Idaho Power Company</v>
      </c>
      <c r="B29" s="137">
        <f t="shared" si="2"/>
        <v>-20513</v>
      </c>
      <c r="C29" s="148">
        <f t="shared" si="3"/>
        <v>1211.697056259276</v>
      </c>
      <c r="D29" s="149">
        <f t="shared" si="4"/>
        <v>-11274.28214032355</v>
      </c>
      <c r="E29" s="316"/>
      <c r="F29" s="315"/>
      <c r="I29" s="131"/>
      <c r="L29" s="181" t="s">
        <v>460</v>
      </c>
      <c r="M29" s="181" t="s">
        <v>601</v>
      </c>
      <c r="O29" s="406" t="s">
        <v>217</v>
      </c>
      <c r="P29" s="471">
        <v>-20513</v>
      </c>
      <c r="Q29" s="424"/>
      <c r="R29" s="391">
        <f t="shared" si="0"/>
        <v>1211.697056259276</v>
      </c>
      <c r="S29" s="424"/>
      <c r="T29" s="391">
        <f t="shared" si="5"/>
        <v>-11274.28214032355</v>
      </c>
    </row>
    <row r="30" spans="1:20" x14ac:dyDescent="0.2">
      <c r="A30" s="176" t="str">
        <f t="shared" si="1"/>
        <v>Morgan Stanley CG</v>
      </c>
      <c r="B30" s="137">
        <f t="shared" si="2"/>
        <v>-443902</v>
      </c>
      <c r="C30" s="148">
        <f t="shared" si="3"/>
        <v>1211.697056259276</v>
      </c>
      <c r="D30" s="149">
        <f t="shared" si="4"/>
        <v>-243975.83925578438</v>
      </c>
      <c r="E30" s="316"/>
      <c r="F30" s="315"/>
      <c r="I30" s="131"/>
      <c r="L30" s="181" t="s">
        <v>460</v>
      </c>
      <c r="M30" s="181" t="s">
        <v>601</v>
      </c>
      <c r="O30" s="406" t="s">
        <v>178</v>
      </c>
      <c r="P30" s="471">
        <v>-443902</v>
      </c>
      <c r="Q30" s="424"/>
      <c r="R30" s="391">
        <f t="shared" si="0"/>
        <v>1211.697056259276</v>
      </c>
      <c r="S30" s="424"/>
      <c r="T30" s="391">
        <f t="shared" si="5"/>
        <v>-243975.83925578438</v>
      </c>
    </row>
    <row r="31" spans="1:20" x14ac:dyDescent="0.2">
      <c r="A31" s="176" t="str">
        <f t="shared" si="1"/>
        <v>Natur Ener USA</v>
      </c>
      <c r="B31" s="137">
        <f t="shared" si="2"/>
        <v>-227</v>
      </c>
      <c r="C31" s="148">
        <f t="shared" si="3"/>
        <v>1211.697056259276</v>
      </c>
      <c r="D31" s="149">
        <f t="shared" si="4"/>
        <v>-124.76293305969124</v>
      </c>
      <c r="E31" s="316"/>
      <c r="F31" s="315"/>
      <c r="I31" s="131"/>
      <c r="L31" s="181" t="s">
        <v>460</v>
      </c>
      <c r="M31" s="181" t="s">
        <v>601</v>
      </c>
      <c r="O31" s="406" t="s">
        <v>226</v>
      </c>
      <c r="P31" s="471">
        <v>-227</v>
      </c>
      <c r="Q31" s="424"/>
      <c r="R31" s="391">
        <f t="shared" si="0"/>
        <v>1211.697056259276</v>
      </c>
      <c r="S31" s="424"/>
      <c r="T31" s="391">
        <f t="shared" si="5"/>
        <v>-124.76293305969124</v>
      </c>
    </row>
    <row r="32" spans="1:20" x14ac:dyDescent="0.2">
      <c r="A32" s="176" t="str">
        <f t="shared" si="1"/>
        <v>Nevada Power Company</v>
      </c>
      <c r="B32" s="137">
        <f t="shared" si="2"/>
        <v>-11</v>
      </c>
      <c r="C32" s="148">
        <f t="shared" si="3"/>
        <v>1211.697056259276</v>
      </c>
      <c r="D32" s="149">
        <f t="shared" si="4"/>
        <v>-6.0457808971656544</v>
      </c>
      <c r="E32" s="316"/>
      <c r="F32" s="315"/>
      <c r="I32" s="131"/>
      <c r="L32" s="181" t="s">
        <v>460</v>
      </c>
      <c r="M32" s="181" t="s">
        <v>601</v>
      </c>
      <c r="O32" s="406" t="s">
        <v>261</v>
      </c>
      <c r="P32" s="471">
        <v>-11</v>
      </c>
      <c r="Q32" s="424"/>
      <c r="R32" s="391">
        <f t="shared" si="0"/>
        <v>1211.697056259276</v>
      </c>
      <c r="S32" s="424"/>
      <c r="T32" s="391">
        <f t="shared" si="5"/>
        <v>-6.0457808971656544</v>
      </c>
    </row>
    <row r="33" spans="1:20" x14ac:dyDescent="0.2">
      <c r="A33" s="176" t="str">
        <f t="shared" si="1"/>
        <v>NextEra Energy Power Marketing</v>
      </c>
      <c r="B33" s="137">
        <f t="shared" si="2"/>
        <v>-1741</v>
      </c>
      <c r="C33" s="148">
        <f t="shared" si="3"/>
        <v>1211.697056259276</v>
      </c>
      <c r="D33" s="149">
        <f t="shared" si="4"/>
        <v>-956.88223108776401</v>
      </c>
      <c r="E33" s="316"/>
      <c r="F33" s="315"/>
      <c r="I33" s="131"/>
      <c r="L33" s="181" t="s">
        <v>460</v>
      </c>
      <c r="M33" s="181" t="s">
        <v>601</v>
      </c>
      <c r="O33" s="406" t="s">
        <v>227</v>
      </c>
      <c r="P33" s="471">
        <v>-1741</v>
      </c>
      <c r="Q33" s="424"/>
      <c r="R33" s="391">
        <f t="shared" si="0"/>
        <v>1211.697056259276</v>
      </c>
      <c r="S33" s="424"/>
      <c r="T33" s="391">
        <f t="shared" si="5"/>
        <v>-956.88223108776401</v>
      </c>
    </row>
    <row r="34" spans="1:20" x14ac:dyDescent="0.2">
      <c r="A34" s="176" t="str">
        <f t="shared" si="1"/>
        <v>Northwestern Energy</v>
      </c>
      <c r="B34" s="137">
        <f t="shared" si="2"/>
        <v>-1412</v>
      </c>
      <c r="C34" s="148">
        <f t="shared" si="3"/>
        <v>1211.697056259276</v>
      </c>
      <c r="D34" s="149">
        <f t="shared" si="4"/>
        <v>-776.05842061799115</v>
      </c>
      <c r="E34" s="316"/>
      <c r="F34" s="315"/>
      <c r="I34" s="131"/>
      <c r="L34" s="181" t="s">
        <v>460</v>
      </c>
      <c r="M34" s="181" t="s">
        <v>601</v>
      </c>
      <c r="O34" s="406" t="s">
        <v>231</v>
      </c>
      <c r="P34" s="471">
        <v>-1412</v>
      </c>
      <c r="Q34" s="424"/>
      <c r="R34" s="391">
        <f t="shared" si="0"/>
        <v>1211.697056259276</v>
      </c>
      <c r="S34" s="424"/>
      <c r="T34" s="391">
        <f t="shared" si="5"/>
        <v>-776.05842061799115</v>
      </c>
    </row>
    <row r="35" spans="1:20" x14ac:dyDescent="0.2">
      <c r="A35" s="176" t="str">
        <f t="shared" si="1"/>
        <v>Okanogan PUD</v>
      </c>
      <c r="B35" s="137">
        <f t="shared" si="2"/>
        <v>1832</v>
      </c>
      <c r="C35" s="148">
        <f t="shared" si="3"/>
        <v>963.42025100000001</v>
      </c>
      <c r="D35" s="149">
        <f t="shared" si="4"/>
        <v>800.58399999999995</v>
      </c>
      <c r="E35" s="316"/>
      <c r="F35" s="315"/>
      <c r="I35" s="131"/>
      <c r="L35" s="181" t="s">
        <v>460</v>
      </c>
      <c r="M35" s="181" t="s">
        <v>601</v>
      </c>
      <c r="O35" s="406" t="s">
        <v>233</v>
      </c>
      <c r="P35" s="471">
        <v>1832</v>
      </c>
      <c r="Q35" s="424"/>
      <c r="R35" s="391">
        <f t="shared" si="0"/>
        <v>963.42025100000001</v>
      </c>
      <c r="S35" s="424"/>
      <c r="T35" s="391">
        <f t="shared" si="5"/>
        <v>800.58399999999995</v>
      </c>
    </row>
    <row r="36" spans="1:20" x14ac:dyDescent="0.2">
      <c r="A36" s="176" t="str">
        <f t="shared" si="1"/>
        <v>Pacificorp</v>
      </c>
      <c r="B36" s="137">
        <f t="shared" si="2"/>
        <v>-55288</v>
      </c>
      <c r="C36" s="148">
        <f t="shared" si="3"/>
        <v>1211.697056259276</v>
      </c>
      <c r="D36" s="149">
        <f t="shared" si="4"/>
        <v>-30387.194022044972</v>
      </c>
      <c r="E36" s="316"/>
      <c r="F36" s="315"/>
      <c r="I36" s="131"/>
      <c r="L36" s="181" t="s">
        <v>460</v>
      </c>
      <c r="M36" s="181" t="s">
        <v>601</v>
      </c>
      <c r="O36" s="406" t="s">
        <v>236</v>
      </c>
      <c r="P36" s="471">
        <v>-55288</v>
      </c>
      <c r="Q36" s="424"/>
      <c r="R36" s="391">
        <f t="shared" si="0"/>
        <v>1211.697056259276</v>
      </c>
      <c r="S36" s="424"/>
      <c r="T36" s="391">
        <f t="shared" si="5"/>
        <v>-30387.194022044972</v>
      </c>
    </row>
    <row r="37" spans="1:20" x14ac:dyDescent="0.2">
      <c r="A37" s="176" t="str">
        <f t="shared" si="1"/>
        <v>Portland General Electric</v>
      </c>
      <c r="B37" s="137">
        <f t="shared" si="2"/>
        <v>-39726</v>
      </c>
      <c r="C37" s="148">
        <f t="shared" si="3"/>
        <v>1211.697056259276</v>
      </c>
      <c r="D37" s="149">
        <f t="shared" si="4"/>
        <v>-21834.06290189116</v>
      </c>
      <c r="E37" s="316"/>
      <c r="F37" s="315"/>
      <c r="I37" s="131"/>
      <c r="L37" s="181" t="s">
        <v>460</v>
      </c>
      <c r="M37" s="181" t="s">
        <v>601</v>
      </c>
      <c r="O37" s="406" t="s">
        <v>238</v>
      </c>
      <c r="P37" s="471">
        <v>-39726</v>
      </c>
      <c r="Q37" s="424"/>
      <c r="R37" s="391">
        <f t="shared" si="0"/>
        <v>1211.697056259276</v>
      </c>
      <c r="S37" s="424"/>
      <c r="T37" s="391">
        <f t="shared" si="5"/>
        <v>-21834.06290189116</v>
      </c>
    </row>
    <row r="38" spans="1:20" x14ac:dyDescent="0.2">
      <c r="A38" s="176" t="str">
        <f t="shared" si="1"/>
        <v>Powerex Corp.</v>
      </c>
      <c r="B38" s="137">
        <f t="shared" si="2"/>
        <v>-635931</v>
      </c>
      <c r="C38" s="148">
        <f t="shared" si="3"/>
        <v>1211.697056259276</v>
      </c>
      <c r="D38" s="149">
        <f t="shared" si="4"/>
        <v>-349518.13561049558</v>
      </c>
      <c r="E38" s="316"/>
      <c r="F38" s="315"/>
      <c r="I38" s="131"/>
      <c r="L38" s="181" t="s">
        <v>460</v>
      </c>
      <c r="M38" s="181" t="s">
        <v>601</v>
      </c>
      <c r="O38" s="406" t="s">
        <v>180</v>
      </c>
      <c r="P38" s="471">
        <v>-635931</v>
      </c>
      <c r="Q38" s="424"/>
      <c r="R38" s="391">
        <f t="shared" si="0"/>
        <v>1211.697056259276</v>
      </c>
      <c r="S38" s="424"/>
      <c r="T38" s="391">
        <f t="shared" si="5"/>
        <v>-349518.13561049558</v>
      </c>
    </row>
    <row r="39" spans="1:20" x14ac:dyDescent="0.2">
      <c r="A39" s="176" t="str">
        <f t="shared" si="1"/>
        <v>Public Service of Colorado</v>
      </c>
      <c r="B39" s="137">
        <f t="shared" si="2"/>
        <v>139104</v>
      </c>
      <c r="C39" s="148">
        <f t="shared" si="3"/>
        <v>963.42025100000001</v>
      </c>
      <c r="D39" s="149">
        <f t="shared" si="4"/>
        <v>60788.447999999997</v>
      </c>
      <c r="E39" s="316"/>
      <c r="F39" s="315"/>
      <c r="I39" s="131"/>
      <c r="L39" s="181" t="s">
        <v>460</v>
      </c>
      <c r="M39" s="181" t="s">
        <v>601</v>
      </c>
      <c r="O39" s="406" t="s">
        <v>239</v>
      </c>
      <c r="P39" s="471">
        <v>139104</v>
      </c>
      <c r="Q39" s="424"/>
      <c r="R39" s="391">
        <f t="shared" si="0"/>
        <v>963.42025100000001</v>
      </c>
      <c r="S39" s="424"/>
      <c r="T39" s="391">
        <f t="shared" si="5"/>
        <v>60788.447999999997</v>
      </c>
    </row>
    <row r="40" spans="1:20" x14ac:dyDescent="0.2">
      <c r="A40" s="176" t="str">
        <f t="shared" si="1"/>
        <v>Rainbow Energy Marketing</v>
      </c>
      <c r="B40" s="137">
        <f t="shared" si="2"/>
        <v>11992</v>
      </c>
      <c r="C40" s="148">
        <f t="shared" si="3"/>
        <v>963.42025100000001</v>
      </c>
      <c r="D40" s="149">
        <f t="shared" si="4"/>
        <v>5240.5039999999999</v>
      </c>
      <c r="E40" s="316"/>
      <c r="F40" s="315"/>
      <c r="I40" s="131"/>
      <c r="L40" s="181" t="s">
        <v>460</v>
      </c>
      <c r="M40" s="181" t="s">
        <v>601</v>
      </c>
      <c r="O40" s="406" t="s">
        <v>240</v>
      </c>
      <c r="P40" s="471">
        <v>11992</v>
      </c>
      <c r="Q40" s="424"/>
      <c r="R40" s="391">
        <f t="shared" si="0"/>
        <v>963.42025100000001</v>
      </c>
      <c r="S40" s="424"/>
      <c r="T40" s="391">
        <f t="shared" si="5"/>
        <v>5240.5039999999999</v>
      </c>
    </row>
    <row r="41" spans="1:20" x14ac:dyDescent="0.2">
      <c r="A41" s="176" t="str">
        <f t="shared" si="1"/>
        <v>Sacramento Municipal</v>
      </c>
      <c r="B41" s="137">
        <f t="shared" si="2"/>
        <v>-26</v>
      </c>
      <c r="C41" s="148">
        <f t="shared" si="3"/>
        <v>1211.697056259276</v>
      </c>
      <c r="D41" s="149">
        <f t="shared" si="4"/>
        <v>-14.290027575118819</v>
      </c>
      <c r="E41" s="316"/>
      <c r="F41" s="315"/>
      <c r="I41" s="131"/>
      <c r="L41" s="181" t="s">
        <v>460</v>
      </c>
      <c r="M41" s="181" t="s">
        <v>601</v>
      </c>
      <c r="O41" s="406" t="s">
        <v>242</v>
      </c>
      <c r="P41" s="471">
        <v>-26</v>
      </c>
      <c r="Q41" s="424"/>
      <c r="R41" s="391">
        <f t="shared" si="0"/>
        <v>1211.697056259276</v>
      </c>
      <c r="S41" s="424"/>
      <c r="T41" s="391">
        <f t="shared" si="5"/>
        <v>-14.290027575118819</v>
      </c>
    </row>
    <row r="42" spans="1:20" x14ac:dyDescent="0.2">
      <c r="A42" s="176" t="str">
        <f t="shared" si="1"/>
        <v>Seattle City Light Marketing</v>
      </c>
      <c r="B42" s="137">
        <f t="shared" si="2"/>
        <v>73459</v>
      </c>
      <c r="C42" s="148">
        <f t="shared" si="3"/>
        <v>963.42025100000001</v>
      </c>
      <c r="D42" s="149">
        <f t="shared" si="4"/>
        <v>32101.582999999999</v>
      </c>
      <c r="E42" s="316"/>
      <c r="F42" s="315"/>
      <c r="I42" s="131"/>
      <c r="L42" s="181" t="s">
        <v>460</v>
      </c>
      <c r="M42" s="181" t="s">
        <v>601</v>
      </c>
      <c r="O42" s="406" t="s">
        <v>181</v>
      </c>
      <c r="P42" s="471">
        <v>73459</v>
      </c>
      <c r="Q42" s="424"/>
      <c r="R42" s="391">
        <f t="shared" si="0"/>
        <v>963.42025100000001</v>
      </c>
      <c r="S42" s="424"/>
      <c r="T42" s="391">
        <f t="shared" si="5"/>
        <v>32101.582999999999</v>
      </c>
    </row>
    <row r="43" spans="1:20" x14ac:dyDescent="0.2">
      <c r="A43" s="176" t="str">
        <f t="shared" si="1"/>
        <v>Shell Energy (Coral Pwr)</v>
      </c>
      <c r="B43" s="137">
        <f t="shared" si="2"/>
        <v>273386</v>
      </c>
      <c r="C43" s="148">
        <f t="shared" si="3"/>
        <v>963.42025100000001</v>
      </c>
      <c r="D43" s="149">
        <f t="shared" si="4"/>
        <v>119469.682</v>
      </c>
      <c r="E43" s="316"/>
      <c r="F43" s="315"/>
      <c r="I43" s="131"/>
      <c r="L43" s="181" t="s">
        <v>460</v>
      </c>
      <c r="M43" s="181" t="s">
        <v>601</v>
      </c>
      <c r="O43" s="406" t="s">
        <v>182</v>
      </c>
      <c r="P43" s="471">
        <v>273386</v>
      </c>
      <c r="Q43" s="424"/>
      <c r="R43" s="391">
        <f t="shared" si="0"/>
        <v>963.42025100000001</v>
      </c>
      <c r="S43" s="424"/>
      <c r="T43" s="391">
        <f t="shared" si="5"/>
        <v>119469.682</v>
      </c>
    </row>
    <row r="44" spans="1:20" x14ac:dyDescent="0.2">
      <c r="A44" s="176" t="str">
        <f t="shared" si="1"/>
        <v>Snohomish County PUD #1</v>
      </c>
      <c r="B44" s="137">
        <f t="shared" si="2"/>
        <v>-6653</v>
      </c>
      <c r="C44" s="148">
        <f t="shared" si="3"/>
        <v>1211.697056259276</v>
      </c>
      <c r="D44" s="149">
        <f t="shared" si="4"/>
        <v>-3656.5982098948271</v>
      </c>
      <c r="E44" s="316"/>
      <c r="F44" s="315"/>
      <c r="I44" s="131"/>
      <c r="L44" s="181" t="s">
        <v>460</v>
      </c>
      <c r="M44" s="181" t="s">
        <v>601</v>
      </c>
      <c r="O44" s="406" t="s">
        <v>247</v>
      </c>
      <c r="P44" s="471">
        <v>-6653</v>
      </c>
      <c r="Q44" s="424"/>
      <c r="R44" s="391">
        <f t="shared" si="0"/>
        <v>1211.697056259276</v>
      </c>
      <c r="S44" s="424"/>
      <c r="T44" s="391">
        <f t="shared" si="5"/>
        <v>-3656.5982098948271</v>
      </c>
    </row>
    <row r="45" spans="1:20" x14ac:dyDescent="0.2">
      <c r="A45" s="176" t="str">
        <f t="shared" si="1"/>
        <v>Tacoma Power</v>
      </c>
      <c r="B45" s="137">
        <f t="shared" si="2"/>
        <v>88671</v>
      </c>
      <c r="C45" s="148">
        <f t="shared" si="3"/>
        <v>963.42025100000001</v>
      </c>
      <c r="D45" s="149">
        <f t="shared" si="4"/>
        <v>38749.226999999999</v>
      </c>
      <c r="E45" s="316"/>
      <c r="F45" s="315"/>
      <c r="I45" s="131"/>
      <c r="L45" s="181" t="s">
        <v>460</v>
      </c>
      <c r="M45" s="181" t="s">
        <v>601</v>
      </c>
      <c r="O45" s="406" t="s">
        <v>183</v>
      </c>
      <c r="P45" s="471">
        <v>88671</v>
      </c>
      <c r="Q45" s="424"/>
      <c r="R45" s="391">
        <f t="shared" si="0"/>
        <v>963.42025100000001</v>
      </c>
      <c r="S45" s="424"/>
      <c r="T45" s="391">
        <f t="shared" si="5"/>
        <v>38749.226999999999</v>
      </c>
    </row>
    <row r="46" spans="1:20" x14ac:dyDescent="0.2">
      <c r="A46" s="176" t="str">
        <f t="shared" si="1"/>
        <v>Tenaska Power Services Co.</v>
      </c>
      <c r="B46" s="137">
        <f t="shared" si="2"/>
        <v>834</v>
      </c>
      <c r="C46" s="148">
        <f t="shared" si="3"/>
        <v>963.42025100000001</v>
      </c>
      <c r="D46" s="149">
        <f t="shared" si="4"/>
        <v>364.45800000000003</v>
      </c>
      <c r="E46" s="316"/>
      <c r="F46" s="315"/>
      <c r="I46" s="131"/>
      <c r="L46" s="181" t="s">
        <v>460</v>
      </c>
      <c r="M46" s="181" t="s">
        <v>601</v>
      </c>
      <c r="O46" s="406" t="s">
        <v>251</v>
      </c>
      <c r="P46" s="471">
        <v>834</v>
      </c>
      <c r="Q46" s="424"/>
      <c r="R46" s="391">
        <f t="shared" si="0"/>
        <v>963.42025100000001</v>
      </c>
      <c r="S46" s="424"/>
      <c r="T46" s="391">
        <f t="shared" si="5"/>
        <v>364.45800000000003</v>
      </c>
    </row>
    <row r="47" spans="1:20" x14ac:dyDescent="0.2">
      <c r="A47" s="176" t="str">
        <f t="shared" si="1"/>
        <v>The Energy Authority</v>
      </c>
      <c r="B47" s="137">
        <f t="shared" si="2"/>
        <v>309306</v>
      </c>
      <c r="C47" s="148">
        <f t="shared" si="3"/>
        <v>963.42025100000001</v>
      </c>
      <c r="D47" s="149">
        <f t="shared" si="4"/>
        <v>135166.72200000001</v>
      </c>
      <c r="E47" s="316"/>
      <c r="F47" s="315"/>
      <c r="I47" s="131"/>
      <c r="L47" s="181" t="s">
        <v>460</v>
      </c>
      <c r="M47" s="181" t="s">
        <v>601</v>
      </c>
      <c r="O47" s="406" t="s">
        <v>252</v>
      </c>
      <c r="P47" s="471">
        <v>309306</v>
      </c>
      <c r="Q47" s="424"/>
      <c r="R47" s="391">
        <f t="shared" si="0"/>
        <v>963.42025100000001</v>
      </c>
      <c r="S47" s="424"/>
      <c r="T47" s="391">
        <f t="shared" si="5"/>
        <v>135166.72200000001</v>
      </c>
    </row>
    <row r="48" spans="1:20" x14ac:dyDescent="0.2">
      <c r="A48" s="176" t="str">
        <f t="shared" si="1"/>
        <v>TransAlta Energy Marketing</v>
      </c>
      <c r="B48" s="137">
        <f t="shared" si="2"/>
        <v>1073698</v>
      </c>
      <c r="C48" s="148">
        <f t="shared" si="3"/>
        <v>963.42025100000001</v>
      </c>
      <c r="D48" s="149">
        <f t="shared" si="4"/>
        <v>469206.02600000001</v>
      </c>
      <c r="E48" s="316"/>
      <c r="F48" s="315"/>
      <c r="I48" s="131"/>
      <c r="L48" s="181" t="s">
        <v>460</v>
      </c>
      <c r="M48" s="181" t="s">
        <v>601</v>
      </c>
      <c r="O48" s="406" t="s">
        <v>184</v>
      </c>
      <c r="P48" s="471">
        <v>1073698</v>
      </c>
      <c r="Q48" s="424"/>
      <c r="R48" s="391">
        <f t="shared" si="0"/>
        <v>963.42025100000001</v>
      </c>
      <c r="S48" s="424"/>
      <c r="T48" s="391">
        <f t="shared" si="5"/>
        <v>469206.02600000001</v>
      </c>
    </row>
    <row r="49" spans="1:20" x14ac:dyDescent="0.2">
      <c r="A49" s="176" t="str">
        <f t="shared" si="1"/>
        <v>TransCanada Energy Sales Ltd</v>
      </c>
      <c r="B49" s="137">
        <f t="shared" si="2"/>
        <v>-32109</v>
      </c>
      <c r="C49" s="148">
        <f t="shared" si="3"/>
        <v>1211.697056259276</v>
      </c>
      <c r="D49" s="149">
        <f t="shared" si="4"/>
        <v>-17647.634438826542</v>
      </c>
      <c r="E49" s="316"/>
      <c r="F49" s="315"/>
      <c r="I49" s="131"/>
      <c r="L49" s="181" t="s">
        <v>460</v>
      </c>
      <c r="M49" s="181" t="s">
        <v>601</v>
      </c>
      <c r="O49" s="406" t="s">
        <v>254</v>
      </c>
      <c r="P49" s="471">
        <v>-32109</v>
      </c>
      <c r="Q49" s="424"/>
      <c r="R49" s="391">
        <f t="shared" si="0"/>
        <v>1211.697056259276</v>
      </c>
      <c r="S49" s="424"/>
      <c r="T49" s="391">
        <f t="shared" si="5"/>
        <v>-17647.634438826542</v>
      </c>
    </row>
    <row r="50" spans="1:20" x14ac:dyDescent="0.2">
      <c r="A50" s="176" t="str">
        <f t="shared" si="1"/>
        <v>Turlock Irrigation District</v>
      </c>
      <c r="B50" s="137">
        <f t="shared" si="2"/>
        <v>2188</v>
      </c>
      <c r="C50" s="148">
        <f t="shared" si="3"/>
        <v>963.42025100000001</v>
      </c>
      <c r="D50" s="149">
        <f t="shared" si="4"/>
        <v>956.15600000000006</v>
      </c>
      <c r="E50" s="316"/>
      <c r="F50" s="315"/>
      <c r="I50" s="131"/>
      <c r="L50" s="181" t="s">
        <v>460</v>
      </c>
      <c r="M50" s="181" t="s">
        <v>601</v>
      </c>
      <c r="O50" s="406" t="s">
        <v>256</v>
      </c>
      <c r="P50" s="471">
        <v>2188</v>
      </c>
      <c r="Q50" s="424"/>
      <c r="R50" s="391">
        <f t="shared" si="0"/>
        <v>963.42025100000001</v>
      </c>
      <c r="S50" s="424"/>
      <c r="T50" s="391">
        <f t="shared" si="5"/>
        <v>956.15600000000006</v>
      </c>
    </row>
    <row r="51" spans="1:20" x14ac:dyDescent="0.2">
      <c r="A51" s="176" t="str">
        <f t="shared" si="1"/>
        <v>Vitol Inc.</v>
      </c>
      <c r="B51" s="137">
        <f t="shared" si="2"/>
        <v>-1424</v>
      </c>
      <c r="C51" s="148">
        <f t="shared" si="3"/>
        <v>1211.697056259276</v>
      </c>
      <c r="D51" s="149">
        <f t="shared" si="4"/>
        <v>-782.65381796035376</v>
      </c>
      <c r="E51" s="316"/>
      <c r="F51" s="315"/>
      <c r="I51" s="131"/>
      <c r="L51" s="181" t="s">
        <v>460</v>
      </c>
      <c r="M51" s="181" t="s">
        <v>601</v>
      </c>
      <c r="O51" s="406" t="s">
        <v>257</v>
      </c>
      <c r="P51" s="471">
        <v>-1424</v>
      </c>
      <c r="Q51" s="424"/>
      <c r="R51" s="391">
        <f t="shared" si="0"/>
        <v>1211.697056259276</v>
      </c>
      <c r="S51" s="424"/>
      <c r="T51" s="391">
        <f t="shared" si="5"/>
        <v>-782.65381796035376</v>
      </c>
    </row>
    <row r="52" spans="1:20" x14ac:dyDescent="0.2">
      <c r="A52" s="176" t="str">
        <f t="shared" si="1"/>
        <v>Western Area Power Association</v>
      </c>
      <c r="B52" s="137">
        <f t="shared" si="2"/>
        <v>-3</v>
      </c>
      <c r="C52" s="148">
        <f t="shared" si="3"/>
        <v>1211.697056259276</v>
      </c>
      <c r="D52" s="149">
        <f t="shared" si="4"/>
        <v>-1.6488493355906328</v>
      </c>
      <c r="E52" s="316"/>
      <c r="F52" s="315"/>
      <c r="I52" s="131"/>
      <c r="L52" s="181" t="s">
        <v>460</v>
      </c>
      <c r="M52" s="181" t="s">
        <v>601</v>
      </c>
      <c r="O52" s="406" t="s">
        <v>258</v>
      </c>
      <c r="P52" s="471">
        <v>-3</v>
      </c>
      <c r="Q52" s="424"/>
      <c r="R52" s="391">
        <f t="shared" si="0"/>
        <v>1211.697056259276</v>
      </c>
      <c r="S52" s="424"/>
      <c r="T52" s="391">
        <f t="shared" si="5"/>
        <v>-1.6488493355906328</v>
      </c>
    </row>
    <row r="53" spans="1:20" x14ac:dyDescent="0.2">
      <c r="A53" s="176" t="str">
        <f t="shared" si="1"/>
        <v>Williams Power Company</v>
      </c>
      <c r="B53" s="137">
        <f t="shared" si="2"/>
        <v>-3180</v>
      </c>
      <c r="C53" s="148">
        <f t="shared" si="3"/>
        <v>1211.697056259276</v>
      </c>
      <c r="D53" s="149">
        <f t="shared" si="4"/>
        <v>-1747.7802957260708</v>
      </c>
      <c r="E53" s="316"/>
      <c r="F53" s="315"/>
      <c r="I53" s="131"/>
      <c r="L53" s="181" t="s">
        <v>460</v>
      </c>
      <c r="M53" s="181" t="s">
        <v>601</v>
      </c>
      <c r="O53" s="406" t="s">
        <v>259</v>
      </c>
      <c r="P53" s="471">
        <v>-3180</v>
      </c>
      <c r="Q53" s="424"/>
      <c r="R53" s="391">
        <f t="shared" si="0"/>
        <v>1211.697056259276</v>
      </c>
      <c r="S53" s="424"/>
      <c r="T53" s="391">
        <f t="shared" si="5"/>
        <v>-1747.7802957260708</v>
      </c>
    </row>
    <row r="54" spans="1:20" x14ac:dyDescent="0.2">
      <c r="A54" s="176" t="str">
        <f t="shared" si="1"/>
        <v>CAISO EESC Load Undistributed Costs</v>
      </c>
      <c r="B54" s="137">
        <f t="shared" si="2"/>
        <v>74381.286999999997</v>
      </c>
      <c r="C54" s="148">
        <f t="shared" si="3"/>
        <v>963.42025100000001</v>
      </c>
      <c r="D54" s="149">
        <f t="shared" si="4"/>
        <v>32504.622418999999</v>
      </c>
      <c r="E54" s="316"/>
      <c r="F54" s="315"/>
      <c r="I54" s="131"/>
      <c r="L54" s="181" t="s">
        <v>460</v>
      </c>
      <c r="M54" s="181" t="s">
        <v>602</v>
      </c>
      <c r="O54" s="406" t="s">
        <v>196</v>
      </c>
      <c r="P54" s="471">
        <v>74381.286999999997</v>
      </c>
      <c r="Q54" s="424"/>
      <c r="R54" s="391">
        <f t="shared" si="0"/>
        <v>963.42025100000001</v>
      </c>
      <c r="S54" s="424"/>
      <c r="T54" s="391">
        <f t="shared" si="5"/>
        <v>32504.622418999999</v>
      </c>
    </row>
    <row r="55" spans="1:20" x14ac:dyDescent="0.2">
      <c r="A55" s="176" t="str">
        <f t="shared" si="1"/>
        <v>CAISO PRSC Undistributed Costs</v>
      </c>
      <c r="B55" s="137">
        <f t="shared" si="2"/>
        <v>-12654.361999999999</v>
      </c>
      <c r="C55" s="148">
        <f t="shared" si="3"/>
        <v>1211.697056259276</v>
      </c>
      <c r="D55" s="149">
        <f t="shared" si="4"/>
        <v>-6955.0454586744509</v>
      </c>
      <c r="E55" s="316"/>
      <c r="F55" s="315"/>
      <c r="I55" s="131"/>
      <c r="L55" s="181" t="s">
        <v>460</v>
      </c>
      <c r="M55" s="181" t="s">
        <v>602</v>
      </c>
      <c r="O55" s="406" t="s">
        <v>344</v>
      </c>
      <c r="P55" s="471">
        <v>-12654.361999999999</v>
      </c>
      <c r="Q55" s="424"/>
      <c r="R55" s="391">
        <f t="shared" si="0"/>
        <v>1211.697056259276</v>
      </c>
      <c r="S55" s="424"/>
      <c r="T55" s="391">
        <f t="shared" si="5"/>
        <v>-6955.0454586744509</v>
      </c>
    </row>
    <row r="56" spans="1:20" x14ac:dyDescent="0.2">
      <c r="A56" s="176" t="str">
        <f t="shared" si="1"/>
        <v>Chelan PUD - RI &amp; RR</v>
      </c>
      <c r="B56" s="137">
        <f t="shared" si="2"/>
        <v>-5021.32</v>
      </c>
      <c r="C56" s="148">
        <f t="shared" si="3"/>
        <v>1211.697056259276</v>
      </c>
      <c r="D56" s="149">
        <f t="shared" si="4"/>
        <v>-2759.8000485959856</v>
      </c>
      <c r="E56" s="316"/>
      <c r="F56" s="315"/>
      <c r="I56" s="131"/>
      <c r="L56" s="181" t="s">
        <v>460</v>
      </c>
      <c r="M56" s="181" t="s">
        <v>602</v>
      </c>
      <c r="N56" s="181" t="s">
        <v>426</v>
      </c>
      <c r="O56" s="406" t="s">
        <v>289</v>
      </c>
      <c r="P56" s="471">
        <v>-5021.32</v>
      </c>
      <c r="Q56" s="424"/>
      <c r="R56" s="391">
        <f t="shared" si="0"/>
        <v>1211.697056259276</v>
      </c>
      <c r="S56" s="424"/>
      <c r="T56" s="391">
        <f t="shared" si="5"/>
        <v>-2759.8000485959856</v>
      </c>
    </row>
    <row r="57" spans="1:20" x14ac:dyDescent="0.2">
      <c r="A57" s="176" t="str">
        <f t="shared" si="1"/>
        <v>Colstrip - Energy Imbalance Market</v>
      </c>
      <c r="B57" s="137">
        <f t="shared" si="2"/>
        <v>7285.8230000000003</v>
      </c>
      <c r="C57" s="148">
        <f t="shared" si="3"/>
        <v>963.42025100000001</v>
      </c>
      <c r="D57" s="149">
        <f t="shared" si="4"/>
        <v>3183.9046510000003</v>
      </c>
      <c r="E57" s="316"/>
      <c r="F57" s="315"/>
      <c r="I57" s="131"/>
      <c r="L57" s="181" t="s">
        <v>461</v>
      </c>
      <c r="M57" s="181" t="s">
        <v>602</v>
      </c>
      <c r="O57" s="406" t="s">
        <v>345</v>
      </c>
      <c r="P57" s="471">
        <v>7285.8230000000003</v>
      </c>
      <c r="Q57" s="424"/>
      <c r="R57" s="391">
        <f t="shared" si="0"/>
        <v>963.42025100000001</v>
      </c>
      <c r="S57" s="424"/>
      <c r="T57" s="391">
        <f t="shared" si="5"/>
        <v>3183.9046510000003</v>
      </c>
    </row>
    <row r="58" spans="1:20" x14ac:dyDescent="0.2">
      <c r="A58" s="176" t="str">
        <f t="shared" si="1"/>
        <v>Douglas PUD - Wells Project</v>
      </c>
      <c r="B58" s="137">
        <f t="shared" si="2"/>
        <v>42348.861999999994</v>
      </c>
      <c r="C58" s="148">
        <f t="shared" si="3"/>
        <v>963.42025100000001</v>
      </c>
      <c r="D58" s="149">
        <f t="shared" si="4"/>
        <v>18506.452693999996</v>
      </c>
      <c r="E58" s="316"/>
      <c r="F58" s="315"/>
      <c r="I58" s="131"/>
      <c r="L58" s="181" t="s">
        <v>460</v>
      </c>
      <c r="M58" s="181" t="s">
        <v>602</v>
      </c>
      <c r="N58" s="181" t="s">
        <v>426</v>
      </c>
      <c r="O58" s="406" t="s">
        <v>292</v>
      </c>
      <c r="P58" s="471">
        <v>42348.861999999994</v>
      </c>
      <c r="Q58" s="424"/>
      <c r="R58" s="391">
        <f t="shared" si="0"/>
        <v>963.42025100000001</v>
      </c>
      <c r="S58" s="424"/>
      <c r="T58" s="391">
        <f t="shared" si="5"/>
        <v>18506.452693999996</v>
      </c>
    </row>
    <row r="59" spans="1:20" x14ac:dyDescent="0.2">
      <c r="A59" s="176" t="str">
        <f t="shared" si="1"/>
        <v>Encogen</v>
      </c>
      <c r="B59" s="137">
        <f t="shared" si="2"/>
        <v>-14035.461999999996</v>
      </c>
      <c r="C59" s="148">
        <f t="shared" si="3"/>
        <v>1211.697056259276</v>
      </c>
      <c r="D59" s="149">
        <f t="shared" si="4"/>
        <v>-7714.1207311358567</v>
      </c>
      <c r="E59" s="316"/>
      <c r="F59" s="315"/>
      <c r="I59" s="131"/>
      <c r="L59" s="181" t="s">
        <v>461</v>
      </c>
      <c r="M59" s="181" t="s">
        <v>602</v>
      </c>
      <c r="O59" s="406" t="s">
        <v>268</v>
      </c>
      <c r="P59" s="471">
        <v>-14035.461999999996</v>
      </c>
      <c r="Q59" s="424"/>
      <c r="R59" s="391">
        <f t="shared" si="0"/>
        <v>1211.697056259276</v>
      </c>
      <c r="S59" s="424"/>
      <c r="T59" s="391">
        <f t="shared" si="5"/>
        <v>-7714.1207311358567</v>
      </c>
    </row>
    <row r="60" spans="1:20" x14ac:dyDescent="0.2">
      <c r="A60" s="176" t="str">
        <f t="shared" si="1"/>
        <v>Ferndale Co-Generation</v>
      </c>
      <c r="B60" s="137">
        <f t="shared" si="2"/>
        <v>-23277.165000000001</v>
      </c>
      <c r="C60" s="148">
        <f t="shared" si="3"/>
        <v>1211.697056259276</v>
      </c>
      <c r="D60" s="149">
        <f t="shared" si="4"/>
        <v>-12793.512681561178</v>
      </c>
      <c r="E60" s="316"/>
      <c r="F60" s="315"/>
      <c r="I60" s="131"/>
      <c r="L60" s="181" t="s">
        <v>461</v>
      </c>
      <c r="M60" s="181" t="s">
        <v>602</v>
      </c>
      <c r="O60" s="406" t="s">
        <v>269</v>
      </c>
      <c r="P60" s="471">
        <v>-23277.165000000001</v>
      </c>
      <c r="Q60" s="424"/>
      <c r="R60" s="391">
        <f t="shared" si="0"/>
        <v>1211.697056259276</v>
      </c>
      <c r="S60" s="424"/>
      <c r="T60" s="391">
        <f t="shared" si="5"/>
        <v>-12793.512681561178</v>
      </c>
    </row>
    <row r="61" spans="1:20" x14ac:dyDescent="0.2">
      <c r="A61" s="176" t="str">
        <f t="shared" si="1"/>
        <v>Freddie #1</v>
      </c>
      <c r="B61" s="137">
        <f t="shared" si="2"/>
        <v>3646.0079999999998</v>
      </c>
      <c r="C61" s="148">
        <f t="shared" si="3"/>
        <v>963.42025100000001</v>
      </c>
      <c r="D61" s="149">
        <f t="shared" si="4"/>
        <v>1593.3054959999999</v>
      </c>
      <c r="E61" s="316"/>
      <c r="F61" s="315"/>
      <c r="I61" s="131"/>
      <c r="L61" s="181" t="s">
        <v>461</v>
      </c>
      <c r="M61" s="181" t="s">
        <v>602</v>
      </c>
      <c r="O61" s="406" t="s">
        <v>270</v>
      </c>
      <c r="P61" s="471">
        <v>3646.0079999999998</v>
      </c>
      <c r="Q61" s="424"/>
      <c r="R61" s="391">
        <f t="shared" si="0"/>
        <v>963.42025100000001</v>
      </c>
      <c r="S61" s="424"/>
      <c r="T61" s="391">
        <f t="shared" si="5"/>
        <v>1593.3054959999999</v>
      </c>
    </row>
    <row r="62" spans="1:20" x14ac:dyDescent="0.2">
      <c r="A62" s="176" t="str">
        <f t="shared" si="1"/>
        <v>Fredonia - Energy Imbalance Market</v>
      </c>
      <c r="B62" s="137">
        <f t="shared" si="2"/>
        <v>3202.7489999999998</v>
      </c>
      <c r="C62" s="148">
        <f t="shared" si="3"/>
        <v>963.42025100000001</v>
      </c>
      <c r="D62" s="149">
        <f t="shared" si="4"/>
        <v>1399.6013129999999</v>
      </c>
      <c r="E62" s="316"/>
      <c r="F62" s="315"/>
      <c r="I62" s="131"/>
      <c r="L62" s="181" t="s">
        <v>461</v>
      </c>
      <c r="M62" s="181" t="s">
        <v>602</v>
      </c>
      <c r="O62" s="406" t="s">
        <v>346</v>
      </c>
      <c r="P62" s="471">
        <v>3202.7489999999998</v>
      </c>
      <c r="Q62" s="424"/>
      <c r="R62" s="391">
        <f t="shared" si="0"/>
        <v>963.42025100000001</v>
      </c>
      <c r="S62" s="424"/>
      <c r="T62" s="391">
        <f t="shared" si="5"/>
        <v>1399.6013129999999</v>
      </c>
    </row>
    <row r="63" spans="1:20" x14ac:dyDescent="0.2">
      <c r="A63" s="176" t="str">
        <f t="shared" si="1"/>
        <v>Fredrickson 1 &amp; 2</v>
      </c>
      <c r="B63" s="137">
        <f t="shared" si="2"/>
        <v>-1110.9149999999991</v>
      </c>
      <c r="C63" s="148">
        <f t="shared" si="3"/>
        <v>1211.697056259276</v>
      </c>
      <c r="D63" s="149">
        <f t="shared" si="4"/>
        <v>-610.57715321588887</v>
      </c>
      <c r="E63" s="316"/>
      <c r="F63" s="315"/>
      <c r="I63" s="131"/>
      <c r="L63" s="181" t="s">
        <v>461</v>
      </c>
      <c r="M63" s="181" t="s">
        <v>602</v>
      </c>
      <c r="O63" s="406" t="s">
        <v>273</v>
      </c>
      <c r="P63" s="471">
        <v>-1110.9149999999991</v>
      </c>
      <c r="Q63" s="424"/>
      <c r="R63" s="391">
        <f t="shared" si="0"/>
        <v>1211.697056259276</v>
      </c>
      <c r="S63" s="424"/>
      <c r="T63" s="391">
        <f t="shared" si="5"/>
        <v>-610.57715321588887</v>
      </c>
    </row>
    <row r="64" spans="1:20" x14ac:dyDescent="0.2">
      <c r="A64" s="176" t="str">
        <f t="shared" si="1"/>
        <v>Goldendale</v>
      </c>
      <c r="B64" s="137">
        <f t="shared" si="2"/>
        <v>4864.8320000000022</v>
      </c>
      <c r="C64" s="148">
        <f t="shared" si="3"/>
        <v>963.42025100000001</v>
      </c>
      <c r="D64" s="149">
        <f t="shared" si="4"/>
        <v>2125.9315840000008</v>
      </c>
      <c r="E64" s="316"/>
      <c r="F64" s="315"/>
      <c r="I64" s="131"/>
      <c r="L64" s="181" t="s">
        <v>461</v>
      </c>
      <c r="M64" s="181" t="s">
        <v>602</v>
      </c>
      <c r="O64" s="406" t="s">
        <v>274</v>
      </c>
      <c r="P64" s="471">
        <v>4864.8320000000022</v>
      </c>
      <c r="Q64" s="424"/>
      <c r="R64" s="391">
        <f t="shared" si="0"/>
        <v>963.42025100000001</v>
      </c>
      <c r="S64" s="424"/>
      <c r="T64" s="391">
        <f t="shared" si="5"/>
        <v>2125.9315840000008</v>
      </c>
    </row>
    <row r="65" spans="1:21" x14ac:dyDescent="0.2">
      <c r="A65" s="176" t="str">
        <f t="shared" si="1"/>
        <v>Grant PUD - Priest Rapids Project</v>
      </c>
      <c r="B65" s="137">
        <f t="shared" si="2"/>
        <v>-1301.7139999999999</v>
      </c>
      <c r="C65" s="148">
        <f t="shared" si="3"/>
        <v>1211.697056259276</v>
      </c>
      <c r="D65" s="149">
        <f t="shared" si="4"/>
        <v>-715.44342134300837</v>
      </c>
      <c r="E65" s="316"/>
      <c r="F65" s="315"/>
      <c r="I65" s="131"/>
      <c r="L65" s="181" t="s">
        <v>460</v>
      </c>
      <c r="M65" s="181" t="s">
        <v>602</v>
      </c>
      <c r="N65" s="181" t="s">
        <v>426</v>
      </c>
      <c r="O65" s="406" t="s">
        <v>297</v>
      </c>
      <c r="P65" s="471">
        <v>-1301.7139999999999</v>
      </c>
      <c r="Q65" s="424"/>
      <c r="R65" s="391">
        <f t="shared" si="0"/>
        <v>1211.697056259276</v>
      </c>
      <c r="S65" s="424"/>
      <c r="T65" s="391">
        <f t="shared" si="5"/>
        <v>-715.44342134300837</v>
      </c>
    </row>
    <row r="66" spans="1:21" x14ac:dyDescent="0.2">
      <c r="A66" s="176" t="str">
        <f t="shared" si="1"/>
        <v>Lower Baker</v>
      </c>
      <c r="B66" s="137">
        <f t="shared" si="2"/>
        <v>137.714</v>
      </c>
      <c r="C66" s="148">
        <f t="shared" si="3"/>
        <v>963.42025100000001</v>
      </c>
      <c r="D66" s="149">
        <f t="shared" si="4"/>
        <v>60.181017999999995</v>
      </c>
      <c r="E66" s="316"/>
      <c r="F66" s="315"/>
      <c r="I66" s="131"/>
      <c r="L66" s="181" t="s">
        <v>461</v>
      </c>
      <c r="M66" s="181" t="s">
        <v>602</v>
      </c>
      <c r="O66" s="406" t="s">
        <v>263</v>
      </c>
      <c r="P66" s="471">
        <v>137.714</v>
      </c>
      <c r="Q66" s="424"/>
      <c r="R66" s="391">
        <f t="shared" si="0"/>
        <v>963.42025100000001</v>
      </c>
      <c r="S66" s="424"/>
      <c r="T66" s="391">
        <f t="shared" si="5"/>
        <v>60.181017999999995</v>
      </c>
    </row>
    <row r="67" spans="1:21" x14ac:dyDescent="0.2">
      <c r="A67" s="176" t="str">
        <f t="shared" si="1"/>
        <v>MID-C for Energy Imbalance Market</v>
      </c>
      <c r="B67" s="137">
        <f t="shared" si="2"/>
        <v>24608.09600000002</v>
      </c>
      <c r="C67" s="148">
        <f t="shared" si="3"/>
        <v>963.42025100000001</v>
      </c>
      <c r="D67" s="149">
        <f t="shared" si="4"/>
        <v>10753.737952000009</v>
      </c>
      <c r="E67" s="316"/>
      <c r="F67" s="315"/>
      <c r="I67" s="131"/>
      <c r="L67" s="181" t="s">
        <v>460</v>
      </c>
      <c r="M67" s="181" t="s">
        <v>602</v>
      </c>
      <c r="N67" s="181" t="s">
        <v>462</v>
      </c>
      <c r="O67" s="406" t="s">
        <v>347</v>
      </c>
      <c r="P67" s="471">
        <v>24608.09600000002</v>
      </c>
      <c r="Q67" s="424"/>
      <c r="R67" s="391">
        <f t="shared" si="0"/>
        <v>963.42025100000001</v>
      </c>
      <c r="S67" s="424"/>
      <c r="T67" s="391">
        <f t="shared" si="5"/>
        <v>10753.737952000009</v>
      </c>
    </row>
    <row r="68" spans="1:21" x14ac:dyDescent="0.2">
      <c r="A68" s="176" t="str">
        <f t="shared" si="1"/>
        <v>Mint Farm</v>
      </c>
      <c r="B68" s="137">
        <f t="shared" si="2"/>
        <v>37934.418999999994</v>
      </c>
      <c r="C68" s="148">
        <f t="shared" si="3"/>
        <v>963.42025100000001</v>
      </c>
      <c r="D68" s="149">
        <f t="shared" si="4"/>
        <v>16577.341102999999</v>
      </c>
      <c r="E68" s="316"/>
      <c r="F68" s="315"/>
      <c r="I68" s="131"/>
      <c r="L68" s="181" t="s">
        <v>461</v>
      </c>
      <c r="M68" s="181" t="s">
        <v>602</v>
      </c>
      <c r="O68" s="406" t="s">
        <v>277</v>
      </c>
      <c r="P68" s="471">
        <v>37934.418999999994</v>
      </c>
      <c r="Q68" s="424"/>
      <c r="R68" s="391">
        <f t="shared" si="0"/>
        <v>963.42025100000001</v>
      </c>
      <c r="S68" s="424"/>
      <c r="T68" s="391">
        <f t="shared" si="5"/>
        <v>16577.341102999999</v>
      </c>
    </row>
    <row r="69" spans="1:21" x14ac:dyDescent="0.2">
      <c r="A69" s="176" t="str">
        <f t="shared" si="1"/>
        <v>Snoqualmie-Energy Imbalance Market</v>
      </c>
      <c r="B69" s="137">
        <f t="shared" si="2"/>
        <v>-654.31200000000001</v>
      </c>
      <c r="C69" s="148">
        <f t="shared" si="3"/>
        <v>1211.697056259276</v>
      </c>
      <c r="D69" s="149">
        <f t="shared" si="4"/>
        <v>-359.62063548965943</v>
      </c>
      <c r="E69" s="316"/>
      <c r="F69" s="315"/>
      <c r="I69" s="131"/>
      <c r="L69" s="181" t="s">
        <v>461</v>
      </c>
      <c r="M69" s="181" t="s">
        <v>602</v>
      </c>
      <c r="O69" s="406" t="s">
        <v>348</v>
      </c>
      <c r="P69" s="471">
        <v>-654.31200000000001</v>
      </c>
      <c r="Q69" s="424"/>
      <c r="R69" s="391">
        <f t="shared" ref="R69:R73" si="6">IF(P69&gt;0,I$3,I$8)</f>
        <v>1211.697056259276</v>
      </c>
      <c r="S69" s="424"/>
      <c r="T69" s="391">
        <f t="shared" si="5"/>
        <v>-359.62063548965943</v>
      </c>
    </row>
    <row r="70" spans="1:21" x14ac:dyDescent="0.2">
      <c r="A70" s="176" t="str">
        <f t="shared" ref="A70:A73" si="7">O70</f>
        <v>Sumas</v>
      </c>
      <c r="B70" s="137">
        <f t="shared" ref="B70:B73" si="8">P70</f>
        <v>7130.0550000000003</v>
      </c>
      <c r="C70" s="148">
        <f t="shared" ref="C70:C73" si="9">R70</f>
        <v>963.42025100000001</v>
      </c>
      <c r="D70" s="149">
        <f t="shared" ref="D70:D73" si="10">T70</f>
        <v>3115.8340350000003</v>
      </c>
      <c r="E70" s="316"/>
      <c r="F70" s="315"/>
      <c r="I70" s="131"/>
      <c r="L70" s="181" t="s">
        <v>461</v>
      </c>
      <c r="M70" s="181" t="s">
        <v>602</v>
      </c>
      <c r="O70" s="406" t="s">
        <v>278</v>
      </c>
      <c r="P70" s="471">
        <v>7130.0550000000003</v>
      </c>
      <c r="Q70" s="424"/>
      <c r="R70" s="391">
        <f t="shared" si="6"/>
        <v>963.42025100000001</v>
      </c>
      <c r="S70" s="424"/>
      <c r="T70" s="391">
        <f t="shared" ref="T70:T73" si="11">(P70*R70)/2204.623</f>
        <v>3115.8340350000003</v>
      </c>
    </row>
    <row r="71" spans="1:21" x14ac:dyDescent="0.2">
      <c r="A71" s="176" t="str">
        <f t="shared" si="7"/>
        <v>Upper Baker</v>
      </c>
      <c r="B71" s="137">
        <f t="shared" si="8"/>
        <v>33748.023999999998</v>
      </c>
      <c r="C71" s="148">
        <f t="shared" si="9"/>
        <v>963.42025100000001</v>
      </c>
      <c r="D71" s="149">
        <f t="shared" si="10"/>
        <v>14747.886487999998</v>
      </c>
      <c r="E71" s="316"/>
      <c r="F71" s="315"/>
      <c r="I71" s="131"/>
      <c r="L71" s="181" t="s">
        <v>461</v>
      </c>
      <c r="M71" s="181" t="s">
        <v>602</v>
      </c>
      <c r="O71" s="406" t="s">
        <v>266</v>
      </c>
      <c r="P71" s="471">
        <v>33748.023999999998</v>
      </c>
      <c r="Q71" s="424"/>
      <c r="R71" s="391">
        <f t="shared" si="6"/>
        <v>963.42025100000001</v>
      </c>
      <c r="S71" s="424"/>
      <c r="T71" s="391">
        <f t="shared" si="11"/>
        <v>14747.886487999998</v>
      </c>
    </row>
    <row r="72" spans="1:21" x14ac:dyDescent="0.2">
      <c r="A72" s="176" t="str">
        <f t="shared" si="7"/>
        <v>Whitehorn 2&amp;3</v>
      </c>
      <c r="B72" s="137">
        <f t="shared" si="8"/>
        <v>-14.910000000000309</v>
      </c>
      <c r="C72" s="148">
        <f t="shared" si="9"/>
        <v>1211.697056259276</v>
      </c>
      <c r="D72" s="149">
        <f t="shared" si="10"/>
        <v>-8.1947811978856162</v>
      </c>
      <c r="E72" s="316"/>
      <c r="F72" s="315"/>
      <c r="I72" s="131"/>
      <c r="L72" s="181" t="s">
        <v>461</v>
      </c>
      <c r="M72" s="181" t="s">
        <v>602</v>
      </c>
      <c r="O72" s="406" t="s">
        <v>279</v>
      </c>
      <c r="P72" s="471">
        <v>-14.910000000000309</v>
      </c>
      <c r="Q72" s="424"/>
      <c r="R72" s="391">
        <f t="shared" si="6"/>
        <v>1211.697056259276</v>
      </c>
      <c r="S72" s="424"/>
      <c r="T72" s="391">
        <f t="shared" si="11"/>
        <v>-8.1947811978856162</v>
      </c>
    </row>
    <row r="73" spans="1:21" x14ac:dyDescent="0.2">
      <c r="A73" s="176" t="str">
        <f t="shared" si="7"/>
        <v>Wild Horse (W183)</v>
      </c>
      <c r="B73" s="137">
        <f t="shared" si="8"/>
        <v>-23221.153000000006</v>
      </c>
      <c r="C73" s="148">
        <f t="shared" si="9"/>
        <v>1211.697056259276</v>
      </c>
      <c r="D73" s="149">
        <f t="shared" si="10"/>
        <v>-12762.727565232814</v>
      </c>
      <c r="E73" s="316"/>
      <c r="F73" s="315"/>
      <c r="I73" s="131"/>
      <c r="L73" s="181" t="s">
        <v>461</v>
      </c>
      <c r="M73" s="181" t="s">
        <v>602</v>
      </c>
      <c r="O73" s="406" t="s">
        <v>280</v>
      </c>
      <c r="P73" s="471">
        <v>-23221.153000000006</v>
      </c>
      <c r="Q73" s="424"/>
      <c r="R73" s="391">
        <f t="shared" si="6"/>
        <v>1211.697056259276</v>
      </c>
      <c r="S73" s="424"/>
      <c r="T73" s="391">
        <f t="shared" si="11"/>
        <v>-12762.727565232814</v>
      </c>
    </row>
    <row r="74" spans="1:21" x14ac:dyDescent="0.2">
      <c r="A74" s="176"/>
      <c r="B74" s="137"/>
      <c r="C74" s="148"/>
      <c r="D74" s="149"/>
      <c r="E74" s="316"/>
      <c r="F74" s="315"/>
      <c r="I74" s="131"/>
      <c r="P74" s="471">
        <f>SUM(P5:P73)</f>
        <v>2404646.9660000005</v>
      </c>
      <c r="Q74" s="424"/>
      <c r="R74" s="391"/>
      <c r="S74" s="424"/>
      <c r="T74" s="391"/>
    </row>
    <row r="75" spans="1:21" x14ac:dyDescent="0.2">
      <c r="A75" s="176"/>
      <c r="B75" s="137"/>
      <c r="C75" s="148"/>
      <c r="D75" s="149"/>
      <c r="E75" s="316"/>
      <c r="F75" s="315"/>
      <c r="I75" s="131"/>
      <c r="P75" s="471"/>
      <c r="Q75" s="424"/>
      <c r="R75" s="391"/>
      <c r="S75" s="424"/>
      <c r="T75" s="391"/>
    </row>
    <row r="76" spans="1:21" x14ac:dyDescent="0.2">
      <c r="A76" s="176"/>
      <c r="B76" s="137"/>
      <c r="C76" s="148"/>
      <c r="D76" s="149"/>
      <c r="E76" s="316"/>
      <c r="F76" s="315"/>
      <c r="I76" s="131"/>
      <c r="P76" s="471"/>
      <c r="Q76" s="424"/>
      <c r="R76" s="391"/>
      <c r="S76" s="424"/>
      <c r="T76" s="391"/>
    </row>
    <row r="77" spans="1:21" x14ac:dyDescent="0.2">
      <c r="A77" s="176"/>
      <c r="B77" s="137"/>
      <c r="C77" s="148"/>
      <c r="D77" s="149"/>
      <c r="E77" s="316"/>
      <c r="F77" s="315"/>
      <c r="I77" s="131"/>
      <c r="P77" s="500"/>
      <c r="Q77" s="424"/>
      <c r="R77" s="362"/>
      <c r="S77" s="426"/>
      <c r="T77" s="362"/>
      <c r="U77" s="134"/>
    </row>
    <row r="78" spans="1:21" x14ac:dyDescent="0.2">
      <c r="A78" s="176"/>
      <c r="B78" s="137"/>
      <c r="C78" s="148"/>
      <c r="D78" s="149"/>
      <c r="E78" s="316"/>
      <c r="F78" s="315"/>
      <c r="I78" s="131"/>
      <c r="P78" s="500"/>
      <c r="Q78" s="424"/>
      <c r="R78" s="362"/>
      <c r="S78" s="426"/>
      <c r="T78" s="391"/>
      <c r="U78" s="134"/>
    </row>
    <row r="79" spans="1:21" x14ac:dyDescent="0.2">
      <c r="A79" s="176"/>
      <c r="B79" s="137"/>
      <c r="C79" s="148"/>
      <c r="D79" s="149"/>
      <c r="E79" s="316"/>
      <c r="F79" s="315"/>
      <c r="I79" s="131"/>
      <c r="P79" s="500"/>
      <c r="Q79" s="424"/>
      <c r="R79" s="362"/>
      <c r="S79" s="426"/>
      <c r="T79" s="391"/>
      <c r="U79" s="134"/>
    </row>
    <row r="80" spans="1:21" ht="21" customHeight="1" x14ac:dyDescent="0.2">
      <c r="A80" s="144" t="s">
        <v>419</v>
      </c>
      <c r="B80" s="305">
        <f>SUM(B5:B79)</f>
        <v>2278882.9660000005</v>
      </c>
      <c r="C80" s="306"/>
      <c r="D80" s="327">
        <f>SUM(D5:D79)</f>
        <v>744608.3509279727</v>
      </c>
      <c r="E80" s="305"/>
      <c r="I80" s="131"/>
      <c r="P80" s="447"/>
      <c r="Q80" s="424"/>
      <c r="R80" s="362"/>
      <c r="S80" s="426"/>
      <c r="T80" s="391"/>
      <c r="U80" s="134"/>
    </row>
    <row r="81" spans="9:20" x14ac:dyDescent="0.25">
      <c r="I81" s="131"/>
      <c r="Q81" s="518"/>
      <c r="R81" s="518"/>
      <c r="S81" s="518"/>
      <c r="T81" s="518"/>
    </row>
    <row r="82" spans="9:20" x14ac:dyDescent="0.25">
      <c r="I82" s="131"/>
    </row>
    <row r="83" spans="9:20" x14ac:dyDescent="0.25">
      <c r="I83" s="131"/>
    </row>
    <row r="84" spans="9:20" x14ac:dyDescent="0.25">
      <c r="I84" s="131"/>
    </row>
    <row r="85" spans="9:20" x14ac:dyDescent="0.25">
      <c r="I85" s="131"/>
    </row>
    <row r="86" spans="9:20" x14ac:dyDescent="0.25">
      <c r="I86" s="131"/>
    </row>
    <row r="87" spans="9:20" x14ac:dyDescent="0.25">
      <c r="I87" s="131"/>
    </row>
    <row r="88" spans="9:20" x14ac:dyDescent="0.25">
      <c r="I88" s="131"/>
    </row>
    <row r="89" spans="9:20" x14ac:dyDescent="0.25">
      <c r="I89" s="131"/>
    </row>
    <row r="90" spans="9:20" x14ac:dyDescent="0.25">
      <c r="I90" s="131"/>
    </row>
    <row r="91" spans="9:20" x14ac:dyDescent="0.25">
      <c r="I91" s="131"/>
    </row>
    <row r="92" spans="9:20" x14ac:dyDescent="0.25">
      <c r="I92" s="131"/>
    </row>
    <row r="93" spans="9:20" x14ac:dyDescent="0.25">
      <c r="I93" s="131"/>
    </row>
    <row r="94" spans="9:20" x14ac:dyDescent="0.25">
      <c r="I94" s="131"/>
    </row>
    <row r="95" spans="9:20" x14ac:dyDescent="0.25">
      <c r="I95" s="131"/>
    </row>
    <row r="96" spans="9:20" x14ac:dyDescent="0.25">
      <c r="I96" s="131"/>
    </row>
    <row r="97" spans="9:9" x14ac:dyDescent="0.25">
      <c r="I97" s="131"/>
    </row>
    <row r="98" spans="9:9" x14ac:dyDescent="0.25">
      <c r="I98" s="131"/>
    </row>
    <row r="99" spans="9:9" x14ac:dyDescent="0.25">
      <c r="I99" s="131"/>
    </row>
    <row r="100" spans="9:9" x14ac:dyDescent="0.25">
      <c r="I100" s="131"/>
    </row>
    <row r="101" spans="9:9" x14ac:dyDescent="0.25">
      <c r="I101" s="131"/>
    </row>
    <row r="102" spans="9:9" x14ac:dyDescent="0.25">
      <c r="I102" s="131"/>
    </row>
    <row r="103" spans="9:9" x14ac:dyDescent="0.25">
      <c r="I103" s="131"/>
    </row>
    <row r="104" spans="9:9" x14ac:dyDescent="0.25">
      <c r="I104" s="131"/>
    </row>
    <row r="105" spans="9:9" x14ac:dyDescent="0.25">
      <c r="I105" s="131"/>
    </row>
    <row r="106" spans="9:9" x14ac:dyDescent="0.25">
      <c r="I106" s="131"/>
    </row>
    <row r="107" spans="9:9" x14ac:dyDescent="0.25">
      <c r="I107" s="131"/>
    </row>
    <row r="108" spans="9:9" x14ac:dyDescent="0.25">
      <c r="I108" s="131"/>
    </row>
    <row r="109" spans="9:9" x14ac:dyDescent="0.25">
      <c r="I109" s="131"/>
    </row>
    <row r="110" spans="9:9" x14ac:dyDescent="0.25">
      <c r="I110" s="131"/>
    </row>
    <row r="111" spans="9:9" x14ac:dyDescent="0.25">
      <c r="I111" s="131"/>
    </row>
    <row r="112" spans="9:9" x14ac:dyDescent="0.25">
      <c r="I112" s="131"/>
    </row>
    <row r="113" spans="9:9" x14ac:dyDescent="0.25">
      <c r="I113" s="131"/>
    </row>
    <row r="114" spans="9:9" x14ac:dyDescent="0.25">
      <c r="I114" s="131"/>
    </row>
    <row r="115" spans="9:9" x14ac:dyDescent="0.25">
      <c r="I115" s="131"/>
    </row>
    <row r="116" spans="9:9" x14ac:dyDescent="0.25">
      <c r="I116" s="131"/>
    </row>
    <row r="117" spans="9:9" x14ac:dyDescent="0.25">
      <c r="I117" s="131"/>
    </row>
    <row r="118" spans="9:9" x14ac:dyDescent="0.25">
      <c r="I118" s="131"/>
    </row>
    <row r="119" spans="9:9" x14ac:dyDescent="0.25">
      <c r="I119" s="131"/>
    </row>
    <row r="120" spans="9:9" x14ac:dyDescent="0.25">
      <c r="I120" s="131"/>
    </row>
    <row r="121" spans="9:9" x14ac:dyDescent="0.25">
      <c r="I121" s="131"/>
    </row>
    <row r="122" spans="9:9" x14ac:dyDescent="0.25">
      <c r="I122" s="131"/>
    </row>
    <row r="123" spans="9:9" x14ac:dyDescent="0.25">
      <c r="I123" s="131"/>
    </row>
    <row r="124" spans="9:9" x14ac:dyDescent="0.25">
      <c r="I124" s="131"/>
    </row>
    <row r="125" spans="9:9" x14ac:dyDescent="0.25">
      <c r="I125" s="131"/>
    </row>
    <row r="126" spans="9:9" x14ac:dyDescent="0.25">
      <c r="I126" s="131"/>
    </row>
    <row r="127" spans="9:9" x14ac:dyDescent="0.25">
      <c r="I127" s="131"/>
    </row>
    <row r="128" spans="9:9" x14ac:dyDescent="0.25">
      <c r="I128" s="131"/>
    </row>
    <row r="129" spans="9:9" x14ac:dyDescent="0.25">
      <c r="I129" s="131"/>
    </row>
    <row r="130" spans="9:9" x14ac:dyDescent="0.25">
      <c r="I130" s="131"/>
    </row>
    <row r="131" spans="9:9" x14ac:dyDescent="0.25">
      <c r="I131" s="131"/>
    </row>
    <row r="132" spans="9:9" x14ac:dyDescent="0.25">
      <c r="I132" s="131"/>
    </row>
    <row r="133" spans="9:9" x14ac:dyDescent="0.25">
      <c r="I133" s="131"/>
    </row>
    <row r="134" spans="9:9" x14ac:dyDescent="0.25">
      <c r="I134" s="131"/>
    </row>
    <row r="135" spans="9:9" x14ac:dyDescent="0.25">
      <c r="I135" s="131"/>
    </row>
    <row r="136" spans="9:9" x14ac:dyDescent="0.25">
      <c r="I136" s="131"/>
    </row>
    <row r="137" spans="9:9" x14ac:dyDescent="0.25">
      <c r="I137" s="131"/>
    </row>
    <row r="138" spans="9:9" x14ac:dyDescent="0.25">
      <c r="I138" s="131"/>
    </row>
    <row r="139" spans="9:9" x14ac:dyDescent="0.25">
      <c r="I139" s="131"/>
    </row>
    <row r="140" spans="9:9" x14ac:dyDescent="0.25">
      <c r="I140" s="131"/>
    </row>
    <row r="141" spans="9:9" x14ac:dyDescent="0.25">
      <c r="I141" s="131"/>
    </row>
    <row r="142" spans="9:9" x14ac:dyDescent="0.25">
      <c r="I142" s="131"/>
    </row>
    <row r="143" spans="9:9" x14ac:dyDescent="0.25">
      <c r="I143" s="131"/>
    </row>
    <row r="144" spans="9:9" x14ac:dyDescent="0.25">
      <c r="I144" s="131"/>
    </row>
    <row r="145" spans="9:9" x14ac:dyDescent="0.25">
      <c r="I145" s="131"/>
    </row>
    <row r="146" spans="9:9" x14ac:dyDescent="0.25">
      <c r="I146" s="131"/>
    </row>
    <row r="147" spans="9:9" x14ac:dyDescent="0.25">
      <c r="I147" s="131"/>
    </row>
    <row r="148" spans="9:9" x14ac:dyDescent="0.25">
      <c r="I148" s="131"/>
    </row>
    <row r="149" spans="9:9" x14ac:dyDescent="0.25">
      <c r="I149" s="131"/>
    </row>
    <row r="150" spans="9:9" x14ac:dyDescent="0.25">
      <c r="I150" s="131"/>
    </row>
    <row r="151" spans="9:9" x14ac:dyDescent="0.25">
      <c r="I151" s="131"/>
    </row>
    <row r="152" spans="9:9" x14ac:dyDescent="0.25">
      <c r="I152" s="131"/>
    </row>
    <row r="153" spans="9:9" x14ac:dyDescent="0.25">
      <c r="I153" s="131"/>
    </row>
    <row r="154" spans="9:9" x14ac:dyDescent="0.25">
      <c r="I154" s="131"/>
    </row>
    <row r="155" spans="9:9" x14ac:dyDescent="0.25">
      <c r="I155" s="131"/>
    </row>
    <row r="156" spans="9:9" x14ac:dyDescent="0.25">
      <c r="I156" s="131"/>
    </row>
    <row r="157" spans="9:9" x14ac:dyDescent="0.25">
      <c r="I157" s="131"/>
    </row>
    <row r="158" spans="9:9" x14ac:dyDescent="0.25">
      <c r="I158" s="131"/>
    </row>
    <row r="159" spans="9:9" x14ac:dyDescent="0.25">
      <c r="I159" s="131"/>
    </row>
    <row r="160" spans="9:9" x14ac:dyDescent="0.25">
      <c r="I160" s="131"/>
    </row>
    <row r="161" spans="9:9" x14ac:dyDescent="0.25">
      <c r="I161" s="131"/>
    </row>
  </sheetData>
  <mergeCells count="4">
    <mergeCell ref="A3:A4"/>
    <mergeCell ref="B3:B4"/>
    <mergeCell ref="C3:C4"/>
    <mergeCell ref="D3:D4"/>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activeCell="A18" sqref="A18:C18"/>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s>
  <sheetData>
    <row r="1" spans="1:10" ht="18.75" x14ac:dyDescent="0.3">
      <c r="A1" s="2" t="s">
        <v>11</v>
      </c>
    </row>
    <row r="2" spans="1:10" ht="9.1999999999999993" customHeight="1" x14ac:dyDescent="0.25"/>
    <row r="3" spans="1:10" x14ac:dyDescent="0.25">
      <c r="A3" s="260"/>
      <c r="B3" s="261" t="s">
        <v>15</v>
      </c>
      <c r="C3" s="260" t="s">
        <v>25</v>
      </c>
      <c r="D3" s="262"/>
      <c r="E3" s="64"/>
      <c r="F3" s="125"/>
      <c r="G3" s="125"/>
      <c r="J3" t="s">
        <v>447</v>
      </c>
    </row>
    <row r="4" spans="1:10" x14ac:dyDescent="0.25">
      <c r="A4" s="627" t="s">
        <v>16</v>
      </c>
      <c r="B4" s="628"/>
      <c r="C4" s="263">
        <v>2018</v>
      </c>
      <c r="D4" s="264" t="s">
        <v>39</v>
      </c>
      <c r="E4" s="64"/>
      <c r="F4" s="125"/>
      <c r="G4" s="125"/>
      <c r="J4" s="124">
        <v>2.4950873725146803</v>
      </c>
    </row>
    <row r="5" spans="1:10" x14ac:dyDescent="0.25">
      <c r="A5" s="627" t="s">
        <v>21</v>
      </c>
      <c r="B5" s="628"/>
      <c r="C5" s="259">
        <f>+F10*J4</f>
        <v>2521470.4263916505</v>
      </c>
      <c r="D5" s="265">
        <f>+D13/C5</f>
        <v>8.1777274816219432</v>
      </c>
      <c r="E5" s="125"/>
      <c r="F5" s="125"/>
      <c r="G5" s="125"/>
    </row>
    <row r="6" spans="1:10" x14ac:dyDescent="0.25">
      <c r="A6" s="211"/>
      <c r="B6" s="211"/>
      <c r="C6" s="21"/>
      <c r="D6" s="125"/>
      <c r="E6" s="266"/>
      <c r="F6" s="125"/>
      <c r="G6" s="125"/>
    </row>
    <row r="7" spans="1:10" ht="18.75" x14ac:dyDescent="0.3">
      <c r="A7" s="267" t="s">
        <v>36</v>
      </c>
      <c r="B7" s="125"/>
      <c r="C7" s="21"/>
      <c r="D7" s="125"/>
      <c r="E7" s="266"/>
      <c r="F7" s="125"/>
      <c r="G7" s="125"/>
    </row>
    <row r="8" spans="1:10" x14ac:dyDescent="0.25">
      <c r="A8" s="268"/>
      <c r="B8" s="269"/>
      <c r="C8" s="269"/>
      <c r="D8" s="269"/>
      <c r="E8" s="269"/>
      <c r="F8" s="270" t="s">
        <v>20</v>
      </c>
      <c r="G8" s="271" t="s">
        <v>40</v>
      </c>
      <c r="J8" t="s">
        <v>470</v>
      </c>
    </row>
    <row r="9" spans="1:10" x14ac:dyDescent="0.25">
      <c r="A9" s="272"/>
      <c r="B9" s="273"/>
      <c r="C9" s="273"/>
      <c r="D9" s="263" t="s">
        <v>14</v>
      </c>
      <c r="E9" s="274" t="s">
        <v>28</v>
      </c>
      <c r="F9" s="275" t="s">
        <v>35</v>
      </c>
      <c r="G9" s="258" t="s">
        <v>20</v>
      </c>
      <c r="J9" t="s">
        <v>471</v>
      </c>
    </row>
    <row r="10" spans="1:10" x14ac:dyDescent="0.25">
      <c r="A10" s="627" t="s">
        <v>12</v>
      </c>
      <c r="B10" s="631"/>
      <c r="C10" s="628"/>
      <c r="D10" s="201">
        <v>10497389</v>
      </c>
      <c r="E10" s="276">
        <f>+D10/D13</f>
        <v>0.50909024865205443</v>
      </c>
      <c r="F10" s="199">
        <v>1010574</v>
      </c>
      <c r="G10" s="277">
        <f>+D10/F10</f>
        <v>10.387551035352185</v>
      </c>
      <c r="J10" s="1"/>
    </row>
    <row r="11" spans="1:10" x14ac:dyDescent="0.25">
      <c r="A11" s="627" t="s">
        <v>17</v>
      </c>
      <c r="B11" s="631"/>
      <c r="C11" s="628"/>
      <c r="D11" s="201">
        <v>8932681</v>
      </c>
      <c r="E11" s="276">
        <f>+D11/D13</f>
        <v>0.43320684709497592</v>
      </c>
      <c r="F11" s="200">
        <v>128845</v>
      </c>
      <c r="G11" s="277">
        <f>+D11/F11</f>
        <v>69.328891303504207</v>
      </c>
      <c r="J11" s="1"/>
    </row>
    <row r="12" spans="1:10" x14ac:dyDescent="0.25">
      <c r="A12" s="627" t="s">
        <v>18</v>
      </c>
      <c r="B12" s="631"/>
      <c r="C12" s="628"/>
      <c r="D12" s="201">
        <v>1189828</v>
      </c>
      <c r="E12" s="276">
        <f>+D12/D13</f>
        <v>5.7702904252969631E-2</v>
      </c>
      <c r="F12" s="211"/>
      <c r="G12" s="278"/>
      <c r="J12" s="1"/>
    </row>
    <row r="13" spans="1:10" x14ac:dyDescent="0.25">
      <c r="A13" s="279"/>
      <c r="B13" s="631" t="s">
        <v>13</v>
      </c>
      <c r="C13" s="628"/>
      <c r="D13" s="280">
        <f>SUM(D10:D12)</f>
        <v>20619898</v>
      </c>
      <c r="E13" s="281"/>
      <c r="F13" s="273"/>
      <c r="G13" s="282"/>
    </row>
    <row r="14" spans="1:10" x14ac:dyDescent="0.25">
      <c r="A14" s="125"/>
      <c r="B14" s="125"/>
      <c r="C14" s="125"/>
      <c r="D14" s="125"/>
      <c r="E14" s="125"/>
      <c r="F14" s="125"/>
      <c r="G14" s="125"/>
    </row>
    <row r="15" spans="1:10" ht="18.75" x14ac:dyDescent="0.3">
      <c r="A15" s="283" t="s">
        <v>37</v>
      </c>
      <c r="B15" s="125"/>
      <c r="C15" s="125"/>
      <c r="D15" s="125"/>
      <c r="E15" s="125"/>
      <c r="F15" s="125"/>
      <c r="G15" s="125"/>
    </row>
    <row r="16" spans="1:10" x14ac:dyDescent="0.25">
      <c r="A16" s="268"/>
      <c r="B16" s="269"/>
      <c r="C16" s="269"/>
      <c r="D16" s="269"/>
      <c r="E16" s="270" t="s">
        <v>29</v>
      </c>
      <c r="F16" s="271" t="s">
        <v>522</v>
      </c>
      <c r="G16" s="284"/>
    </row>
    <row r="17" spans="1:9" ht="18" x14ac:dyDescent="0.35">
      <c r="A17" s="285"/>
      <c r="B17" s="211"/>
      <c r="C17" s="211"/>
      <c r="D17" s="274" t="s">
        <v>19</v>
      </c>
      <c r="E17" s="275" t="s">
        <v>30</v>
      </c>
      <c r="F17" s="258" t="s">
        <v>8</v>
      </c>
      <c r="G17" s="286"/>
    </row>
    <row r="18" spans="1:9" x14ac:dyDescent="0.25">
      <c r="A18" s="637" t="s">
        <v>542</v>
      </c>
      <c r="B18" s="638"/>
      <c r="C18" s="639"/>
      <c r="D18" s="188">
        <f>'2018 Known'!B58</f>
        <v>18499299.964000005</v>
      </c>
      <c r="E18" s="276">
        <f>+D18/(D18+D20)</f>
        <v>0.83231961485758954</v>
      </c>
      <c r="F18" s="188">
        <f>'2018 Known'!C58</f>
        <v>8991967.1562080123</v>
      </c>
      <c r="G18" s="286"/>
    </row>
    <row r="19" spans="1:9" x14ac:dyDescent="0.25">
      <c r="A19" s="463"/>
      <c r="B19" s="464"/>
      <c r="C19" s="337" t="s">
        <v>543</v>
      </c>
      <c r="D19" s="323">
        <v>0</v>
      </c>
      <c r="E19" s="276">
        <v>0</v>
      </c>
      <c r="F19" s="323">
        <v>0</v>
      </c>
      <c r="G19" s="286"/>
    </row>
    <row r="20" spans="1:9" ht="18" x14ac:dyDescent="0.35">
      <c r="A20" s="627" t="s">
        <v>34</v>
      </c>
      <c r="B20" s="631"/>
      <c r="C20" s="628"/>
      <c r="D20" s="189">
        <f>'2018 Unknown - Net by'!B75</f>
        <v>3726897.3210000005</v>
      </c>
      <c r="E20" s="287">
        <f>+D20/(D18+D20)</f>
        <v>0.16768038514241054</v>
      </c>
      <c r="F20" s="190">
        <f>'2018 Unknown - Net by'!D75</f>
        <v>1535394.7838640928</v>
      </c>
      <c r="G20" s="36" t="s">
        <v>38</v>
      </c>
    </row>
    <row r="21" spans="1:9" ht="18" x14ac:dyDescent="0.35">
      <c r="A21" s="272"/>
      <c r="B21" s="273"/>
      <c r="C21" s="273"/>
      <c r="D21" s="260"/>
      <c r="E21" s="288" t="s">
        <v>523</v>
      </c>
      <c r="F21" s="289">
        <f>SUM(F18:F20)</f>
        <v>10527361.940072104</v>
      </c>
      <c r="G21" s="290">
        <f>+F21/G23</f>
        <v>1.6706483920108131</v>
      </c>
      <c r="I21" s="98"/>
    </row>
    <row r="22" spans="1:9" x14ac:dyDescent="0.25">
      <c r="A22" s="125"/>
      <c r="B22" s="125"/>
      <c r="C22" s="125"/>
      <c r="D22" s="125"/>
      <c r="E22" s="125"/>
      <c r="F22" s="125"/>
      <c r="G22" s="125"/>
    </row>
    <row r="23" spans="1:9" ht="18" x14ac:dyDescent="0.35">
      <c r="A23" s="125"/>
      <c r="B23" s="125"/>
      <c r="C23" s="291"/>
      <c r="D23" s="291"/>
      <c r="E23" s="125"/>
      <c r="F23" s="292" t="s">
        <v>524</v>
      </c>
      <c r="G23" s="188">
        <f>+G30</f>
        <v>6301362.9860207997</v>
      </c>
      <c r="H23" s="29"/>
    </row>
    <row r="25" spans="1:9" x14ac:dyDescent="0.25">
      <c r="E25" s="29" t="s">
        <v>22</v>
      </c>
      <c r="F25" s="24"/>
      <c r="G25" s="24"/>
    </row>
    <row r="26" spans="1:9" x14ac:dyDescent="0.25">
      <c r="E26" s="24"/>
      <c r="F26" s="24"/>
      <c r="G26" s="27" t="s">
        <v>26</v>
      </c>
    </row>
    <row r="27" spans="1:9" ht="18" x14ac:dyDescent="0.35">
      <c r="E27" s="24"/>
      <c r="F27" s="24"/>
      <c r="G27" s="28" t="s">
        <v>525</v>
      </c>
    </row>
    <row r="28" spans="1:9" x14ac:dyDescent="0.25">
      <c r="E28" s="24"/>
      <c r="F28" s="25" t="s">
        <v>23</v>
      </c>
      <c r="G28" s="26">
        <f>1131957*0.9071847</f>
        <v>1026894.0714579</v>
      </c>
    </row>
    <row r="29" spans="1:9" x14ac:dyDescent="0.25">
      <c r="E29" s="24"/>
      <c r="F29" s="25" t="s">
        <v>24</v>
      </c>
      <c r="G29" s="26">
        <f>2399078*0.9071847</f>
        <v>2176406.8557066</v>
      </c>
    </row>
    <row r="30" spans="1:9" x14ac:dyDescent="0.25">
      <c r="E30" s="24"/>
      <c r="F30" s="25" t="s">
        <v>25</v>
      </c>
      <c r="G30" s="26">
        <f>6946064*0.9071847</f>
        <v>6301362.9860207997</v>
      </c>
    </row>
    <row r="33" spans="5:6" x14ac:dyDescent="0.25">
      <c r="E33" s="22" t="s">
        <v>422</v>
      </c>
      <c r="F33" s="24" t="s">
        <v>340</v>
      </c>
    </row>
    <row r="34" spans="5:6" x14ac:dyDescent="0.25">
      <c r="F34" s="24" t="s">
        <v>420</v>
      </c>
    </row>
    <row r="35" spans="5:6" x14ac:dyDescent="0.25">
      <c r="F35" s="24" t="s">
        <v>421</v>
      </c>
    </row>
  </sheetData>
  <mergeCells count="8">
    <mergeCell ref="A18:C18"/>
    <mergeCell ref="A20:C20"/>
    <mergeCell ref="A4:B4"/>
    <mergeCell ref="A5:B5"/>
    <mergeCell ref="A10:C10"/>
    <mergeCell ref="A11:C11"/>
    <mergeCell ref="A12:C12"/>
    <mergeCell ref="B13:C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workbookViewId="0">
      <pane ySplit="1830" topLeftCell="A43" activePane="bottomLeft"/>
      <selection activeCell="I2" sqref="I2"/>
      <selection pane="bottomLeft" activeCell="I51" sqref="I51"/>
    </sheetView>
  </sheetViews>
  <sheetFormatPr defaultColWidth="9.140625" defaultRowHeight="12.75" x14ac:dyDescent="0.25"/>
  <cols>
    <col min="1" max="1" width="40" style="439" customWidth="1"/>
    <col min="2" max="2" width="13.140625" style="373" customWidth="1"/>
    <col min="3" max="3" width="14.28515625" style="373" customWidth="1"/>
    <col min="4" max="4" width="18.7109375" style="373" customWidth="1"/>
    <col min="5" max="5" width="12" style="373" customWidth="1"/>
    <col min="6" max="6" width="9.7109375" style="373" customWidth="1"/>
    <col min="7" max="7" width="28.28515625" style="373" customWidth="1"/>
    <col min="8" max="8" width="18.140625" style="373" customWidth="1"/>
    <col min="9" max="9" width="13.28515625" style="181" bestFit="1" customWidth="1"/>
    <col min="10" max="10" width="13.42578125" style="181" bestFit="1" customWidth="1"/>
    <col min="11" max="11" width="9.140625" style="181"/>
    <col min="12" max="12" width="3.5703125" style="377" customWidth="1"/>
    <col min="13" max="14" width="14.5703125" style="373" customWidth="1"/>
    <col min="15" max="16" width="9.140625" style="373"/>
    <col min="17" max="16384" width="9.140625" style="181"/>
  </cols>
  <sheetData>
    <row r="1" spans="1:17" ht="25.5" customHeight="1" x14ac:dyDescent="0.25">
      <c r="A1" s="389" t="s">
        <v>423</v>
      </c>
      <c r="B1" s="375"/>
      <c r="C1" s="376"/>
      <c r="G1" s="376"/>
      <c r="I1" s="373"/>
      <c r="J1" s="373">
        <f>'EFs &amp; Rates'!I11</f>
        <v>25</v>
      </c>
      <c r="K1" s="373">
        <f>'EFs &amp; Rates'!J11</f>
        <v>298</v>
      </c>
    </row>
    <row r="2" spans="1:17" ht="15" customHeight="1" x14ac:dyDescent="0.25">
      <c r="A2" s="378"/>
      <c r="B2" s="379"/>
      <c r="C2" s="380" t="s">
        <v>522</v>
      </c>
      <c r="D2" s="380"/>
      <c r="E2" s="379"/>
      <c r="G2" s="376">
        <v>2018</v>
      </c>
      <c r="H2" s="381" t="s">
        <v>462</v>
      </c>
      <c r="I2" s="382">
        <f>'EFs &amp; Rates'!P5</f>
        <v>963.42025100000001</v>
      </c>
      <c r="J2" s="383" t="s">
        <v>561</v>
      </c>
      <c r="K2" s="373"/>
      <c r="N2" s="485" t="s">
        <v>578</v>
      </c>
    </row>
    <row r="3" spans="1:17" ht="36" customHeight="1" x14ac:dyDescent="0.25">
      <c r="A3" s="384" t="s">
        <v>0</v>
      </c>
      <c r="B3" s="385" t="s">
        <v>31</v>
      </c>
      <c r="C3" s="386" t="s">
        <v>562</v>
      </c>
      <c r="D3" s="386" t="s">
        <v>424</v>
      </c>
      <c r="E3" s="385" t="s">
        <v>425</v>
      </c>
      <c r="F3" s="387" t="s">
        <v>472</v>
      </c>
      <c r="G3" s="481" t="s">
        <v>576</v>
      </c>
      <c r="H3" s="387" t="s">
        <v>469</v>
      </c>
      <c r="I3" s="388" t="s">
        <v>537</v>
      </c>
      <c r="J3" s="388" t="s">
        <v>538</v>
      </c>
      <c r="K3" s="388" t="s">
        <v>539</v>
      </c>
      <c r="M3" s="439" t="s">
        <v>575</v>
      </c>
      <c r="N3" s="439" t="s">
        <v>577</v>
      </c>
      <c r="O3" s="407" t="s">
        <v>558</v>
      </c>
      <c r="P3" s="407" t="s">
        <v>559</v>
      </c>
      <c r="Q3" s="389" t="s">
        <v>452</v>
      </c>
    </row>
    <row r="4" spans="1:17" x14ac:dyDescent="0.2">
      <c r="A4" s="443" t="s">
        <v>263</v>
      </c>
      <c r="B4" s="444">
        <v>385262.2</v>
      </c>
      <c r="C4" s="419">
        <f t="shared" ref="C4:C56" si="0">G4</f>
        <v>0</v>
      </c>
      <c r="D4" s="444" t="s">
        <v>464</v>
      </c>
      <c r="E4" s="444" t="s">
        <v>426</v>
      </c>
      <c r="F4" s="356" t="s">
        <v>463</v>
      </c>
      <c r="G4" s="356">
        <v>0</v>
      </c>
      <c r="K4" s="373"/>
    </row>
    <row r="5" spans="1:17" x14ac:dyDescent="0.2">
      <c r="A5" s="445" t="s">
        <v>264</v>
      </c>
      <c r="B5" s="352">
        <v>68320</v>
      </c>
      <c r="C5" s="419">
        <f t="shared" si="0"/>
        <v>0</v>
      </c>
      <c r="D5" s="352" t="s">
        <v>464</v>
      </c>
      <c r="E5" s="352" t="s">
        <v>426</v>
      </c>
      <c r="F5" s="356" t="s">
        <v>463</v>
      </c>
      <c r="G5" s="356">
        <v>0</v>
      </c>
      <c r="K5" s="373"/>
    </row>
    <row r="6" spans="1:17" x14ac:dyDescent="0.2">
      <c r="A6" s="445" t="s">
        <v>265</v>
      </c>
      <c r="B6" s="352">
        <v>127167</v>
      </c>
      <c r="C6" s="419">
        <f t="shared" si="0"/>
        <v>0</v>
      </c>
      <c r="D6" s="352" t="s">
        <v>464</v>
      </c>
      <c r="E6" s="352" t="s">
        <v>426</v>
      </c>
      <c r="F6" s="356" t="s">
        <v>463</v>
      </c>
      <c r="G6" s="356">
        <v>0</v>
      </c>
      <c r="I6" s="373"/>
      <c r="J6" s="373"/>
      <c r="K6" s="373"/>
    </row>
    <row r="7" spans="1:17" x14ac:dyDescent="0.2">
      <c r="A7" s="445" t="s">
        <v>266</v>
      </c>
      <c r="B7" s="352">
        <v>333791.18</v>
      </c>
      <c r="C7" s="419">
        <f t="shared" si="0"/>
        <v>0</v>
      </c>
      <c r="D7" s="352" t="s">
        <v>464</v>
      </c>
      <c r="E7" s="352" t="s">
        <v>426</v>
      </c>
      <c r="F7" s="356" t="s">
        <v>463</v>
      </c>
      <c r="G7" s="356">
        <v>0</v>
      </c>
      <c r="I7" s="373"/>
      <c r="J7" s="373"/>
      <c r="K7" s="373"/>
    </row>
    <row r="8" spans="1:17" x14ac:dyDescent="0.2">
      <c r="A8" s="429" t="s">
        <v>572</v>
      </c>
      <c r="B8" s="474">
        <f>1767119+2317777</f>
        <v>4084896</v>
      </c>
      <c r="C8" s="419">
        <f t="shared" si="0"/>
        <v>4255200.8134401999</v>
      </c>
      <c r="D8" s="352" t="s">
        <v>464</v>
      </c>
      <c r="E8" s="352" t="s">
        <v>427</v>
      </c>
      <c r="F8" s="356" t="s">
        <v>427</v>
      </c>
      <c r="G8" s="478">
        <f t="shared" ref="G8:G9" si="1">I8+(J8*$J$1)+(K8*$K$1)</f>
        <v>4255200.8134401999</v>
      </c>
      <c r="I8" s="373">
        <v>4222300.2965440927</v>
      </c>
      <c r="J8" s="373">
        <v>481.34730355744341</v>
      </c>
      <c r="K8" s="373">
        <v>70.022933916682689</v>
      </c>
    </row>
    <row r="9" spans="1:17" x14ac:dyDescent="0.2">
      <c r="A9" s="445" t="s">
        <v>267</v>
      </c>
      <c r="B9" s="469">
        <v>70.89</v>
      </c>
      <c r="C9" s="419">
        <f t="shared" si="0"/>
        <v>62.021941855755841</v>
      </c>
      <c r="D9" s="352" t="s">
        <v>464</v>
      </c>
      <c r="E9" s="431" t="s">
        <v>428</v>
      </c>
      <c r="F9" s="356" t="s">
        <v>429</v>
      </c>
      <c r="G9" s="478">
        <f t="shared" si="1"/>
        <v>62.021941855755841</v>
      </c>
      <c r="I9" s="373">
        <v>61.809836171328001</v>
      </c>
      <c r="J9" s="373">
        <v>2.5071593904000002E-3</v>
      </c>
      <c r="K9" s="373">
        <v>5.0143187807999998E-4</v>
      </c>
    </row>
    <row r="10" spans="1:17" x14ac:dyDescent="0.2">
      <c r="A10" s="445" t="s">
        <v>268</v>
      </c>
      <c r="B10" s="352">
        <f>66696+68504.18+67908</f>
        <v>203108.18</v>
      </c>
      <c r="C10" s="419">
        <f t="shared" si="0"/>
        <v>96452.991999999998</v>
      </c>
      <c r="D10" s="352" t="s">
        <v>464</v>
      </c>
      <c r="E10" s="352" t="s">
        <v>429</v>
      </c>
      <c r="F10" s="356" t="s">
        <v>429</v>
      </c>
      <c r="G10" s="475">
        <v>96452.991999999998</v>
      </c>
      <c r="H10" s="470"/>
      <c r="I10" s="475"/>
      <c r="J10" s="373"/>
      <c r="K10" s="373"/>
    </row>
    <row r="11" spans="1:17" x14ac:dyDescent="0.2">
      <c r="A11" s="445" t="s">
        <v>569</v>
      </c>
      <c r="B11" s="352">
        <f>337058+338338</f>
        <v>675396</v>
      </c>
      <c r="C11" s="419">
        <f t="shared" si="0"/>
        <v>302529.48</v>
      </c>
      <c r="D11" s="352" t="s">
        <v>464</v>
      </c>
      <c r="E11" s="352" t="s">
        <v>429</v>
      </c>
      <c r="F11" s="356" t="s">
        <v>429</v>
      </c>
      <c r="G11" s="475">
        <v>302529.48</v>
      </c>
      <c r="H11" s="470"/>
      <c r="I11" s="475"/>
    </row>
    <row r="12" spans="1:17" x14ac:dyDescent="0.2">
      <c r="A12" s="445" t="s">
        <v>570</v>
      </c>
      <c r="B12" s="352">
        <f>29823.5+12958.04</f>
        <v>42781.54</v>
      </c>
      <c r="C12" s="419">
        <f t="shared" si="0"/>
        <v>41003.593999999997</v>
      </c>
      <c r="D12" s="352" t="s">
        <v>464</v>
      </c>
      <c r="E12" s="352" t="s">
        <v>429</v>
      </c>
      <c r="F12" s="356" t="s">
        <v>429</v>
      </c>
      <c r="G12" s="475">
        <v>41003.593999999997</v>
      </c>
      <c r="H12" s="470"/>
      <c r="I12" s="475"/>
    </row>
    <row r="13" spans="1:17" x14ac:dyDescent="0.2">
      <c r="A13" s="445" t="s">
        <v>271</v>
      </c>
      <c r="B13" s="352">
        <f>75975.3+48859.3+4675.7+4972.6</f>
        <v>134482.9</v>
      </c>
      <c r="C13" s="419">
        <f t="shared" si="0"/>
        <v>101465.656</v>
      </c>
      <c r="D13" s="352" t="s">
        <v>464</v>
      </c>
      <c r="E13" s="352" t="s">
        <v>429</v>
      </c>
      <c r="F13" s="356" t="s">
        <v>429</v>
      </c>
      <c r="G13" s="475">
        <v>101465.656</v>
      </c>
      <c r="H13" s="470"/>
      <c r="I13" s="475"/>
    </row>
    <row r="14" spans="1:17" x14ac:dyDescent="0.2">
      <c r="A14" s="445" t="s">
        <v>415</v>
      </c>
      <c r="B14" s="352">
        <v>353716.65700000001</v>
      </c>
      <c r="C14" s="419">
        <f t="shared" si="0"/>
        <v>134643.45420000001</v>
      </c>
      <c r="D14" s="352" t="s">
        <v>464</v>
      </c>
      <c r="E14" s="352" t="s">
        <v>429</v>
      </c>
      <c r="F14" s="356" t="s">
        <v>429</v>
      </c>
      <c r="G14" s="475">
        <f>270097.2*0.4985</f>
        <v>134643.45420000001</v>
      </c>
    </row>
    <row r="15" spans="1:17" x14ac:dyDescent="0.2">
      <c r="A15" s="445" t="s">
        <v>274</v>
      </c>
      <c r="B15" s="352">
        <v>1113146</v>
      </c>
      <c r="C15" s="419">
        <f t="shared" si="0"/>
        <v>425704.37199999997</v>
      </c>
      <c r="D15" s="352" t="s">
        <v>464</v>
      </c>
      <c r="E15" s="352" t="s">
        <v>429</v>
      </c>
      <c r="F15" s="356" t="s">
        <v>429</v>
      </c>
      <c r="G15" s="475">
        <v>425704.37199999997</v>
      </c>
    </row>
    <row r="16" spans="1:17" x14ac:dyDescent="0.2">
      <c r="A16" s="445" t="s">
        <v>277</v>
      </c>
      <c r="B16" s="352">
        <v>1412744.7</v>
      </c>
      <c r="C16" s="419">
        <f t="shared" si="0"/>
        <v>547915.62</v>
      </c>
      <c r="D16" s="352" t="s">
        <v>464</v>
      </c>
      <c r="E16" s="352" t="s">
        <v>429</v>
      </c>
      <c r="F16" s="356" t="s">
        <v>429</v>
      </c>
      <c r="G16" s="475">
        <v>547915.62</v>
      </c>
    </row>
    <row r="17" spans="1:15" x14ac:dyDescent="0.2">
      <c r="A17" s="445" t="s">
        <v>278</v>
      </c>
      <c r="B17" s="352">
        <v>279593.3</v>
      </c>
      <c r="C17" s="419">
        <f t="shared" si="0"/>
        <v>131165.864</v>
      </c>
      <c r="D17" s="352" t="s">
        <v>464</v>
      </c>
      <c r="E17" s="352" t="s">
        <v>429</v>
      </c>
      <c r="F17" s="356" t="s">
        <v>429</v>
      </c>
      <c r="G17" s="475">
        <v>131165.864</v>
      </c>
    </row>
    <row r="18" spans="1:15" x14ac:dyDescent="0.2">
      <c r="A18" s="445" t="s">
        <v>568</v>
      </c>
      <c r="B18" s="352">
        <f>12293.7+17604.6</f>
        <v>29898.3</v>
      </c>
      <c r="C18" s="419">
        <f t="shared" si="0"/>
        <v>44530.631999999998</v>
      </c>
      <c r="D18" s="352" t="s">
        <v>464</v>
      </c>
      <c r="E18" s="352" t="s">
        <v>429</v>
      </c>
      <c r="F18" s="356" t="s">
        <v>429</v>
      </c>
      <c r="G18" s="475">
        <v>44530.631999999998</v>
      </c>
    </row>
    <row r="19" spans="1:15" x14ac:dyDescent="0.2">
      <c r="A19" s="445" t="s">
        <v>280</v>
      </c>
      <c r="B19" s="352">
        <v>638688.50100000005</v>
      </c>
      <c r="C19" s="419">
        <f t="shared" si="0"/>
        <v>0</v>
      </c>
      <c r="D19" s="352" t="s">
        <v>464</v>
      </c>
      <c r="E19" s="352" t="s">
        <v>430</v>
      </c>
      <c r="F19" s="356" t="s">
        <v>463</v>
      </c>
      <c r="G19" s="356">
        <v>0</v>
      </c>
    </row>
    <row r="20" spans="1:15" x14ac:dyDescent="0.2">
      <c r="A20" s="445" t="s">
        <v>276</v>
      </c>
      <c r="B20" s="352">
        <v>882776.64599999995</v>
      </c>
      <c r="C20" s="419">
        <f t="shared" si="0"/>
        <v>0</v>
      </c>
      <c r="D20" s="352" t="s">
        <v>464</v>
      </c>
      <c r="E20" s="352" t="s">
        <v>430</v>
      </c>
      <c r="F20" s="356" t="s">
        <v>463</v>
      </c>
      <c r="G20" s="356">
        <v>0</v>
      </c>
    </row>
    <row r="21" spans="1:15" x14ac:dyDescent="0.2">
      <c r="A21" s="445" t="s">
        <v>275</v>
      </c>
      <c r="B21" s="352">
        <v>410912.79200000002</v>
      </c>
      <c r="C21" s="419">
        <f t="shared" si="0"/>
        <v>0</v>
      </c>
      <c r="D21" s="352" t="s">
        <v>464</v>
      </c>
      <c r="E21" s="352" t="s">
        <v>430</v>
      </c>
      <c r="F21" s="356" t="s">
        <v>463</v>
      </c>
      <c r="G21" s="356">
        <v>0</v>
      </c>
    </row>
    <row r="22" spans="1:15" x14ac:dyDescent="0.2">
      <c r="A22" s="445" t="s">
        <v>285</v>
      </c>
      <c r="B22" s="352">
        <v>0.81100000000000005</v>
      </c>
      <c r="C22" s="419">
        <f t="shared" si="0"/>
        <v>0</v>
      </c>
      <c r="D22" s="352" t="s">
        <v>465</v>
      </c>
      <c r="E22" s="431" t="s">
        <v>431</v>
      </c>
      <c r="F22" s="356" t="s">
        <v>463</v>
      </c>
      <c r="G22" s="356">
        <v>0</v>
      </c>
    </row>
    <row r="23" spans="1:15" x14ac:dyDescent="0.2">
      <c r="A23" s="445" t="s">
        <v>398</v>
      </c>
      <c r="B23" s="352">
        <v>22.65</v>
      </c>
      <c r="C23" s="419">
        <f t="shared" si="0"/>
        <v>0</v>
      </c>
      <c r="D23" s="352" t="s">
        <v>465</v>
      </c>
      <c r="E23" s="352" t="s">
        <v>431</v>
      </c>
      <c r="F23" s="356" t="s">
        <v>463</v>
      </c>
      <c r="G23" s="356">
        <v>0</v>
      </c>
    </row>
    <row r="24" spans="1:15" x14ac:dyDescent="0.2">
      <c r="A24" s="445" t="s">
        <v>293</v>
      </c>
      <c r="B24" s="352">
        <v>4700.7650000000003</v>
      </c>
      <c r="C24" s="419">
        <f t="shared" si="0"/>
        <v>0</v>
      </c>
      <c r="D24" s="352" t="s">
        <v>465</v>
      </c>
      <c r="E24" s="352" t="s">
        <v>431</v>
      </c>
      <c r="F24" s="356" t="s">
        <v>463</v>
      </c>
      <c r="G24" s="356">
        <v>0</v>
      </c>
    </row>
    <row r="25" spans="1:15" x14ac:dyDescent="0.2">
      <c r="A25" s="445" t="s">
        <v>316</v>
      </c>
      <c r="B25" s="352">
        <v>33931.550999999999</v>
      </c>
      <c r="C25" s="419">
        <f t="shared" si="0"/>
        <v>0</v>
      </c>
      <c r="D25" s="352" t="s">
        <v>465</v>
      </c>
      <c r="E25" s="352" t="s">
        <v>431</v>
      </c>
      <c r="F25" s="356" t="s">
        <v>463</v>
      </c>
      <c r="G25" s="356">
        <v>0</v>
      </c>
    </row>
    <row r="26" spans="1:15" x14ac:dyDescent="0.2">
      <c r="A26" s="445" t="s">
        <v>294</v>
      </c>
      <c r="B26" s="352">
        <v>5065.2349999999997</v>
      </c>
      <c r="C26" s="419">
        <f t="shared" si="0"/>
        <v>0</v>
      </c>
      <c r="D26" s="352" t="s">
        <v>465</v>
      </c>
      <c r="E26" s="352" t="s">
        <v>431</v>
      </c>
      <c r="F26" s="356" t="s">
        <v>463</v>
      </c>
      <c r="G26" s="356">
        <v>0</v>
      </c>
    </row>
    <row r="27" spans="1:15" x14ac:dyDescent="0.2">
      <c r="A27" s="445" t="s">
        <v>295</v>
      </c>
      <c r="B27" s="352">
        <v>4650.1229999999996</v>
      </c>
      <c r="C27" s="419">
        <f t="shared" si="0"/>
        <v>0</v>
      </c>
      <c r="D27" s="352" t="s">
        <v>465</v>
      </c>
      <c r="E27" s="352" t="s">
        <v>431</v>
      </c>
      <c r="F27" s="356" t="s">
        <v>463</v>
      </c>
      <c r="G27" s="356">
        <v>0</v>
      </c>
    </row>
    <row r="28" spans="1:15" x14ac:dyDescent="0.2">
      <c r="A28" s="445" t="s">
        <v>319</v>
      </c>
      <c r="B28" s="352">
        <v>261.25299999999999</v>
      </c>
      <c r="C28" s="419">
        <f t="shared" si="0"/>
        <v>0</v>
      </c>
      <c r="D28" s="352" t="s">
        <v>465</v>
      </c>
      <c r="E28" s="352" t="s">
        <v>431</v>
      </c>
      <c r="F28" s="356" t="s">
        <v>463</v>
      </c>
      <c r="G28" s="356">
        <v>0</v>
      </c>
    </row>
    <row r="29" spans="1:15" x14ac:dyDescent="0.2">
      <c r="A29" s="445" t="s">
        <v>305</v>
      </c>
      <c r="B29" s="352">
        <v>5376.26</v>
      </c>
      <c r="C29" s="419">
        <f t="shared" si="0"/>
        <v>0</v>
      </c>
      <c r="D29" s="352" t="s">
        <v>465</v>
      </c>
      <c r="E29" s="352" t="s">
        <v>431</v>
      </c>
      <c r="F29" s="356" t="s">
        <v>463</v>
      </c>
      <c r="G29" s="356">
        <v>0</v>
      </c>
    </row>
    <row r="30" spans="1:15" x14ac:dyDescent="0.2">
      <c r="A30" s="445" t="s">
        <v>311</v>
      </c>
      <c r="B30" s="352">
        <v>992.28399999999999</v>
      </c>
      <c r="C30" s="419">
        <f t="shared" si="0"/>
        <v>0</v>
      </c>
      <c r="D30" s="352" t="s">
        <v>465</v>
      </c>
      <c r="E30" s="352" t="s">
        <v>431</v>
      </c>
      <c r="F30" s="356" t="s">
        <v>463</v>
      </c>
      <c r="G30" s="356">
        <v>0</v>
      </c>
    </row>
    <row r="31" spans="1:15" x14ac:dyDescent="0.2">
      <c r="A31" s="445" t="s">
        <v>312</v>
      </c>
      <c r="B31" s="352">
        <v>3597.77</v>
      </c>
      <c r="C31" s="419">
        <f t="shared" si="0"/>
        <v>0</v>
      </c>
      <c r="D31" s="352" t="s">
        <v>465</v>
      </c>
      <c r="E31" s="352" t="s">
        <v>431</v>
      </c>
      <c r="F31" s="356" t="s">
        <v>463</v>
      </c>
      <c r="G31" s="356">
        <v>0</v>
      </c>
    </row>
    <row r="32" spans="1:15" x14ac:dyDescent="0.2">
      <c r="A32" s="445" t="s">
        <v>310</v>
      </c>
      <c r="B32" s="352">
        <v>2067688</v>
      </c>
      <c r="C32" s="419">
        <f t="shared" si="0"/>
        <v>2348792.2063809587</v>
      </c>
      <c r="D32" s="352" t="s">
        <v>465</v>
      </c>
      <c r="E32" s="352" t="s">
        <v>427</v>
      </c>
      <c r="F32" s="356" t="s">
        <v>427</v>
      </c>
      <c r="G32" s="449">
        <f>M32*B32</f>
        <v>2348792.2063809587</v>
      </c>
      <c r="M32" s="373">
        <f>N32/O32</f>
        <v>1.1359509782815196</v>
      </c>
      <c r="N32" s="373">
        <v>6097083.9139999999</v>
      </c>
      <c r="O32" s="373">
        <v>5367382.9510000004</v>
      </c>
    </row>
    <row r="33" spans="1:8" x14ac:dyDescent="0.2">
      <c r="A33" s="445" t="s">
        <v>286</v>
      </c>
      <c r="B33" s="352">
        <v>11824.36</v>
      </c>
      <c r="C33" s="419">
        <f t="shared" si="0"/>
        <v>0</v>
      </c>
      <c r="D33" s="352" t="s">
        <v>465</v>
      </c>
      <c r="E33" s="352" t="s">
        <v>426</v>
      </c>
      <c r="F33" s="356" t="s">
        <v>463</v>
      </c>
      <c r="G33" s="356">
        <v>0</v>
      </c>
    </row>
    <row r="34" spans="1:8" x14ac:dyDescent="0.2">
      <c r="A34" s="445" t="s">
        <v>289</v>
      </c>
      <c r="B34" s="352">
        <v>2367842</v>
      </c>
      <c r="C34" s="419">
        <f t="shared" si="0"/>
        <v>0</v>
      </c>
      <c r="D34" s="352" t="s">
        <v>465</v>
      </c>
      <c r="E34" s="352" t="s">
        <v>426</v>
      </c>
      <c r="F34" s="356" t="s">
        <v>463</v>
      </c>
      <c r="G34" s="356">
        <v>0</v>
      </c>
      <c r="H34" s="373" t="s">
        <v>461</v>
      </c>
    </row>
    <row r="35" spans="1:8" x14ac:dyDescent="0.2">
      <c r="A35" s="445" t="s">
        <v>290</v>
      </c>
      <c r="B35" s="352">
        <v>-39039</v>
      </c>
      <c r="C35" s="419">
        <f t="shared" si="0"/>
        <v>0</v>
      </c>
      <c r="D35" s="352" t="s">
        <v>465</v>
      </c>
      <c r="E35" s="352" t="s">
        <v>426</v>
      </c>
      <c r="F35" s="356" t="s">
        <v>463</v>
      </c>
      <c r="G35" s="356">
        <v>0</v>
      </c>
      <c r="H35" s="373" t="s">
        <v>461</v>
      </c>
    </row>
    <row r="36" spans="1:8" x14ac:dyDescent="0.2">
      <c r="A36" s="445" t="s">
        <v>291</v>
      </c>
      <c r="B36" s="352">
        <v>-81380</v>
      </c>
      <c r="C36" s="419">
        <f t="shared" si="0"/>
        <v>0</v>
      </c>
      <c r="D36" s="352" t="s">
        <v>465</v>
      </c>
      <c r="E36" s="352" t="s">
        <v>426</v>
      </c>
      <c r="F36" s="356" t="s">
        <v>463</v>
      </c>
      <c r="G36" s="356">
        <v>0</v>
      </c>
      <c r="H36" s="373" t="s">
        <v>461</v>
      </c>
    </row>
    <row r="37" spans="1:8" x14ac:dyDescent="0.2">
      <c r="A37" s="445" t="s">
        <v>292</v>
      </c>
      <c r="B37" s="352">
        <v>1168961</v>
      </c>
      <c r="C37" s="419">
        <f t="shared" si="0"/>
        <v>0</v>
      </c>
      <c r="D37" s="352" t="s">
        <v>465</v>
      </c>
      <c r="E37" s="352" t="s">
        <v>426</v>
      </c>
      <c r="F37" s="356" t="s">
        <v>463</v>
      </c>
      <c r="G37" s="356">
        <v>0</v>
      </c>
      <c r="H37" s="373" t="s">
        <v>461</v>
      </c>
    </row>
    <row r="38" spans="1:8" x14ac:dyDescent="0.2">
      <c r="A38" s="445" t="s">
        <v>315</v>
      </c>
      <c r="B38" s="352">
        <v>136215.48300000001</v>
      </c>
      <c r="C38" s="419">
        <f t="shared" si="0"/>
        <v>0</v>
      </c>
      <c r="D38" s="352" t="s">
        <v>465</v>
      </c>
      <c r="E38" s="352" t="s">
        <v>426</v>
      </c>
      <c r="F38" s="356" t="s">
        <v>463</v>
      </c>
      <c r="G38" s="356">
        <v>0</v>
      </c>
    </row>
    <row r="39" spans="1:8" x14ac:dyDescent="0.2">
      <c r="A39" s="445" t="s">
        <v>297</v>
      </c>
      <c r="B39" s="352">
        <v>52318</v>
      </c>
      <c r="C39" s="419">
        <f t="shared" si="0"/>
        <v>0</v>
      </c>
      <c r="D39" s="352" t="s">
        <v>465</v>
      </c>
      <c r="E39" s="352" t="s">
        <v>426</v>
      </c>
      <c r="F39" s="356" t="s">
        <v>463</v>
      </c>
      <c r="G39" s="356">
        <v>0</v>
      </c>
      <c r="H39" s="373" t="s">
        <v>461</v>
      </c>
    </row>
    <row r="40" spans="1:8" x14ac:dyDescent="0.2">
      <c r="A40" s="445" t="s">
        <v>318</v>
      </c>
      <c r="B40" s="352">
        <v>41921.237999999998</v>
      </c>
      <c r="C40" s="419">
        <f t="shared" si="0"/>
        <v>0</v>
      </c>
      <c r="D40" s="352" t="s">
        <v>465</v>
      </c>
      <c r="E40" s="352" t="s">
        <v>426</v>
      </c>
      <c r="F40" s="356" t="s">
        <v>463</v>
      </c>
      <c r="G40" s="356">
        <v>0</v>
      </c>
    </row>
    <row r="41" spans="1:8" x14ac:dyDescent="0.2">
      <c r="A41" s="445" t="s">
        <v>321</v>
      </c>
      <c r="B41" s="352">
        <v>22250.558000000001</v>
      </c>
      <c r="C41" s="419">
        <f t="shared" si="0"/>
        <v>0</v>
      </c>
      <c r="D41" s="352" t="s">
        <v>465</v>
      </c>
      <c r="E41" s="352" t="s">
        <v>426</v>
      </c>
      <c r="F41" s="356" t="s">
        <v>463</v>
      </c>
      <c r="G41" s="356">
        <v>0</v>
      </c>
    </row>
    <row r="42" spans="1:8" x14ac:dyDescent="0.2">
      <c r="A42" s="445" t="s">
        <v>306</v>
      </c>
      <c r="B42" s="352">
        <v>3279.835</v>
      </c>
      <c r="C42" s="419">
        <f t="shared" si="0"/>
        <v>0</v>
      </c>
      <c r="D42" s="352" t="s">
        <v>465</v>
      </c>
      <c r="E42" s="352" t="s">
        <v>426</v>
      </c>
      <c r="F42" s="356" t="s">
        <v>463</v>
      </c>
      <c r="G42" s="356">
        <v>0</v>
      </c>
    </row>
    <row r="43" spans="1:8" x14ac:dyDescent="0.2">
      <c r="A43" s="445" t="s">
        <v>307</v>
      </c>
      <c r="B43" s="352">
        <v>137.08099999999999</v>
      </c>
      <c r="C43" s="419">
        <f t="shared" si="0"/>
        <v>0</v>
      </c>
      <c r="D43" s="352" t="s">
        <v>465</v>
      </c>
      <c r="E43" s="352" t="s">
        <v>426</v>
      </c>
      <c r="F43" s="356" t="s">
        <v>463</v>
      </c>
      <c r="G43" s="356">
        <v>0</v>
      </c>
    </row>
    <row r="44" spans="1:8" x14ac:dyDescent="0.2">
      <c r="A44" s="445" t="s">
        <v>325</v>
      </c>
      <c r="B44" s="352">
        <v>697.173</v>
      </c>
      <c r="C44" s="419">
        <f t="shared" si="0"/>
        <v>0</v>
      </c>
      <c r="D44" s="352" t="s">
        <v>465</v>
      </c>
      <c r="E44" s="352" t="s">
        <v>426</v>
      </c>
      <c r="F44" s="356" t="s">
        <v>463</v>
      </c>
      <c r="G44" s="356">
        <v>0</v>
      </c>
    </row>
    <row r="45" spans="1:8" x14ac:dyDescent="0.2">
      <c r="A45" s="445" t="s">
        <v>326</v>
      </c>
      <c r="B45" s="352">
        <v>78046.307000000001</v>
      </c>
      <c r="C45" s="419">
        <f t="shared" si="0"/>
        <v>0</v>
      </c>
      <c r="D45" s="352" t="s">
        <v>465</v>
      </c>
      <c r="E45" s="352" t="s">
        <v>426</v>
      </c>
      <c r="F45" s="356" t="s">
        <v>463</v>
      </c>
      <c r="G45" s="356">
        <v>0</v>
      </c>
    </row>
    <row r="46" spans="1:8" x14ac:dyDescent="0.2">
      <c r="A46" s="445" t="s">
        <v>327</v>
      </c>
      <c r="B46" s="352">
        <v>14575.864</v>
      </c>
      <c r="C46" s="419">
        <f t="shared" si="0"/>
        <v>0</v>
      </c>
      <c r="D46" s="352" t="s">
        <v>465</v>
      </c>
      <c r="E46" s="352" t="s">
        <v>426</v>
      </c>
      <c r="F46" s="356" t="s">
        <v>463</v>
      </c>
      <c r="G46" s="356">
        <v>0</v>
      </c>
    </row>
    <row r="47" spans="1:8" x14ac:dyDescent="0.2">
      <c r="A47" s="445" t="s">
        <v>288</v>
      </c>
      <c r="B47" s="352">
        <v>29.18</v>
      </c>
      <c r="C47" s="419">
        <f t="shared" si="0"/>
        <v>0</v>
      </c>
      <c r="D47" s="352" t="s">
        <v>465</v>
      </c>
      <c r="E47" s="431" t="s">
        <v>433</v>
      </c>
      <c r="F47" s="356" t="s">
        <v>463</v>
      </c>
      <c r="G47" s="356">
        <v>0</v>
      </c>
    </row>
    <row r="48" spans="1:8" x14ac:dyDescent="0.2">
      <c r="A48" s="445" t="s">
        <v>399</v>
      </c>
      <c r="B48" s="352">
        <v>64.284000000000006</v>
      </c>
      <c r="C48" s="419">
        <f t="shared" si="0"/>
        <v>0</v>
      </c>
      <c r="D48" s="352" t="s">
        <v>465</v>
      </c>
      <c r="E48" s="431" t="s">
        <v>433</v>
      </c>
      <c r="F48" s="356" t="s">
        <v>463</v>
      </c>
      <c r="G48" s="356">
        <v>0</v>
      </c>
    </row>
    <row r="49" spans="1:7" x14ac:dyDescent="0.2">
      <c r="A49" s="445" t="s">
        <v>299</v>
      </c>
      <c r="B49" s="352">
        <v>60.25</v>
      </c>
      <c r="C49" s="419">
        <f t="shared" si="0"/>
        <v>0</v>
      </c>
      <c r="D49" s="352" t="s">
        <v>465</v>
      </c>
      <c r="E49" s="431" t="s">
        <v>433</v>
      </c>
      <c r="F49" s="356" t="s">
        <v>463</v>
      </c>
      <c r="G49" s="356">
        <v>0</v>
      </c>
    </row>
    <row r="50" spans="1:7" x14ac:dyDescent="0.2">
      <c r="A50" s="445" t="s">
        <v>284</v>
      </c>
      <c r="B50" s="352">
        <v>19966.384999999998</v>
      </c>
      <c r="C50" s="419">
        <f t="shared" si="0"/>
        <v>8725.3102450000006</v>
      </c>
      <c r="D50" s="352" t="s">
        <v>465</v>
      </c>
      <c r="E50" s="431" t="s">
        <v>432</v>
      </c>
      <c r="F50" s="373" t="s">
        <v>432</v>
      </c>
      <c r="G50" s="466">
        <f t="shared" ref="G50:G52" si="2">(B50*$I$2)/2204.623</f>
        <v>8725.3102450000006</v>
      </c>
    </row>
    <row r="51" spans="1:7" x14ac:dyDescent="0.2">
      <c r="A51" s="445" t="s">
        <v>173</v>
      </c>
      <c r="B51" s="352">
        <v>7000</v>
      </c>
      <c r="C51" s="419">
        <f t="shared" si="0"/>
        <v>3059</v>
      </c>
      <c r="D51" s="352" t="s">
        <v>465</v>
      </c>
      <c r="E51" s="352" t="s">
        <v>432</v>
      </c>
      <c r="F51" s="373" t="s">
        <v>432</v>
      </c>
      <c r="G51" s="466">
        <f t="shared" si="2"/>
        <v>3059</v>
      </c>
    </row>
    <row r="52" spans="1:7" x14ac:dyDescent="0.2">
      <c r="A52" s="445" t="s">
        <v>341</v>
      </c>
      <c r="B52" s="352">
        <v>1260220</v>
      </c>
      <c r="C52" s="419">
        <f t="shared" si="0"/>
        <v>550716.14</v>
      </c>
      <c r="D52" s="352" t="s">
        <v>465</v>
      </c>
      <c r="E52" s="352" t="s">
        <v>432</v>
      </c>
      <c r="F52" s="373" t="s">
        <v>432</v>
      </c>
      <c r="G52" s="466">
        <f t="shared" si="2"/>
        <v>550716.14</v>
      </c>
    </row>
    <row r="53" spans="1:7" x14ac:dyDescent="0.2">
      <c r="A53" s="445" t="s">
        <v>283</v>
      </c>
      <c r="B53" s="352">
        <v>185.36799999999999</v>
      </c>
      <c r="C53" s="419">
        <f t="shared" si="0"/>
        <v>0</v>
      </c>
      <c r="D53" s="352" t="s">
        <v>465</v>
      </c>
      <c r="E53" s="352" t="s">
        <v>430</v>
      </c>
      <c r="F53" s="356" t="s">
        <v>463</v>
      </c>
      <c r="G53" s="356">
        <v>0</v>
      </c>
    </row>
    <row r="54" spans="1:7" x14ac:dyDescent="0.2">
      <c r="A54" s="445" t="s">
        <v>301</v>
      </c>
      <c r="B54" s="352">
        <v>119259</v>
      </c>
      <c r="C54" s="419">
        <f t="shared" si="0"/>
        <v>0</v>
      </c>
      <c r="D54" s="352" t="s">
        <v>465</v>
      </c>
      <c r="E54" s="352" t="s">
        <v>430</v>
      </c>
      <c r="F54" s="356" t="s">
        <v>463</v>
      </c>
      <c r="G54" s="356">
        <v>0</v>
      </c>
    </row>
    <row r="55" spans="1:7" x14ac:dyDescent="0.2">
      <c r="A55" s="445" t="s">
        <v>302</v>
      </c>
      <c r="B55" s="352">
        <v>118.788</v>
      </c>
      <c r="C55" s="419">
        <f t="shared" si="0"/>
        <v>0</v>
      </c>
      <c r="D55" s="352" t="s">
        <v>465</v>
      </c>
      <c r="E55" s="352" t="s">
        <v>430</v>
      </c>
      <c r="F55" s="356" t="s">
        <v>463</v>
      </c>
      <c r="G55" s="356">
        <v>0</v>
      </c>
    </row>
    <row r="56" spans="1:7" x14ac:dyDescent="0.2">
      <c r="A56" s="445" t="s">
        <v>309</v>
      </c>
      <c r="B56" s="352">
        <v>11707.322</v>
      </c>
      <c r="C56" s="419">
        <f t="shared" si="0"/>
        <v>0</v>
      </c>
      <c r="D56" s="352" t="s">
        <v>465</v>
      </c>
      <c r="E56" s="352" t="s">
        <v>430</v>
      </c>
      <c r="F56" s="356" t="s">
        <v>463</v>
      </c>
      <c r="G56" s="356">
        <v>0</v>
      </c>
    </row>
    <row r="57" spans="1:7" ht="6.75" customHeight="1" x14ac:dyDescent="0.25">
      <c r="A57" s="432"/>
      <c r="B57" s="354"/>
      <c r="C57" s="354"/>
      <c r="D57" s="355"/>
      <c r="E57" s="356"/>
      <c r="F57" s="356"/>
      <c r="G57" s="356"/>
    </row>
    <row r="58" spans="1:7" x14ac:dyDescent="0.25">
      <c r="A58" s="433" t="s">
        <v>419</v>
      </c>
      <c r="B58" s="358">
        <f>SUM(B4:B56)</f>
        <v>18499299.964000005</v>
      </c>
      <c r="C58" s="358">
        <f>SUM(C4:C56)</f>
        <v>8991967.1562080123</v>
      </c>
      <c r="D58" s="359"/>
      <c r="E58" s="360"/>
      <c r="F58" s="356"/>
      <c r="G58" s="358">
        <f>SUM(G4:G56)</f>
        <v>8991967.1562080123</v>
      </c>
    </row>
    <row r="59" spans="1:7" x14ac:dyDescent="0.25">
      <c r="A59" s="436" t="s">
        <v>442</v>
      </c>
      <c r="B59" s="362">
        <f>SUM(B22:B56)</f>
        <v>7322547.1779999994</v>
      </c>
      <c r="C59" s="362">
        <f>SUM(C22:C56)</f>
        <v>2911292.6566259586</v>
      </c>
      <c r="D59" s="355"/>
      <c r="E59" s="364"/>
      <c r="F59" s="356"/>
      <c r="G59" s="356"/>
    </row>
    <row r="60" spans="1:7" x14ac:dyDescent="0.25">
      <c r="A60" s="436" t="s">
        <v>440</v>
      </c>
      <c r="B60" s="362">
        <f>SUMIF(C22:C56,0,B22:B56)</f>
        <v>3967672.7930000001</v>
      </c>
      <c r="C60" s="362"/>
      <c r="D60" s="397"/>
      <c r="E60" s="366"/>
    </row>
    <row r="61" spans="1:7" x14ac:dyDescent="0.25">
      <c r="A61" s="437" t="s">
        <v>441</v>
      </c>
      <c r="B61" s="368">
        <f>B60/B59</f>
        <v>0.54184325434195246</v>
      </c>
      <c r="C61" s="369"/>
      <c r="D61" s="370"/>
      <c r="E61" s="371"/>
    </row>
    <row r="62" spans="1:7" x14ac:dyDescent="0.25">
      <c r="A62" s="438"/>
      <c r="B62" s="396"/>
      <c r="C62" s="396"/>
      <c r="D62" s="396"/>
      <c r="E62" s="397"/>
    </row>
    <row r="63" spans="1:7" x14ac:dyDescent="0.25">
      <c r="A63" s="439" t="s">
        <v>444</v>
      </c>
      <c r="B63" s="399">
        <f>SUMIF(H22:H56,"Yes",B22:B56)</f>
        <v>3468702</v>
      </c>
      <c r="C63" s="402">
        <f>B63/('2018 Summary'!D18+'2018 Summary'!D20)</f>
        <v>0.15606367366949248</v>
      </c>
      <c r="D63" s="174" t="s">
        <v>445</v>
      </c>
      <c r="E63" s="392"/>
    </row>
    <row r="64" spans="1:7" x14ac:dyDescent="0.25">
      <c r="A64" s="439" t="s">
        <v>444</v>
      </c>
      <c r="B64" s="402">
        <f>B63/B59</f>
        <v>0.47370155707858524</v>
      </c>
      <c r="C64" s="174" t="s">
        <v>446</v>
      </c>
      <c r="D64" s="392"/>
      <c r="E64" s="392"/>
    </row>
    <row r="65" spans="2:4" x14ac:dyDescent="0.25">
      <c r="B65" s="392"/>
      <c r="C65" s="392"/>
      <c r="D65" s="392"/>
    </row>
    <row r="66" spans="2:4" x14ac:dyDescent="0.25">
      <c r="B66" s="391"/>
      <c r="C66" s="392"/>
      <c r="D66" s="392"/>
    </row>
  </sheetData>
  <autoFilter ref="A1:K56"/>
  <pageMargins left="0.7" right="0.7" top="0.75" bottom="0.75" header="0.3" footer="0.3"/>
  <ignoredErrors>
    <ignoredError sqref="B58 B63 C58:G58" emptyCellReference="1"/>
    <ignoredError sqref="B59" formulaRange="1"/>
  </ignoredErrors>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156"/>
  <sheetViews>
    <sheetView topLeftCell="A4" workbookViewId="0">
      <selection activeCell="P5" sqref="P5:S5"/>
    </sheetView>
  </sheetViews>
  <sheetFormatPr defaultColWidth="9.140625" defaultRowHeight="15" x14ac:dyDescent="0.25"/>
  <cols>
    <col min="1" max="1" width="46.140625" style="131" customWidth="1"/>
    <col min="2" max="2" width="13.7109375" style="131" customWidth="1"/>
    <col min="3" max="3" width="12.5703125" style="131" customWidth="1"/>
    <col min="4" max="4" width="13.5703125" style="131" customWidth="1"/>
    <col min="5" max="5" width="9.140625" style="131"/>
    <col min="6" max="7" width="21.85546875" style="131" customWidth="1"/>
    <col min="8" max="8" width="12.28515625" style="136" customWidth="1"/>
    <col min="9" max="9" width="16.7109375" style="131" customWidth="1"/>
    <col min="10" max="10" width="9.140625" style="131"/>
    <col min="11" max="12" width="9.140625" style="181"/>
    <col min="13" max="13" width="9.140625" style="181" customWidth="1"/>
    <col min="14" max="14" width="9.28515625" style="406" customWidth="1"/>
    <col min="15" max="17" width="15.7109375" style="406" customWidth="1"/>
    <col min="18" max="18" width="22.7109375" style="406" customWidth="1"/>
    <col min="19" max="19" width="15.7109375" style="406" customWidth="1"/>
    <col min="20" max="20" width="15.7109375" style="131" customWidth="1"/>
    <col min="21" max="16384" width="9.140625" style="131"/>
  </cols>
  <sheetData>
    <row r="2" spans="1:19" ht="25.5" customHeight="1" x14ac:dyDescent="0.25">
      <c r="A2" s="145" t="s">
        <v>443</v>
      </c>
      <c r="B2" s="153"/>
      <c r="C2" s="134"/>
      <c r="D2" s="134"/>
      <c r="E2" s="134"/>
      <c r="F2" s="154" t="s">
        <v>2</v>
      </c>
      <c r="G2" s="134"/>
      <c r="H2" s="185">
        <f>'EFs &amp; Rates'!P5</f>
        <v>963.42025100000001</v>
      </c>
      <c r="I2" s="134" t="s">
        <v>6</v>
      </c>
    </row>
    <row r="3" spans="1:19" ht="26.25" customHeight="1" x14ac:dyDescent="0.25">
      <c r="A3" s="640" t="s">
        <v>0</v>
      </c>
      <c r="B3" s="642" t="s">
        <v>434</v>
      </c>
      <c r="C3" s="642" t="s">
        <v>435</v>
      </c>
      <c r="D3" s="642" t="s">
        <v>521</v>
      </c>
      <c r="E3" s="136"/>
      <c r="F3" s="142" t="s">
        <v>9</v>
      </c>
      <c r="G3" s="143">
        <v>2018</v>
      </c>
      <c r="H3" s="151"/>
    </row>
    <row r="4" spans="1:19" ht="26.25" customHeight="1" x14ac:dyDescent="0.25">
      <c r="A4" s="641"/>
      <c r="B4" s="643"/>
      <c r="C4" s="643"/>
      <c r="D4" s="643"/>
      <c r="E4" s="140"/>
      <c r="H4" s="152"/>
      <c r="K4" s="528" t="s">
        <v>598</v>
      </c>
      <c r="L4" s="528" t="s">
        <v>599</v>
      </c>
      <c r="M4" s="528" t="s">
        <v>424</v>
      </c>
      <c r="N4" s="526" t="s">
        <v>600</v>
      </c>
      <c r="O4" s="531" t="s">
        <v>418</v>
      </c>
      <c r="P4" s="527"/>
      <c r="Q4" s="529" t="s">
        <v>459</v>
      </c>
      <c r="R4" s="530"/>
      <c r="S4" s="530" t="s">
        <v>622</v>
      </c>
    </row>
    <row r="5" spans="1:19" ht="15" customHeight="1" x14ac:dyDescent="0.2">
      <c r="A5" s="133" t="str">
        <f>N5</f>
        <v>Avista Corp. WWP Division</v>
      </c>
      <c r="B5" s="137">
        <f>O5</f>
        <v>62689</v>
      </c>
      <c r="C5" s="148">
        <f>Q5</f>
        <v>963.42025100000001</v>
      </c>
      <c r="D5" s="149">
        <f>S5</f>
        <v>27395.093000000001</v>
      </c>
      <c r="F5" s="132"/>
      <c r="H5" s="152"/>
      <c r="K5" s="181" t="s">
        <v>460</v>
      </c>
      <c r="L5" s="181" t="s">
        <v>601</v>
      </c>
      <c r="N5" s="406" t="s">
        <v>187</v>
      </c>
      <c r="O5" s="516">
        <v>62689</v>
      </c>
      <c r="P5" s="391"/>
      <c r="Q5" s="391">
        <f>IF(O5&gt;0,H$2,H$10)</f>
        <v>963.42025100000001</v>
      </c>
      <c r="R5" s="424"/>
      <c r="S5" s="391">
        <f>(O5*Q5)/2204.623</f>
        <v>27395.093000000001</v>
      </c>
    </row>
    <row r="6" spans="1:19" ht="15" customHeight="1" x14ac:dyDescent="0.2">
      <c r="A6" s="133" t="str">
        <f t="shared" ref="A6:A69" si="0">N6</f>
        <v>Avista Nichols Pump</v>
      </c>
      <c r="B6" s="137">
        <f t="shared" ref="B6:B69" si="1">O6</f>
        <v>28487.96</v>
      </c>
      <c r="C6" s="148">
        <f t="shared" ref="C6:C69" si="2">Q6</f>
        <v>963.42025100000001</v>
      </c>
      <c r="D6" s="149">
        <f t="shared" ref="D6:D69" si="3">S6</f>
        <v>12449.238520000001</v>
      </c>
      <c r="H6" s="152"/>
      <c r="K6" s="181" t="s">
        <v>460</v>
      </c>
      <c r="L6" s="181" t="s">
        <v>601</v>
      </c>
      <c r="N6" s="406" t="s">
        <v>171</v>
      </c>
      <c r="O6" s="516">
        <v>28487.96</v>
      </c>
      <c r="P6" s="391"/>
      <c r="Q6" s="391">
        <f t="shared" ref="Q6:Q69" si="4">IF(O6&gt;0,H$2,H$10)</f>
        <v>963.42025100000001</v>
      </c>
      <c r="R6" s="424"/>
      <c r="S6" s="391">
        <f t="shared" ref="S6:S69" si="5">(O6*Q6)/2204.623</f>
        <v>12449.238520000001</v>
      </c>
    </row>
    <row r="7" spans="1:19" ht="15" customHeight="1" x14ac:dyDescent="0.2">
      <c r="A7" s="133" t="str">
        <f t="shared" si="0"/>
        <v>Black Hills Power</v>
      </c>
      <c r="B7" s="137">
        <f t="shared" si="1"/>
        <v>-150</v>
      </c>
      <c r="C7" s="148">
        <f t="shared" si="2"/>
        <v>1071.6025820651844</v>
      </c>
      <c r="D7" s="149">
        <f t="shared" si="3"/>
        <v>-72.910600728459087</v>
      </c>
      <c r="E7" s="136"/>
      <c r="H7" s="152"/>
      <c r="K7" s="181" t="s">
        <v>460</v>
      </c>
      <c r="L7" s="181" t="s">
        <v>601</v>
      </c>
      <c r="N7" s="406" t="s">
        <v>189</v>
      </c>
      <c r="O7" s="516">
        <v>-150</v>
      </c>
      <c r="P7" s="391"/>
      <c r="Q7" s="391">
        <f t="shared" si="4"/>
        <v>1071.6025820651844</v>
      </c>
      <c r="R7" s="424"/>
      <c r="S7" s="391">
        <f t="shared" si="5"/>
        <v>-72.910600728459087</v>
      </c>
    </row>
    <row r="8" spans="1:19" ht="15" customHeight="1" x14ac:dyDescent="0.2">
      <c r="A8" s="133"/>
      <c r="B8" s="137"/>
      <c r="C8" s="148"/>
      <c r="D8" s="149"/>
      <c r="E8" s="140"/>
      <c r="G8" s="135" t="s">
        <v>437</v>
      </c>
      <c r="H8" s="137">
        <f>'2018 Known'!B58</f>
        <v>18499299.964000005</v>
      </c>
      <c r="I8" s="131" t="s">
        <v>418</v>
      </c>
      <c r="K8" s="181" t="s">
        <v>460</v>
      </c>
      <c r="L8" s="181" t="s">
        <v>601</v>
      </c>
      <c r="N8" s="524" t="s">
        <v>191</v>
      </c>
      <c r="O8" s="516">
        <v>0</v>
      </c>
      <c r="P8" s="391"/>
      <c r="Q8" s="391">
        <f t="shared" si="4"/>
        <v>1071.6025820651844</v>
      </c>
      <c r="R8" s="424"/>
      <c r="S8" s="391">
        <f t="shared" si="5"/>
        <v>0</v>
      </c>
    </row>
    <row r="9" spans="1:19" ht="15" customHeight="1" x14ac:dyDescent="0.2">
      <c r="A9" s="133" t="str">
        <f t="shared" si="0"/>
        <v>BP Energy Co.</v>
      </c>
      <c r="B9" s="137">
        <f t="shared" si="1"/>
        <v>172289</v>
      </c>
      <c r="C9" s="148">
        <f t="shared" si="2"/>
        <v>963.42025100000001</v>
      </c>
      <c r="D9" s="149">
        <f t="shared" si="3"/>
        <v>75290.292999999991</v>
      </c>
      <c r="F9" s="132"/>
      <c r="G9" s="135" t="s">
        <v>438</v>
      </c>
      <c r="H9" s="137">
        <f>'2018 Known'!C58</f>
        <v>8991967.1562080123</v>
      </c>
      <c r="I9" s="131" t="s">
        <v>520</v>
      </c>
      <c r="K9" s="181" t="s">
        <v>460</v>
      </c>
      <c r="L9" s="181" t="s">
        <v>601</v>
      </c>
      <c r="N9" s="406" t="s">
        <v>192</v>
      </c>
      <c r="O9" s="516">
        <v>172289</v>
      </c>
      <c r="P9" s="391"/>
      <c r="Q9" s="391">
        <f t="shared" si="4"/>
        <v>963.42025100000001</v>
      </c>
      <c r="R9" s="424"/>
      <c r="S9" s="391">
        <f t="shared" si="5"/>
        <v>75290.292999999991</v>
      </c>
    </row>
    <row r="10" spans="1:19" ht="15" customHeight="1" x14ac:dyDescent="0.2">
      <c r="A10" s="133" t="str">
        <f t="shared" si="0"/>
        <v>BPA</v>
      </c>
      <c r="B10" s="137">
        <f t="shared" si="1"/>
        <v>510194.84699999995</v>
      </c>
      <c r="C10" s="148">
        <f t="shared" si="2"/>
        <v>963.42025100000001</v>
      </c>
      <c r="D10" s="149">
        <f t="shared" si="3"/>
        <v>222955.14813899997</v>
      </c>
      <c r="G10" s="135" t="s">
        <v>439</v>
      </c>
      <c r="H10" s="137">
        <f>(H9*2204.623)/H8</f>
        <v>1071.6025820651844</v>
      </c>
      <c r="I10" s="131" t="s">
        <v>6</v>
      </c>
      <c r="K10" s="181" t="s">
        <v>460</v>
      </c>
      <c r="L10" s="181" t="s">
        <v>601</v>
      </c>
      <c r="N10" s="406" t="s">
        <v>173</v>
      </c>
      <c r="O10" s="516">
        <v>510194.84699999995</v>
      </c>
      <c r="P10" s="391"/>
      <c r="Q10" s="391">
        <f t="shared" si="4"/>
        <v>963.42025100000001</v>
      </c>
      <c r="R10" s="424"/>
      <c r="S10" s="391">
        <f t="shared" si="5"/>
        <v>222955.14813899997</v>
      </c>
    </row>
    <row r="11" spans="1:19" ht="15" customHeight="1" x14ac:dyDescent="0.2">
      <c r="A11" s="133" t="str">
        <f t="shared" si="0"/>
        <v>BPA - NWPP Reserve Sharing Energy</v>
      </c>
      <c r="B11" s="137">
        <f t="shared" si="1"/>
        <v>193</v>
      </c>
      <c r="C11" s="148">
        <f t="shared" si="2"/>
        <v>963.42025100000001</v>
      </c>
      <c r="D11" s="149">
        <f t="shared" si="3"/>
        <v>84.340999999999994</v>
      </c>
      <c r="F11" s="142" t="s">
        <v>9</v>
      </c>
      <c r="G11" s="143">
        <v>2018</v>
      </c>
      <c r="H11" s="151"/>
      <c r="K11" s="181" t="s">
        <v>460</v>
      </c>
      <c r="L11" s="181" t="s">
        <v>601</v>
      </c>
      <c r="N11" s="406" t="s">
        <v>342</v>
      </c>
      <c r="O11" s="516">
        <v>193</v>
      </c>
      <c r="P11" s="391"/>
      <c r="Q11" s="391">
        <f t="shared" si="4"/>
        <v>963.42025100000001</v>
      </c>
      <c r="R11" s="424"/>
      <c r="S11" s="391">
        <f t="shared" si="5"/>
        <v>84.340999999999994</v>
      </c>
    </row>
    <row r="12" spans="1:19" ht="15" customHeight="1" x14ac:dyDescent="0.2">
      <c r="A12" s="133" t="str">
        <f t="shared" si="0"/>
        <v>British Columbia Transmission Corp</v>
      </c>
      <c r="B12" s="137">
        <f t="shared" si="1"/>
        <v>-51</v>
      </c>
      <c r="C12" s="148">
        <f t="shared" si="2"/>
        <v>1071.6025820651844</v>
      </c>
      <c r="D12" s="149">
        <f t="shared" si="3"/>
        <v>-24.789604247676088</v>
      </c>
      <c r="K12" s="181" t="s">
        <v>460</v>
      </c>
      <c r="L12" s="181" t="s">
        <v>601</v>
      </c>
      <c r="N12" s="406" t="s">
        <v>193</v>
      </c>
      <c r="O12" s="516">
        <v>-51</v>
      </c>
      <c r="P12" s="391"/>
      <c r="Q12" s="391">
        <f t="shared" si="4"/>
        <v>1071.6025820651844</v>
      </c>
      <c r="R12" s="424"/>
      <c r="S12" s="391">
        <f t="shared" si="5"/>
        <v>-24.789604247676088</v>
      </c>
    </row>
    <row r="13" spans="1:19" x14ac:dyDescent="0.2">
      <c r="A13" s="133" t="str">
        <f t="shared" si="0"/>
        <v>Brookfield Energy Marketing</v>
      </c>
      <c r="B13" s="137">
        <f t="shared" si="1"/>
        <v>1020</v>
      </c>
      <c r="C13" s="148">
        <f t="shared" si="2"/>
        <v>963.42025100000001</v>
      </c>
      <c r="D13" s="149">
        <f t="shared" si="3"/>
        <v>445.74</v>
      </c>
      <c r="K13" s="181" t="s">
        <v>460</v>
      </c>
      <c r="L13" s="181" t="s">
        <v>601</v>
      </c>
      <c r="N13" s="406" t="s">
        <v>194</v>
      </c>
      <c r="O13" s="516">
        <v>1020</v>
      </c>
      <c r="P13" s="391"/>
      <c r="Q13" s="391">
        <f t="shared" si="4"/>
        <v>963.42025100000001</v>
      </c>
      <c r="R13" s="424"/>
      <c r="S13" s="391">
        <f t="shared" si="5"/>
        <v>445.74</v>
      </c>
    </row>
    <row r="14" spans="1:19" x14ac:dyDescent="0.2">
      <c r="A14" s="133" t="str">
        <f t="shared" si="0"/>
        <v>California ISO</v>
      </c>
      <c r="B14" s="137">
        <f t="shared" si="1"/>
        <v>15271</v>
      </c>
      <c r="C14" s="148">
        <f t="shared" si="2"/>
        <v>963.42025100000001</v>
      </c>
      <c r="D14" s="149">
        <f t="shared" si="3"/>
        <v>6673.4269999999997</v>
      </c>
      <c r="K14" s="181" t="s">
        <v>460</v>
      </c>
      <c r="L14" s="181" t="s">
        <v>601</v>
      </c>
      <c r="N14" s="406" t="s">
        <v>197</v>
      </c>
      <c r="O14" s="516">
        <v>15271</v>
      </c>
      <c r="P14" s="391"/>
      <c r="Q14" s="391">
        <f t="shared" si="4"/>
        <v>963.42025100000001</v>
      </c>
      <c r="R14" s="424"/>
      <c r="S14" s="391">
        <f t="shared" si="5"/>
        <v>6673.4269999999997</v>
      </c>
    </row>
    <row r="15" spans="1:19" x14ac:dyDescent="0.2">
      <c r="A15" s="133" t="str">
        <f t="shared" si="0"/>
        <v>Calpine Energy Services</v>
      </c>
      <c r="B15" s="137">
        <f t="shared" si="1"/>
        <v>-89436</v>
      </c>
      <c r="C15" s="148">
        <f t="shared" si="2"/>
        <v>1071.6025820651844</v>
      </c>
      <c r="D15" s="149">
        <f t="shared" si="3"/>
        <v>-43472.216578336447</v>
      </c>
      <c r="K15" s="181" t="s">
        <v>460</v>
      </c>
      <c r="L15" s="181" t="s">
        <v>601</v>
      </c>
      <c r="N15" s="406" t="s">
        <v>198</v>
      </c>
      <c r="O15" s="516">
        <v>-89436</v>
      </c>
      <c r="P15" s="391"/>
      <c r="Q15" s="391">
        <f t="shared" si="4"/>
        <v>1071.6025820651844</v>
      </c>
      <c r="R15" s="424"/>
      <c r="S15" s="391">
        <f t="shared" si="5"/>
        <v>-43472.216578336447</v>
      </c>
    </row>
    <row r="16" spans="1:19" x14ac:dyDescent="0.2">
      <c r="A16" s="133" t="str">
        <f t="shared" si="0"/>
        <v>Chelan County PUD #1</v>
      </c>
      <c r="B16" s="137">
        <f t="shared" si="1"/>
        <v>33534</v>
      </c>
      <c r="C16" s="148">
        <f t="shared" si="2"/>
        <v>963.42025100000001</v>
      </c>
      <c r="D16" s="149">
        <f t="shared" si="3"/>
        <v>14654.358</v>
      </c>
      <c r="H16" s="131"/>
      <c r="K16" s="181" t="s">
        <v>460</v>
      </c>
      <c r="L16" s="181" t="s">
        <v>601</v>
      </c>
      <c r="N16" s="406" t="s">
        <v>199</v>
      </c>
      <c r="O16" s="516">
        <v>33534</v>
      </c>
      <c r="P16" s="391"/>
      <c r="Q16" s="391">
        <f t="shared" si="4"/>
        <v>963.42025100000001</v>
      </c>
      <c r="R16" s="424"/>
      <c r="S16" s="391">
        <f t="shared" si="5"/>
        <v>14654.358</v>
      </c>
    </row>
    <row r="17" spans="1:19" x14ac:dyDescent="0.2">
      <c r="A17" s="133" t="str">
        <f t="shared" si="0"/>
        <v>Citigroup Energy Inc</v>
      </c>
      <c r="B17" s="137">
        <f t="shared" si="1"/>
        <v>674887</v>
      </c>
      <c r="C17" s="148">
        <f t="shared" si="2"/>
        <v>963.42025100000001</v>
      </c>
      <c r="D17" s="149">
        <f t="shared" si="3"/>
        <v>294925.61900000001</v>
      </c>
      <c r="H17" s="131"/>
      <c r="K17" s="181" t="s">
        <v>460</v>
      </c>
      <c r="L17" s="181" t="s">
        <v>601</v>
      </c>
      <c r="N17" s="406" t="s">
        <v>185</v>
      </c>
      <c r="O17" s="516">
        <v>674887</v>
      </c>
      <c r="P17" s="391"/>
      <c r="Q17" s="391">
        <f t="shared" si="4"/>
        <v>963.42025100000001</v>
      </c>
      <c r="R17" s="424"/>
      <c r="S17" s="391">
        <f t="shared" si="5"/>
        <v>294925.61900000001</v>
      </c>
    </row>
    <row r="18" spans="1:19" x14ac:dyDescent="0.2">
      <c r="A18" s="133" t="str">
        <f t="shared" si="0"/>
        <v>Clatskanie PUD</v>
      </c>
      <c r="B18" s="137">
        <f t="shared" si="1"/>
        <v>-25325</v>
      </c>
      <c r="C18" s="148">
        <f t="shared" si="2"/>
        <v>1071.6025820651844</v>
      </c>
      <c r="D18" s="149">
        <f t="shared" si="3"/>
        <v>-12309.739756321507</v>
      </c>
      <c r="H18" s="131"/>
      <c r="K18" s="181" t="s">
        <v>460</v>
      </c>
      <c r="L18" s="181" t="s">
        <v>601</v>
      </c>
      <c r="N18" s="406" t="s">
        <v>202</v>
      </c>
      <c r="O18" s="516">
        <v>-25325</v>
      </c>
      <c r="P18" s="391"/>
      <c r="Q18" s="391">
        <f t="shared" si="4"/>
        <v>1071.6025820651844</v>
      </c>
      <c r="R18" s="424"/>
      <c r="S18" s="391">
        <f t="shared" si="5"/>
        <v>-12309.739756321507</v>
      </c>
    </row>
    <row r="19" spans="1:19" x14ac:dyDescent="0.2">
      <c r="A19" s="133" t="str">
        <f t="shared" si="0"/>
        <v>Conoco, Inc.</v>
      </c>
      <c r="B19" s="137">
        <f t="shared" si="1"/>
        <v>-77891</v>
      </c>
      <c r="C19" s="148">
        <f t="shared" si="2"/>
        <v>1071.6025820651844</v>
      </c>
      <c r="D19" s="149">
        <f t="shared" si="3"/>
        <v>-37860.530675602706</v>
      </c>
      <c r="E19" s="173"/>
      <c r="H19" s="131"/>
      <c r="K19" s="181" t="s">
        <v>460</v>
      </c>
      <c r="L19" s="181" t="s">
        <v>601</v>
      </c>
      <c r="N19" s="406" t="s">
        <v>203</v>
      </c>
      <c r="O19" s="516">
        <v>-77891</v>
      </c>
      <c r="P19" s="391"/>
      <c r="Q19" s="391">
        <f t="shared" si="4"/>
        <v>1071.6025820651844</v>
      </c>
      <c r="R19" s="424"/>
      <c r="S19" s="391">
        <f t="shared" si="5"/>
        <v>-37860.530675602706</v>
      </c>
    </row>
    <row r="20" spans="1:19" x14ac:dyDescent="0.2">
      <c r="A20" s="133" t="str">
        <f t="shared" si="0"/>
        <v>CP Energy Marketing (Epcor)</v>
      </c>
      <c r="B20" s="137">
        <f t="shared" si="1"/>
        <v>15194</v>
      </c>
      <c r="C20" s="148">
        <f t="shared" si="2"/>
        <v>963.42025100000001</v>
      </c>
      <c r="D20" s="149">
        <f t="shared" si="3"/>
        <v>6639.7780000000002</v>
      </c>
      <c r="E20" s="173"/>
      <c r="H20" s="131"/>
      <c r="K20" s="181" t="s">
        <v>460</v>
      </c>
      <c r="L20" s="181" t="s">
        <v>601</v>
      </c>
      <c r="N20" s="406" t="s">
        <v>204</v>
      </c>
      <c r="O20" s="516">
        <v>15194</v>
      </c>
      <c r="P20" s="391"/>
      <c r="Q20" s="391">
        <f t="shared" si="4"/>
        <v>963.42025100000001</v>
      </c>
      <c r="R20" s="424"/>
      <c r="S20" s="391">
        <f t="shared" si="5"/>
        <v>6639.7780000000002</v>
      </c>
    </row>
    <row r="21" spans="1:19" x14ac:dyDescent="0.2">
      <c r="A21" s="133" t="str">
        <f t="shared" si="0"/>
        <v>Deviation</v>
      </c>
      <c r="B21" s="137">
        <f t="shared" si="1"/>
        <v>-448576.685</v>
      </c>
      <c r="C21" s="148">
        <f t="shared" si="2"/>
        <v>1071.6025820651844</v>
      </c>
      <c r="D21" s="149">
        <f t="shared" si="3"/>
        <v>-218039.97050753841</v>
      </c>
      <c r="E21" s="173"/>
      <c r="H21" s="131"/>
      <c r="J21" s="525" t="s">
        <v>621</v>
      </c>
      <c r="K21" s="181" t="s">
        <v>460</v>
      </c>
      <c r="L21" s="181" t="s">
        <v>601</v>
      </c>
      <c r="N21" s="406" t="s">
        <v>176</v>
      </c>
      <c r="O21" s="516">
        <v>-448576.685</v>
      </c>
      <c r="P21" s="424"/>
      <c r="Q21" s="391">
        <f t="shared" si="4"/>
        <v>1071.6025820651844</v>
      </c>
      <c r="R21" s="424"/>
      <c r="S21" s="391">
        <f t="shared" si="5"/>
        <v>-218039.97050753841</v>
      </c>
    </row>
    <row r="22" spans="1:19" x14ac:dyDescent="0.2">
      <c r="A22" s="133" t="str">
        <f t="shared" si="0"/>
        <v>Douglas County PUD #1</v>
      </c>
      <c r="B22" s="137">
        <f t="shared" si="1"/>
        <v>183509</v>
      </c>
      <c r="C22" s="148">
        <f t="shared" si="2"/>
        <v>963.42025100000001</v>
      </c>
      <c r="D22" s="149">
        <f t="shared" si="3"/>
        <v>80193.433000000005</v>
      </c>
      <c r="E22" s="173"/>
      <c r="H22" s="131"/>
      <c r="K22" s="181" t="s">
        <v>460</v>
      </c>
      <c r="L22" s="181" t="s">
        <v>601</v>
      </c>
      <c r="N22" s="406" t="s">
        <v>177</v>
      </c>
      <c r="O22" s="516">
        <v>183509</v>
      </c>
      <c r="P22" s="424"/>
      <c r="Q22" s="391">
        <f t="shared" si="4"/>
        <v>963.42025100000001</v>
      </c>
      <c r="R22" s="424"/>
      <c r="S22" s="391">
        <f t="shared" si="5"/>
        <v>80193.433000000005</v>
      </c>
    </row>
    <row r="23" spans="1:19" x14ac:dyDescent="0.2">
      <c r="A23" s="133" t="str">
        <f t="shared" si="0"/>
        <v>EDF Trading NA LLC</v>
      </c>
      <c r="B23" s="137">
        <f t="shared" si="1"/>
        <v>202896</v>
      </c>
      <c r="C23" s="148">
        <f t="shared" si="2"/>
        <v>963.42025100000001</v>
      </c>
      <c r="D23" s="149">
        <f t="shared" si="3"/>
        <v>88665.551999999996</v>
      </c>
      <c r="E23" s="173"/>
      <c r="H23" s="131"/>
      <c r="K23" s="181" t="s">
        <v>460</v>
      </c>
      <c r="L23" s="181" t="s">
        <v>601</v>
      </c>
      <c r="N23" s="406" t="s">
        <v>208</v>
      </c>
      <c r="O23" s="516">
        <v>202896</v>
      </c>
      <c r="P23" s="424"/>
      <c r="Q23" s="391">
        <f t="shared" si="4"/>
        <v>963.42025100000001</v>
      </c>
      <c r="R23" s="424"/>
      <c r="S23" s="391">
        <f t="shared" si="5"/>
        <v>88665.551999999996</v>
      </c>
    </row>
    <row r="24" spans="1:19" x14ac:dyDescent="0.2">
      <c r="A24" s="133" t="str">
        <f t="shared" si="0"/>
        <v>Energy Keepers Inc.</v>
      </c>
      <c r="B24" s="137">
        <f t="shared" si="1"/>
        <v>35992</v>
      </c>
      <c r="C24" s="148">
        <f t="shared" si="2"/>
        <v>963.42025100000001</v>
      </c>
      <c r="D24" s="149">
        <f t="shared" si="3"/>
        <v>15728.503999999999</v>
      </c>
      <c r="E24" s="173"/>
      <c r="H24" s="131"/>
      <c r="K24" s="181" t="s">
        <v>460</v>
      </c>
      <c r="L24" s="181" t="s">
        <v>601</v>
      </c>
      <c r="N24" s="406" t="s">
        <v>397</v>
      </c>
      <c r="O24" s="516">
        <v>35992</v>
      </c>
      <c r="P24" s="424"/>
      <c r="Q24" s="391">
        <f t="shared" si="4"/>
        <v>963.42025100000001</v>
      </c>
      <c r="R24" s="424"/>
      <c r="S24" s="391">
        <f t="shared" si="5"/>
        <v>15728.503999999999</v>
      </c>
    </row>
    <row r="25" spans="1:19" x14ac:dyDescent="0.2">
      <c r="A25" s="133" t="str">
        <f t="shared" si="0"/>
        <v>Eugene Water &amp; Electric</v>
      </c>
      <c r="B25" s="137">
        <f t="shared" si="1"/>
        <v>-42091</v>
      </c>
      <c r="C25" s="148">
        <f t="shared" si="2"/>
        <v>1071.6025820651844</v>
      </c>
      <c r="D25" s="149">
        <f t="shared" si="3"/>
        <v>-20459.200635077144</v>
      </c>
      <c r="E25" s="173"/>
      <c r="H25" s="131"/>
      <c r="K25" s="181" t="s">
        <v>460</v>
      </c>
      <c r="L25" s="181" t="s">
        <v>601</v>
      </c>
      <c r="N25" s="406" t="s">
        <v>211</v>
      </c>
      <c r="O25" s="516">
        <v>-42091</v>
      </c>
      <c r="P25" s="424"/>
      <c r="Q25" s="391">
        <f t="shared" si="4"/>
        <v>1071.6025820651844</v>
      </c>
      <c r="R25" s="424"/>
      <c r="S25" s="391">
        <f t="shared" si="5"/>
        <v>-20459.200635077144</v>
      </c>
    </row>
    <row r="26" spans="1:19" x14ac:dyDescent="0.2">
      <c r="A26" s="133" t="str">
        <f t="shared" si="0"/>
        <v>Exelon Generation Co LLC</v>
      </c>
      <c r="B26" s="137">
        <f t="shared" si="1"/>
        <v>209922</v>
      </c>
      <c r="C26" s="148">
        <f t="shared" si="2"/>
        <v>963.42025100000001</v>
      </c>
      <c r="D26" s="149">
        <f t="shared" si="3"/>
        <v>91735.914000000004</v>
      </c>
      <c r="E26" s="174"/>
      <c r="H26" s="131"/>
      <c r="K26" s="181" t="s">
        <v>460</v>
      </c>
      <c r="L26" s="181" t="s">
        <v>601</v>
      </c>
      <c r="N26" s="406" t="s">
        <v>186</v>
      </c>
      <c r="O26" s="516">
        <v>209922</v>
      </c>
      <c r="P26" s="424"/>
      <c r="Q26" s="391">
        <f t="shared" si="4"/>
        <v>963.42025100000001</v>
      </c>
      <c r="R26" s="424"/>
      <c r="S26" s="391">
        <f t="shared" si="5"/>
        <v>91735.914000000004</v>
      </c>
    </row>
    <row r="27" spans="1:19" x14ac:dyDescent="0.2">
      <c r="A27" s="133" t="str">
        <f t="shared" si="0"/>
        <v>Grant County PUD #2</v>
      </c>
      <c r="B27" s="137">
        <f t="shared" si="1"/>
        <v>-9</v>
      </c>
      <c r="C27" s="148">
        <f t="shared" si="2"/>
        <v>1071.6025820651844</v>
      </c>
      <c r="D27" s="149">
        <f t="shared" si="3"/>
        <v>-4.3746360437075449</v>
      </c>
      <c r="E27" s="174"/>
      <c r="H27" s="131"/>
      <c r="K27" s="181" t="s">
        <v>460</v>
      </c>
      <c r="L27" s="181" t="s">
        <v>601</v>
      </c>
      <c r="N27" s="406" t="s">
        <v>213</v>
      </c>
      <c r="O27" s="516">
        <v>-9</v>
      </c>
      <c r="P27" s="424"/>
      <c r="Q27" s="391">
        <f t="shared" si="4"/>
        <v>1071.6025820651844</v>
      </c>
      <c r="R27" s="424"/>
      <c r="S27" s="391">
        <f t="shared" si="5"/>
        <v>-4.3746360437075449</v>
      </c>
    </row>
    <row r="28" spans="1:19" x14ac:dyDescent="0.2">
      <c r="A28" s="133" t="str">
        <f t="shared" si="0"/>
        <v>GRIDFORCE ENERGY MANAGEMENT, LLC.</v>
      </c>
      <c r="B28" s="137">
        <f t="shared" si="1"/>
        <v>-648</v>
      </c>
      <c r="C28" s="148">
        <f t="shared" si="2"/>
        <v>1071.6025820651844</v>
      </c>
      <c r="D28" s="149">
        <f t="shared" si="3"/>
        <v>-314.97379514694325</v>
      </c>
      <c r="E28" s="174"/>
      <c r="H28" s="131"/>
      <c r="K28" s="181" t="s">
        <v>460</v>
      </c>
      <c r="L28" s="181" t="s">
        <v>601</v>
      </c>
      <c r="N28" s="406" t="s">
        <v>343</v>
      </c>
      <c r="O28" s="516">
        <v>-648</v>
      </c>
      <c r="P28" s="424"/>
      <c r="Q28" s="391">
        <f t="shared" si="4"/>
        <v>1071.6025820651844</v>
      </c>
      <c r="R28" s="424"/>
      <c r="S28" s="391">
        <f t="shared" si="5"/>
        <v>-314.97379514694325</v>
      </c>
    </row>
    <row r="29" spans="1:19" x14ac:dyDescent="0.2">
      <c r="A29" s="133" t="str">
        <f t="shared" si="0"/>
        <v>Iberdrola Renewables (PPM Energy)</v>
      </c>
      <c r="B29" s="137">
        <f t="shared" si="1"/>
        <v>374771</v>
      </c>
      <c r="C29" s="148">
        <f t="shared" si="2"/>
        <v>963.42025100000001</v>
      </c>
      <c r="D29" s="149">
        <f t="shared" si="3"/>
        <v>163774.927</v>
      </c>
      <c r="E29" s="174"/>
      <c r="H29" s="131"/>
      <c r="K29" s="181" t="s">
        <v>460</v>
      </c>
      <c r="L29" s="181" t="s">
        <v>601</v>
      </c>
      <c r="N29" s="406" t="s">
        <v>215</v>
      </c>
      <c r="O29" s="516">
        <v>374771</v>
      </c>
      <c r="P29" s="424"/>
      <c r="Q29" s="391">
        <f t="shared" si="4"/>
        <v>963.42025100000001</v>
      </c>
      <c r="R29" s="424"/>
      <c r="S29" s="391">
        <f t="shared" si="5"/>
        <v>163774.927</v>
      </c>
    </row>
    <row r="30" spans="1:19" x14ac:dyDescent="0.2">
      <c r="A30" s="133" t="str">
        <f t="shared" si="0"/>
        <v>Idaho Power Company</v>
      </c>
      <c r="B30" s="137">
        <f t="shared" si="1"/>
        <v>-80275</v>
      </c>
      <c r="C30" s="148">
        <f t="shared" si="2"/>
        <v>1071.6025820651844</v>
      </c>
      <c r="D30" s="149">
        <f t="shared" si="3"/>
        <v>-39019.323156513688</v>
      </c>
      <c r="E30" s="174"/>
      <c r="H30" s="131"/>
      <c r="K30" s="181" t="s">
        <v>460</v>
      </c>
      <c r="L30" s="181" t="s">
        <v>601</v>
      </c>
      <c r="N30" s="406" t="s">
        <v>217</v>
      </c>
      <c r="O30" s="516">
        <v>-80275</v>
      </c>
      <c r="P30" s="424"/>
      <c r="Q30" s="391">
        <f t="shared" si="4"/>
        <v>1071.6025820651844</v>
      </c>
      <c r="R30" s="424"/>
      <c r="S30" s="391">
        <f t="shared" si="5"/>
        <v>-39019.323156513688</v>
      </c>
    </row>
    <row r="31" spans="1:19" x14ac:dyDescent="0.2">
      <c r="A31" s="133" t="str">
        <f t="shared" si="0"/>
        <v>Morgan Stanley CG</v>
      </c>
      <c r="B31" s="137">
        <f t="shared" si="1"/>
        <v>-422896</v>
      </c>
      <c r="C31" s="148">
        <f t="shared" si="2"/>
        <v>1071.6025820651844</v>
      </c>
      <c r="D31" s="149">
        <f t="shared" si="3"/>
        <v>-205557.34270441622</v>
      </c>
      <c r="E31" s="174"/>
      <c r="H31" s="131"/>
      <c r="K31" s="181" t="s">
        <v>460</v>
      </c>
      <c r="L31" s="181" t="s">
        <v>601</v>
      </c>
      <c r="N31" s="406" t="s">
        <v>178</v>
      </c>
      <c r="O31" s="516">
        <v>-422896</v>
      </c>
      <c r="P31" s="424"/>
      <c r="Q31" s="391">
        <f t="shared" si="4"/>
        <v>1071.6025820651844</v>
      </c>
      <c r="R31" s="424"/>
      <c r="S31" s="391">
        <f t="shared" si="5"/>
        <v>-205557.34270441622</v>
      </c>
    </row>
    <row r="32" spans="1:19" x14ac:dyDescent="0.2">
      <c r="A32" s="133" t="str">
        <f t="shared" si="0"/>
        <v>Natur Ener USA</v>
      </c>
      <c r="B32" s="137">
        <f t="shared" si="1"/>
        <v>-152</v>
      </c>
      <c r="C32" s="148">
        <f t="shared" si="2"/>
        <v>1071.6025820651844</v>
      </c>
      <c r="D32" s="149">
        <f t="shared" si="3"/>
        <v>-73.882742071505206</v>
      </c>
      <c r="E32" s="174"/>
      <c r="H32" s="131"/>
      <c r="K32" s="181" t="s">
        <v>460</v>
      </c>
      <c r="L32" s="181" t="s">
        <v>601</v>
      </c>
      <c r="N32" s="406" t="s">
        <v>226</v>
      </c>
      <c r="O32" s="516">
        <v>-152</v>
      </c>
      <c r="P32" s="424"/>
      <c r="Q32" s="391">
        <f t="shared" si="4"/>
        <v>1071.6025820651844</v>
      </c>
      <c r="R32" s="424"/>
      <c r="S32" s="391">
        <f t="shared" si="5"/>
        <v>-73.882742071505206</v>
      </c>
    </row>
    <row r="33" spans="1:19" x14ac:dyDescent="0.2">
      <c r="A33" s="133" t="str">
        <f t="shared" si="0"/>
        <v>Nevada Power Company</v>
      </c>
      <c r="B33" s="137">
        <f t="shared" si="1"/>
        <v>-9</v>
      </c>
      <c r="C33" s="148">
        <f t="shared" si="2"/>
        <v>1071.6025820651844</v>
      </c>
      <c r="D33" s="149">
        <f t="shared" si="3"/>
        <v>-4.3746360437075449</v>
      </c>
      <c r="E33" s="174"/>
      <c r="H33" s="131"/>
      <c r="K33" s="181" t="s">
        <v>460</v>
      </c>
      <c r="L33" s="181" t="s">
        <v>601</v>
      </c>
      <c r="N33" s="406" t="s">
        <v>261</v>
      </c>
      <c r="O33" s="516">
        <v>-9</v>
      </c>
      <c r="P33" s="424"/>
      <c r="Q33" s="391">
        <f t="shared" si="4"/>
        <v>1071.6025820651844</v>
      </c>
      <c r="R33" s="424"/>
      <c r="S33" s="391">
        <f t="shared" si="5"/>
        <v>-4.3746360437075449</v>
      </c>
    </row>
    <row r="34" spans="1:19" x14ac:dyDescent="0.2">
      <c r="A34" s="133" t="str">
        <f t="shared" si="0"/>
        <v>NextEra Energy Power Marketing</v>
      </c>
      <c r="B34" s="137">
        <f t="shared" si="1"/>
        <v>370</v>
      </c>
      <c r="C34" s="148">
        <f t="shared" si="2"/>
        <v>963.42025100000001</v>
      </c>
      <c r="D34" s="149">
        <f t="shared" si="3"/>
        <v>161.69</v>
      </c>
      <c r="E34" s="174"/>
      <c r="H34" s="131"/>
      <c r="K34" s="181" t="s">
        <v>460</v>
      </c>
      <c r="L34" s="181" t="s">
        <v>601</v>
      </c>
      <c r="N34" s="406" t="s">
        <v>227</v>
      </c>
      <c r="O34" s="516">
        <v>370</v>
      </c>
      <c r="P34" s="424"/>
      <c r="Q34" s="391">
        <f t="shared" si="4"/>
        <v>963.42025100000001</v>
      </c>
      <c r="R34" s="424"/>
      <c r="S34" s="391">
        <f t="shared" si="5"/>
        <v>161.69</v>
      </c>
    </row>
    <row r="35" spans="1:19" x14ac:dyDescent="0.2">
      <c r="A35" s="133" t="str">
        <f t="shared" si="0"/>
        <v>Northwestern Energy</v>
      </c>
      <c r="B35" s="137">
        <f t="shared" si="1"/>
        <v>-28629</v>
      </c>
      <c r="C35" s="148">
        <f t="shared" si="2"/>
        <v>1071.6025820651844</v>
      </c>
      <c r="D35" s="149">
        <f t="shared" si="3"/>
        <v>-13915.7172550337</v>
      </c>
      <c r="E35" s="174"/>
      <c r="H35" s="131"/>
      <c r="K35" s="181" t="s">
        <v>460</v>
      </c>
      <c r="L35" s="181" t="s">
        <v>601</v>
      </c>
      <c r="N35" s="406" t="s">
        <v>231</v>
      </c>
      <c r="O35" s="516">
        <v>-28629</v>
      </c>
      <c r="P35" s="424"/>
      <c r="Q35" s="391">
        <f t="shared" si="4"/>
        <v>1071.6025820651844</v>
      </c>
      <c r="R35" s="424"/>
      <c r="S35" s="391">
        <f t="shared" si="5"/>
        <v>-13915.7172550337</v>
      </c>
    </row>
    <row r="36" spans="1:19" x14ac:dyDescent="0.2">
      <c r="A36" s="133" t="str">
        <f t="shared" si="0"/>
        <v>Okanogan PUD</v>
      </c>
      <c r="B36" s="137">
        <f t="shared" si="1"/>
        <v>25476</v>
      </c>
      <c r="C36" s="148">
        <f t="shared" si="2"/>
        <v>963.42025100000001</v>
      </c>
      <c r="D36" s="149">
        <f t="shared" si="3"/>
        <v>11133.012000000001</v>
      </c>
      <c r="E36" s="174"/>
      <c r="H36" s="131"/>
      <c r="K36" s="181" t="s">
        <v>460</v>
      </c>
      <c r="L36" s="181" t="s">
        <v>601</v>
      </c>
      <c r="N36" s="406" t="s">
        <v>233</v>
      </c>
      <c r="O36" s="516">
        <v>25476</v>
      </c>
      <c r="P36" s="424"/>
      <c r="Q36" s="391">
        <f t="shared" si="4"/>
        <v>963.42025100000001</v>
      </c>
      <c r="R36" s="424"/>
      <c r="S36" s="391">
        <f t="shared" si="5"/>
        <v>11133.012000000001</v>
      </c>
    </row>
    <row r="37" spans="1:19" x14ac:dyDescent="0.2">
      <c r="A37" s="133" t="str">
        <f t="shared" si="0"/>
        <v>Pacificorp</v>
      </c>
      <c r="B37" s="137">
        <f t="shared" si="1"/>
        <v>-59016</v>
      </c>
      <c r="C37" s="148">
        <f t="shared" si="2"/>
        <v>1071.6025820651844</v>
      </c>
      <c r="D37" s="149">
        <f t="shared" si="3"/>
        <v>-28685.946750604944</v>
      </c>
      <c r="E37" s="174"/>
      <c r="H37" s="131"/>
      <c r="K37" s="181" t="s">
        <v>460</v>
      </c>
      <c r="L37" s="181" t="s">
        <v>601</v>
      </c>
      <c r="N37" s="406" t="s">
        <v>236</v>
      </c>
      <c r="O37" s="516">
        <v>-59016</v>
      </c>
      <c r="P37" s="424"/>
      <c r="Q37" s="391">
        <f t="shared" si="4"/>
        <v>1071.6025820651844</v>
      </c>
      <c r="R37" s="424"/>
      <c r="S37" s="391">
        <f t="shared" si="5"/>
        <v>-28685.946750604944</v>
      </c>
    </row>
    <row r="38" spans="1:19" x14ac:dyDescent="0.2">
      <c r="A38" s="133" t="str">
        <f t="shared" si="0"/>
        <v>Portland General Electric</v>
      </c>
      <c r="B38" s="137">
        <f t="shared" si="1"/>
        <v>104861</v>
      </c>
      <c r="C38" s="148">
        <f t="shared" si="2"/>
        <v>963.42025100000001</v>
      </c>
      <c r="D38" s="149">
        <f t="shared" si="3"/>
        <v>45824.256999999998</v>
      </c>
      <c r="E38" s="174"/>
      <c r="H38" s="131"/>
      <c r="K38" s="181" t="s">
        <v>460</v>
      </c>
      <c r="L38" s="181" t="s">
        <v>601</v>
      </c>
      <c r="N38" s="406" t="s">
        <v>238</v>
      </c>
      <c r="O38" s="516">
        <v>104861</v>
      </c>
      <c r="P38" s="424"/>
      <c r="Q38" s="391">
        <f t="shared" si="4"/>
        <v>963.42025100000001</v>
      </c>
      <c r="R38" s="424"/>
      <c r="S38" s="391">
        <f t="shared" si="5"/>
        <v>45824.256999999998</v>
      </c>
    </row>
    <row r="39" spans="1:19" x14ac:dyDescent="0.2">
      <c r="A39" s="133" t="str">
        <f t="shared" si="0"/>
        <v>Powerex Corp.</v>
      </c>
      <c r="B39" s="137">
        <f t="shared" si="1"/>
        <v>-347614</v>
      </c>
      <c r="C39" s="148">
        <f t="shared" si="2"/>
        <v>1071.6025820651844</v>
      </c>
      <c r="D39" s="149">
        <f t="shared" si="3"/>
        <v>-168964.97041081716</v>
      </c>
      <c r="E39" s="174"/>
      <c r="H39" s="131"/>
      <c r="K39" s="181" t="s">
        <v>460</v>
      </c>
      <c r="L39" s="181" t="s">
        <v>601</v>
      </c>
      <c r="N39" s="406" t="s">
        <v>180</v>
      </c>
      <c r="O39" s="516">
        <v>-347614</v>
      </c>
      <c r="P39" s="424"/>
      <c r="Q39" s="391">
        <f t="shared" si="4"/>
        <v>1071.6025820651844</v>
      </c>
      <c r="R39" s="424"/>
      <c r="S39" s="391">
        <f t="shared" si="5"/>
        <v>-168964.97041081716</v>
      </c>
    </row>
    <row r="40" spans="1:19" x14ac:dyDescent="0.2">
      <c r="A40" s="133" t="str">
        <f t="shared" si="0"/>
        <v>Public Service of Colorado</v>
      </c>
      <c r="B40" s="137">
        <f t="shared" si="1"/>
        <v>84495</v>
      </c>
      <c r="C40" s="148">
        <f t="shared" si="2"/>
        <v>963.42025100000001</v>
      </c>
      <c r="D40" s="149">
        <f t="shared" si="3"/>
        <v>36924.315000000002</v>
      </c>
      <c r="E40" s="174"/>
      <c r="H40" s="131"/>
      <c r="K40" s="181" t="s">
        <v>460</v>
      </c>
      <c r="L40" s="181" t="s">
        <v>601</v>
      </c>
      <c r="N40" s="406" t="s">
        <v>239</v>
      </c>
      <c r="O40" s="516">
        <v>84495</v>
      </c>
      <c r="P40" s="424"/>
      <c r="Q40" s="391">
        <f t="shared" si="4"/>
        <v>963.42025100000001</v>
      </c>
      <c r="R40" s="424"/>
      <c r="S40" s="391">
        <f t="shared" si="5"/>
        <v>36924.315000000002</v>
      </c>
    </row>
    <row r="41" spans="1:19" x14ac:dyDescent="0.2">
      <c r="A41" s="133" t="str">
        <f t="shared" si="0"/>
        <v>Rainbow Energy Marketing</v>
      </c>
      <c r="B41" s="137">
        <f t="shared" si="1"/>
        <v>6248</v>
      </c>
      <c r="C41" s="148">
        <f t="shared" si="2"/>
        <v>963.42025100000001</v>
      </c>
      <c r="D41" s="149">
        <f t="shared" si="3"/>
        <v>2730.3760000000002</v>
      </c>
      <c r="E41" s="174"/>
      <c r="H41" s="131"/>
      <c r="K41" s="181" t="s">
        <v>460</v>
      </c>
      <c r="L41" s="181" t="s">
        <v>601</v>
      </c>
      <c r="N41" s="406" t="s">
        <v>240</v>
      </c>
      <c r="O41" s="516">
        <v>6248</v>
      </c>
      <c r="P41" s="424"/>
      <c r="Q41" s="391">
        <f t="shared" si="4"/>
        <v>963.42025100000001</v>
      </c>
      <c r="R41" s="424"/>
      <c r="S41" s="391">
        <f t="shared" si="5"/>
        <v>2730.3760000000002</v>
      </c>
    </row>
    <row r="42" spans="1:19" x14ac:dyDescent="0.2">
      <c r="A42" s="133" t="str">
        <f t="shared" si="0"/>
        <v>Sacramento Municipal</v>
      </c>
      <c r="B42" s="137">
        <f t="shared" si="1"/>
        <v>-39</v>
      </c>
      <c r="C42" s="148">
        <f t="shared" si="2"/>
        <v>1071.6025820651844</v>
      </c>
      <c r="D42" s="149">
        <f t="shared" si="3"/>
        <v>-18.956756189399364</v>
      </c>
      <c r="E42" s="174"/>
      <c r="H42" s="131"/>
      <c r="K42" s="181" t="s">
        <v>460</v>
      </c>
      <c r="L42" s="181" t="s">
        <v>601</v>
      </c>
      <c r="N42" s="406" t="s">
        <v>242</v>
      </c>
      <c r="O42" s="516">
        <v>-39</v>
      </c>
      <c r="P42" s="424"/>
      <c r="Q42" s="391">
        <f t="shared" si="4"/>
        <v>1071.6025820651844</v>
      </c>
      <c r="R42" s="424"/>
      <c r="S42" s="391">
        <f t="shared" si="5"/>
        <v>-18.956756189399364</v>
      </c>
    </row>
    <row r="43" spans="1:19" x14ac:dyDescent="0.2">
      <c r="A43" s="133" t="str">
        <f t="shared" si="0"/>
        <v>Seattle City Light Marketing</v>
      </c>
      <c r="B43" s="137">
        <f t="shared" si="1"/>
        <v>49071</v>
      </c>
      <c r="C43" s="148">
        <f t="shared" si="2"/>
        <v>963.42025100000001</v>
      </c>
      <c r="D43" s="149">
        <f t="shared" si="3"/>
        <v>21444.027000000002</v>
      </c>
      <c r="E43" s="174"/>
      <c r="H43" s="131"/>
      <c r="K43" s="181" t="s">
        <v>460</v>
      </c>
      <c r="L43" s="181" t="s">
        <v>601</v>
      </c>
      <c r="N43" s="406" t="s">
        <v>181</v>
      </c>
      <c r="O43" s="516">
        <v>49071</v>
      </c>
      <c r="P43" s="424"/>
      <c r="Q43" s="391">
        <f t="shared" si="4"/>
        <v>963.42025100000001</v>
      </c>
      <c r="R43" s="424"/>
      <c r="S43" s="391">
        <f t="shared" si="5"/>
        <v>21444.027000000002</v>
      </c>
    </row>
    <row r="44" spans="1:19" x14ac:dyDescent="0.2">
      <c r="A44" s="133" t="str">
        <f t="shared" si="0"/>
        <v>Shell Energy (Coral Pwr)</v>
      </c>
      <c r="B44" s="137">
        <f t="shared" si="1"/>
        <v>163879</v>
      </c>
      <c r="C44" s="148">
        <f t="shared" si="2"/>
        <v>963.42025100000001</v>
      </c>
      <c r="D44" s="149">
        <f t="shared" si="3"/>
        <v>71615.122999999992</v>
      </c>
      <c r="E44" s="174"/>
      <c r="H44" s="131"/>
      <c r="K44" s="181" t="s">
        <v>460</v>
      </c>
      <c r="L44" s="181" t="s">
        <v>601</v>
      </c>
      <c r="N44" s="406" t="s">
        <v>182</v>
      </c>
      <c r="O44" s="516">
        <v>163879</v>
      </c>
      <c r="P44" s="424"/>
      <c r="Q44" s="391">
        <f t="shared" si="4"/>
        <v>963.42025100000001</v>
      </c>
      <c r="R44" s="424"/>
      <c r="S44" s="391">
        <f t="shared" si="5"/>
        <v>71615.122999999992</v>
      </c>
    </row>
    <row r="45" spans="1:19" x14ac:dyDescent="0.2">
      <c r="A45" s="133" t="str">
        <f t="shared" si="0"/>
        <v>Snohomish County PUD #1</v>
      </c>
      <c r="B45" s="137">
        <f t="shared" si="1"/>
        <v>21665</v>
      </c>
      <c r="C45" s="148">
        <f t="shared" si="2"/>
        <v>963.42025100000001</v>
      </c>
      <c r="D45" s="149">
        <f t="shared" si="3"/>
        <v>9467.6050000000014</v>
      </c>
      <c r="E45" s="174"/>
      <c r="H45" s="131"/>
      <c r="K45" s="181" t="s">
        <v>460</v>
      </c>
      <c r="L45" s="181" t="s">
        <v>601</v>
      </c>
      <c r="N45" s="406" t="s">
        <v>247</v>
      </c>
      <c r="O45" s="516">
        <v>21665</v>
      </c>
      <c r="P45" s="424"/>
      <c r="Q45" s="391">
        <f t="shared" si="4"/>
        <v>963.42025100000001</v>
      </c>
      <c r="R45" s="424"/>
      <c r="S45" s="391">
        <f t="shared" si="5"/>
        <v>9467.6050000000014</v>
      </c>
    </row>
    <row r="46" spans="1:19" x14ac:dyDescent="0.2">
      <c r="A46" s="133" t="str">
        <f t="shared" si="0"/>
        <v>Tacoma Power</v>
      </c>
      <c r="B46" s="137">
        <f t="shared" si="1"/>
        <v>39893</v>
      </c>
      <c r="C46" s="148">
        <f t="shared" si="2"/>
        <v>963.42025100000001</v>
      </c>
      <c r="D46" s="149">
        <f t="shared" si="3"/>
        <v>17433.240999999998</v>
      </c>
      <c r="E46" s="174"/>
      <c r="H46" s="131"/>
      <c r="K46" s="181" t="s">
        <v>460</v>
      </c>
      <c r="L46" s="181" t="s">
        <v>601</v>
      </c>
      <c r="N46" s="406" t="s">
        <v>183</v>
      </c>
      <c r="O46" s="516">
        <v>39893</v>
      </c>
      <c r="P46" s="424"/>
      <c r="Q46" s="391">
        <f t="shared" si="4"/>
        <v>963.42025100000001</v>
      </c>
      <c r="R46" s="424"/>
      <c r="S46" s="391">
        <f t="shared" si="5"/>
        <v>17433.240999999998</v>
      </c>
    </row>
    <row r="47" spans="1:19" x14ac:dyDescent="0.2">
      <c r="A47" s="133" t="str">
        <f t="shared" si="0"/>
        <v>Talen Energy (PPL Energy Plus)</v>
      </c>
      <c r="B47" s="137">
        <f t="shared" si="1"/>
        <v>106084</v>
      </c>
      <c r="C47" s="148">
        <f t="shared" si="2"/>
        <v>963.42025100000001</v>
      </c>
      <c r="D47" s="149">
        <f t="shared" si="3"/>
        <v>46358.707999999999</v>
      </c>
      <c r="E47" s="174"/>
      <c r="H47" s="131"/>
      <c r="K47" s="181" t="s">
        <v>460</v>
      </c>
      <c r="L47" s="181" t="s">
        <v>601</v>
      </c>
      <c r="N47" s="406" t="s">
        <v>249</v>
      </c>
      <c r="O47" s="516">
        <v>106084</v>
      </c>
      <c r="P47" s="424"/>
      <c r="Q47" s="391">
        <f t="shared" si="4"/>
        <v>963.42025100000001</v>
      </c>
      <c r="R47" s="424"/>
      <c r="S47" s="391">
        <f t="shared" si="5"/>
        <v>46358.707999999999</v>
      </c>
    </row>
    <row r="48" spans="1:19" x14ac:dyDescent="0.2">
      <c r="A48" s="133" t="str">
        <f t="shared" si="0"/>
        <v>Tenaska Power Services Co.</v>
      </c>
      <c r="B48" s="137">
        <f t="shared" si="1"/>
        <v>369</v>
      </c>
      <c r="C48" s="148">
        <f t="shared" si="2"/>
        <v>963.42025100000001</v>
      </c>
      <c r="D48" s="149">
        <f t="shared" si="3"/>
        <v>161.25299999999999</v>
      </c>
      <c r="E48" s="174"/>
      <c r="H48" s="131"/>
      <c r="K48" s="181" t="s">
        <v>460</v>
      </c>
      <c r="L48" s="181" t="s">
        <v>601</v>
      </c>
      <c r="N48" s="406" t="s">
        <v>251</v>
      </c>
      <c r="O48" s="516">
        <v>369</v>
      </c>
      <c r="P48" s="424"/>
      <c r="Q48" s="391">
        <f t="shared" si="4"/>
        <v>963.42025100000001</v>
      </c>
      <c r="R48" s="424"/>
      <c r="S48" s="391">
        <f t="shared" si="5"/>
        <v>161.25299999999999</v>
      </c>
    </row>
    <row r="49" spans="1:19" x14ac:dyDescent="0.2">
      <c r="A49" s="133" t="str">
        <f t="shared" si="0"/>
        <v>The Energy Authority</v>
      </c>
      <c r="B49" s="137">
        <f t="shared" si="1"/>
        <v>479949</v>
      </c>
      <c r="C49" s="148">
        <f t="shared" si="2"/>
        <v>963.42025100000001</v>
      </c>
      <c r="D49" s="149">
        <f t="shared" si="3"/>
        <v>209737.71299999999</v>
      </c>
      <c r="E49" s="174"/>
      <c r="H49" s="131"/>
      <c r="K49" s="181" t="s">
        <v>460</v>
      </c>
      <c r="L49" s="181" t="s">
        <v>601</v>
      </c>
      <c r="N49" s="406" t="s">
        <v>252</v>
      </c>
      <c r="O49" s="516">
        <v>479949</v>
      </c>
      <c r="P49" s="424"/>
      <c r="Q49" s="391">
        <f t="shared" si="4"/>
        <v>963.42025100000001</v>
      </c>
      <c r="R49" s="424"/>
      <c r="S49" s="391">
        <f t="shared" si="5"/>
        <v>209737.71299999999</v>
      </c>
    </row>
    <row r="50" spans="1:19" x14ac:dyDescent="0.2">
      <c r="A50" s="133" t="str">
        <f t="shared" si="0"/>
        <v>TransAlta Energy Marketing</v>
      </c>
      <c r="B50" s="137">
        <f t="shared" si="1"/>
        <v>1271332</v>
      </c>
      <c r="C50" s="148">
        <f t="shared" si="2"/>
        <v>963.42025100000001</v>
      </c>
      <c r="D50" s="149">
        <f t="shared" si="3"/>
        <v>555572.08400000003</v>
      </c>
      <c r="E50" s="174"/>
      <c r="H50" s="131"/>
      <c r="K50" s="181" t="s">
        <v>460</v>
      </c>
      <c r="L50" s="181" t="s">
        <v>601</v>
      </c>
      <c r="N50" s="406" t="s">
        <v>184</v>
      </c>
      <c r="O50" s="516">
        <v>1271332</v>
      </c>
      <c r="P50" s="424"/>
      <c r="Q50" s="391">
        <f t="shared" si="4"/>
        <v>963.42025100000001</v>
      </c>
      <c r="R50" s="424"/>
      <c r="S50" s="391">
        <f t="shared" si="5"/>
        <v>555572.08400000003</v>
      </c>
    </row>
    <row r="51" spans="1:19" x14ac:dyDescent="0.2">
      <c r="A51" s="133" t="str">
        <f t="shared" si="0"/>
        <v>TransCanada Energy Sales Ltd</v>
      </c>
      <c r="B51" s="137">
        <f t="shared" si="1"/>
        <v>-122342</v>
      </c>
      <c r="C51" s="148">
        <f t="shared" si="2"/>
        <v>1071.6025820651844</v>
      </c>
      <c r="D51" s="149">
        <f t="shared" si="3"/>
        <v>-59466.858095474279</v>
      </c>
      <c r="E51" s="174"/>
      <c r="H51" s="131"/>
      <c r="K51" s="181" t="s">
        <v>460</v>
      </c>
      <c r="L51" s="181" t="s">
        <v>601</v>
      </c>
      <c r="N51" s="406" t="s">
        <v>254</v>
      </c>
      <c r="O51" s="516">
        <v>-122342</v>
      </c>
      <c r="P51" s="424"/>
      <c r="Q51" s="391">
        <f t="shared" si="4"/>
        <v>1071.6025820651844</v>
      </c>
      <c r="R51" s="424"/>
      <c r="S51" s="391">
        <f t="shared" si="5"/>
        <v>-59466.858095474279</v>
      </c>
    </row>
    <row r="52" spans="1:19" x14ac:dyDescent="0.2">
      <c r="A52" s="133" t="str">
        <f t="shared" si="0"/>
        <v>Turlock Irrigation District</v>
      </c>
      <c r="B52" s="137">
        <f t="shared" si="1"/>
        <v>38518</v>
      </c>
      <c r="C52" s="148">
        <f t="shared" si="2"/>
        <v>963.42025100000001</v>
      </c>
      <c r="D52" s="149">
        <f t="shared" si="3"/>
        <v>16832.365999999998</v>
      </c>
      <c r="E52" s="174"/>
      <c r="H52" s="131"/>
      <c r="K52" s="181" t="s">
        <v>460</v>
      </c>
      <c r="L52" s="181" t="s">
        <v>601</v>
      </c>
      <c r="N52" s="406" t="s">
        <v>256</v>
      </c>
      <c r="O52" s="516">
        <v>38518</v>
      </c>
      <c r="P52" s="424"/>
      <c r="Q52" s="391">
        <f t="shared" si="4"/>
        <v>963.42025100000001</v>
      </c>
      <c r="R52" s="424"/>
      <c r="S52" s="391">
        <f t="shared" si="5"/>
        <v>16832.365999999998</v>
      </c>
    </row>
    <row r="53" spans="1:19" x14ac:dyDescent="0.2">
      <c r="A53" s="133" t="str">
        <f t="shared" si="0"/>
        <v>Vitol Inc.</v>
      </c>
      <c r="B53" s="137">
        <f t="shared" si="1"/>
        <v>463767</v>
      </c>
      <c r="C53" s="148">
        <f t="shared" si="2"/>
        <v>963.42025100000001</v>
      </c>
      <c r="D53" s="149">
        <f t="shared" si="3"/>
        <v>202666.179</v>
      </c>
      <c r="E53" s="174"/>
      <c r="H53" s="131"/>
      <c r="K53" s="181" t="s">
        <v>460</v>
      </c>
      <c r="L53" s="181" t="s">
        <v>601</v>
      </c>
      <c r="N53" s="406" t="s">
        <v>257</v>
      </c>
      <c r="O53" s="516">
        <v>463767</v>
      </c>
      <c r="P53" s="424"/>
      <c r="Q53" s="391">
        <f t="shared" si="4"/>
        <v>963.42025100000001</v>
      </c>
      <c r="R53" s="424"/>
      <c r="S53" s="391">
        <f t="shared" si="5"/>
        <v>202666.179</v>
      </c>
    </row>
    <row r="54" spans="1:19" x14ac:dyDescent="0.2">
      <c r="A54" s="133" t="str">
        <f t="shared" si="0"/>
        <v>Western Area Power Association</v>
      </c>
      <c r="B54" s="137">
        <f t="shared" si="1"/>
        <v>3</v>
      </c>
      <c r="C54" s="148">
        <f t="shared" si="2"/>
        <v>963.42025100000001</v>
      </c>
      <c r="D54" s="149">
        <f t="shared" si="3"/>
        <v>1.3109999999999999</v>
      </c>
      <c r="E54" s="174"/>
      <c r="H54" s="131"/>
      <c r="K54" s="181" t="s">
        <v>460</v>
      </c>
      <c r="L54" s="181" t="s">
        <v>601</v>
      </c>
      <c r="N54" s="406" t="s">
        <v>258</v>
      </c>
      <c r="O54" s="516">
        <v>3</v>
      </c>
      <c r="P54" s="424"/>
      <c r="Q54" s="391">
        <f t="shared" si="4"/>
        <v>963.42025100000001</v>
      </c>
      <c r="R54" s="424"/>
      <c r="S54" s="391">
        <f t="shared" si="5"/>
        <v>1.3109999999999999</v>
      </c>
    </row>
    <row r="55" spans="1:19" x14ac:dyDescent="0.2">
      <c r="A55" s="133" t="str">
        <f t="shared" si="0"/>
        <v>Williams Power Company</v>
      </c>
      <c r="B55" s="137">
        <f t="shared" si="1"/>
        <v>-1120</v>
      </c>
      <c r="C55" s="148">
        <f t="shared" si="2"/>
        <v>1071.6025820651844</v>
      </c>
      <c r="D55" s="149">
        <f t="shared" si="3"/>
        <v>-544.39915210582785</v>
      </c>
      <c r="E55" s="174"/>
      <c r="H55" s="131"/>
      <c r="K55" s="181" t="s">
        <v>460</v>
      </c>
      <c r="L55" s="181" t="s">
        <v>601</v>
      </c>
      <c r="N55" s="406" t="s">
        <v>259</v>
      </c>
      <c r="O55" s="516">
        <v>-1120</v>
      </c>
      <c r="P55" s="424"/>
      <c r="Q55" s="391">
        <f t="shared" si="4"/>
        <v>1071.6025820651844</v>
      </c>
      <c r="R55" s="424"/>
      <c r="S55" s="391">
        <f t="shared" si="5"/>
        <v>-544.39915210582785</v>
      </c>
    </row>
    <row r="56" spans="1:19" x14ac:dyDescent="0.2">
      <c r="A56" s="133" t="str">
        <f t="shared" si="0"/>
        <v>CAISO EESC Load Undistributed Costs</v>
      </c>
      <c r="B56" s="137">
        <f t="shared" si="1"/>
        <v>-740.80399999999997</v>
      </c>
      <c r="C56" s="148">
        <f t="shared" si="2"/>
        <v>1071.6025820651844</v>
      </c>
      <c r="D56" s="149">
        <f t="shared" si="3"/>
        <v>-360.08309774696937</v>
      </c>
      <c r="E56" s="174"/>
      <c r="H56" s="131"/>
      <c r="K56" s="181" t="s">
        <v>460</v>
      </c>
      <c r="L56" s="181" t="s">
        <v>602</v>
      </c>
      <c r="N56" s="406" t="s">
        <v>196</v>
      </c>
      <c r="O56" s="516">
        <v>-740.80399999999997</v>
      </c>
      <c r="P56" s="424"/>
      <c r="Q56" s="391">
        <f t="shared" si="4"/>
        <v>1071.6025820651844</v>
      </c>
      <c r="R56" s="424"/>
      <c r="S56" s="391">
        <f t="shared" si="5"/>
        <v>-360.08309774696937</v>
      </c>
    </row>
    <row r="57" spans="1:19" x14ac:dyDescent="0.2">
      <c r="A57" s="133" t="str">
        <f t="shared" si="0"/>
        <v>CAISO PRSC Undistributed Costs</v>
      </c>
      <c r="B57" s="137">
        <f t="shared" si="1"/>
        <v>2325.8869999999997</v>
      </c>
      <c r="C57" s="148">
        <f t="shared" si="2"/>
        <v>963.42025100000001</v>
      </c>
      <c r="D57" s="149">
        <f t="shared" si="3"/>
        <v>1016.4126189999998</v>
      </c>
      <c r="E57" s="174"/>
      <c r="H57" s="131"/>
      <c r="K57" s="181" t="s">
        <v>460</v>
      </c>
      <c r="L57" s="181" t="s">
        <v>602</v>
      </c>
      <c r="N57" s="406" t="s">
        <v>344</v>
      </c>
      <c r="O57" s="516">
        <v>2325.8869999999997</v>
      </c>
      <c r="P57" s="424"/>
      <c r="Q57" s="391">
        <f t="shared" si="4"/>
        <v>963.42025100000001</v>
      </c>
      <c r="R57" s="424"/>
      <c r="S57" s="391">
        <f t="shared" si="5"/>
        <v>1016.4126189999998</v>
      </c>
    </row>
    <row r="58" spans="1:19" x14ac:dyDescent="0.2">
      <c r="A58" s="133" t="str">
        <f t="shared" si="0"/>
        <v>Colstrip - Energy Imbalance Market</v>
      </c>
      <c r="B58" s="137">
        <f t="shared" si="1"/>
        <v>77288.653999999995</v>
      </c>
      <c r="C58" s="148">
        <f t="shared" si="2"/>
        <v>963.42025100000001</v>
      </c>
      <c r="D58" s="149">
        <f t="shared" si="3"/>
        <v>33775.141797999997</v>
      </c>
      <c r="E58" s="174"/>
      <c r="H58" s="131"/>
      <c r="K58" s="181" t="s">
        <v>461</v>
      </c>
      <c r="L58" s="181" t="s">
        <v>602</v>
      </c>
      <c r="N58" s="406" t="s">
        <v>345</v>
      </c>
      <c r="O58" s="516">
        <v>77288.653999999995</v>
      </c>
      <c r="P58" s="424"/>
      <c r="Q58" s="391">
        <f t="shared" si="4"/>
        <v>963.42025100000001</v>
      </c>
      <c r="R58" s="424"/>
      <c r="S58" s="391">
        <f t="shared" si="5"/>
        <v>33775.141797999997</v>
      </c>
    </row>
    <row r="59" spans="1:19" x14ac:dyDescent="0.2">
      <c r="A59" s="133" t="str">
        <f t="shared" si="0"/>
        <v>Douglas PUD - Wells Project</v>
      </c>
      <c r="B59" s="137">
        <f t="shared" si="1"/>
        <v>76001.61</v>
      </c>
      <c r="C59" s="148">
        <f t="shared" si="2"/>
        <v>963.42025100000001</v>
      </c>
      <c r="D59" s="149">
        <f t="shared" si="3"/>
        <v>33212.703569999998</v>
      </c>
      <c r="E59" s="174"/>
      <c r="H59" s="131"/>
      <c r="K59" s="181" t="s">
        <v>460</v>
      </c>
      <c r="L59" s="181" t="s">
        <v>602</v>
      </c>
      <c r="M59" s="181" t="s">
        <v>426</v>
      </c>
      <c r="N59" s="406" t="s">
        <v>292</v>
      </c>
      <c r="O59" s="516">
        <v>76001.61</v>
      </c>
      <c r="P59" s="424"/>
      <c r="Q59" s="391">
        <f t="shared" si="4"/>
        <v>963.42025100000001</v>
      </c>
      <c r="R59" s="424"/>
      <c r="S59" s="391">
        <f t="shared" si="5"/>
        <v>33212.703569999998</v>
      </c>
    </row>
    <row r="60" spans="1:19" x14ac:dyDescent="0.2">
      <c r="A60" s="133" t="str">
        <f t="shared" si="0"/>
        <v>Encogen</v>
      </c>
      <c r="B60" s="137">
        <f t="shared" si="1"/>
        <v>-8923.3069999999989</v>
      </c>
      <c r="C60" s="148">
        <f t="shared" si="2"/>
        <v>1071.6025820651844</v>
      </c>
      <c r="D60" s="149">
        <f t="shared" si="3"/>
        <v>-4337.3578256964265</v>
      </c>
      <c r="E60" s="174"/>
      <c r="H60" s="131"/>
      <c r="K60" s="181" t="s">
        <v>461</v>
      </c>
      <c r="L60" s="181" t="s">
        <v>602</v>
      </c>
      <c r="N60" s="406" t="s">
        <v>268</v>
      </c>
      <c r="O60" s="516">
        <v>-8923.3069999999989</v>
      </c>
      <c r="P60" s="424"/>
      <c r="Q60" s="391">
        <f t="shared" si="4"/>
        <v>1071.6025820651844</v>
      </c>
      <c r="R60" s="424"/>
      <c r="S60" s="391">
        <f t="shared" si="5"/>
        <v>-4337.3578256964265</v>
      </c>
    </row>
    <row r="61" spans="1:19" x14ac:dyDescent="0.2">
      <c r="A61" s="133" t="str">
        <f t="shared" si="0"/>
        <v>Ferndale Co-Generation</v>
      </c>
      <c r="B61" s="137">
        <f t="shared" si="1"/>
        <v>-16088.306</v>
      </c>
      <c r="C61" s="148">
        <f t="shared" si="2"/>
        <v>1071.6025820651844</v>
      </c>
      <c r="D61" s="149">
        <f t="shared" si="3"/>
        <v>-7820.0537010884846</v>
      </c>
      <c r="E61" s="174"/>
      <c r="H61" s="131"/>
      <c r="K61" s="181" t="s">
        <v>461</v>
      </c>
      <c r="L61" s="181" t="s">
        <v>602</v>
      </c>
      <c r="N61" s="406" t="s">
        <v>269</v>
      </c>
      <c r="O61" s="516">
        <v>-16088.306</v>
      </c>
      <c r="P61" s="424"/>
      <c r="Q61" s="391">
        <f t="shared" si="4"/>
        <v>1071.6025820651844</v>
      </c>
      <c r="R61" s="424"/>
      <c r="S61" s="391">
        <f t="shared" si="5"/>
        <v>-7820.0537010884846</v>
      </c>
    </row>
    <row r="62" spans="1:19" x14ac:dyDescent="0.2">
      <c r="A62" s="133" t="str">
        <f t="shared" si="0"/>
        <v>Freddie #1</v>
      </c>
      <c r="B62" s="137">
        <f t="shared" si="1"/>
        <v>1964.329</v>
      </c>
      <c r="C62" s="148">
        <f t="shared" si="2"/>
        <v>963.42025100000001</v>
      </c>
      <c r="D62" s="149">
        <f t="shared" si="3"/>
        <v>858.41177299999993</v>
      </c>
      <c r="E62" s="174"/>
      <c r="H62" s="131"/>
      <c r="K62" s="181" t="s">
        <v>461</v>
      </c>
      <c r="L62" s="181" t="s">
        <v>602</v>
      </c>
      <c r="N62" s="406" t="s">
        <v>270</v>
      </c>
      <c r="O62" s="516">
        <v>1964.329</v>
      </c>
      <c r="P62" s="424"/>
      <c r="Q62" s="391">
        <f t="shared" si="4"/>
        <v>963.42025100000001</v>
      </c>
      <c r="R62" s="424"/>
      <c r="S62" s="391">
        <f t="shared" si="5"/>
        <v>858.41177299999993</v>
      </c>
    </row>
    <row r="63" spans="1:19" x14ac:dyDescent="0.2">
      <c r="A63" s="133" t="str">
        <f t="shared" si="0"/>
        <v>Fredonia - Energy Imbalance Market</v>
      </c>
      <c r="B63" s="137">
        <f t="shared" si="1"/>
        <v>13348.413999999997</v>
      </c>
      <c r="C63" s="148">
        <f t="shared" si="2"/>
        <v>963.42025100000001</v>
      </c>
      <c r="D63" s="149">
        <f t="shared" si="3"/>
        <v>5833.2569179999982</v>
      </c>
      <c r="E63" s="174"/>
      <c r="H63" s="131"/>
      <c r="K63" s="181" t="s">
        <v>461</v>
      </c>
      <c r="L63" s="181" t="s">
        <v>602</v>
      </c>
      <c r="N63" s="406" t="s">
        <v>346</v>
      </c>
      <c r="O63" s="516">
        <v>13348.413999999997</v>
      </c>
      <c r="P63" s="424"/>
      <c r="Q63" s="391">
        <f t="shared" si="4"/>
        <v>963.42025100000001</v>
      </c>
      <c r="R63" s="424"/>
      <c r="S63" s="391">
        <f t="shared" si="5"/>
        <v>5833.2569179999982</v>
      </c>
    </row>
    <row r="64" spans="1:19" x14ac:dyDescent="0.2">
      <c r="A64" s="133" t="str">
        <f t="shared" si="0"/>
        <v>Fredrickson 1 &amp; 2</v>
      </c>
      <c r="B64" s="137">
        <f t="shared" si="1"/>
        <v>-6410.2160000000003</v>
      </c>
      <c r="C64" s="148">
        <f t="shared" si="2"/>
        <v>1071.6025820651844</v>
      </c>
      <c r="D64" s="149">
        <f t="shared" si="3"/>
        <v>-3115.8179957278671</v>
      </c>
      <c r="E64" s="174"/>
      <c r="H64" s="131"/>
      <c r="K64" s="181" t="s">
        <v>461</v>
      </c>
      <c r="L64" s="181" t="s">
        <v>602</v>
      </c>
      <c r="N64" s="406" t="s">
        <v>273</v>
      </c>
      <c r="O64" s="516">
        <v>-6410.2160000000003</v>
      </c>
      <c r="P64" s="424"/>
      <c r="Q64" s="391">
        <f t="shared" si="4"/>
        <v>1071.6025820651844</v>
      </c>
      <c r="R64" s="424"/>
      <c r="S64" s="391">
        <f t="shared" si="5"/>
        <v>-3115.8179957278671</v>
      </c>
    </row>
    <row r="65" spans="1:19" x14ac:dyDescent="0.2">
      <c r="A65" s="133" t="str">
        <f t="shared" si="0"/>
        <v>Goldendale</v>
      </c>
      <c r="B65" s="137">
        <f t="shared" si="1"/>
        <v>-48325.954999999994</v>
      </c>
      <c r="C65" s="148">
        <f t="shared" si="2"/>
        <v>1071.6025820651844</v>
      </c>
      <c r="D65" s="149">
        <f t="shared" si="3"/>
        <v>-23489.829398843205</v>
      </c>
      <c r="E65" s="174"/>
      <c r="H65" s="131"/>
      <c r="K65" s="181" t="s">
        <v>461</v>
      </c>
      <c r="L65" s="181" t="s">
        <v>602</v>
      </c>
      <c r="N65" s="406" t="s">
        <v>274</v>
      </c>
      <c r="O65" s="516">
        <v>-48325.954999999994</v>
      </c>
      <c r="P65" s="424"/>
      <c r="Q65" s="391">
        <f t="shared" si="4"/>
        <v>1071.6025820651844</v>
      </c>
      <c r="R65" s="424"/>
      <c r="S65" s="391">
        <f t="shared" si="5"/>
        <v>-23489.829398843205</v>
      </c>
    </row>
    <row r="66" spans="1:19" x14ac:dyDescent="0.2">
      <c r="A66" s="133" t="str">
        <f t="shared" si="0"/>
        <v>Lower Baker</v>
      </c>
      <c r="B66" s="137">
        <f t="shared" si="1"/>
        <v>2784.2449999999999</v>
      </c>
      <c r="C66" s="148">
        <f t="shared" si="2"/>
        <v>963.42025100000001</v>
      </c>
      <c r="D66" s="149">
        <f t="shared" si="3"/>
        <v>1216.7150650000001</v>
      </c>
      <c r="E66" s="174"/>
      <c r="H66" s="131"/>
      <c r="K66" s="181" t="s">
        <v>461</v>
      </c>
      <c r="L66" s="181" t="s">
        <v>602</v>
      </c>
      <c r="N66" s="406" t="s">
        <v>263</v>
      </c>
      <c r="O66" s="516">
        <v>2784.2449999999999</v>
      </c>
      <c r="P66" s="424"/>
      <c r="Q66" s="391">
        <f t="shared" si="4"/>
        <v>963.42025100000001</v>
      </c>
      <c r="R66" s="424"/>
      <c r="S66" s="391">
        <f t="shared" si="5"/>
        <v>1216.7150650000001</v>
      </c>
    </row>
    <row r="67" spans="1:19" x14ac:dyDescent="0.2">
      <c r="A67" s="133" t="str">
        <f t="shared" si="0"/>
        <v>MID-C for Energy Imbalance Market</v>
      </c>
      <c r="B67" s="137">
        <f t="shared" si="1"/>
        <v>60683.200000000012</v>
      </c>
      <c r="C67" s="148">
        <f t="shared" si="2"/>
        <v>963.42025100000001</v>
      </c>
      <c r="D67" s="149">
        <f t="shared" si="3"/>
        <v>26518.558400000005</v>
      </c>
      <c r="E67" s="174"/>
      <c r="H67" s="131"/>
      <c r="K67" s="181" t="s">
        <v>460</v>
      </c>
      <c r="L67" s="181" t="s">
        <v>602</v>
      </c>
      <c r="M67" s="181" t="s">
        <v>462</v>
      </c>
      <c r="N67" s="406" t="s">
        <v>347</v>
      </c>
      <c r="O67" s="516">
        <v>60683.200000000012</v>
      </c>
      <c r="P67" s="424"/>
      <c r="Q67" s="391">
        <f t="shared" si="4"/>
        <v>963.42025100000001</v>
      </c>
      <c r="R67" s="424"/>
      <c r="S67" s="391">
        <f t="shared" si="5"/>
        <v>26518.558400000005</v>
      </c>
    </row>
    <row r="68" spans="1:19" x14ac:dyDescent="0.2">
      <c r="A68" s="133" t="str">
        <f t="shared" si="0"/>
        <v>Mint Farm</v>
      </c>
      <c r="B68" s="137">
        <f t="shared" si="1"/>
        <v>-57811.026999999995</v>
      </c>
      <c r="C68" s="148">
        <f t="shared" si="2"/>
        <v>1071.6025820651844</v>
      </c>
      <c r="D68" s="149">
        <f t="shared" si="3"/>
        <v>-28100.244715327783</v>
      </c>
      <c r="E68" s="174"/>
      <c r="H68" s="131"/>
      <c r="K68" s="181" t="s">
        <v>461</v>
      </c>
      <c r="L68" s="181" t="s">
        <v>602</v>
      </c>
      <c r="N68" s="406" t="s">
        <v>277</v>
      </c>
      <c r="O68" s="516">
        <v>-57811.026999999995</v>
      </c>
      <c r="P68" s="424"/>
      <c r="Q68" s="391">
        <f t="shared" si="4"/>
        <v>1071.6025820651844</v>
      </c>
      <c r="R68" s="424"/>
      <c r="S68" s="391">
        <f t="shared" si="5"/>
        <v>-28100.244715327783</v>
      </c>
    </row>
    <row r="69" spans="1:19" x14ac:dyDescent="0.2">
      <c r="A69" s="133" t="str">
        <f t="shared" si="0"/>
        <v>Snoqualmie-Energy Imbalance Market</v>
      </c>
      <c r="B69" s="137">
        <f t="shared" si="1"/>
        <v>-142.52199999999999</v>
      </c>
      <c r="C69" s="148">
        <f t="shared" si="2"/>
        <v>1071.6025820651844</v>
      </c>
      <c r="D69" s="149">
        <f t="shared" si="3"/>
        <v>-69.275764246809629</v>
      </c>
      <c r="E69" s="174"/>
      <c r="H69" s="131"/>
      <c r="K69" s="181" t="s">
        <v>461</v>
      </c>
      <c r="L69" s="181" t="s">
        <v>602</v>
      </c>
      <c r="N69" s="406" t="s">
        <v>348</v>
      </c>
      <c r="O69" s="516">
        <v>-142.52199999999999</v>
      </c>
      <c r="P69" s="424"/>
      <c r="Q69" s="391">
        <f t="shared" si="4"/>
        <v>1071.6025820651844</v>
      </c>
      <c r="R69" s="424"/>
      <c r="S69" s="391">
        <f t="shared" si="5"/>
        <v>-69.275764246809629</v>
      </c>
    </row>
    <row r="70" spans="1:19" x14ac:dyDescent="0.2">
      <c r="A70" s="133" t="str">
        <f t="shared" ref="A70:A73" si="6">N70</f>
        <v>Sumas</v>
      </c>
      <c r="B70" s="137">
        <f t="shared" ref="B70:B73" si="7">O70</f>
        <v>1311.2690000000021</v>
      </c>
      <c r="C70" s="148">
        <f t="shared" ref="C70:C73" si="8">Q70</f>
        <v>963.42025100000001</v>
      </c>
      <c r="D70" s="149">
        <f t="shared" ref="D70:D73" si="9">S70</f>
        <v>573.02455300000088</v>
      </c>
      <c r="E70" s="174"/>
      <c r="H70" s="131"/>
      <c r="K70" s="181" t="s">
        <v>461</v>
      </c>
      <c r="L70" s="181" t="s">
        <v>602</v>
      </c>
      <c r="N70" s="406" t="s">
        <v>278</v>
      </c>
      <c r="O70" s="516">
        <v>1311.2690000000021</v>
      </c>
      <c r="P70" s="424"/>
      <c r="Q70" s="391">
        <f t="shared" ref="Q70:Q73" si="10">IF(O70&gt;0,H$2,H$10)</f>
        <v>963.42025100000001</v>
      </c>
      <c r="R70" s="424"/>
      <c r="S70" s="391">
        <f t="shared" ref="S70:S73" si="11">(O70*Q70)/2204.623</f>
        <v>573.02455300000088</v>
      </c>
    </row>
    <row r="71" spans="1:19" x14ac:dyDescent="0.2">
      <c r="A71" s="133" t="str">
        <f t="shared" si="6"/>
        <v>Upper Baker</v>
      </c>
      <c r="B71" s="137">
        <f t="shared" si="7"/>
        <v>14870.791999999999</v>
      </c>
      <c r="C71" s="148">
        <f t="shared" si="8"/>
        <v>963.42025100000001</v>
      </c>
      <c r="D71" s="149">
        <f t="shared" si="9"/>
        <v>6498.5361039999998</v>
      </c>
      <c r="E71" s="174"/>
      <c r="H71" s="131"/>
      <c r="K71" s="181" t="s">
        <v>461</v>
      </c>
      <c r="L71" s="181" t="s">
        <v>602</v>
      </c>
      <c r="N71" s="406" t="s">
        <v>266</v>
      </c>
      <c r="O71" s="516">
        <v>14870.791999999999</v>
      </c>
      <c r="P71" s="424"/>
      <c r="Q71" s="391">
        <f t="shared" si="10"/>
        <v>963.42025100000001</v>
      </c>
      <c r="R71" s="424"/>
      <c r="S71" s="391">
        <f t="shared" si="11"/>
        <v>6498.5361039999998</v>
      </c>
    </row>
    <row r="72" spans="1:19" x14ac:dyDescent="0.2">
      <c r="A72" s="133" t="str">
        <f t="shared" si="6"/>
        <v>Whitehorn 2&amp;3</v>
      </c>
      <c r="B72" s="137">
        <f t="shared" si="7"/>
        <v>-5098.0899999999992</v>
      </c>
      <c r="C72" s="148">
        <f t="shared" si="8"/>
        <v>1071.6025820651844</v>
      </c>
      <c r="D72" s="149">
        <f t="shared" si="9"/>
        <v>-2478.0320297849994</v>
      </c>
      <c r="E72" s="174"/>
      <c r="H72" s="131"/>
      <c r="K72" s="181" t="s">
        <v>461</v>
      </c>
      <c r="L72" s="181" t="s">
        <v>602</v>
      </c>
      <c r="N72" s="406" t="s">
        <v>279</v>
      </c>
      <c r="O72" s="516">
        <v>-5098.0899999999992</v>
      </c>
      <c r="P72" s="424"/>
      <c r="Q72" s="391">
        <f t="shared" si="10"/>
        <v>1071.6025820651844</v>
      </c>
      <c r="R72" s="424"/>
      <c r="S72" s="391">
        <f t="shared" si="11"/>
        <v>-2478.0320297849994</v>
      </c>
    </row>
    <row r="73" spans="1:19" x14ac:dyDescent="0.2">
      <c r="A73" s="133" t="str">
        <f t="shared" si="6"/>
        <v>Wild Horse (W183)</v>
      </c>
      <c r="B73" s="137">
        <f t="shared" si="7"/>
        <v>-10700.974000000002</v>
      </c>
      <c r="C73" s="148">
        <f t="shared" si="8"/>
        <v>1071.6025820651844</v>
      </c>
      <c r="D73" s="149">
        <f t="shared" si="9"/>
        <v>-5201.4296181308127</v>
      </c>
      <c r="E73" s="174"/>
      <c r="H73" s="131"/>
      <c r="K73" s="181" t="s">
        <v>461</v>
      </c>
      <c r="L73" s="181" t="s">
        <v>602</v>
      </c>
      <c r="N73" s="406" t="s">
        <v>280</v>
      </c>
      <c r="O73" s="516">
        <v>-10700.974000000002</v>
      </c>
      <c r="P73" s="424"/>
      <c r="Q73" s="391">
        <f t="shared" si="10"/>
        <v>1071.6025820651844</v>
      </c>
      <c r="R73" s="424"/>
      <c r="S73" s="391">
        <f t="shared" si="11"/>
        <v>-5201.4296181308127</v>
      </c>
    </row>
    <row r="74" spans="1:19" x14ac:dyDescent="0.2">
      <c r="A74" s="133"/>
      <c r="B74" s="137"/>
      <c r="C74" s="148"/>
      <c r="D74" s="149"/>
      <c r="E74" s="174"/>
      <c r="H74" s="131"/>
      <c r="O74" s="516">
        <f>SUM(O5:O73)</f>
        <v>3726897.3210000005</v>
      </c>
      <c r="P74" s="424"/>
      <c r="Q74" s="391"/>
      <c r="R74" s="424"/>
      <c r="S74" s="391"/>
    </row>
    <row r="75" spans="1:19" ht="21" customHeight="1" x14ac:dyDescent="0.25">
      <c r="A75" s="144" t="s">
        <v>419</v>
      </c>
      <c r="B75" s="146">
        <f>SUM(B5:B74)</f>
        <v>3726897.3210000005</v>
      </c>
      <c r="C75" s="147"/>
      <c r="D75" s="326">
        <f>SUM(D5:D74)</f>
        <v>1535394.7838640928</v>
      </c>
      <c r="H75" s="131"/>
    </row>
    <row r="76" spans="1:19" x14ac:dyDescent="0.25">
      <c r="H76" s="131"/>
    </row>
    <row r="77" spans="1:19" x14ac:dyDescent="0.25">
      <c r="H77" s="131"/>
    </row>
    <row r="78" spans="1:19" x14ac:dyDescent="0.25">
      <c r="H78" s="131"/>
    </row>
    <row r="79" spans="1:19" x14ac:dyDescent="0.25">
      <c r="H79" s="131"/>
    </row>
    <row r="80" spans="1:19" x14ac:dyDescent="0.25">
      <c r="H80" s="131"/>
    </row>
    <row r="81" spans="8:8" x14ac:dyDescent="0.25">
      <c r="H81" s="131"/>
    </row>
    <row r="82" spans="8:8" x14ac:dyDescent="0.25">
      <c r="H82" s="131"/>
    </row>
    <row r="83" spans="8:8" x14ac:dyDescent="0.25">
      <c r="H83" s="131"/>
    </row>
    <row r="84" spans="8:8" x14ac:dyDescent="0.25">
      <c r="H84" s="131"/>
    </row>
    <row r="85" spans="8:8" x14ac:dyDescent="0.25">
      <c r="H85" s="131"/>
    </row>
    <row r="86" spans="8:8" x14ac:dyDescent="0.25">
      <c r="H86" s="131"/>
    </row>
    <row r="87" spans="8:8" x14ac:dyDescent="0.25">
      <c r="H87" s="131"/>
    </row>
    <row r="88" spans="8:8" x14ac:dyDescent="0.25">
      <c r="H88" s="131"/>
    </row>
    <row r="89" spans="8:8" x14ac:dyDescent="0.25">
      <c r="H89" s="131"/>
    </row>
    <row r="90" spans="8:8" x14ac:dyDescent="0.25">
      <c r="H90" s="131"/>
    </row>
    <row r="91" spans="8:8" x14ac:dyDescent="0.25">
      <c r="H91" s="131"/>
    </row>
    <row r="92" spans="8:8" x14ac:dyDescent="0.25">
      <c r="H92" s="131"/>
    </row>
    <row r="93" spans="8:8" x14ac:dyDescent="0.25">
      <c r="H93" s="131"/>
    </row>
    <row r="94" spans="8:8" x14ac:dyDescent="0.25">
      <c r="H94" s="131"/>
    </row>
    <row r="95" spans="8:8" x14ac:dyDescent="0.25">
      <c r="H95" s="131"/>
    </row>
    <row r="96" spans="8:8" x14ac:dyDescent="0.25">
      <c r="H96" s="131"/>
    </row>
    <row r="97" spans="8:8" x14ac:dyDescent="0.25">
      <c r="H97" s="131"/>
    </row>
    <row r="98" spans="8:8" x14ac:dyDescent="0.25">
      <c r="H98" s="131"/>
    </row>
    <row r="99" spans="8:8" x14ac:dyDescent="0.25">
      <c r="H99" s="131"/>
    </row>
    <row r="100" spans="8:8" x14ac:dyDescent="0.25">
      <c r="H100" s="131"/>
    </row>
    <row r="101" spans="8:8" x14ac:dyDescent="0.25">
      <c r="H101" s="131"/>
    </row>
    <row r="102" spans="8:8" x14ac:dyDescent="0.25">
      <c r="H102" s="131"/>
    </row>
    <row r="103" spans="8:8" x14ac:dyDescent="0.25">
      <c r="H103" s="131"/>
    </row>
    <row r="104" spans="8:8" x14ac:dyDescent="0.25">
      <c r="H104" s="131"/>
    </row>
    <row r="105" spans="8:8" x14ac:dyDescent="0.25">
      <c r="H105" s="131"/>
    </row>
    <row r="106" spans="8:8" x14ac:dyDescent="0.25">
      <c r="H106" s="131"/>
    </row>
    <row r="107" spans="8:8" x14ac:dyDescent="0.25">
      <c r="H107" s="131"/>
    </row>
    <row r="108" spans="8:8" x14ac:dyDescent="0.25">
      <c r="H108" s="131"/>
    </row>
    <row r="109" spans="8:8" x14ac:dyDescent="0.25">
      <c r="H109" s="131"/>
    </row>
    <row r="110" spans="8:8" x14ac:dyDescent="0.25">
      <c r="H110" s="131"/>
    </row>
    <row r="111" spans="8:8" x14ac:dyDescent="0.25">
      <c r="H111" s="131"/>
    </row>
    <row r="112" spans="8:8" x14ac:dyDescent="0.25">
      <c r="H112" s="131"/>
    </row>
    <row r="113" spans="8:8" x14ac:dyDescent="0.25">
      <c r="H113" s="131"/>
    </row>
    <row r="114" spans="8:8" x14ac:dyDescent="0.25">
      <c r="H114" s="131"/>
    </row>
    <row r="115" spans="8:8" x14ac:dyDescent="0.25">
      <c r="H115" s="131"/>
    </row>
    <row r="116" spans="8:8" x14ac:dyDescent="0.25">
      <c r="H116" s="131"/>
    </row>
    <row r="117" spans="8:8" x14ac:dyDescent="0.25">
      <c r="H117" s="131"/>
    </row>
    <row r="118" spans="8:8" x14ac:dyDescent="0.25">
      <c r="H118" s="131"/>
    </row>
    <row r="119" spans="8:8" x14ac:dyDescent="0.25">
      <c r="H119" s="131"/>
    </row>
    <row r="120" spans="8:8" x14ac:dyDescent="0.25">
      <c r="H120" s="131"/>
    </row>
    <row r="121" spans="8:8" x14ac:dyDescent="0.25">
      <c r="H121" s="131"/>
    </row>
    <row r="122" spans="8:8" x14ac:dyDescent="0.25">
      <c r="H122" s="131"/>
    </row>
    <row r="123" spans="8:8" x14ac:dyDescent="0.25">
      <c r="H123" s="131"/>
    </row>
    <row r="124" spans="8:8" x14ac:dyDescent="0.25">
      <c r="H124" s="131"/>
    </row>
    <row r="125" spans="8:8" x14ac:dyDescent="0.25">
      <c r="H125" s="131"/>
    </row>
    <row r="126" spans="8:8" x14ac:dyDescent="0.25">
      <c r="H126" s="131"/>
    </row>
    <row r="127" spans="8:8" x14ac:dyDescent="0.25">
      <c r="H127" s="131"/>
    </row>
    <row r="128" spans="8:8" x14ac:dyDescent="0.25">
      <c r="H128" s="131"/>
    </row>
    <row r="129" spans="8:8" x14ac:dyDescent="0.25">
      <c r="H129" s="131"/>
    </row>
    <row r="130" spans="8:8" x14ac:dyDescent="0.25">
      <c r="H130" s="131"/>
    </row>
    <row r="131" spans="8:8" x14ac:dyDescent="0.25">
      <c r="H131" s="131"/>
    </row>
    <row r="132" spans="8:8" x14ac:dyDescent="0.25">
      <c r="H132" s="131"/>
    </row>
    <row r="133" spans="8:8" x14ac:dyDescent="0.25">
      <c r="H133" s="131"/>
    </row>
    <row r="134" spans="8:8" x14ac:dyDescent="0.25">
      <c r="H134" s="131"/>
    </row>
    <row r="135" spans="8:8" x14ac:dyDescent="0.25">
      <c r="H135" s="131"/>
    </row>
    <row r="136" spans="8:8" x14ac:dyDescent="0.25">
      <c r="H136" s="131"/>
    </row>
    <row r="137" spans="8:8" x14ac:dyDescent="0.25">
      <c r="H137" s="131"/>
    </row>
    <row r="138" spans="8:8" x14ac:dyDescent="0.25">
      <c r="H138" s="131"/>
    </row>
    <row r="139" spans="8:8" x14ac:dyDescent="0.25">
      <c r="H139" s="131"/>
    </row>
    <row r="140" spans="8:8" x14ac:dyDescent="0.25">
      <c r="H140" s="131"/>
    </row>
    <row r="141" spans="8:8" x14ac:dyDescent="0.25">
      <c r="H141" s="131"/>
    </row>
    <row r="142" spans="8:8" x14ac:dyDescent="0.25">
      <c r="H142" s="131"/>
    </row>
    <row r="143" spans="8:8" x14ac:dyDescent="0.25">
      <c r="H143" s="131"/>
    </row>
    <row r="144" spans="8:8" x14ac:dyDescent="0.25">
      <c r="H144" s="131"/>
    </row>
    <row r="145" spans="8:8" x14ac:dyDescent="0.25">
      <c r="H145" s="131"/>
    </row>
    <row r="146" spans="8:8" x14ac:dyDescent="0.25">
      <c r="H146" s="131"/>
    </row>
    <row r="147" spans="8:8" x14ac:dyDescent="0.25">
      <c r="H147" s="131"/>
    </row>
    <row r="148" spans="8:8" x14ac:dyDescent="0.25">
      <c r="H148" s="131"/>
    </row>
    <row r="149" spans="8:8" x14ac:dyDescent="0.25">
      <c r="H149" s="131"/>
    </row>
    <row r="150" spans="8:8" x14ac:dyDescent="0.25">
      <c r="H150" s="131"/>
    </row>
    <row r="151" spans="8:8" x14ac:dyDescent="0.25">
      <c r="H151" s="131"/>
    </row>
    <row r="152" spans="8:8" x14ac:dyDescent="0.25">
      <c r="H152" s="131"/>
    </row>
    <row r="153" spans="8:8" x14ac:dyDescent="0.25">
      <c r="H153" s="131"/>
    </row>
    <row r="154" spans="8:8" x14ac:dyDescent="0.25">
      <c r="H154" s="131"/>
    </row>
    <row r="155" spans="8:8" x14ac:dyDescent="0.25">
      <c r="H155" s="131"/>
    </row>
    <row r="156" spans="8:8" x14ac:dyDescent="0.25">
      <c r="H156" s="131"/>
    </row>
  </sheetData>
  <mergeCells count="4">
    <mergeCell ref="A3:A4"/>
    <mergeCell ref="B3:B4"/>
    <mergeCell ref="C3:C4"/>
    <mergeCell ref="D3:D4"/>
  </mergeCells>
  <hyperlinks>
    <hyperlink ref="F2" r:id="rId1"/>
  </hyperlinks>
  <pageMargins left="0.7" right="0.7" top="0.75" bottom="0.75" header="0.3" footer="0.3"/>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Normal="100" workbookViewId="0">
      <selection activeCell="A18" sqref="A18:C18"/>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s>
  <sheetData>
    <row r="1" spans="1:10" ht="18.75" x14ac:dyDescent="0.3">
      <c r="A1" s="2" t="s">
        <v>11</v>
      </c>
    </row>
    <row r="2" spans="1:10" ht="9.1999999999999993" customHeight="1" thickBot="1" x14ac:dyDescent="0.3"/>
    <row r="3" spans="1:10" x14ac:dyDescent="0.25">
      <c r="A3" s="59"/>
      <c r="B3" s="167" t="s">
        <v>15</v>
      </c>
      <c r="C3" s="61" t="s">
        <v>25</v>
      </c>
      <c r="D3" s="65"/>
      <c r="E3" s="63"/>
      <c r="J3" t="s">
        <v>403</v>
      </c>
    </row>
    <row r="4" spans="1:10" x14ac:dyDescent="0.25">
      <c r="A4" s="644" t="s">
        <v>16</v>
      </c>
      <c r="B4" s="646"/>
      <c r="C4" s="35">
        <v>2017</v>
      </c>
      <c r="D4" s="68" t="s">
        <v>39</v>
      </c>
      <c r="E4" s="64"/>
      <c r="J4" s="94">
        <v>2.5143823962889646</v>
      </c>
    </row>
    <row r="5" spans="1:10" ht="15.75" thickBot="1" x14ac:dyDescent="0.3">
      <c r="A5" s="647" t="s">
        <v>21</v>
      </c>
      <c r="B5" s="648"/>
      <c r="C5" s="130">
        <f>+F10*J4</f>
        <v>2524399.6957557797</v>
      </c>
      <c r="D5" s="161">
        <f>+D13/C5</f>
        <v>8.4125580571510721</v>
      </c>
    </row>
    <row r="6" spans="1:10" x14ac:dyDescent="0.25">
      <c r="A6" s="5"/>
      <c r="B6" s="5"/>
      <c r="C6" s="21"/>
      <c r="E6" s="20"/>
    </row>
    <row r="7" spans="1:10" ht="19.5" thickBot="1" x14ac:dyDescent="0.35">
      <c r="A7" s="57" t="s">
        <v>36</v>
      </c>
      <c r="C7" s="21"/>
      <c r="E7" s="20"/>
    </row>
    <row r="8" spans="1:10" x14ac:dyDescent="0.25">
      <c r="A8" s="39"/>
      <c r="B8" s="40"/>
      <c r="C8" s="40"/>
      <c r="D8" s="40"/>
      <c r="E8" s="40"/>
      <c r="F8" s="41" t="s">
        <v>20</v>
      </c>
      <c r="G8" s="52" t="s">
        <v>40</v>
      </c>
    </row>
    <row r="9" spans="1:10" x14ac:dyDescent="0.25">
      <c r="A9" s="42"/>
      <c r="B9" s="16"/>
      <c r="C9" s="16"/>
      <c r="D9" s="18" t="s">
        <v>14</v>
      </c>
      <c r="E9" s="30" t="s">
        <v>28</v>
      </c>
      <c r="F9" s="23" t="s">
        <v>35</v>
      </c>
      <c r="G9" s="53" t="s">
        <v>20</v>
      </c>
    </row>
    <row r="10" spans="1:10" x14ac:dyDescent="0.25">
      <c r="A10" s="644" t="s">
        <v>12</v>
      </c>
      <c r="B10" s="645"/>
      <c r="C10" s="646"/>
      <c r="D10" s="159">
        <v>10931999</v>
      </c>
      <c r="E10" s="17">
        <f>+D10/D13</f>
        <v>0.51477019054645079</v>
      </c>
      <c r="F10" s="157">
        <v>1003984</v>
      </c>
      <c r="G10" s="155">
        <f>+D10/F10</f>
        <v>10.888618742928173</v>
      </c>
      <c r="J10" s="1"/>
    </row>
    <row r="11" spans="1:10" x14ac:dyDescent="0.25">
      <c r="A11" s="644" t="s">
        <v>17</v>
      </c>
      <c r="B11" s="645"/>
      <c r="C11" s="646"/>
      <c r="D11" s="159">
        <v>9089842</v>
      </c>
      <c r="E11" s="17">
        <f>+D11/D13</f>
        <v>0.42802599034057098</v>
      </c>
      <c r="F11" s="158">
        <f>127836+6856</f>
        <v>134692</v>
      </c>
      <c r="G11" s="155">
        <f>+D11/F11</f>
        <v>67.486131321830541</v>
      </c>
      <c r="J11" s="1"/>
    </row>
    <row r="12" spans="1:10" x14ac:dyDescent="0.25">
      <c r="A12" s="644" t="s">
        <v>18</v>
      </c>
      <c r="B12" s="645"/>
      <c r="C12" s="646"/>
      <c r="D12" s="159">
        <v>1214818</v>
      </c>
      <c r="E12" s="17">
        <f>+D12/D13</f>
        <v>5.7203819112978178E-2</v>
      </c>
      <c r="F12" s="5"/>
      <c r="G12" s="156"/>
      <c r="J12" s="1"/>
    </row>
    <row r="13" spans="1:10" ht="15.75" thickBot="1" x14ac:dyDescent="0.3">
      <c r="A13" s="166"/>
      <c r="B13" s="649" t="s">
        <v>13</v>
      </c>
      <c r="C13" s="648"/>
      <c r="D13" s="160">
        <f>SUM(D10:D12)</f>
        <v>21236659</v>
      </c>
      <c r="E13" s="45"/>
      <c r="F13" s="46"/>
      <c r="G13" s="47"/>
    </row>
    <row r="15" spans="1:10" ht="19.5" thickBot="1" x14ac:dyDescent="0.35">
      <c r="A15" s="58" t="s">
        <v>37</v>
      </c>
    </row>
    <row r="16" spans="1:10" x14ac:dyDescent="0.25">
      <c r="A16" s="39"/>
      <c r="B16" s="40"/>
      <c r="C16" s="40"/>
      <c r="D16" s="40"/>
      <c r="E16" s="41" t="s">
        <v>29</v>
      </c>
      <c r="F16" s="48" t="s">
        <v>522</v>
      </c>
      <c r="G16" s="49"/>
    </row>
    <row r="17" spans="1:9" ht="18" x14ac:dyDescent="0.35">
      <c r="A17" s="50"/>
      <c r="B17" s="5"/>
      <c r="C17" s="5"/>
      <c r="D17" s="30" t="s">
        <v>19</v>
      </c>
      <c r="E17" s="23" t="s">
        <v>30</v>
      </c>
      <c r="F17" s="19" t="s">
        <v>8</v>
      </c>
      <c r="G17" s="43"/>
    </row>
    <row r="18" spans="1:9" x14ac:dyDescent="0.25">
      <c r="A18" s="637" t="s">
        <v>542</v>
      </c>
      <c r="B18" s="638"/>
      <c r="C18" s="639"/>
      <c r="D18" s="162">
        <f>'2017 Known'!B59</f>
        <v>18364274.908000004</v>
      </c>
      <c r="E18" s="17">
        <f>+D18/(D18+D20)</f>
        <v>0.79862954191870228</v>
      </c>
      <c r="F18" s="162">
        <f>'2017 Known'!C59</f>
        <v>9156917.4287003633</v>
      </c>
      <c r="G18" s="43"/>
    </row>
    <row r="19" spans="1:9" ht="15.75" thickBot="1" x14ac:dyDescent="0.3">
      <c r="A19" s="463"/>
      <c r="B19" s="464"/>
      <c r="C19" s="337" t="s">
        <v>543</v>
      </c>
      <c r="D19" s="323">
        <v>0</v>
      </c>
      <c r="E19" s="276">
        <v>0</v>
      </c>
      <c r="F19" s="323">
        <v>0</v>
      </c>
      <c r="G19" s="43"/>
    </row>
    <row r="20" spans="1:9" ht="18" x14ac:dyDescent="0.35">
      <c r="A20" s="644" t="s">
        <v>34</v>
      </c>
      <c r="B20" s="645"/>
      <c r="C20" s="646"/>
      <c r="D20" s="165">
        <f>'2017 Unknown - Net by'!B80</f>
        <v>4630460.3780000005</v>
      </c>
      <c r="E20" s="56">
        <f>+D20/(D18+D20)</f>
        <v>0.20137045808129767</v>
      </c>
      <c r="F20" s="163">
        <f>'2017 Unknown - Net by'!D80</f>
        <v>1958569.5986324535</v>
      </c>
      <c r="G20" s="72" t="s">
        <v>38</v>
      </c>
    </row>
    <row r="21" spans="1:9" ht="18.75" thickBot="1" x14ac:dyDescent="0.4">
      <c r="A21" s="44"/>
      <c r="B21" s="46"/>
      <c r="C21" s="46"/>
      <c r="D21" s="69"/>
      <c r="E21" s="169" t="s">
        <v>523</v>
      </c>
      <c r="F21" s="164">
        <f>SUM(F18:F20)</f>
        <v>11115487.027332816</v>
      </c>
      <c r="G21" s="73">
        <f>+F21/G23</f>
        <v>1.7639813881523514</v>
      </c>
      <c r="I21" s="98"/>
    </row>
    <row r="23" spans="1:9" ht="18" x14ac:dyDescent="0.35">
      <c r="F23" s="22" t="s">
        <v>524</v>
      </c>
      <c r="G23" s="168">
        <f>+G30</f>
        <v>6301362.9860207997</v>
      </c>
      <c r="H23" s="29"/>
    </row>
    <row r="25" spans="1:9" x14ac:dyDescent="0.25">
      <c r="E25" s="29" t="s">
        <v>22</v>
      </c>
      <c r="F25" s="24"/>
      <c r="G25" s="24"/>
    </row>
    <row r="26" spans="1:9" x14ac:dyDescent="0.25">
      <c r="E26" s="24"/>
      <c r="F26" s="24"/>
      <c r="G26" s="27" t="s">
        <v>26</v>
      </c>
    </row>
    <row r="27" spans="1:9" ht="18" x14ac:dyDescent="0.35">
      <c r="E27" s="24"/>
      <c r="F27" s="24"/>
      <c r="G27" s="28" t="s">
        <v>525</v>
      </c>
    </row>
    <row r="28" spans="1:9" x14ac:dyDescent="0.25">
      <c r="E28" s="24"/>
      <c r="F28" s="25" t="s">
        <v>23</v>
      </c>
      <c r="G28" s="26">
        <f>1131957*0.9071847</f>
        <v>1026894.0714579</v>
      </c>
    </row>
    <row r="29" spans="1:9" x14ac:dyDescent="0.25">
      <c r="E29" s="24"/>
      <c r="F29" s="25" t="s">
        <v>24</v>
      </c>
      <c r="G29" s="26">
        <f>2399078*0.9071847</f>
        <v>2176406.8557066</v>
      </c>
    </row>
    <row r="30" spans="1:9" x14ac:dyDescent="0.25">
      <c r="E30" s="24"/>
      <c r="F30" s="25" t="s">
        <v>25</v>
      </c>
      <c r="G30" s="26">
        <f>6946064*0.9071847</f>
        <v>6301362.9860207997</v>
      </c>
    </row>
    <row r="33" spans="5:6" x14ac:dyDescent="0.25">
      <c r="E33" s="22" t="s">
        <v>422</v>
      </c>
      <c r="F33" s="24" t="s">
        <v>340</v>
      </c>
    </row>
    <row r="34" spans="5:6" x14ac:dyDescent="0.25">
      <c r="F34" s="24" t="s">
        <v>420</v>
      </c>
    </row>
    <row r="35" spans="5:6" x14ac:dyDescent="0.25">
      <c r="F35" s="24" t="s">
        <v>421</v>
      </c>
    </row>
  </sheetData>
  <mergeCells count="8">
    <mergeCell ref="A18:C18"/>
    <mergeCell ref="A20:C20"/>
    <mergeCell ref="A4:B4"/>
    <mergeCell ref="A5:B5"/>
    <mergeCell ref="A10:C10"/>
    <mergeCell ref="A11:C11"/>
    <mergeCell ref="A12:C12"/>
    <mergeCell ref="B13:C1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showGridLines="0" topLeftCell="B1" zoomScaleNormal="100" workbookViewId="0">
      <pane ySplit="1860" topLeftCell="A18" activePane="bottomLeft"/>
      <selection activeCell="I3" sqref="I3"/>
      <selection pane="bottomLeft" activeCell="J22" sqref="J22"/>
    </sheetView>
  </sheetViews>
  <sheetFormatPr defaultColWidth="9.140625" defaultRowHeight="12.75" x14ac:dyDescent="0.25"/>
  <cols>
    <col min="1" max="1" width="47.5703125" style="439" customWidth="1"/>
    <col min="2" max="2" width="13.140625" style="373" customWidth="1"/>
    <col min="3" max="3" width="14.28515625" style="373" customWidth="1"/>
    <col min="4" max="4" width="18.7109375" style="373" customWidth="1"/>
    <col min="5" max="5" width="12" style="373" customWidth="1"/>
    <col min="6" max="6" width="9.7109375" style="373" customWidth="1"/>
    <col min="7" max="7" width="20.42578125" style="181" customWidth="1"/>
    <col min="8" max="8" width="17.5703125" style="181" bestFit="1" customWidth="1"/>
    <col min="9" max="9" width="11.28515625" style="181" bestFit="1" customWidth="1"/>
    <col min="10" max="10" width="9.28515625" style="181" bestFit="1" customWidth="1"/>
    <col min="11" max="11" width="9.7109375" style="181" bestFit="1" customWidth="1"/>
    <col min="12" max="12" width="3.5703125" style="377" customWidth="1"/>
    <col min="13" max="14" width="10" style="373" customWidth="1"/>
    <col min="15" max="16" width="9.140625" style="373"/>
    <col min="17" max="16384" width="9.140625" style="181"/>
  </cols>
  <sheetData>
    <row r="1" spans="1:17" ht="25.5" customHeight="1" x14ac:dyDescent="0.25">
      <c r="A1" s="389" t="s">
        <v>423</v>
      </c>
      <c r="B1" s="375"/>
      <c r="C1" s="376"/>
      <c r="G1" s="376"/>
      <c r="H1" s="373"/>
      <c r="I1" s="373"/>
      <c r="J1" s="373">
        <f>'EFs &amp; Rates'!I11</f>
        <v>25</v>
      </c>
      <c r="K1" s="373">
        <f>'EFs &amp; Rates'!J11</f>
        <v>298</v>
      </c>
    </row>
    <row r="2" spans="1:17" ht="15" customHeight="1" x14ac:dyDescent="0.25">
      <c r="A2" s="378"/>
      <c r="B2" s="379"/>
      <c r="C2" s="380" t="s">
        <v>522</v>
      </c>
      <c r="D2" s="380"/>
      <c r="E2" s="379"/>
      <c r="G2" s="376">
        <v>2017</v>
      </c>
      <c r="H2" s="381" t="s">
        <v>462</v>
      </c>
      <c r="I2" s="382">
        <f>'EFs &amp; Rates'!O5</f>
        <v>963.42025100000001</v>
      </c>
      <c r="J2" s="383" t="s">
        <v>561</v>
      </c>
      <c r="K2" s="373"/>
      <c r="N2" s="485" t="s">
        <v>578</v>
      </c>
    </row>
    <row r="3" spans="1:17" ht="37.700000000000003" customHeight="1" x14ac:dyDescent="0.25">
      <c r="A3" s="384" t="s">
        <v>0</v>
      </c>
      <c r="B3" s="385" t="s">
        <v>31</v>
      </c>
      <c r="C3" s="386" t="s">
        <v>562</v>
      </c>
      <c r="D3" s="386" t="s">
        <v>424</v>
      </c>
      <c r="E3" s="385" t="s">
        <v>425</v>
      </c>
      <c r="F3" s="387" t="s">
        <v>472</v>
      </c>
      <c r="G3" s="481" t="s">
        <v>576</v>
      </c>
      <c r="H3" s="387" t="s">
        <v>469</v>
      </c>
      <c r="I3" s="388" t="s">
        <v>537</v>
      </c>
      <c r="J3" s="388" t="s">
        <v>538</v>
      </c>
      <c r="K3" s="388" t="s">
        <v>539</v>
      </c>
      <c r="M3" s="439" t="s">
        <v>575</v>
      </c>
      <c r="N3" s="439" t="s">
        <v>577</v>
      </c>
      <c r="O3" s="407" t="s">
        <v>558</v>
      </c>
      <c r="P3" s="407" t="s">
        <v>559</v>
      </c>
      <c r="Q3" s="389" t="s">
        <v>452</v>
      </c>
    </row>
    <row r="4" spans="1:17" x14ac:dyDescent="0.2">
      <c r="A4" s="429" t="s">
        <v>263</v>
      </c>
      <c r="B4" s="430">
        <v>313112.18</v>
      </c>
      <c r="C4" s="419">
        <f t="shared" ref="C4:C57" si="0">G4</f>
        <v>0</v>
      </c>
      <c r="D4" s="431" t="s">
        <v>464</v>
      </c>
      <c r="E4" s="431" t="s">
        <v>426</v>
      </c>
      <c r="F4" s="373" t="s">
        <v>463</v>
      </c>
      <c r="I4" s="373"/>
      <c r="J4" s="373"/>
      <c r="K4" s="373"/>
    </row>
    <row r="5" spans="1:17" x14ac:dyDescent="0.2">
      <c r="A5" s="429" t="s">
        <v>264</v>
      </c>
      <c r="B5" s="430">
        <v>60898.3</v>
      </c>
      <c r="C5" s="419">
        <f t="shared" si="0"/>
        <v>0</v>
      </c>
      <c r="D5" s="431" t="s">
        <v>464</v>
      </c>
      <c r="E5" s="431" t="s">
        <v>426</v>
      </c>
      <c r="F5" s="373" t="s">
        <v>463</v>
      </c>
      <c r="I5" s="373"/>
      <c r="J5" s="373"/>
      <c r="K5" s="373"/>
    </row>
    <row r="6" spans="1:17" x14ac:dyDescent="0.2">
      <c r="A6" s="429" t="s">
        <v>265</v>
      </c>
      <c r="B6" s="430">
        <v>135067</v>
      </c>
      <c r="C6" s="419">
        <f t="shared" si="0"/>
        <v>0</v>
      </c>
      <c r="D6" s="431" t="s">
        <v>464</v>
      </c>
      <c r="E6" s="431" t="s">
        <v>426</v>
      </c>
      <c r="F6" s="373" t="s">
        <v>463</v>
      </c>
      <c r="I6" s="373"/>
      <c r="J6" s="373"/>
      <c r="K6" s="373"/>
    </row>
    <row r="7" spans="1:17" x14ac:dyDescent="0.2">
      <c r="A7" s="429" t="s">
        <v>266</v>
      </c>
      <c r="B7" s="430">
        <v>355743.79</v>
      </c>
      <c r="C7" s="419">
        <f t="shared" si="0"/>
        <v>0</v>
      </c>
      <c r="D7" s="431" t="s">
        <v>464</v>
      </c>
      <c r="E7" s="431" t="s">
        <v>426</v>
      </c>
      <c r="F7" s="373" t="s">
        <v>463</v>
      </c>
      <c r="I7" s="373"/>
      <c r="J7" s="373"/>
      <c r="K7" s="373"/>
    </row>
    <row r="8" spans="1:17" x14ac:dyDescent="0.2">
      <c r="A8" s="429" t="s">
        <v>572</v>
      </c>
      <c r="B8" s="474">
        <f>1908332+2555373</f>
        <v>4463705</v>
      </c>
      <c r="C8" s="419">
        <f t="shared" si="0"/>
        <v>4486831.9138267459</v>
      </c>
      <c r="D8" s="431" t="s">
        <v>464</v>
      </c>
      <c r="E8" s="431" t="s">
        <v>427</v>
      </c>
      <c r="F8" s="373" t="s">
        <v>427</v>
      </c>
      <c r="G8" s="478">
        <f t="shared" ref="G8:G9" si="1">I8+(J8*$J$1)+(K8*$K$1)</f>
        <v>4486831.9138267459</v>
      </c>
      <c r="I8" s="373">
        <v>4452202.5250000004</v>
      </c>
      <c r="J8" s="373">
        <v>506.64104007499998</v>
      </c>
      <c r="K8" s="373">
        <v>73.702559815000001</v>
      </c>
    </row>
    <row r="9" spans="1:17" x14ac:dyDescent="0.2">
      <c r="A9" s="429" t="s">
        <v>267</v>
      </c>
      <c r="B9" s="474">
        <v>395.71</v>
      </c>
      <c r="C9" s="419">
        <f t="shared" si="0"/>
        <v>334.80850975453387</v>
      </c>
      <c r="D9" s="431" t="s">
        <v>464</v>
      </c>
      <c r="E9" s="431" t="s">
        <v>428</v>
      </c>
      <c r="F9" s="373" t="s">
        <v>429</v>
      </c>
      <c r="G9" s="478">
        <f t="shared" si="1"/>
        <v>334.80850975453387</v>
      </c>
      <c r="I9" s="373">
        <v>333.66351516086399</v>
      </c>
      <c r="J9" s="373">
        <v>1.3534215055200003E-2</v>
      </c>
      <c r="K9" s="373">
        <v>2.7068430110400001E-3</v>
      </c>
    </row>
    <row r="10" spans="1:17" x14ac:dyDescent="0.2">
      <c r="A10" s="429" t="s">
        <v>268</v>
      </c>
      <c r="B10" s="430">
        <f>69341.5566666667+66479.6666666667+69377.6666666667</f>
        <v>205198.89000000007</v>
      </c>
      <c r="C10" s="419">
        <f t="shared" si="0"/>
        <v>98352.635999999999</v>
      </c>
      <c r="D10" s="431" t="s">
        <v>464</v>
      </c>
      <c r="E10" s="431" t="s">
        <v>429</v>
      </c>
      <c r="F10" s="373" t="s">
        <v>429</v>
      </c>
      <c r="G10" s="475">
        <v>98352.635999999999</v>
      </c>
      <c r="H10" s="470"/>
      <c r="I10" s="475"/>
      <c r="J10" s="373"/>
      <c r="K10" s="373"/>
    </row>
    <row r="11" spans="1:17" x14ac:dyDescent="0.2">
      <c r="A11" s="429" t="s">
        <v>569</v>
      </c>
      <c r="B11" s="430">
        <f>383067.5+381872.5</f>
        <v>764940</v>
      </c>
      <c r="C11" s="419">
        <f t="shared" si="0"/>
        <v>350890.1</v>
      </c>
      <c r="D11" s="431" t="s">
        <v>464</v>
      </c>
      <c r="E11" s="431" t="s">
        <v>429</v>
      </c>
      <c r="F11" s="373" t="s">
        <v>429</v>
      </c>
      <c r="G11" s="475">
        <v>350890.1</v>
      </c>
      <c r="H11" s="470"/>
      <c r="I11" s="475"/>
      <c r="J11" s="373"/>
      <c r="K11" s="373"/>
    </row>
    <row r="12" spans="1:17" x14ac:dyDescent="0.2">
      <c r="A12" s="429" t="s">
        <v>570</v>
      </c>
      <c r="B12" s="430">
        <f>18492.38+11359.81</f>
        <v>29852.190000000002</v>
      </c>
      <c r="C12" s="419">
        <f t="shared" si="0"/>
        <v>44365.332000000002</v>
      </c>
      <c r="D12" s="431" t="s">
        <v>464</v>
      </c>
      <c r="E12" s="431" t="s">
        <v>429</v>
      </c>
      <c r="F12" s="373" t="s">
        <v>429</v>
      </c>
      <c r="G12" s="475">
        <v>44365.332000000002</v>
      </c>
      <c r="H12" s="470"/>
      <c r="I12" s="475"/>
      <c r="J12" s="373"/>
      <c r="K12" s="373"/>
    </row>
    <row r="13" spans="1:17" x14ac:dyDescent="0.2">
      <c r="A13" s="429" t="s">
        <v>271</v>
      </c>
      <c r="B13" s="430">
        <f>44480.2+45383.9+16507.7+17879.9</f>
        <v>124251.70000000001</v>
      </c>
      <c r="C13" s="419">
        <f t="shared" si="0"/>
        <v>97133.782000000007</v>
      </c>
      <c r="D13" s="431" t="s">
        <v>464</v>
      </c>
      <c r="E13" s="431" t="s">
        <v>429</v>
      </c>
      <c r="F13" s="373" t="s">
        <v>429</v>
      </c>
      <c r="G13" s="475">
        <v>97133.782000000007</v>
      </c>
      <c r="H13" s="470"/>
      <c r="I13" s="475"/>
      <c r="J13" s="373"/>
      <c r="K13" s="373"/>
    </row>
    <row r="14" spans="1:17" x14ac:dyDescent="0.2">
      <c r="A14" s="429" t="s">
        <v>415</v>
      </c>
      <c r="B14" s="430">
        <v>464326.82799999998</v>
      </c>
      <c r="C14" s="419">
        <f t="shared" si="0"/>
        <v>175682.438784</v>
      </c>
      <c r="D14" s="431" t="s">
        <v>464</v>
      </c>
      <c r="E14" s="431" t="s">
        <v>429</v>
      </c>
      <c r="F14" s="373" t="s">
        <v>429</v>
      </c>
      <c r="G14" s="475">
        <f>352422.144*0.4985</f>
        <v>175682.438784</v>
      </c>
    </row>
    <row r="15" spans="1:17" x14ac:dyDescent="0.2">
      <c r="A15" s="429" t="s">
        <v>274</v>
      </c>
      <c r="B15" s="430">
        <v>1119821</v>
      </c>
      <c r="C15" s="419">
        <f t="shared" si="0"/>
        <v>415078.81199999998</v>
      </c>
      <c r="D15" s="431" t="s">
        <v>464</v>
      </c>
      <c r="E15" s="431" t="s">
        <v>429</v>
      </c>
      <c r="F15" s="373" t="s">
        <v>429</v>
      </c>
      <c r="G15" s="475">
        <v>415078.81199999998</v>
      </c>
    </row>
    <row r="16" spans="1:17" x14ac:dyDescent="0.2">
      <c r="A16" s="429" t="s">
        <v>277</v>
      </c>
      <c r="B16" s="430">
        <v>915875.39999999991</v>
      </c>
      <c r="C16" s="419">
        <f t="shared" si="0"/>
        <v>356273.28</v>
      </c>
      <c r="D16" s="431" t="s">
        <v>464</v>
      </c>
      <c r="E16" s="431" t="s">
        <v>429</v>
      </c>
      <c r="F16" s="373" t="s">
        <v>429</v>
      </c>
      <c r="G16" s="475">
        <v>356273.28</v>
      </c>
    </row>
    <row r="17" spans="1:7" x14ac:dyDescent="0.2">
      <c r="A17" s="429" t="s">
        <v>278</v>
      </c>
      <c r="B17" s="430">
        <v>266588.09999999998</v>
      </c>
      <c r="C17" s="419">
        <f t="shared" si="0"/>
        <v>125472.936</v>
      </c>
      <c r="D17" s="431" t="s">
        <v>464</v>
      </c>
      <c r="E17" s="431" t="s">
        <v>429</v>
      </c>
      <c r="F17" s="373" t="s">
        <v>429</v>
      </c>
      <c r="G17" s="475">
        <v>125472.936</v>
      </c>
    </row>
    <row r="18" spans="1:7" x14ac:dyDescent="0.2">
      <c r="A18" s="429" t="s">
        <v>568</v>
      </c>
      <c r="B18" s="430">
        <f>7642.7+25400.9</f>
        <v>33043.599999999999</v>
      </c>
      <c r="C18" s="419">
        <f t="shared" si="0"/>
        <v>67424.028000000006</v>
      </c>
      <c r="D18" s="431" t="s">
        <v>464</v>
      </c>
      <c r="E18" s="431" t="s">
        <v>429</v>
      </c>
      <c r="F18" s="373" t="s">
        <v>429</v>
      </c>
      <c r="G18" s="475">
        <v>67424.028000000006</v>
      </c>
    </row>
    <row r="19" spans="1:7" x14ac:dyDescent="0.2">
      <c r="A19" s="429" t="s">
        <v>275</v>
      </c>
      <c r="B19" s="430">
        <v>345425.18400000001</v>
      </c>
      <c r="C19" s="419">
        <f t="shared" si="0"/>
        <v>0</v>
      </c>
      <c r="D19" s="431" t="s">
        <v>464</v>
      </c>
      <c r="E19" s="431" t="s">
        <v>430</v>
      </c>
      <c r="F19" s="373" t="s">
        <v>463</v>
      </c>
    </row>
    <row r="20" spans="1:7" x14ac:dyDescent="0.2">
      <c r="A20" s="429" t="s">
        <v>276</v>
      </c>
      <c r="B20" s="430">
        <v>716381.07799999998</v>
      </c>
      <c r="C20" s="419">
        <f t="shared" si="0"/>
        <v>0</v>
      </c>
      <c r="D20" s="431" t="s">
        <v>464</v>
      </c>
      <c r="E20" s="431" t="s">
        <v>430</v>
      </c>
      <c r="F20" s="373" t="s">
        <v>463</v>
      </c>
    </row>
    <row r="21" spans="1:7" x14ac:dyDescent="0.2">
      <c r="A21" s="429" t="s">
        <v>280</v>
      </c>
      <c r="B21" s="430">
        <v>612984.08900000004</v>
      </c>
      <c r="C21" s="419">
        <f t="shared" si="0"/>
        <v>0</v>
      </c>
      <c r="D21" s="431" t="s">
        <v>464</v>
      </c>
      <c r="E21" s="431" t="s">
        <v>430</v>
      </c>
      <c r="F21" s="373" t="s">
        <v>463</v>
      </c>
    </row>
    <row r="22" spans="1:7" x14ac:dyDescent="0.2">
      <c r="A22" s="429" t="s">
        <v>283</v>
      </c>
      <c r="B22" s="430">
        <v>25.266999999999999</v>
      </c>
      <c r="C22" s="419">
        <f t="shared" si="0"/>
        <v>0</v>
      </c>
      <c r="D22" s="431" t="s">
        <v>465</v>
      </c>
      <c r="E22" s="431" t="s">
        <v>430</v>
      </c>
      <c r="F22" s="373" t="s">
        <v>463</v>
      </c>
    </row>
    <row r="23" spans="1:7" x14ac:dyDescent="0.2">
      <c r="A23" s="429" t="s">
        <v>284</v>
      </c>
      <c r="B23" s="430">
        <v>21209.738000000001</v>
      </c>
      <c r="C23" s="419">
        <f t="shared" si="0"/>
        <v>9268.655506000001</v>
      </c>
      <c r="D23" s="431" t="s">
        <v>465</v>
      </c>
      <c r="E23" s="431" t="s">
        <v>432</v>
      </c>
      <c r="F23" s="373" t="s">
        <v>432</v>
      </c>
      <c r="G23" s="466">
        <f t="shared" ref="G23" si="2">(B23*$I$2)/2204.623</f>
        <v>9268.655506000001</v>
      </c>
    </row>
    <row r="24" spans="1:7" x14ac:dyDescent="0.2">
      <c r="A24" s="429" t="s">
        <v>285</v>
      </c>
      <c r="B24" s="430">
        <v>4.5519999999999996</v>
      </c>
      <c r="C24" s="419">
        <f t="shared" si="0"/>
        <v>0</v>
      </c>
      <c r="D24" s="431" t="s">
        <v>465</v>
      </c>
      <c r="E24" s="431" t="s">
        <v>431</v>
      </c>
      <c r="F24" s="373" t="s">
        <v>463</v>
      </c>
    </row>
    <row r="25" spans="1:7" x14ac:dyDescent="0.2">
      <c r="A25" s="429" t="s">
        <v>286</v>
      </c>
      <c r="B25" s="430">
        <v>11718.129000000001</v>
      </c>
      <c r="C25" s="419">
        <f t="shared" si="0"/>
        <v>0</v>
      </c>
      <c r="D25" s="431" t="s">
        <v>465</v>
      </c>
      <c r="E25" s="431" t="s">
        <v>426</v>
      </c>
      <c r="F25" s="373" t="s">
        <v>463</v>
      </c>
    </row>
    <row r="26" spans="1:7" x14ac:dyDescent="0.2">
      <c r="A26" s="429" t="s">
        <v>398</v>
      </c>
      <c r="B26" s="430">
        <v>1.3180000000000001</v>
      </c>
      <c r="C26" s="419">
        <f t="shared" si="0"/>
        <v>0</v>
      </c>
      <c r="D26" s="431" t="s">
        <v>465</v>
      </c>
      <c r="E26" s="431" t="s">
        <v>431</v>
      </c>
      <c r="F26" s="373" t="s">
        <v>463</v>
      </c>
    </row>
    <row r="27" spans="1:7" x14ac:dyDescent="0.2">
      <c r="A27" s="429" t="s">
        <v>173</v>
      </c>
      <c r="B27" s="430">
        <v>7000</v>
      </c>
      <c r="C27" s="419">
        <f t="shared" si="0"/>
        <v>3059</v>
      </c>
      <c r="D27" s="431" t="s">
        <v>465</v>
      </c>
      <c r="E27" s="431" t="s">
        <v>432</v>
      </c>
      <c r="F27" s="373" t="s">
        <v>432</v>
      </c>
      <c r="G27" s="466">
        <f t="shared" ref="G27:G28" si="3">(B27*$I$2)/2204.623</f>
        <v>3059</v>
      </c>
    </row>
    <row r="28" spans="1:7" x14ac:dyDescent="0.2">
      <c r="A28" s="429" t="s">
        <v>287</v>
      </c>
      <c r="B28" s="430">
        <v>241574</v>
      </c>
      <c r="C28" s="419">
        <f t="shared" si="0"/>
        <v>105567.838</v>
      </c>
      <c r="D28" s="431" t="s">
        <v>465</v>
      </c>
      <c r="E28" s="431" t="s">
        <v>432</v>
      </c>
      <c r="F28" s="373" t="s">
        <v>432</v>
      </c>
      <c r="G28" s="466">
        <f t="shared" si="3"/>
        <v>105567.838</v>
      </c>
    </row>
    <row r="29" spans="1:7" x14ac:dyDescent="0.2">
      <c r="A29" s="429" t="s">
        <v>288</v>
      </c>
      <c r="B29" s="430">
        <v>29.26</v>
      </c>
      <c r="C29" s="419">
        <f t="shared" si="0"/>
        <v>0</v>
      </c>
      <c r="D29" s="431" t="s">
        <v>465</v>
      </c>
      <c r="E29" s="431" t="s">
        <v>433</v>
      </c>
      <c r="F29" s="373" t="s">
        <v>463</v>
      </c>
    </row>
    <row r="30" spans="1:7" x14ac:dyDescent="0.2">
      <c r="A30" s="429" t="s">
        <v>289</v>
      </c>
      <c r="B30" s="430">
        <v>2315054</v>
      </c>
      <c r="C30" s="419">
        <f t="shared" si="0"/>
        <v>0</v>
      </c>
      <c r="D30" s="431" t="s">
        <v>465</v>
      </c>
      <c r="E30" s="431" t="s">
        <v>426</v>
      </c>
      <c r="F30" s="373" t="s">
        <v>463</v>
      </c>
    </row>
    <row r="31" spans="1:7" x14ac:dyDescent="0.2">
      <c r="A31" s="429" t="s">
        <v>290</v>
      </c>
      <c r="B31" s="430">
        <v>-39402</v>
      </c>
      <c r="C31" s="419">
        <f t="shared" si="0"/>
        <v>0</v>
      </c>
      <c r="D31" s="431" t="s">
        <v>465</v>
      </c>
      <c r="E31" s="431" t="s">
        <v>426</v>
      </c>
      <c r="F31" s="373" t="s">
        <v>463</v>
      </c>
    </row>
    <row r="32" spans="1:7" x14ac:dyDescent="0.2">
      <c r="A32" s="429" t="s">
        <v>291</v>
      </c>
      <c r="B32" s="430">
        <v>-81794</v>
      </c>
      <c r="C32" s="419">
        <f t="shared" si="0"/>
        <v>0</v>
      </c>
      <c r="D32" s="431" t="s">
        <v>465</v>
      </c>
      <c r="E32" s="431" t="s">
        <v>426</v>
      </c>
      <c r="F32" s="373" t="s">
        <v>463</v>
      </c>
    </row>
    <row r="33" spans="1:15" x14ac:dyDescent="0.2">
      <c r="A33" s="429" t="s">
        <v>292</v>
      </c>
      <c r="B33" s="430">
        <v>1111775</v>
      </c>
      <c r="C33" s="419">
        <f t="shared" si="0"/>
        <v>0</v>
      </c>
      <c r="D33" s="431" t="s">
        <v>465</v>
      </c>
      <c r="E33" s="431" t="s">
        <v>426</v>
      </c>
      <c r="F33" s="373" t="s">
        <v>463</v>
      </c>
    </row>
    <row r="34" spans="1:15" x14ac:dyDescent="0.2">
      <c r="A34" s="429" t="s">
        <v>293</v>
      </c>
      <c r="B34" s="430">
        <v>4820.6949999999997</v>
      </c>
      <c r="C34" s="419">
        <f t="shared" si="0"/>
        <v>0</v>
      </c>
      <c r="D34" s="431" t="s">
        <v>465</v>
      </c>
      <c r="E34" s="431" t="s">
        <v>431</v>
      </c>
      <c r="F34" s="373" t="s">
        <v>463</v>
      </c>
    </row>
    <row r="35" spans="1:15" x14ac:dyDescent="0.2">
      <c r="A35" s="429" t="s">
        <v>294</v>
      </c>
      <c r="B35" s="430">
        <v>4647.7740000000003</v>
      </c>
      <c r="C35" s="419">
        <f t="shared" si="0"/>
        <v>0</v>
      </c>
      <c r="D35" s="431" t="s">
        <v>465</v>
      </c>
      <c r="E35" s="431" t="s">
        <v>431</v>
      </c>
      <c r="F35" s="373" t="s">
        <v>463</v>
      </c>
    </row>
    <row r="36" spans="1:15" x14ac:dyDescent="0.2">
      <c r="A36" s="429" t="s">
        <v>295</v>
      </c>
      <c r="B36" s="430">
        <v>5378.7089999999998</v>
      </c>
      <c r="C36" s="419">
        <f t="shared" si="0"/>
        <v>0</v>
      </c>
      <c r="D36" s="431" t="s">
        <v>465</v>
      </c>
      <c r="E36" s="431" t="s">
        <v>431</v>
      </c>
      <c r="F36" s="373" t="s">
        <v>463</v>
      </c>
    </row>
    <row r="37" spans="1:15" x14ac:dyDescent="0.2">
      <c r="A37" s="429" t="s">
        <v>297</v>
      </c>
      <c r="B37" s="430">
        <v>49501</v>
      </c>
      <c r="C37" s="419">
        <f t="shared" si="0"/>
        <v>0</v>
      </c>
      <c r="D37" s="431" t="s">
        <v>465</v>
      </c>
      <c r="E37" s="431" t="s">
        <v>426</v>
      </c>
      <c r="F37" s="373" t="s">
        <v>463</v>
      </c>
    </row>
    <row r="38" spans="1:15" x14ac:dyDescent="0.2">
      <c r="A38" s="429" t="s">
        <v>299</v>
      </c>
      <c r="B38" s="430">
        <v>61.43</v>
      </c>
      <c r="C38" s="419">
        <f t="shared" si="0"/>
        <v>0</v>
      </c>
      <c r="D38" s="431" t="s">
        <v>465</v>
      </c>
      <c r="E38" s="431" t="s">
        <v>433</v>
      </c>
      <c r="F38" s="373" t="s">
        <v>463</v>
      </c>
    </row>
    <row r="39" spans="1:15" x14ac:dyDescent="0.2">
      <c r="A39" s="429" t="s">
        <v>301</v>
      </c>
      <c r="B39" s="430">
        <v>110067</v>
      </c>
      <c r="C39" s="419">
        <f t="shared" si="0"/>
        <v>0</v>
      </c>
      <c r="D39" s="431" t="s">
        <v>465</v>
      </c>
      <c r="E39" s="431" t="s">
        <v>430</v>
      </c>
      <c r="F39" s="373" t="s">
        <v>463</v>
      </c>
    </row>
    <row r="40" spans="1:15" x14ac:dyDescent="0.2">
      <c r="A40" s="429" t="s">
        <v>302</v>
      </c>
      <c r="B40" s="430">
        <v>92.218999999999994</v>
      </c>
      <c r="C40" s="419">
        <f t="shared" si="0"/>
        <v>0</v>
      </c>
      <c r="D40" s="431" t="s">
        <v>465</v>
      </c>
      <c r="E40" s="431" t="s">
        <v>430</v>
      </c>
      <c r="F40" s="373" t="s">
        <v>463</v>
      </c>
    </row>
    <row r="41" spans="1:15" x14ac:dyDescent="0.2">
      <c r="A41" s="429" t="s">
        <v>305</v>
      </c>
      <c r="B41" s="430">
        <v>4857.9250000000002</v>
      </c>
      <c r="C41" s="419">
        <f t="shared" si="0"/>
        <v>0</v>
      </c>
      <c r="D41" s="431" t="s">
        <v>465</v>
      </c>
      <c r="E41" s="431" t="s">
        <v>431</v>
      </c>
      <c r="F41" s="373" t="s">
        <v>463</v>
      </c>
    </row>
    <row r="42" spans="1:15" x14ac:dyDescent="0.2">
      <c r="A42" s="429" t="s">
        <v>306</v>
      </c>
      <c r="B42" s="430">
        <v>6319.2089999999998</v>
      </c>
      <c r="C42" s="419">
        <f t="shared" si="0"/>
        <v>0</v>
      </c>
      <c r="D42" s="431" t="s">
        <v>465</v>
      </c>
      <c r="E42" s="431" t="s">
        <v>426</v>
      </c>
      <c r="F42" s="373" t="s">
        <v>463</v>
      </c>
    </row>
    <row r="43" spans="1:15" x14ac:dyDescent="0.2">
      <c r="A43" s="429" t="s">
        <v>307</v>
      </c>
      <c r="B43" s="430">
        <v>126.348</v>
      </c>
      <c r="C43" s="419">
        <f t="shared" si="0"/>
        <v>0</v>
      </c>
      <c r="D43" s="431" t="s">
        <v>465</v>
      </c>
      <c r="E43" s="431" t="s">
        <v>426</v>
      </c>
      <c r="F43" s="373" t="s">
        <v>463</v>
      </c>
    </row>
    <row r="44" spans="1:15" x14ac:dyDescent="0.2">
      <c r="A44" s="429" t="s">
        <v>309</v>
      </c>
      <c r="B44" s="430">
        <v>9505.4670000000006</v>
      </c>
      <c r="C44" s="419">
        <f t="shared" si="0"/>
        <v>0</v>
      </c>
      <c r="D44" s="431" t="s">
        <v>465</v>
      </c>
      <c r="E44" s="431" t="s">
        <v>430</v>
      </c>
      <c r="F44" s="373" t="s">
        <v>463</v>
      </c>
    </row>
    <row r="45" spans="1:15" x14ac:dyDescent="0.2">
      <c r="A45" s="429" t="s">
        <v>310</v>
      </c>
      <c r="B45" s="430">
        <v>2070958</v>
      </c>
      <c r="C45" s="419">
        <f t="shared" si="0"/>
        <v>2271967.6970738624</v>
      </c>
      <c r="D45" s="431" t="s">
        <v>465</v>
      </c>
      <c r="E45" s="431" t="s">
        <v>427</v>
      </c>
      <c r="F45" s="373" t="s">
        <v>427</v>
      </c>
      <c r="G45" s="449">
        <f>M45*B45</f>
        <v>2271967.6970738624</v>
      </c>
      <c r="H45" s="373"/>
      <c r="M45" s="373">
        <f>N45/O45</f>
        <v>1.097061213734833</v>
      </c>
      <c r="N45" s="373">
        <v>6002805.2580000004</v>
      </c>
      <c r="O45" s="373">
        <v>5471714.051</v>
      </c>
    </row>
    <row r="46" spans="1:15" ht="25.5" x14ac:dyDescent="0.2">
      <c r="A46" s="429" t="s">
        <v>341</v>
      </c>
      <c r="B46" s="430">
        <v>1256783</v>
      </c>
      <c r="C46" s="419">
        <f t="shared" si="0"/>
        <v>549214.17099999997</v>
      </c>
      <c r="D46" s="431" t="s">
        <v>465</v>
      </c>
      <c r="E46" s="431" t="s">
        <v>432</v>
      </c>
      <c r="F46" s="373" t="s">
        <v>432</v>
      </c>
      <c r="G46" s="466">
        <f t="shared" ref="G46" si="4">(B46*$I$2)/2204.623</f>
        <v>549214.17099999997</v>
      </c>
    </row>
    <row r="47" spans="1:15" x14ac:dyDescent="0.2">
      <c r="A47" s="429" t="s">
        <v>311</v>
      </c>
      <c r="B47" s="430">
        <v>2344.8380000000002</v>
      </c>
      <c r="C47" s="419">
        <f t="shared" si="0"/>
        <v>0</v>
      </c>
      <c r="D47" s="431" t="s">
        <v>465</v>
      </c>
      <c r="E47" s="431" t="s">
        <v>431</v>
      </c>
      <c r="F47" s="373" t="s">
        <v>463</v>
      </c>
    </row>
    <row r="48" spans="1:15" x14ac:dyDescent="0.2">
      <c r="A48" s="429" t="s">
        <v>312</v>
      </c>
      <c r="B48" s="430">
        <v>2323.34</v>
      </c>
      <c r="C48" s="419">
        <f t="shared" si="0"/>
        <v>0</v>
      </c>
      <c r="D48" s="431" t="s">
        <v>465</v>
      </c>
      <c r="E48" s="431" t="s">
        <v>431</v>
      </c>
      <c r="F48" s="373" t="s">
        <v>463</v>
      </c>
    </row>
    <row r="49" spans="1:6" x14ac:dyDescent="0.2">
      <c r="A49" s="429" t="s">
        <v>315</v>
      </c>
      <c r="B49" s="430">
        <v>128751.664</v>
      </c>
      <c r="C49" s="419">
        <f t="shared" si="0"/>
        <v>0</v>
      </c>
      <c r="D49" s="431" t="s">
        <v>465</v>
      </c>
      <c r="E49" s="431" t="s">
        <v>426</v>
      </c>
      <c r="F49" s="373" t="s">
        <v>463</v>
      </c>
    </row>
    <row r="50" spans="1:6" x14ac:dyDescent="0.2">
      <c r="A50" s="429" t="s">
        <v>316</v>
      </c>
      <c r="B50" s="430">
        <v>36228.803999999996</v>
      </c>
      <c r="C50" s="419">
        <f t="shared" si="0"/>
        <v>0</v>
      </c>
      <c r="D50" s="431" t="s">
        <v>465</v>
      </c>
      <c r="E50" s="431" t="s">
        <v>431</v>
      </c>
      <c r="F50" s="373" t="s">
        <v>463</v>
      </c>
    </row>
    <row r="51" spans="1:6" x14ac:dyDescent="0.2">
      <c r="A51" s="429" t="s">
        <v>399</v>
      </c>
      <c r="B51" s="430">
        <v>81.850999999999999</v>
      </c>
      <c r="C51" s="419">
        <f t="shared" si="0"/>
        <v>0</v>
      </c>
      <c r="D51" s="431" t="s">
        <v>465</v>
      </c>
      <c r="E51" s="431" t="s">
        <v>433</v>
      </c>
      <c r="F51" s="373" t="s">
        <v>463</v>
      </c>
    </row>
    <row r="52" spans="1:6" x14ac:dyDescent="0.2">
      <c r="A52" s="429" t="s">
        <v>318</v>
      </c>
      <c r="B52" s="430">
        <v>42816.692999999999</v>
      </c>
      <c r="C52" s="419">
        <f t="shared" si="0"/>
        <v>0</v>
      </c>
      <c r="D52" s="431" t="s">
        <v>465</v>
      </c>
      <c r="E52" s="431" t="s">
        <v>426</v>
      </c>
      <c r="F52" s="373" t="s">
        <v>463</v>
      </c>
    </row>
    <row r="53" spans="1:6" x14ac:dyDescent="0.2">
      <c r="A53" s="429" t="s">
        <v>319</v>
      </c>
      <c r="B53" s="430">
        <v>309.72000000000003</v>
      </c>
      <c r="C53" s="419">
        <f t="shared" si="0"/>
        <v>0</v>
      </c>
      <c r="D53" s="431" t="s">
        <v>465</v>
      </c>
      <c r="E53" s="431" t="s">
        <v>431</v>
      </c>
      <c r="F53" s="373" t="s">
        <v>463</v>
      </c>
    </row>
    <row r="54" spans="1:6" x14ac:dyDescent="0.2">
      <c r="A54" s="429" t="s">
        <v>321</v>
      </c>
      <c r="B54" s="430">
        <v>21012.012999999999</v>
      </c>
      <c r="C54" s="419">
        <f t="shared" si="0"/>
        <v>0</v>
      </c>
      <c r="D54" s="431" t="s">
        <v>465</v>
      </c>
      <c r="E54" s="431" t="s">
        <v>426</v>
      </c>
      <c r="F54" s="373" t="s">
        <v>463</v>
      </c>
    </row>
    <row r="55" spans="1:6" x14ac:dyDescent="0.2">
      <c r="A55" s="429" t="s">
        <v>325</v>
      </c>
      <c r="B55" s="430">
        <v>985.77700000000004</v>
      </c>
      <c r="C55" s="419">
        <f t="shared" si="0"/>
        <v>0</v>
      </c>
      <c r="D55" s="431" t="s">
        <v>465</v>
      </c>
      <c r="E55" s="431" t="s">
        <v>426</v>
      </c>
      <c r="F55" s="373" t="s">
        <v>463</v>
      </c>
    </row>
    <row r="56" spans="1:6" x14ac:dyDescent="0.2">
      <c r="A56" s="429" t="s">
        <v>326</v>
      </c>
      <c r="B56" s="430">
        <v>77848.698999999993</v>
      </c>
      <c r="C56" s="419">
        <f t="shared" si="0"/>
        <v>0</v>
      </c>
      <c r="D56" s="431" t="s">
        <v>465</v>
      </c>
      <c r="E56" s="431" t="s">
        <v>426</v>
      </c>
      <c r="F56" s="373" t="s">
        <v>463</v>
      </c>
    </row>
    <row r="57" spans="1:6" x14ac:dyDescent="0.2">
      <c r="A57" s="429" t="s">
        <v>327</v>
      </c>
      <c r="B57" s="430">
        <v>13647.43</v>
      </c>
      <c r="C57" s="419">
        <f t="shared" si="0"/>
        <v>0</v>
      </c>
      <c r="D57" s="431" t="s">
        <v>465</v>
      </c>
      <c r="E57" s="431" t="s">
        <v>426</v>
      </c>
      <c r="F57" s="373" t="s">
        <v>463</v>
      </c>
    </row>
    <row r="58" spans="1:6" ht="6.75" customHeight="1" x14ac:dyDescent="0.25">
      <c r="A58" s="432"/>
      <c r="B58" s="354"/>
      <c r="C58" s="354"/>
      <c r="D58" s="397"/>
    </row>
    <row r="59" spans="1:6" x14ac:dyDescent="0.25">
      <c r="A59" s="433" t="s">
        <v>419</v>
      </c>
      <c r="B59" s="358">
        <f>SUM(B4:B57)</f>
        <v>18364274.908000004</v>
      </c>
      <c r="C59" s="358">
        <f>SUM(C4:C57)</f>
        <v>9156917.4287003633</v>
      </c>
      <c r="D59" s="434"/>
      <c r="E59" s="435"/>
    </row>
    <row r="60" spans="1:6" x14ac:dyDescent="0.25">
      <c r="A60" s="436" t="s">
        <v>442</v>
      </c>
      <c r="B60" s="362">
        <f>SUM(B22:B57)</f>
        <v>7436664.868999999</v>
      </c>
      <c r="C60" s="362">
        <f>SUM(C22:C57)</f>
        <v>2939077.3615798624</v>
      </c>
      <c r="D60" s="397"/>
      <c r="E60" s="366"/>
    </row>
    <row r="61" spans="1:6" x14ac:dyDescent="0.25">
      <c r="A61" s="436" t="s">
        <v>440</v>
      </c>
      <c r="B61" s="362">
        <f>SUMIF(C22:C57,0,B22:B57)</f>
        <v>3839140.1309999996</v>
      </c>
      <c r="C61" s="362"/>
      <c r="D61" s="397"/>
      <c r="E61" s="366"/>
    </row>
    <row r="62" spans="1:6" x14ac:dyDescent="0.25">
      <c r="A62" s="437" t="s">
        <v>441</v>
      </c>
      <c r="B62" s="368">
        <f>B61/B60</f>
        <v>0.51624487571082989</v>
      </c>
      <c r="C62" s="369"/>
      <c r="D62" s="370"/>
      <c r="E62" s="371"/>
    </row>
    <row r="63" spans="1:6" x14ac:dyDescent="0.25">
      <c r="A63" s="438"/>
      <c r="B63" s="397"/>
      <c r="C63" s="397"/>
      <c r="D63" s="397"/>
      <c r="E63" s="397"/>
    </row>
    <row r="64" spans="1:6" x14ac:dyDescent="0.25">
      <c r="A64" s="439" t="s">
        <v>444</v>
      </c>
      <c r="B64" s="440">
        <f>B30+B31+B32+B33+B37</f>
        <v>3355134</v>
      </c>
      <c r="C64" s="441">
        <f>B64/('2017 Summary'!D18+'2017 Summary'!D20)</f>
        <v>0.14590878991517342</v>
      </c>
      <c r="D64" s="442" t="s">
        <v>445</v>
      </c>
    </row>
    <row r="65" spans="1:3" x14ac:dyDescent="0.25">
      <c r="A65" s="439" t="s">
        <v>444</v>
      </c>
      <c r="B65" s="441">
        <f>B64/B60</f>
        <v>0.45116111309331619</v>
      </c>
      <c r="C65" s="442" t="s">
        <v>446</v>
      </c>
    </row>
  </sheetData>
  <autoFilter ref="A1:K57"/>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B67"/>
  <sheetViews>
    <sheetView workbookViewId="0">
      <selection activeCell="O23" sqref="O23"/>
    </sheetView>
  </sheetViews>
  <sheetFormatPr defaultColWidth="9.140625" defaultRowHeight="15" x14ac:dyDescent="0.25"/>
  <cols>
    <col min="1" max="1" width="9.140625" style="131"/>
    <col min="2" max="2" width="17" style="131" customWidth="1"/>
    <col min="3" max="3" width="16.28515625" style="131" customWidth="1"/>
    <col min="4" max="5" width="9.140625" style="131" customWidth="1"/>
    <col min="6" max="10" width="10.140625" style="131" customWidth="1"/>
    <col min="11" max="12" width="9.140625" style="131" customWidth="1"/>
    <col min="13" max="13" width="11.28515625" style="131" customWidth="1"/>
    <col min="14" max="14" width="17" style="131" customWidth="1"/>
    <col min="15" max="15" width="16.42578125" style="131" customWidth="1"/>
    <col min="16" max="16" width="17" style="131" customWidth="1"/>
    <col min="17" max="17" width="16.42578125" style="131" customWidth="1"/>
    <col min="18" max="18" width="17" style="131" customWidth="1"/>
    <col min="19" max="19" width="16.42578125" style="131" customWidth="1"/>
    <col min="20" max="20" width="17" style="131" bestFit="1" customWidth="1"/>
    <col min="21" max="21" width="16.42578125" style="131" customWidth="1"/>
    <col min="22" max="22" width="17" style="131" customWidth="1"/>
    <col min="23" max="23" width="21.5703125" style="131" customWidth="1"/>
    <col min="24" max="24" width="22.140625" style="131" bestFit="1" customWidth="1"/>
    <col min="25" max="27" width="16.28515625" style="131" bestFit="1" customWidth="1"/>
    <col min="28" max="28" width="11.28515625" style="131" customWidth="1"/>
    <col min="29" max="40" width="12" style="131" bestFit="1" customWidth="1"/>
    <col min="41" max="41" width="15.85546875" style="131" bestFit="1" customWidth="1"/>
    <col min="42" max="77" width="12" style="131" bestFit="1" customWidth="1"/>
    <col min="78" max="78" width="11" style="131" bestFit="1" customWidth="1"/>
    <col min="79" max="80" width="12" style="131" bestFit="1" customWidth="1"/>
    <col min="81" max="81" width="21.5703125" style="131" bestFit="1" customWidth="1"/>
    <col min="82" max="82" width="20.85546875" style="131" bestFit="1" customWidth="1"/>
    <col min="83" max="16384" width="9.140625" style="131"/>
  </cols>
  <sheetData>
    <row r="1" spans="2:28" x14ac:dyDescent="0.25">
      <c r="B1" s="132"/>
      <c r="P1" s="132"/>
    </row>
    <row r="2" spans="2:28" x14ac:dyDescent="0.25">
      <c r="B2" s="293" t="s">
        <v>553</v>
      </c>
      <c r="C2" s="293" t="s">
        <v>498</v>
      </c>
      <c r="D2"/>
      <c r="E2"/>
      <c r="F2"/>
      <c r="G2"/>
      <c r="H2"/>
      <c r="I2"/>
      <c r="J2"/>
      <c r="K2"/>
      <c r="L2"/>
      <c r="M2"/>
      <c r="N2"/>
      <c r="O2"/>
      <c r="P2"/>
      <c r="Q2"/>
      <c r="R2"/>
      <c r="S2"/>
      <c r="T2"/>
      <c r="U2"/>
      <c r="V2"/>
      <c r="W2"/>
      <c r="X2"/>
      <c r="Y2"/>
      <c r="Z2"/>
      <c r="AA2"/>
      <c r="AB2"/>
    </row>
    <row r="3" spans="2:28" x14ac:dyDescent="0.25">
      <c r="B3" s="293" t="s">
        <v>468</v>
      </c>
      <c r="C3">
        <v>2012</v>
      </c>
      <c r="D3">
        <v>2013</v>
      </c>
      <c r="E3">
        <v>2014</v>
      </c>
      <c r="F3">
        <v>2015</v>
      </c>
      <c r="G3">
        <v>2016</v>
      </c>
      <c r="H3">
        <v>2017</v>
      </c>
      <c r="I3">
        <v>2018</v>
      </c>
      <c r="J3">
        <v>2019</v>
      </c>
      <c r="K3">
        <v>2020</v>
      </c>
      <c r="L3">
        <v>2021</v>
      </c>
      <c r="M3" t="s">
        <v>467</v>
      </c>
      <c r="N3"/>
      <c r="O3"/>
      <c r="P3"/>
      <c r="Q3"/>
      <c r="R3"/>
      <c r="S3"/>
      <c r="T3"/>
      <c r="U3"/>
      <c r="V3"/>
      <c r="W3"/>
      <c r="X3"/>
      <c r="Y3"/>
      <c r="Z3"/>
      <c r="AA3"/>
      <c r="AB3"/>
    </row>
    <row r="4" spans="2:28" x14ac:dyDescent="0.25">
      <c r="B4" s="122" t="s">
        <v>465</v>
      </c>
      <c r="C4" s="96">
        <v>567840.82634285756</v>
      </c>
      <c r="D4" s="96">
        <v>299675.15167763003</v>
      </c>
      <c r="E4" s="96">
        <v>405058.61159833142</v>
      </c>
      <c r="F4" s="96">
        <v>1710132.6790917639</v>
      </c>
      <c r="G4" s="96">
        <v>2350752.805564539</v>
      </c>
      <c r="H4" s="96">
        <v>2939077.3615798624</v>
      </c>
      <c r="I4" s="96">
        <v>2911292.6566259586</v>
      </c>
      <c r="J4" s="96">
        <v>3601688.7487887107</v>
      </c>
      <c r="K4" s="96">
        <v>2980279.0085044717</v>
      </c>
      <c r="L4" s="96">
        <v>2782417.7335803057</v>
      </c>
      <c r="M4" s="96">
        <v>20548215.583354428</v>
      </c>
      <c r="N4"/>
      <c r="O4"/>
      <c r="P4"/>
      <c r="Q4"/>
      <c r="R4"/>
      <c r="S4"/>
      <c r="T4"/>
      <c r="U4"/>
      <c r="V4"/>
      <c r="W4"/>
      <c r="X4"/>
    </row>
    <row r="5" spans="2:28" x14ac:dyDescent="0.25">
      <c r="B5" s="294" t="s">
        <v>431</v>
      </c>
      <c r="C5" s="96">
        <v>0</v>
      </c>
      <c r="D5" s="96">
        <v>0</v>
      </c>
      <c r="E5" s="96">
        <v>0</v>
      </c>
      <c r="F5" s="96">
        <v>0</v>
      </c>
      <c r="G5" s="96">
        <v>0</v>
      </c>
      <c r="H5" s="96">
        <v>0</v>
      </c>
      <c r="I5" s="96">
        <v>0</v>
      </c>
      <c r="J5" s="96">
        <v>0</v>
      </c>
      <c r="K5" s="96">
        <v>0</v>
      </c>
      <c r="L5" s="96">
        <v>0</v>
      </c>
      <c r="M5" s="96">
        <v>0</v>
      </c>
      <c r="N5"/>
      <c r="O5"/>
      <c r="P5"/>
      <c r="Q5"/>
      <c r="R5"/>
      <c r="S5"/>
      <c r="T5"/>
      <c r="U5"/>
      <c r="V5"/>
      <c r="W5"/>
      <c r="X5"/>
    </row>
    <row r="6" spans="2:28" x14ac:dyDescent="0.25">
      <c r="B6" s="294" t="s">
        <v>597</v>
      </c>
      <c r="C6" s="96"/>
      <c r="D6" s="96"/>
      <c r="E6" s="96"/>
      <c r="F6" s="96"/>
      <c r="G6" s="96"/>
      <c r="H6" s="96"/>
      <c r="I6" s="96"/>
      <c r="J6" s="96"/>
      <c r="K6" s="96"/>
      <c r="L6" s="96">
        <v>0</v>
      </c>
      <c r="M6" s="96">
        <v>0</v>
      </c>
      <c r="N6"/>
      <c r="O6"/>
      <c r="P6"/>
      <c r="Q6"/>
      <c r="R6"/>
      <c r="S6"/>
      <c r="T6"/>
      <c r="U6"/>
      <c r="V6"/>
      <c r="W6"/>
      <c r="X6"/>
    </row>
    <row r="7" spans="2:28" x14ac:dyDescent="0.25">
      <c r="B7" s="294" t="s">
        <v>427</v>
      </c>
      <c r="C7" s="96"/>
      <c r="D7" s="96"/>
      <c r="E7" s="96">
        <v>148214.00602028202</v>
      </c>
      <c r="F7" s="96">
        <v>1280439.9362013757</v>
      </c>
      <c r="G7" s="96">
        <v>1746187.5739582172</v>
      </c>
      <c r="H7" s="96">
        <v>2271967.6970738624</v>
      </c>
      <c r="I7" s="96">
        <v>2348792.2063809587</v>
      </c>
      <c r="J7" s="96">
        <v>3395866.6580467108</v>
      </c>
      <c r="K7" s="96">
        <v>2671660.3659544718</v>
      </c>
      <c r="L7" s="96">
        <v>2459357.6459853058</v>
      </c>
      <c r="M7" s="96">
        <v>16322486.089621183</v>
      </c>
      <c r="N7"/>
      <c r="O7"/>
      <c r="P7"/>
      <c r="Q7"/>
      <c r="R7"/>
      <c r="S7"/>
      <c r="T7"/>
      <c r="U7"/>
      <c r="V7"/>
      <c r="W7"/>
      <c r="X7"/>
    </row>
    <row r="8" spans="2:28" x14ac:dyDescent="0.25">
      <c r="B8" s="294" t="s">
        <v>429</v>
      </c>
      <c r="C8" s="96">
        <v>200.65128985758764</v>
      </c>
      <c r="D8" s="96">
        <v>3332.3110876300752</v>
      </c>
      <c r="E8" s="96">
        <v>489.07460504942117</v>
      </c>
      <c r="F8" s="96">
        <v>167.3206793882141</v>
      </c>
      <c r="G8" s="96">
        <v>85.701345321881092</v>
      </c>
      <c r="H8" s="96"/>
      <c r="I8" s="96"/>
      <c r="J8" s="96"/>
      <c r="K8" s="96"/>
      <c r="L8" s="96"/>
      <c r="M8" s="96">
        <v>4275.0590072471796</v>
      </c>
      <c r="N8"/>
      <c r="O8"/>
      <c r="P8"/>
      <c r="Q8"/>
      <c r="R8"/>
      <c r="S8"/>
      <c r="T8"/>
      <c r="U8"/>
      <c r="V8"/>
      <c r="W8"/>
      <c r="X8"/>
    </row>
    <row r="9" spans="2:28" x14ac:dyDescent="0.25">
      <c r="B9" s="294" t="s">
        <v>426</v>
      </c>
      <c r="C9" s="96">
        <v>0</v>
      </c>
      <c r="D9" s="96">
        <v>0</v>
      </c>
      <c r="E9" s="96">
        <v>0</v>
      </c>
      <c r="F9" s="96">
        <v>0</v>
      </c>
      <c r="G9" s="96">
        <v>0</v>
      </c>
      <c r="H9" s="96">
        <v>0</v>
      </c>
      <c r="I9" s="96">
        <v>0</v>
      </c>
      <c r="J9" s="96">
        <v>0</v>
      </c>
      <c r="K9" s="96">
        <v>0</v>
      </c>
      <c r="L9" s="96">
        <v>0</v>
      </c>
      <c r="M9" s="96">
        <v>0</v>
      </c>
      <c r="N9"/>
      <c r="O9"/>
      <c r="P9"/>
      <c r="Q9"/>
      <c r="R9"/>
      <c r="S9"/>
      <c r="T9"/>
      <c r="U9"/>
      <c r="V9"/>
      <c r="W9"/>
      <c r="X9"/>
    </row>
    <row r="10" spans="2:28" x14ac:dyDescent="0.25">
      <c r="B10" s="294" t="s">
        <v>433</v>
      </c>
      <c r="C10" s="96">
        <v>0</v>
      </c>
      <c r="D10" s="96">
        <v>0</v>
      </c>
      <c r="E10" s="96">
        <v>0</v>
      </c>
      <c r="F10" s="96">
        <v>0</v>
      </c>
      <c r="G10" s="96">
        <v>0</v>
      </c>
      <c r="H10" s="96">
        <v>0</v>
      </c>
      <c r="I10" s="96">
        <v>0</v>
      </c>
      <c r="J10" s="96">
        <v>0</v>
      </c>
      <c r="K10" s="96">
        <v>0</v>
      </c>
      <c r="L10" s="96">
        <v>0</v>
      </c>
      <c r="M10" s="96">
        <v>0</v>
      </c>
      <c r="N10"/>
      <c r="O10"/>
      <c r="P10"/>
      <c r="Q10"/>
      <c r="R10"/>
      <c r="S10"/>
      <c r="T10"/>
      <c r="U10"/>
      <c r="V10"/>
      <c r="W10"/>
      <c r="X10"/>
    </row>
    <row r="11" spans="2:28" x14ac:dyDescent="0.25">
      <c r="B11" s="294" t="s">
        <v>432</v>
      </c>
      <c r="C11" s="96">
        <v>567640.17505299998</v>
      </c>
      <c r="D11" s="96">
        <v>296342.84058999998</v>
      </c>
      <c r="E11" s="96">
        <v>256355.53097299999</v>
      </c>
      <c r="F11" s="96">
        <v>429525.422211</v>
      </c>
      <c r="G11" s="96">
        <v>604479.53026100004</v>
      </c>
      <c r="H11" s="96">
        <v>667109.664506</v>
      </c>
      <c r="I11" s="96">
        <v>562500.45024499996</v>
      </c>
      <c r="J11" s="96">
        <v>205822.090742</v>
      </c>
      <c r="K11" s="96">
        <v>308618.64254999999</v>
      </c>
      <c r="L11" s="96">
        <v>323060.08759499993</v>
      </c>
      <c r="M11" s="96">
        <v>4221454.4347259998</v>
      </c>
      <c r="N11"/>
      <c r="O11"/>
      <c r="P11"/>
      <c r="Q11"/>
      <c r="R11"/>
      <c r="S11"/>
      <c r="T11"/>
      <c r="U11"/>
      <c r="V11"/>
      <c r="W11"/>
      <c r="X11"/>
    </row>
    <row r="12" spans="2:28" x14ac:dyDescent="0.25">
      <c r="B12" s="294" t="s">
        <v>430</v>
      </c>
      <c r="C12" s="96">
        <v>0</v>
      </c>
      <c r="D12" s="96">
        <v>0</v>
      </c>
      <c r="E12" s="96">
        <v>0</v>
      </c>
      <c r="F12" s="96">
        <v>0</v>
      </c>
      <c r="G12" s="96">
        <v>0</v>
      </c>
      <c r="H12" s="96">
        <v>0</v>
      </c>
      <c r="I12" s="96">
        <v>0</v>
      </c>
      <c r="J12" s="96">
        <v>0</v>
      </c>
      <c r="K12" s="96">
        <v>0</v>
      </c>
      <c r="L12" s="96">
        <v>0</v>
      </c>
      <c r="M12" s="96">
        <v>0</v>
      </c>
      <c r="N12"/>
      <c r="O12"/>
      <c r="P12"/>
      <c r="Q12"/>
      <c r="R12"/>
      <c r="S12"/>
      <c r="T12"/>
      <c r="U12"/>
      <c r="V12"/>
      <c r="W12"/>
      <c r="X12"/>
    </row>
    <row r="13" spans="2:28" x14ac:dyDescent="0.25">
      <c r="B13" s="122" t="s">
        <v>473</v>
      </c>
      <c r="C13" s="96">
        <v>3180464.3357250034</v>
      </c>
      <c r="D13" s="96">
        <v>2479135.0759489988</v>
      </c>
      <c r="E13" s="96">
        <v>2700474.7980889999</v>
      </c>
      <c r="F13" s="96">
        <v>1505988.7890739983</v>
      </c>
      <c r="G13" s="96">
        <v>1515124.9085044775</v>
      </c>
      <c r="H13" s="96">
        <v>1958569.5986324535</v>
      </c>
      <c r="I13" s="96">
        <v>1535394.7838640928</v>
      </c>
      <c r="J13" s="96">
        <v>744608.3509279727</v>
      </c>
      <c r="K13" s="96">
        <v>1040097.3339918386</v>
      </c>
      <c r="L13" s="96">
        <v>550038.77191587386</v>
      </c>
      <c r="M13" s="96">
        <v>17209896.746673707</v>
      </c>
      <c r="N13"/>
      <c r="O13"/>
      <c r="P13"/>
      <c r="Q13"/>
      <c r="R13"/>
      <c r="S13"/>
      <c r="T13"/>
      <c r="U13"/>
      <c r="V13"/>
      <c r="W13"/>
      <c r="X13"/>
    </row>
    <row r="14" spans="2:28" x14ac:dyDescent="0.25">
      <c r="B14" s="294" t="s">
        <v>432</v>
      </c>
      <c r="C14" s="96">
        <v>3180464.3357250034</v>
      </c>
      <c r="D14" s="96">
        <v>2479135.0759489988</v>
      </c>
      <c r="E14" s="96">
        <v>2700474.7980889999</v>
      </c>
      <c r="F14" s="96">
        <v>1505988.7890739983</v>
      </c>
      <c r="G14" s="96">
        <v>1515124.9085044775</v>
      </c>
      <c r="H14" s="96">
        <v>1958569.5986324535</v>
      </c>
      <c r="I14" s="96">
        <v>1535394.7838640928</v>
      </c>
      <c r="J14" s="96">
        <v>744608.3509279727</v>
      </c>
      <c r="K14" s="96">
        <v>1040097.3339918386</v>
      </c>
      <c r="L14" s="96">
        <v>550038.77191587386</v>
      </c>
      <c r="M14" s="96">
        <v>17209896.746673707</v>
      </c>
      <c r="N14"/>
      <c r="O14"/>
      <c r="P14"/>
      <c r="Q14"/>
      <c r="R14"/>
      <c r="S14"/>
      <c r="T14"/>
      <c r="U14"/>
      <c r="V14"/>
      <c r="W14"/>
      <c r="X14"/>
    </row>
    <row r="15" spans="2:28" x14ac:dyDescent="0.25">
      <c r="B15" s="122" t="s">
        <v>464</v>
      </c>
      <c r="C15" s="96">
        <v>5233804.863157114</v>
      </c>
      <c r="D15" s="96">
        <v>6970296.3329072101</v>
      </c>
      <c r="E15" s="96">
        <v>6676209.2060690746</v>
      </c>
      <c r="F15" s="96">
        <v>7522133.0298515093</v>
      </c>
      <c r="G15" s="96">
        <v>6515901.6545924852</v>
      </c>
      <c r="H15" s="96">
        <v>6217840.0671205008</v>
      </c>
      <c r="I15" s="96">
        <v>6080674.499582056</v>
      </c>
      <c r="J15" s="96">
        <v>7406110.0017515887</v>
      </c>
      <c r="K15" s="96">
        <v>4793992.3643389791</v>
      </c>
      <c r="L15" s="96">
        <v>5679255.7366288472</v>
      </c>
      <c r="M15" s="96">
        <v>63096217.755999357</v>
      </c>
      <c r="N15"/>
      <c r="O15"/>
      <c r="P15"/>
      <c r="Q15"/>
      <c r="R15"/>
      <c r="S15"/>
      <c r="T15"/>
      <c r="U15"/>
      <c r="V15"/>
      <c r="W15"/>
      <c r="X15"/>
    </row>
    <row r="16" spans="2:28" x14ac:dyDescent="0.25">
      <c r="B16" s="294" t="s">
        <v>427</v>
      </c>
      <c r="C16" s="96">
        <v>4135425.0249789529</v>
      </c>
      <c r="D16" s="96">
        <v>4704400.4330650484</v>
      </c>
      <c r="E16" s="96">
        <v>4890063.0296316901</v>
      </c>
      <c r="F16" s="96">
        <v>5034544.2730927812</v>
      </c>
      <c r="G16" s="96">
        <v>4642920.9501864174</v>
      </c>
      <c r="H16" s="96">
        <v>4486831.9138267459</v>
      </c>
      <c r="I16" s="96">
        <v>4255200.8134401999</v>
      </c>
      <c r="J16" s="96">
        <v>4531771.9809035081</v>
      </c>
      <c r="K16" s="96">
        <v>2089804.868038378</v>
      </c>
      <c r="L16" s="96">
        <v>2508424.2849246645</v>
      </c>
      <c r="M16" s="96">
        <v>41279387.572088383</v>
      </c>
      <c r="N16"/>
      <c r="O16"/>
      <c r="P16"/>
      <c r="Q16"/>
      <c r="R16"/>
      <c r="S16"/>
      <c r="T16"/>
      <c r="U16"/>
      <c r="V16"/>
      <c r="W16"/>
      <c r="X16"/>
    </row>
    <row r="17" spans="2:24" x14ac:dyDescent="0.25">
      <c r="B17" s="294" t="s">
        <v>428</v>
      </c>
      <c r="C17" s="96">
        <v>9852.490904160908</v>
      </c>
      <c r="D17" s="96">
        <v>58.302268160976595</v>
      </c>
      <c r="E17" s="96">
        <v>296.86870338496021</v>
      </c>
      <c r="F17" s="96">
        <v>252.82224872760236</v>
      </c>
      <c r="G17" s="96">
        <v>154.94372006759997</v>
      </c>
      <c r="H17" s="96">
        <v>334.80850975453387</v>
      </c>
      <c r="I17" s="96">
        <v>62.021941855755841</v>
      </c>
      <c r="J17" s="96">
        <v>154.63486408054271</v>
      </c>
      <c r="K17" s="96">
        <v>514.04794022507429</v>
      </c>
      <c r="L17" s="96">
        <v>439.28777955048002</v>
      </c>
      <c r="M17" s="96">
        <v>12120.228879968432</v>
      </c>
      <c r="N17"/>
      <c r="O17"/>
      <c r="P17"/>
      <c r="Q17"/>
      <c r="R17"/>
      <c r="S17"/>
      <c r="T17"/>
      <c r="U17"/>
      <c r="V17"/>
      <c r="W17"/>
      <c r="X17"/>
    </row>
    <row r="18" spans="2:24" x14ac:dyDescent="0.25">
      <c r="B18" s="294" t="s">
        <v>429</v>
      </c>
      <c r="C18" s="96">
        <v>1088527.3472740001</v>
      </c>
      <c r="D18" s="96">
        <v>2265837.5975740002</v>
      </c>
      <c r="E18" s="96">
        <v>1785849.3077339998</v>
      </c>
      <c r="F18" s="96">
        <v>2487335.9345100001</v>
      </c>
      <c r="G18" s="96">
        <v>1872825.7606860001</v>
      </c>
      <c r="H18" s="96">
        <v>1730673.344784</v>
      </c>
      <c r="I18" s="96">
        <v>1825411.6642000002</v>
      </c>
      <c r="J18" s="96">
        <v>2874183.3859839998</v>
      </c>
      <c r="K18" s="96">
        <v>2703673.4483603761</v>
      </c>
      <c r="L18" s="96">
        <v>3170392.1639246326</v>
      </c>
      <c r="M18" s="96">
        <v>21804709.955031008</v>
      </c>
      <c r="N18"/>
      <c r="O18"/>
      <c r="P18"/>
      <c r="Q18"/>
      <c r="R18"/>
      <c r="S18"/>
      <c r="T18"/>
      <c r="U18"/>
      <c r="V18"/>
      <c r="W18"/>
      <c r="X18"/>
    </row>
    <row r="19" spans="2:24" x14ac:dyDescent="0.25">
      <c r="B19" s="294" t="s">
        <v>426</v>
      </c>
      <c r="C19" s="96">
        <v>0</v>
      </c>
      <c r="D19" s="96">
        <v>0</v>
      </c>
      <c r="E19" s="96">
        <v>0</v>
      </c>
      <c r="F19" s="96">
        <v>0</v>
      </c>
      <c r="G19" s="96">
        <v>0</v>
      </c>
      <c r="H19" s="96">
        <v>0</v>
      </c>
      <c r="I19" s="96">
        <v>0</v>
      </c>
      <c r="J19" s="96">
        <v>0</v>
      </c>
      <c r="K19" s="96">
        <v>0</v>
      </c>
      <c r="L19" s="96">
        <v>0</v>
      </c>
      <c r="M19" s="96">
        <v>0</v>
      </c>
      <c r="N19"/>
      <c r="O19"/>
      <c r="P19"/>
      <c r="Q19"/>
      <c r="R19"/>
      <c r="S19"/>
      <c r="T19"/>
      <c r="U19"/>
      <c r="V19"/>
      <c r="W19"/>
      <c r="X19"/>
    </row>
    <row r="20" spans="2:24" x14ac:dyDescent="0.25">
      <c r="B20" s="294" t="s">
        <v>430</v>
      </c>
      <c r="C20" s="96">
        <v>0</v>
      </c>
      <c r="D20" s="96">
        <v>0</v>
      </c>
      <c r="E20" s="96">
        <v>0</v>
      </c>
      <c r="F20" s="96">
        <v>0</v>
      </c>
      <c r="G20" s="96">
        <v>0</v>
      </c>
      <c r="H20" s="96">
        <v>0</v>
      </c>
      <c r="I20" s="96">
        <v>0</v>
      </c>
      <c r="J20" s="96">
        <v>0</v>
      </c>
      <c r="K20" s="96">
        <v>0</v>
      </c>
      <c r="L20" s="96">
        <v>0</v>
      </c>
      <c r="M20" s="96">
        <v>0</v>
      </c>
      <c r="N20"/>
      <c r="O20"/>
      <c r="P20"/>
      <c r="Q20"/>
      <c r="R20"/>
      <c r="S20"/>
      <c r="T20"/>
      <c r="U20"/>
      <c r="V20"/>
      <c r="W20"/>
      <c r="X20"/>
    </row>
    <row r="21" spans="2:24" x14ac:dyDescent="0.25">
      <c r="B21" s="122" t="s">
        <v>467</v>
      </c>
      <c r="C21" s="96">
        <v>8982110.0252249744</v>
      </c>
      <c r="D21" s="96">
        <v>9749106.5605338383</v>
      </c>
      <c r="E21" s="96">
        <v>9781742.6157564074</v>
      </c>
      <c r="F21" s="96">
        <v>10738254.49801727</v>
      </c>
      <c r="G21" s="96">
        <v>10381779.368661501</v>
      </c>
      <c r="H21" s="96">
        <v>11115487.027332816</v>
      </c>
      <c r="I21" s="96">
        <v>10527361.940072108</v>
      </c>
      <c r="J21" s="96">
        <v>11752407.101468273</v>
      </c>
      <c r="K21" s="96">
        <v>8814368.7068352886</v>
      </c>
      <c r="L21" s="96">
        <v>9011712.2421250269</v>
      </c>
      <c r="M21" s="96">
        <v>100854330.08602749</v>
      </c>
      <c r="N21"/>
      <c r="O21"/>
      <c r="P21"/>
      <c r="Q21"/>
      <c r="R21"/>
      <c r="S21"/>
      <c r="T21"/>
      <c r="U21"/>
      <c r="V21"/>
      <c r="W21"/>
      <c r="X21"/>
    </row>
    <row r="22" spans="2:24" x14ac:dyDescent="0.25">
      <c r="B22"/>
      <c r="C22"/>
      <c r="D22"/>
      <c r="E22"/>
      <c r="F22"/>
      <c r="G22"/>
      <c r="H22"/>
      <c r="I22"/>
      <c r="J22"/>
      <c r="K22"/>
      <c r="L22"/>
      <c r="M22"/>
      <c r="N22"/>
      <c r="O22"/>
      <c r="P22"/>
      <c r="Q22"/>
      <c r="R22"/>
      <c r="S22"/>
      <c r="T22"/>
      <c r="U22"/>
      <c r="V22"/>
      <c r="W22"/>
      <c r="X22"/>
    </row>
    <row r="23" spans="2:24" x14ac:dyDescent="0.25">
      <c r="B23" s="192" t="s">
        <v>552</v>
      </c>
      <c r="F23" s="298"/>
    </row>
    <row r="24" spans="2:24" ht="22.5" x14ac:dyDescent="0.25">
      <c r="C24" s="333" t="s">
        <v>518</v>
      </c>
      <c r="D24" s="333" t="s">
        <v>518</v>
      </c>
      <c r="E24" s="333" t="s">
        <v>518</v>
      </c>
      <c r="F24" s="333" t="s">
        <v>518</v>
      </c>
      <c r="G24" s="333" t="s">
        <v>518</v>
      </c>
      <c r="H24" s="333" t="s">
        <v>518</v>
      </c>
      <c r="I24" s="333" t="s">
        <v>518</v>
      </c>
      <c r="J24" s="333" t="s">
        <v>518</v>
      </c>
      <c r="K24" s="333" t="s">
        <v>518</v>
      </c>
      <c r="L24" s="333" t="s">
        <v>519</v>
      </c>
      <c r="N24" s="333"/>
    </row>
    <row r="25" spans="2:24" x14ac:dyDescent="0.25">
      <c r="C25" s="136">
        <v>2012</v>
      </c>
      <c r="D25" s="136">
        <v>2013</v>
      </c>
      <c r="E25" s="136">
        <v>2014</v>
      </c>
      <c r="F25" s="136">
        <v>2015</v>
      </c>
      <c r="G25" s="136">
        <v>2016</v>
      </c>
      <c r="H25" s="136">
        <v>2017</v>
      </c>
      <c r="I25" s="136">
        <v>2018</v>
      </c>
      <c r="J25" s="136">
        <v>2019</v>
      </c>
      <c r="K25" s="136">
        <v>2020</v>
      </c>
      <c r="L25" s="136">
        <v>2021</v>
      </c>
      <c r="N25" s="136"/>
    </row>
    <row r="26" spans="2:24" x14ac:dyDescent="0.25">
      <c r="B26" s="318" t="s">
        <v>500</v>
      </c>
      <c r="C26" s="152">
        <f>GETPIVOTDATA("Tons CO2e",$B$2,"Year",2012,"Type","Non-Firm")</f>
        <v>3180464.3357250034</v>
      </c>
      <c r="D26" s="152">
        <f>GETPIVOTDATA("Tons CO2e",$B$2,"Year",2013,"Type","Non-Firm")</f>
        <v>2479135.0759489988</v>
      </c>
      <c r="E26" s="152">
        <f>GETPIVOTDATA("Tons CO2e",$B$2,"Year",2014,"Type","Non-Firm")</f>
        <v>2700474.7980889999</v>
      </c>
      <c r="F26" s="152">
        <f>GETPIVOTDATA("Tons CO2e",$B$2,"Year",2015,"Type","Non-Firm")</f>
        <v>1505988.7890739983</v>
      </c>
      <c r="G26" s="152">
        <f>GETPIVOTDATA("Tons CO2e",$B$2,"Year",2016,"Type","Non-Firm")</f>
        <v>1515124.9085044775</v>
      </c>
      <c r="H26" s="152">
        <f>GETPIVOTDATA("Tons CO2e",$B$2,"Year",2017,"Type","Non-Firm")</f>
        <v>1958569.5986324535</v>
      </c>
      <c r="I26" s="152">
        <f>GETPIVOTDATA("Tons CO2e",$B$2,"Year",2018,"Type","Non-Firm")</f>
        <v>1535394.7838640928</v>
      </c>
      <c r="J26" s="152">
        <f>GETPIVOTDATA("Tons CO2e",$B$2,"Year",2019,"Type","Non-Firm")</f>
        <v>744608.3509279727</v>
      </c>
      <c r="K26" s="152">
        <f>GETPIVOTDATA("Tons CO2e",$B$2,"Year",2020,"Type","Non-Firm")</f>
        <v>1040097.3339918386</v>
      </c>
      <c r="L26" s="152">
        <f>GETPIVOTDATA("Tons CO2e",$B$2,"Year",2021,"Type","Non-Firm")</f>
        <v>550038.77191587386</v>
      </c>
      <c r="N26" s="184"/>
    </row>
    <row r="27" spans="2:24" x14ac:dyDescent="0.25">
      <c r="B27" s="318" t="s">
        <v>487</v>
      </c>
      <c r="C27" s="152">
        <f>GETPIVOTDATA("Tons CO2e",$B$2,"Year",2012,"Type","Firm","Fuel","System")</f>
        <v>567640.17505299998</v>
      </c>
      <c r="D27" s="152">
        <f>GETPIVOTDATA("Tons CO2e",$B$2,"Year",2013,"Type","Firm","Fuel","System")</f>
        <v>296342.84058999998</v>
      </c>
      <c r="E27" s="152">
        <f>GETPIVOTDATA("Tons CO2e",$B$2,"Year",2014,"Type","Firm","Fuel","System")</f>
        <v>256355.53097299999</v>
      </c>
      <c r="F27" s="152">
        <f>GETPIVOTDATA("Tons CO2e",$B$2,"Year",2015,"Type","Firm","Fuel","System")</f>
        <v>429525.422211</v>
      </c>
      <c r="G27" s="152">
        <f>GETPIVOTDATA("Tons CO2e",$B$2,"Year",2016,"Type","Firm","Fuel","System")</f>
        <v>604479.53026100004</v>
      </c>
      <c r="H27" s="152">
        <f>GETPIVOTDATA("Tons CO2e",$B$2,"Year",2017,"Type","Firm","Fuel","System")</f>
        <v>667109.664506</v>
      </c>
      <c r="I27" s="152">
        <f>GETPIVOTDATA("Tons CO2e",$B$2,"Year",2018,"Type","Firm","Fuel","System")</f>
        <v>562500.45024499996</v>
      </c>
      <c r="J27" s="152">
        <f>GETPIVOTDATA("Tons CO2e",$B$2,"Year",2019,"Type","Firm","Fuel","System")</f>
        <v>205822.090742</v>
      </c>
      <c r="K27" s="152">
        <f>GETPIVOTDATA("Tons CO2e",$B$2,"Year",2020,"Type","Firm","Fuel","System")</f>
        <v>308618.64254999999</v>
      </c>
      <c r="L27" s="152">
        <f>GETPIVOTDATA("Tons CO2e",$B$2,"Year",2021,"Type","Firm","Fuel","System")</f>
        <v>323060.08759499993</v>
      </c>
      <c r="N27" s="184"/>
    </row>
    <row r="28" spans="2:24" x14ac:dyDescent="0.25">
      <c r="B28" s="318" t="s">
        <v>499</v>
      </c>
      <c r="C28" s="152">
        <f>GETPIVOTDATA("Tons CO2e",$B$2,"Year",2012,"Type","Firm","Fuel","Gas")</f>
        <v>200.65128985758764</v>
      </c>
      <c r="D28" s="152">
        <f>GETPIVOTDATA("Tons CO2e",$B$2,"Year",2013,"Type","Firm","Fuel","Gas")</f>
        <v>3332.3110876300752</v>
      </c>
      <c r="E28" s="152">
        <f>GETPIVOTDATA("Tons CO2e",$B$2,"Year",2014,"Type","Firm","Fuel","Gas")</f>
        <v>489.07460504942117</v>
      </c>
      <c r="F28" s="152">
        <f>GETPIVOTDATA("Tons CO2e",$B$2,"Year",2015,"Type","Firm","Fuel","Gas")</f>
        <v>167.3206793882141</v>
      </c>
      <c r="G28" s="152">
        <f>GETPIVOTDATA("Tons CO2e",$B$2,"Year",2016,"Type","Firm","Fuel","Gas")</f>
        <v>85.701345321881092</v>
      </c>
      <c r="H28" s="152">
        <f>GETPIVOTDATA("Tons CO2e",$B$2,"Year",2017,"Type","Firm","Fuel","Gas")</f>
        <v>0</v>
      </c>
      <c r="I28" s="152">
        <f>GETPIVOTDATA("Tons CO2e",$B$2,"Year",2018,"Type","Firm","Fuel","Gas")</f>
        <v>0</v>
      </c>
      <c r="J28" s="152">
        <f>GETPIVOTDATA("Tons CO2e",$B$2,"Year",2019,"Type","Firm","Fuel","Gas")</f>
        <v>0</v>
      </c>
      <c r="K28" s="152">
        <f>GETPIVOTDATA("Tons CO2e",$B$2,"Year",2020,"Type","Firm","Fuel","Gas")</f>
        <v>0</v>
      </c>
      <c r="L28" s="152">
        <f>GETPIVOTDATA("Tons CO2e",$B$2,"Year",2021,"Type","Firm","Fuel","Gas")</f>
        <v>0</v>
      </c>
      <c r="N28" s="184"/>
    </row>
    <row r="29" spans="2:24" x14ac:dyDescent="0.25">
      <c r="B29" s="318" t="s">
        <v>501</v>
      </c>
      <c r="C29" s="152">
        <f>GETPIVOTDATA("Tons CO2e",$B$2,"Year",2012,"Type","Own","Fuel","Gas")+GETPIVOTDATA("Tons CO2e",$B$2,"Year",2012,"Type","Own","Fuel","Diesel")</f>
        <v>1098379.8381781611</v>
      </c>
      <c r="D29" s="152">
        <f>GETPIVOTDATA("Tons CO2e",$B$2,"Year",2013,"Type","Own","Fuel","Gas")+GETPIVOTDATA("Tons CO2e",$B$2,"Year",2013,"Type","Own","Fuel","Diesel")</f>
        <v>2265895.8998421612</v>
      </c>
      <c r="E29" s="152">
        <f>GETPIVOTDATA("Tons CO2e",$B$2,"Year",2014,"Type","Own","Fuel","Gas")+GETPIVOTDATA("Tons CO2e",$B$2,"Year",2014,"Type","Own","Fuel","Diesel")</f>
        <v>1786146.1764373847</v>
      </c>
      <c r="F29" s="152">
        <f>GETPIVOTDATA("Tons CO2e",$B$2,"Year",2015,"Type","Own","Fuel","Gas")+GETPIVOTDATA("Tons CO2e",$B$2,"Year",2015,"Type","Own","Fuel","Diesel")</f>
        <v>2487588.7567587276</v>
      </c>
      <c r="G29" s="152">
        <f>GETPIVOTDATA("Tons CO2e",$B$2,"Year",2016,"Type","Own","Fuel","Gas")+GETPIVOTDATA("Tons CO2e",$B$2,"Year",2016,"Type","Own","Fuel","Diesel")</f>
        <v>1872980.7044060677</v>
      </c>
      <c r="H29" s="152">
        <f>GETPIVOTDATA("Tons CO2e",$B$2,"Year",2017,"Type","Own","Fuel","Gas")+GETPIVOTDATA("Tons CO2e",$B$2,"Year",2017,"Type","Own","Fuel","Diesel")</f>
        <v>1731008.1532937544</v>
      </c>
      <c r="I29" s="152">
        <f>GETPIVOTDATA("Tons CO2e",$B$2,"Year",2018,"Type","Own","Fuel","Gas")+GETPIVOTDATA("Tons CO2e",$B$2,"Year",2018,"Type","Own","Fuel","Diesel")</f>
        <v>1825473.686141856</v>
      </c>
      <c r="J29" s="152">
        <f>GETPIVOTDATA("Tons CO2e",$B$2,"Year",2019,"Type","Own","Fuel","Gas")+GETPIVOTDATA("Tons CO2e",$B$2,"Year",2019,"Type","Own","Fuel","Diesel")</f>
        <v>2874338.0208480805</v>
      </c>
      <c r="K29" s="152">
        <f>GETPIVOTDATA("Tons CO2e",$B$2,"Year",2020,"Type","Own","Fuel","Gas")+GETPIVOTDATA("Tons CO2e",$B$2,"Year",2020,"Type","Own","Fuel","Diesel")</f>
        <v>2704187.4963006009</v>
      </c>
      <c r="L29" s="152">
        <f>GETPIVOTDATA("Tons CO2e",$B$2,"Year",2021,"Type","Own","Fuel","Gas")+GETPIVOTDATA("Tons CO2e",$B$2,"Year",2021,"Type","Own","Fuel","Diesel")</f>
        <v>3170831.4517041831</v>
      </c>
      <c r="N29" s="184"/>
    </row>
    <row r="30" spans="2:24" x14ac:dyDescent="0.25">
      <c r="B30" s="318" t="s">
        <v>479</v>
      </c>
      <c r="C30" s="152">
        <f>GETPIVOTDATA("Tons CO2e",$B$2,"Year",2012,"Type","Firm","Fuel","Coal")</f>
        <v>0</v>
      </c>
      <c r="D30" s="152">
        <f>GETPIVOTDATA("Tons CO2e",$B$2,"Year",2013,"Type","Firm","Fuel","Coal")</f>
        <v>0</v>
      </c>
      <c r="E30" s="152">
        <f>GETPIVOTDATA("Tons CO2e",$B$2,"Year",2014,"Type","Firm","Fuel","Coal")</f>
        <v>148214.00602028202</v>
      </c>
      <c r="F30" s="152">
        <f>GETPIVOTDATA("Tons CO2e",$B$2,"Year",2015,"Type","Firm","Fuel","Coal")</f>
        <v>1280439.9362013757</v>
      </c>
      <c r="G30" s="152">
        <f>GETPIVOTDATA("Tons CO2e",$B$2,"Year",2016,"Type","Firm","Fuel","Coal")</f>
        <v>1746187.5739582172</v>
      </c>
      <c r="H30" s="152">
        <f>GETPIVOTDATA("Tons CO2e",$B$2,"Year",2017,"Type","Firm","Fuel","Coal")</f>
        <v>2271967.6970738624</v>
      </c>
      <c r="I30" s="152">
        <f>GETPIVOTDATA("Tons CO2e",$B$2,"Year",2018,"Type","Firm","Fuel","Coal")</f>
        <v>2348792.2063809587</v>
      </c>
      <c r="J30" s="152">
        <f>GETPIVOTDATA("Tons CO2e",$B$2,"Year",2019,"Type","Firm","Fuel","Coal")</f>
        <v>3395866.6580467108</v>
      </c>
      <c r="K30" s="152">
        <f>GETPIVOTDATA("Tons CO2e",$B$2,"Year",2020,"Type","Firm","Fuel","Coal")</f>
        <v>2671660.3659544718</v>
      </c>
      <c r="L30" s="152">
        <f>GETPIVOTDATA("Tons CO2e",$B$2,"Year",2021,"Type","Firm","Fuel","Coal")</f>
        <v>2459357.6459853058</v>
      </c>
      <c r="N30" s="184"/>
    </row>
    <row r="31" spans="2:24" x14ac:dyDescent="0.25">
      <c r="B31" s="318" t="s">
        <v>502</v>
      </c>
      <c r="C31" s="152">
        <f>GETPIVOTDATA("Tons CO2e",$B$2,"Year",2012,"Type","Own","Fuel","Coal")</f>
        <v>4135425.0249789529</v>
      </c>
      <c r="D31" s="152">
        <f>GETPIVOTDATA("Tons CO2e",$B$2,"Year",2013,"Type","Own","Fuel","Coal")</f>
        <v>4704400.4330650484</v>
      </c>
      <c r="E31" s="152">
        <f>GETPIVOTDATA("Tons CO2e",$B$2,"Year",2014,"Type","Own","Fuel","Coal")</f>
        <v>4890063.0296316901</v>
      </c>
      <c r="F31" s="152">
        <f>GETPIVOTDATA("Tons CO2e",$B$2,"Year",2015,"Type","Own","Fuel","Coal")</f>
        <v>5034544.2730927812</v>
      </c>
      <c r="G31" s="152">
        <f>GETPIVOTDATA("Tons CO2e",$B$2,"Year",2016,"Type","Own","Fuel","Coal")</f>
        <v>4642920.9501864174</v>
      </c>
      <c r="H31" s="152">
        <f>GETPIVOTDATA("Tons CO2e",$B$2,"Year",2017,"Type","Own","Fuel","Coal")</f>
        <v>4486831.9138267459</v>
      </c>
      <c r="I31" s="152">
        <f>GETPIVOTDATA("Tons CO2e",$B$2,"Year",2018,"Type","Own","Fuel","Coal")</f>
        <v>4255200.8134401999</v>
      </c>
      <c r="J31" s="152">
        <f>GETPIVOTDATA("Tons CO2e",$B$2,"Year",2019,"Type","Own","Fuel","Coal")</f>
        <v>4531771.9809035081</v>
      </c>
      <c r="K31" s="152">
        <f>GETPIVOTDATA("Tons CO2e",$B$2,"Year",2020,"Type","Own","Fuel","Coal")</f>
        <v>2089804.868038378</v>
      </c>
      <c r="L31" s="152">
        <f>GETPIVOTDATA("Tons CO2e",$B$2,"Year",2021,"Type","Own","Fuel","Coal")</f>
        <v>2508424.2849246645</v>
      </c>
      <c r="N31" s="184"/>
    </row>
    <row r="32" spans="2:24" x14ac:dyDescent="0.25">
      <c r="B32" s="318" t="s">
        <v>503</v>
      </c>
      <c r="C32" s="152">
        <f>'2020 Summary'!$G$32</f>
        <v>6301362.9860207997</v>
      </c>
      <c r="D32" s="152">
        <f>'2020 Summary'!$G$32</f>
        <v>6301362.9860207997</v>
      </c>
      <c r="E32" s="152">
        <f>'2020 Summary'!$G$32</f>
        <v>6301362.9860207997</v>
      </c>
      <c r="F32" s="152">
        <f>'2020 Summary'!$G$32</f>
        <v>6301362.9860207997</v>
      </c>
      <c r="G32" s="152">
        <f>'2020 Summary'!$G$32</f>
        <v>6301362.9860207997</v>
      </c>
      <c r="H32" s="152">
        <f>'2020 Summary'!$G$32</f>
        <v>6301362.9860207997</v>
      </c>
      <c r="I32" s="152">
        <f>'2020 Summary'!$G$32</f>
        <v>6301362.9860207997</v>
      </c>
      <c r="J32" s="152">
        <f>'2020 Summary'!$G$32</f>
        <v>6301362.9860207997</v>
      </c>
      <c r="K32" s="152">
        <f>'2020 Summary'!$G$32</f>
        <v>6301362.9860207997</v>
      </c>
      <c r="L32" s="152">
        <f>'2020 Summary'!$G$32</f>
        <v>6301362.9860207997</v>
      </c>
      <c r="N32" s="184"/>
    </row>
    <row r="34" spans="2:13" x14ac:dyDescent="0.25">
      <c r="B34" s="318" t="s">
        <v>554</v>
      </c>
      <c r="C34" s="152">
        <f>SUM(C26:C31)</f>
        <v>8982110.0252249744</v>
      </c>
      <c r="D34" s="152">
        <f t="shared" ref="D34:L34" si="0">SUM(D26:D31)</f>
        <v>9749106.5605338402</v>
      </c>
      <c r="E34" s="152">
        <f t="shared" si="0"/>
        <v>9781742.6157564074</v>
      </c>
      <c r="F34" s="152">
        <f t="shared" si="0"/>
        <v>10738254.49801727</v>
      </c>
      <c r="G34" s="152">
        <f t="shared" si="0"/>
        <v>10381779.368661501</v>
      </c>
      <c r="H34" s="152">
        <f t="shared" si="0"/>
        <v>11115487.027332816</v>
      </c>
      <c r="I34" s="152">
        <f t="shared" si="0"/>
        <v>10527361.940072108</v>
      </c>
      <c r="J34" s="152">
        <f t="shared" si="0"/>
        <v>11752407.101468273</v>
      </c>
      <c r="K34" s="152">
        <f t="shared" si="0"/>
        <v>8814368.7068352904</v>
      </c>
      <c r="L34" s="152">
        <f t="shared" si="0"/>
        <v>9011712.2421250269</v>
      </c>
    </row>
    <row r="36" spans="2:13" x14ac:dyDescent="0.25">
      <c r="B36" s="293" t="s">
        <v>474</v>
      </c>
      <c r="C36" s="293" t="s">
        <v>498</v>
      </c>
      <c r="D36"/>
      <c r="E36"/>
      <c r="F36"/>
      <c r="G36"/>
      <c r="H36"/>
      <c r="I36"/>
      <c r="J36"/>
      <c r="K36"/>
      <c r="L36"/>
      <c r="M36"/>
    </row>
    <row r="37" spans="2:13" x14ac:dyDescent="0.25">
      <c r="B37" s="293" t="s">
        <v>468</v>
      </c>
      <c r="C37">
        <v>2012</v>
      </c>
      <c r="D37">
        <v>2013</v>
      </c>
      <c r="E37">
        <v>2014</v>
      </c>
      <c r="F37">
        <v>2015</v>
      </c>
      <c r="G37">
        <v>2016</v>
      </c>
      <c r="H37">
        <v>2017</v>
      </c>
      <c r="I37">
        <v>2018</v>
      </c>
      <c r="J37">
        <v>2019</v>
      </c>
      <c r="K37">
        <v>2020</v>
      </c>
      <c r="L37">
        <v>2021</v>
      </c>
      <c r="M37" t="s">
        <v>467</v>
      </c>
    </row>
    <row r="38" spans="2:13" x14ac:dyDescent="0.25">
      <c r="B38" s="122" t="s">
        <v>465</v>
      </c>
      <c r="C38" s="96">
        <v>5689270.9850000003</v>
      </c>
      <c r="D38" s="96">
        <v>4504274.6399999997</v>
      </c>
      <c r="E38" s="96">
        <v>4447256.9629999995</v>
      </c>
      <c r="F38" s="96">
        <v>5835382.2599999998</v>
      </c>
      <c r="G38" s="96">
        <v>6877395.8610000005</v>
      </c>
      <c r="H38" s="96">
        <v>7436664.8689999999</v>
      </c>
      <c r="I38" s="96">
        <v>7322547.1779999994</v>
      </c>
      <c r="J38" s="96">
        <v>6597362.4829999991</v>
      </c>
      <c r="K38" s="96">
        <v>7922019.8160000015</v>
      </c>
      <c r="L38" s="96">
        <v>8196656.3530000011</v>
      </c>
      <c r="M38" s="96">
        <v>64828831.407999992</v>
      </c>
    </row>
    <row r="39" spans="2:13" x14ac:dyDescent="0.25">
      <c r="B39" s="294" t="s">
        <v>431</v>
      </c>
      <c r="C39" s="96">
        <v>25500.416000000001</v>
      </c>
      <c r="D39" s="96">
        <v>29842.981999999996</v>
      </c>
      <c r="E39" s="96">
        <v>61901.79</v>
      </c>
      <c r="F39" s="96">
        <v>58089.984999999993</v>
      </c>
      <c r="G39" s="96">
        <v>62083.971999999994</v>
      </c>
      <c r="H39" s="96">
        <v>60917.674999999996</v>
      </c>
      <c r="I39" s="96">
        <v>58598.701999999997</v>
      </c>
      <c r="J39" s="96">
        <v>54519.188999999998</v>
      </c>
      <c r="K39" s="96">
        <v>40289.032000000007</v>
      </c>
      <c r="L39" s="96">
        <v>56405.041000000005</v>
      </c>
      <c r="M39" s="96">
        <v>508148.78399999999</v>
      </c>
    </row>
    <row r="40" spans="2:13" x14ac:dyDescent="0.25">
      <c r="B40" s="294" t="s">
        <v>597</v>
      </c>
      <c r="C40" s="96"/>
      <c r="D40" s="96"/>
      <c r="E40" s="96"/>
      <c r="F40" s="96"/>
      <c r="G40" s="96"/>
      <c r="H40" s="96"/>
      <c r="I40" s="96"/>
      <c r="J40" s="96"/>
      <c r="K40" s="96"/>
      <c r="L40" s="96">
        <v>126931.46400000001</v>
      </c>
      <c r="M40" s="96">
        <v>126931.46400000001</v>
      </c>
    </row>
    <row r="41" spans="2:13" x14ac:dyDescent="0.25">
      <c r="B41" s="294" t="s">
        <v>427</v>
      </c>
      <c r="C41" s="96"/>
      <c r="D41" s="96"/>
      <c r="E41" s="96">
        <v>133020</v>
      </c>
      <c r="F41" s="96">
        <v>1135396</v>
      </c>
      <c r="G41" s="96">
        <v>1568805</v>
      </c>
      <c r="H41" s="96">
        <v>2070958</v>
      </c>
      <c r="I41" s="96">
        <v>2067688</v>
      </c>
      <c r="J41" s="96">
        <v>3036992</v>
      </c>
      <c r="K41" s="96">
        <v>2500968</v>
      </c>
      <c r="L41" s="96">
        <v>2357979</v>
      </c>
      <c r="M41" s="96">
        <v>14871806</v>
      </c>
    </row>
    <row r="42" spans="2:13" x14ac:dyDescent="0.25">
      <c r="B42" s="294" t="s">
        <v>429</v>
      </c>
      <c r="C42" s="96">
        <v>500</v>
      </c>
      <c r="D42" s="96">
        <v>8450</v>
      </c>
      <c r="E42" s="96">
        <v>1200</v>
      </c>
      <c r="F42" s="96">
        <v>400</v>
      </c>
      <c r="G42" s="96">
        <v>200</v>
      </c>
      <c r="H42" s="96"/>
      <c r="I42" s="96"/>
      <c r="J42" s="96"/>
      <c r="K42" s="96"/>
      <c r="L42" s="96"/>
      <c r="M42" s="96">
        <v>10750</v>
      </c>
    </row>
    <row r="43" spans="2:13" x14ac:dyDescent="0.25">
      <c r="B43" s="294" t="s">
        <v>426</v>
      </c>
      <c r="C43" s="96">
        <v>4239113.1229999997</v>
      </c>
      <c r="D43" s="96">
        <v>3642811.9419999993</v>
      </c>
      <c r="E43" s="96">
        <v>3523705.7199999997</v>
      </c>
      <c r="F43" s="96">
        <v>3527738.5619999999</v>
      </c>
      <c r="G43" s="96">
        <v>3724822.4980000001</v>
      </c>
      <c r="H43" s="96">
        <v>3658359.9619999998</v>
      </c>
      <c r="I43" s="96">
        <v>3777649.8989999997</v>
      </c>
      <c r="J43" s="96">
        <v>2911330.2039999999</v>
      </c>
      <c r="K43" s="96">
        <v>4373354.7920000004</v>
      </c>
      <c r="L43" s="96">
        <v>3981235.1580000003</v>
      </c>
      <c r="M43" s="96">
        <v>37360121.859999999</v>
      </c>
    </row>
    <row r="44" spans="2:13" x14ac:dyDescent="0.25">
      <c r="B44" s="294" t="s">
        <v>433</v>
      </c>
      <c r="C44" s="96">
        <v>61.41</v>
      </c>
      <c r="D44" s="96">
        <v>87.31</v>
      </c>
      <c r="E44" s="96">
        <v>87.69</v>
      </c>
      <c r="F44" s="96">
        <v>84.55</v>
      </c>
      <c r="G44" s="96">
        <v>87.75</v>
      </c>
      <c r="H44" s="96">
        <v>172.541</v>
      </c>
      <c r="I44" s="96">
        <v>153.714</v>
      </c>
      <c r="J44" s="96">
        <v>163.92500000000001</v>
      </c>
      <c r="K44" s="96">
        <v>301.20500000000061</v>
      </c>
      <c r="L44" s="96">
        <v>366875.88500000001</v>
      </c>
      <c r="M44" s="96">
        <v>368075.98</v>
      </c>
    </row>
    <row r="45" spans="2:13" x14ac:dyDescent="0.25">
      <c r="B45" s="294" t="s">
        <v>432</v>
      </c>
      <c r="C45" s="96">
        <v>1298947.7689999999</v>
      </c>
      <c r="D45" s="96">
        <v>678130.07000000007</v>
      </c>
      <c r="E45" s="96">
        <v>586625.929</v>
      </c>
      <c r="F45" s="96">
        <v>982895.70299999998</v>
      </c>
      <c r="G45" s="96">
        <v>1383248.3530000001</v>
      </c>
      <c r="H45" s="96">
        <v>1526566.7379999999</v>
      </c>
      <c r="I45" s="96">
        <v>1287186.385</v>
      </c>
      <c r="J45" s="96">
        <v>470988.766</v>
      </c>
      <c r="K45" s="96">
        <v>706221.15</v>
      </c>
      <c r="L45" s="96">
        <v>739267.93500000006</v>
      </c>
      <c r="M45" s="96">
        <v>9660078.7980000004</v>
      </c>
    </row>
    <row r="46" spans="2:13" x14ac:dyDescent="0.25">
      <c r="B46" s="294" t="s">
        <v>430</v>
      </c>
      <c r="C46" s="96">
        <v>125148.26700000001</v>
      </c>
      <c r="D46" s="96">
        <v>144952.33600000001</v>
      </c>
      <c r="E46" s="96">
        <v>140715.834</v>
      </c>
      <c r="F46" s="96">
        <v>130777.45999999999</v>
      </c>
      <c r="G46" s="96">
        <v>138148.288</v>
      </c>
      <c r="H46" s="96">
        <v>119689.95300000001</v>
      </c>
      <c r="I46" s="96">
        <v>131270.478</v>
      </c>
      <c r="J46" s="96">
        <v>123368.399</v>
      </c>
      <c r="K46" s="96">
        <v>300885.63700000005</v>
      </c>
      <c r="L46" s="96">
        <v>567961.87</v>
      </c>
      <c r="M46" s="96">
        <v>1922918.5220000003</v>
      </c>
    </row>
    <row r="47" spans="2:13" x14ac:dyDescent="0.25">
      <c r="B47" s="122" t="s">
        <v>473</v>
      </c>
      <c r="C47" s="96">
        <v>7277950.4249999989</v>
      </c>
      <c r="D47" s="96">
        <v>5673077.977</v>
      </c>
      <c r="E47" s="96">
        <v>6179576.1970000006</v>
      </c>
      <c r="F47" s="96">
        <v>3446198.602</v>
      </c>
      <c r="G47" s="96">
        <v>3547857.8350000004</v>
      </c>
      <c r="H47" s="96">
        <v>4630460.3780000005</v>
      </c>
      <c r="I47" s="96">
        <v>3726897.3210000005</v>
      </c>
      <c r="J47" s="96">
        <v>2278882.9660000005</v>
      </c>
      <c r="K47" s="96">
        <v>2182677.5130000003</v>
      </c>
      <c r="L47" s="96">
        <v>1123056.8739999998</v>
      </c>
      <c r="M47" s="96">
        <v>40066636.088</v>
      </c>
    </row>
    <row r="48" spans="2:13" x14ac:dyDescent="0.25">
      <c r="B48" s="294" t="s">
        <v>432</v>
      </c>
      <c r="C48" s="96">
        <v>7277950.4249999989</v>
      </c>
      <c r="D48" s="96">
        <v>5673077.977</v>
      </c>
      <c r="E48" s="96">
        <v>6179576.1970000006</v>
      </c>
      <c r="F48" s="96">
        <v>3446198.602</v>
      </c>
      <c r="G48" s="96">
        <v>3547857.8350000004</v>
      </c>
      <c r="H48" s="96">
        <v>4630460.3780000005</v>
      </c>
      <c r="I48" s="96">
        <v>3726897.3210000005</v>
      </c>
      <c r="J48" s="96">
        <v>2278882.9660000005</v>
      </c>
      <c r="K48" s="96">
        <v>2182677.5130000003</v>
      </c>
      <c r="L48" s="96">
        <v>1123056.8739999998</v>
      </c>
      <c r="M48" s="96">
        <v>40066636.088</v>
      </c>
    </row>
    <row r="49" spans="2:13" x14ac:dyDescent="0.25">
      <c r="B49" s="122" t="s">
        <v>464</v>
      </c>
      <c r="C49" s="96">
        <v>8999413.1689999998</v>
      </c>
      <c r="D49" s="96">
        <v>12421625.878999999</v>
      </c>
      <c r="E49" s="96">
        <v>11640504.429</v>
      </c>
      <c r="F49" s="96">
        <v>12747014.120999999</v>
      </c>
      <c r="G49" s="96">
        <v>11577607.664000001</v>
      </c>
      <c r="H49" s="96">
        <v>10927610.038999999</v>
      </c>
      <c r="I49" s="96">
        <v>11176752.785999998</v>
      </c>
      <c r="J49" s="96">
        <v>13430784.139499998</v>
      </c>
      <c r="K49" s="96">
        <v>11805023.059599997</v>
      </c>
      <c r="L49" s="96">
        <v>13046339.154800003</v>
      </c>
      <c r="M49" s="96">
        <v>117772674.4409</v>
      </c>
    </row>
    <row r="50" spans="2:13" x14ac:dyDescent="0.25">
      <c r="B50" s="294" t="s">
        <v>427</v>
      </c>
      <c r="C50" s="96">
        <v>3809524.0120000001</v>
      </c>
      <c r="D50" s="96">
        <v>4346208</v>
      </c>
      <c r="E50" s="96">
        <v>4509567</v>
      </c>
      <c r="F50" s="96">
        <v>4495032</v>
      </c>
      <c r="G50" s="96">
        <v>4529179</v>
      </c>
      <c r="H50" s="96">
        <v>4463705</v>
      </c>
      <c r="I50" s="96">
        <v>4084896</v>
      </c>
      <c r="J50" s="96">
        <v>4251239</v>
      </c>
      <c r="K50" s="96">
        <v>2102338</v>
      </c>
      <c r="L50" s="96">
        <v>2576702</v>
      </c>
      <c r="M50" s="96">
        <v>39168390.012000002</v>
      </c>
    </row>
    <row r="51" spans="2:13" x14ac:dyDescent="0.25">
      <c r="B51" s="294" t="s">
        <v>428</v>
      </c>
      <c r="C51" s="96">
        <v>298.26</v>
      </c>
      <c r="D51" s="96">
        <v>48.722000000000001</v>
      </c>
      <c r="E51" s="96">
        <v>357.8</v>
      </c>
      <c r="F51" s="96">
        <v>293.68</v>
      </c>
      <c r="G51" s="96">
        <v>196.41</v>
      </c>
      <c r="H51" s="96">
        <v>395.71</v>
      </c>
      <c r="I51" s="96">
        <v>70.89</v>
      </c>
      <c r="J51" s="96">
        <v>185.52</v>
      </c>
      <c r="K51" s="96">
        <v>533.92999999999995</v>
      </c>
      <c r="L51" s="96">
        <v>526.70000000000005</v>
      </c>
      <c r="M51" s="96">
        <v>2907.6220000000003</v>
      </c>
    </row>
    <row r="52" spans="2:13" x14ac:dyDescent="0.25">
      <c r="B52" s="294" t="s">
        <v>429</v>
      </c>
      <c r="C52" s="96">
        <v>2620038.1639999999</v>
      </c>
      <c r="D52" s="96">
        <v>5355199.6629999997</v>
      </c>
      <c r="E52" s="96">
        <v>4154625.34</v>
      </c>
      <c r="F52" s="96">
        <v>5830023.9449999994</v>
      </c>
      <c r="G52" s="96">
        <v>4152008.3859999999</v>
      </c>
      <c r="H52" s="96">
        <v>3923897.7080000001</v>
      </c>
      <c r="I52" s="96">
        <v>4244867.5769999996</v>
      </c>
      <c r="J52" s="96">
        <v>6799143.6274999995</v>
      </c>
      <c r="K52" s="96">
        <v>6506217.9315999988</v>
      </c>
      <c r="L52" s="96">
        <v>7437504.7548000021</v>
      </c>
      <c r="M52" s="96">
        <v>51023527.096899994</v>
      </c>
    </row>
    <row r="53" spans="2:13" x14ac:dyDescent="0.25">
      <c r="B53" s="294" t="s">
        <v>426</v>
      </c>
      <c r="C53" s="96">
        <v>746739.66399999999</v>
      </c>
      <c r="D53" s="96">
        <v>837569.30199999991</v>
      </c>
      <c r="E53" s="96">
        <v>1000200.655</v>
      </c>
      <c r="F53" s="96">
        <v>706231.30799999996</v>
      </c>
      <c r="G53" s="96">
        <v>933521.74</v>
      </c>
      <c r="H53" s="96">
        <v>864821.27</v>
      </c>
      <c r="I53" s="96">
        <v>914540.37999999989</v>
      </c>
      <c r="J53" s="96">
        <v>712727.2</v>
      </c>
      <c r="K53" s="96">
        <v>980194.15500000003</v>
      </c>
      <c r="L53" s="96">
        <v>957818.46</v>
      </c>
      <c r="M53" s="96">
        <v>8654364.1340000015</v>
      </c>
    </row>
    <row r="54" spans="2:13" x14ac:dyDescent="0.25">
      <c r="B54" s="294" t="s">
        <v>430</v>
      </c>
      <c r="C54" s="96">
        <v>1822813.0690000001</v>
      </c>
      <c r="D54" s="96">
        <v>1882600.192</v>
      </c>
      <c r="E54" s="96">
        <v>1975753.6340000001</v>
      </c>
      <c r="F54" s="96">
        <v>1715433.1880000001</v>
      </c>
      <c r="G54" s="96">
        <v>1962702.128</v>
      </c>
      <c r="H54" s="96">
        <v>1674790.3510000003</v>
      </c>
      <c r="I54" s="96">
        <v>1932377.9389999998</v>
      </c>
      <c r="J54" s="96">
        <v>1667488.7919999999</v>
      </c>
      <c r="K54" s="96">
        <v>2215739.0430000001</v>
      </c>
      <c r="L54" s="96">
        <v>2073787.24</v>
      </c>
      <c r="M54" s="96">
        <v>18923485.575999998</v>
      </c>
    </row>
    <row r="55" spans="2:13" x14ac:dyDescent="0.25">
      <c r="B55" s="122" t="s">
        <v>467</v>
      </c>
      <c r="C55" s="96">
        <v>21966634.579000004</v>
      </c>
      <c r="D55" s="96">
        <v>22598978.495999999</v>
      </c>
      <c r="E55" s="96">
        <v>22267337.589000002</v>
      </c>
      <c r="F55" s="96">
        <v>22028594.982999999</v>
      </c>
      <c r="G55" s="96">
        <v>22002861.359999996</v>
      </c>
      <c r="H55" s="96">
        <v>22994735.286000002</v>
      </c>
      <c r="I55" s="96">
        <v>22226197.284999996</v>
      </c>
      <c r="J55" s="96">
        <v>22307029.588499997</v>
      </c>
      <c r="K55" s="96">
        <v>21909720.388600003</v>
      </c>
      <c r="L55" s="96">
        <v>22366052.381800003</v>
      </c>
      <c r="M55" s="96">
        <v>222668141.93689999</v>
      </c>
    </row>
    <row r="56" spans="2:13" x14ac:dyDescent="0.25">
      <c r="B56"/>
      <c r="C56"/>
      <c r="D56"/>
      <c r="E56"/>
      <c r="F56"/>
      <c r="G56"/>
      <c r="H56"/>
      <c r="I56"/>
      <c r="J56"/>
      <c r="K56"/>
      <c r="L56"/>
      <c r="M56"/>
    </row>
    <row r="57" spans="2:13" x14ac:dyDescent="0.25">
      <c r="B57"/>
      <c r="C57"/>
      <c r="D57"/>
      <c r="E57"/>
      <c r="F57"/>
      <c r="G57"/>
      <c r="H57"/>
      <c r="I57"/>
      <c r="J57"/>
      <c r="K57"/>
      <c r="L57"/>
      <c r="M57"/>
    </row>
    <row r="60" spans="2:13" x14ac:dyDescent="0.25">
      <c r="B60" s="318" t="s">
        <v>644</v>
      </c>
      <c r="C60" s="184">
        <f>GETPIVOTDATA("WA MWh",$B$36,"Year",2012,"Type","Firm","Fuel","System")</f>
        <v>1298947.7689999999</v>
      </c>
      <c r="D60" s="184">
        <f>GETPIVOTDATA("WA MWh",$B$36,"Year",2013,"Type","Firm","Fuel","System")</f>
        <v>678130.07000000007</v>
      </c>
      <c r="E60" s="184">
        <f>GETPIVOTDATA("WA MWh",$B$36,"Year",2014,"Type","Firm","Fuel","System")</f>
        <v>586625.929</v>
      </c>
      <c r="F60" s="184">
        <f>GETPIVOTDATA("WA MWh",$B$36,"Year",2015,"Type","Firm","Fuel","System")</f>
        <v>982895.70299999998</v>
      </c>
      <c r="G60" s="184">
        <f>GETPIVOTDATA("WA MWh",$B$36,"Year",2016,"Type","Firm","Fuel","System")</f>
        <v>1383248.3530000001</v>
      </c>
      <c r="H60" s="184">
        <f>GETPIVOTDATA("WA MWh",$B$36,"Year",2017,"Type","Firm","Fuel","System")</f>
        <v>1526566.7379999999</v>
      </c>
      <c r="I60" s="184">
        <f>GETPIVOTDATA("WA MWh",$B$36,"Year",2018,"Type","Firm","Fuel","System")</f>
        <v>1287186.385</v>
      </c>
      <c r="J60" s="184">
        <f>GETPIVOTDATA("WA MWh",$B$36,"Year",2019,"Type","Firm","Fuel","System")</f>
        <v>470988.766</v>
      </c>
      <c r="K60" s="184">
        <f>GETPIVOTDATA("WA MWh",$B$36,"Year",2020,"Type","Firm","Fuel","System")</f>
        <v>706221.15</v>
      </c>
      <c r="L60" s="184">
        <f>GETPIVOTDATA("WA MWh",$B$36,"Year",2021,"Type","Firm","Fuel","System")</f>
        <v>739267.93500000006</v>
      </c>
    </row>
    <row r="61" spans="2:13" x14ac:dyDescent="0.25">
      <c r="B61" s="318" t="s">
        <v>645</v>
      </c>
      <c r="C61" s="184">
        <f>GETPIVOTDATA("WA MWh",$B$36,"Year",2012,"Type","Non-Firm")</f>
        <v>7277950.4249999989</v>
      </c>
      <c r="D61" s="184">
        <f>GETPIVOTDATA("WA MWh",$B$36,"Year",2013,"Type","Non-Firm")</f>
        <v>5673077.977</v>
      </c>
      <c r="E61" s="184">
        <f>GETPIVOTDATA("WA MWh",$B$36,"Year",2014,"Type","Non-Firm")</f>
        <v>6179576.1970000006</v>
      </c>
      <c r="F61" s="184">
        <f>GETPIVOTDATA("WA MWh",$B$36,"Year",2015,"Type","Non-Firm")</f>
        <v>3446198.602</v>
      </c>
      <c r="G61" s="184">
        <f>GETPIVOTDATA("WA MWh",$B$36,"Year",2016,"Type","Non-Firm")</f>
        <v>3547857.8350000004</v>
      </c>
      <c r="H61" s="184">
        <f>GETPIVOTDATA("WA MWh",$B$36,"Year",2017,"Type","Non-Firm")</f>
        <v>4630460.3780000005</v>
      </c>
      <c r="I61" s="184">
        <f>GETPIVOTDATA("WA MWh",$B$36,"Year",2018,"Type","Non-Firm")</f>
        <v>3726897.3210000005</v>
      </c>
      <c r="J61" s="184">
        <f>GETPIVOTDATA("WA MWh",$B$36,"Year",2019,"Type","Non-Firm")</f>
        <v>2278882.9660000005</v>
      </c>
      <c r="K61" s="184">
        <f>GETPIVOTDATA("WA MWh",$B$36,"Year",2020,"Type","Non-Firm")</f>
        <v>2182677.5130000003</v>
      </c>
      <c r="L61" s="184">
        <f>GETPIVOTDATA("WA MWh",$B$36,"Year",2021,"Type","Non-Firm")</f>
        <v>1123056.8739999998</v>
      </c>
    </row>
    <row r="62" spans="2:13" x14ac:dyDescent="0.25">
      <c r="B62" s="318"/>
      <c r="C62" s="184"/>
      <c r="D62" s="184"/>
      <c r="E62" s="184"/>
      <c r="F62" s="184"/>
      <c r="G62" s="184"/>
      <c r="H62" s="184"/>
      <c r="I62" s="184"/>
      <c r="J62" s="184"/>
      <c r="K62" s="184"/>
      <c r="L62" s="184"/>
    </row>
    <row r="63" spans="2:13" x14ac:dyDescent="0.25">
      <c r="B63" s="318"/>
      <c r="C63" s="184"/>
      <c r="D63" s="184"/>
      <c r="E63" s="184"/>
      <c r="F63" s="184"/>
      <c r="G63" s="184"/>
      <c r="H63" s="184"/>
      <c r="I63" s="184"/>
      <c r="J63" s="184"/>
      <c r="K63" s="184"/>
      <c r="L63" s="184"/>
    </row>
    <row r="64" spans="2:13" x14ac:dyDescent="0.25">
      <c r="B64" s="318"/>
      <c r="C64" s="184"/>
      <c r="D64" s="184"/>
      <c r="E64" s="184"/>
      <c r="F64" s="184"/>
      <c r="G64" s="184"/>
      <c r="H64" s="184"/>
      <c r="I64" s="184"/>
      <c r="J64" s="184"/>
      <c r="K64" s="184"/>
      <c r="L64" s="184"/>
    </row>
    <row r="66" spans="2:2" x14ac:dyDescent="0.25">
      <c r="B66" s="604"/>
    </row>
    <row r="67" spans="2:2" x14ac:dyDescent="0.25">
      <c r="B67" s="604"/>
    </row>
  </sheetData>
  <pageMargins left="0.7" right="0.7" top="0.75" bottom="0.75" header="0.3" footer="0.3"/>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61"/>
  <sheetViews>
    <sheetView showGridLines="0" topLeftCell="A49" workbookViewId="0">
      <selection activeCell="D81" sqref="D81"/>
    </sheetView>
  </sheetViews>
  <sheetFormatPr defaultColWidth="9.140625" defaultRowHeight="15" x14ac:dyDescent="0.25"/>
  <cols>
    <col min="1" max="1" width="46.140625" style="131" customWidth="1"/>
    <col min="2" max="2" width="13.7109375" style="131" customWidth="1"/>
    <col min="3" max="3" width="12.5703125" style="131" customWidth="1"/>
    <col min="4" max="4" width="13.5703125" style="131" customWidth="1"/>
    <col min="5" max="5" width="9.140625" style="131"/>
    <col min="6" max="7" width="21.85546875" style="131" customWidth="1"/>
    <col min="8" max="8" width="12.28515625" style="136" customWidth="1"/>
    <col min="9" max="9" width="16.7109375" style="131" customWidth="1"/>
    <col min="10" max="10" width="9.140625" style="131"/>
    <col min="11" max="13" width="9.140625" style="181"/>
    <col min="14" max="14" width="11.140625" style="406" customWidth="1"/>
    <col min="15" max="15" width="15.7109375" style="181" customWidth="1"/>
    <col min="16" max="17" width="15.7109375" style="406" customWidth="1"/>
    <col min="18" max="18" width="22.7109375" style="406" customWidth="1"/>
    <col min="19" max="19" width="15.7109375" style="406" customWidth="1"/>
    <col min="20" max="16384" width="9.140625" style="131"/>
  </cols>
  <sheetData>
    <row r="2" spans="1:19" ht="25.5" customHeight="1" x14ac:dyDescent="0.25">
      <c r="A2" s="145" t="s">
        <v>443</v>
      </c>
      <c r="B2" s="153"/>
      <c r="C2" s="134"/>
      <c r="D2" s="134"/>
      <c r="E2" s="134"/>
      <c r="F2" s="154" t="s">
        <v>2</v>
      </c>
      <c r="G2" s="134"/>
      <c r="H2" s="150">
        <f>'EFs &amp; Rates'!O5</f>
        <v>963.42025100000001</v>
      </c>
      <c r="I2" s="134" t="s">
        <v>6</v>
      </c>
    </row>
    <row r="3" spans="1:19" ht="26.25" customHeight="1" x14ac:dyDescent="0.25">
      <c r="A3" s="640" t="s">
        <v>0</v>
      </c>
      <c r="B3" s="642" t="s">
        <v>434</v>
      </c>
      <c r="C3" s="642" t="s">
        <v>435</v>
      </c>
      <c r="D3" s="642" t="s">
        <v>521</v>
      </c>
      <c r="E3" s="136"/>
      <c r="F3" s="142" t="s">
        <v>9</v>
      </c>
      <c r="G3" s="143">
        <v>2017</v>
      </c>
      <c r="H3" s="151"/>
    </row>
    <row r="4" spans="1:19" ht="26.25" customHeight="1" x14ac:dyDescent="0.25">
      <c r="A4" s="641"/>
      <c r="B4" s="643"/>
      <c r="C4" s="643"/>
      <c r="D4" s="643"/>
      <c r="E4" s="140"/>
      <c r="H4" s="152"/>
      <c r="K4" s="528" t="s">
        <v>598</v>
      </c>
      <c r="L4" s="528" t="s">
        <v>599</v>
      </c>
      <c r="M4" s="528" t="s">
        <v>424</v>
      </c>
      <c r="N4" s="526" t="s">
        <v>600</v>
      </c>
      <c r="O4" s="531" t="s">
        <v>418</v>
      </c>
      <c r="P4" s="527"/>
      <c r="Q4" s="529" t="s">
        <v>459</v>
      </c>
      <c r="R4" s="530"/>
      <c r="S4" s="530" t="s">
        <v>622</v>
      </c>
    </row>
    <row r="5" spans="1:19" ht="15" customHeight="1" x14ac:dyDescent="0.2">
      <c r="A5" s="133" t="str">
        <f>N5</f>
        <v>Avista Corp. WWP Division</v>
      </c>
      <c r="B5" s="137">
        <f>O5</f>
        <v>55523</v>
      </c>
      <c r="C5" s="148">
        <f>Q5</f>
        <v>963.42025100000001</v>
      </c>
      <c r="D5" s="149">
        <f>S5</f>
        <v>24263.550999999999</v>
      </c>
      <c r="H5" s="152"/>
      <c r="K5" s="181" t="s">
        <v>460</v>
      </c>
      <c r="L5" s="181" t="s">
        <v>601</v>
      </c>
      <c r="N5" s="406" t="s">
        <v>187</v>
      </c>
      <c r="O5" s="471">
        <v>55523</v>
      </c>
      <c r="P5" s="391"/>
      <c r="Q5" s="391">
        <f>IF(O5&gt;0,H$2,H$10)</f>
        <v>963.42025100000001</v>
      </c>
      <c r="R5" s="424"/>
      <c r="S5" s="391">
        <f>(O5*Q5)/2204.623</f>
        <v>24263.550999999999</v>
      </c>
    </row>
    <row r="6" spans="1:19" ht="15" customHeight="1" x14ac:dyDescent="0.2">
      <c r="A6" s="133" t="str">
        <f t="shared" ref="A6:A69" si="0">N6</f>
        <v>Avista Nichols Pump</v>
      </c>
      <c r="B6" s="137">
        <f t="shared" ref="B6:B69" si="1">O6</f>
        <v>21064.639999999999</v>
      </c>
      <c r="C6" s="148">
        <f t="shared" ref="C6:C69" si="2">Q6</f>
        <v>963.42025100000001</v>
      </c>
      <c r="D6" s="149">
        <f t="shared" ref="D6:D69" si="3">S6</f>
        <v>9205.2476800000004</v>
      </c>
      <c r="H6" s="152"/>
      <c r="K6" s="181" t="s">
        <v>460</v>
      </c>
      <c r="L6" s="181" t="s">
        <v>601</v>
      </c>
      <c r="N6" s="406" t="s">
        <v>171</v>
      </c>
      <c r="O6" s="471">
        <v>21064.639999999999</v>
      </c>
      <c r="P6" s="391"/>
      <c r="Q6" s="391">
        <f t="shared" ref="Q6:Q69" si="4">IF(O6&gt;0,H$2,H$10)</f>
        <v>963.42025100000001</v>
      </c>
      <c r="R6" s="424"/>
      <c r="S6" s="391">
        <f t="shared" ref="S6:S69" si="5">(O6*Q6)/2204.623</f>
        <v>9205.2476800000004</v>
      </c>
    </row>
    <row r="7" spans="1:19" ht="15" customHeight="1" x14ac:dyDescent="0.2">
      <c r="A7" s="133" t="str">
        <f t="shared" si="0"/>
        <v>Black Hills Power</v>
      </c>
      <c r="B7" s="137">
        <f t="shared" si="1"/>
        <v>-2600</v>
      </c>
      <c r="C7" s="148">
        <f t="shared" si="2"/>
        <v>1099.2838472277174</v>
      </c>
      <c r="D7" s="149">
        <f t="shared" si="3"/>
        <v>-1296.4293681015145</v>
      </c>
      <c r="E7" s="136"/>
      <c r="H7" s="152"/>
      <c r="K7" s="181" t="s">
        <v>460</v>
      </c>
      <c r="L7" s="181" t="s">
        <v>601</v>
      </c>
      <c r="N7" s="406" t="s">
        <v>189</v>
      </c>
      <c r="O7" s="471">
        <v>-2600</v>
      </c>
      <c r="P7" s="391"/>
      <c r="Q7" s="391">
        <f t="shared" si="4"/>
        <v>1099.2838472277174</v>
      </c>
      <c r="R7" s="424"/>
      <c r="S7" s="391">
        <f t="shared" si="5"/>
        <v>-1296.4293681015145</v>
      </c>
    </row>
    <row r="8" spans="1:19" ht="15" customHeight="1" x14ac:dyDescent="0.2">
      <c r="A8" s="133"/>
      <c r="B8" s="137"/>
      <c r="C8" s="148"/>
      <c r="D8" s="149"/>
      <c r="E8" s="140"/>
      <c r="G8" s="135" t="s">
        <v>437</v>
      </c>
      <c r="H8" s="150">
        <f>'2017 Known'!B59</f>
        <v>18364274.908000004</v>
      </c>
      <c r="I8" s="131" t="s">
        <v>418</v>
      </c>
      <c r="K8" s="181" t="s">
        <v>460</v>
      </c>
      <c r="L8" s="181" t="s">
        <v>601</v>
      </c>
      <c r="N8" s="524" t="s">
        <v>191</v>
      </c>
      <c r="O8" s="471">
        <v>184</v>
      </c>
      <c r="P8" s="391"/>
      <c r="Q8" s="391">
        <f t="shared" si="4"/>
        <v>963.42025100000001</v>
      </c>
      <c r="R8" s="424"/>
      <c r="S8" s="391">
        <f t="shared" si="5"/>
        <v>80.408000000000001</v>
      </c>
    </row>
    <row r="9" spans="1:19" ht="15" customHeight="1" x14ac:dyDescent="0.2">
      <c r="A9" s="133" t="str">
        <f t="shared" si="0"/>
        <v>BP Energy Co.</v>
      </c>
      <c r="B9" s="137">
        <f t="shared" si="1"/>
        <v>217861</v>
      </c>
      <c r="C9" s="148">
        <f t="shared" si="2"/>
        <v>963.42025100000001</v>
      </c>
      <c r="D9" s="149">
        <f t="shared" si="3"/>
        <v>95205.256999999998</v>
      </c>
      <c r="F9" s="132"/>
      <c r="G9" s="135" t="s">
        <v>438</v>
      </c>
      <c r="H9" s="150">
        <f>'2017 Known'!C59</f>
        <v>9156917.4287003633</v>
      </c>
      <c r="I9" s="131" t="s">
        <v>520</v>
      </c>
      <c r="K9" s="181" t="s">
        <v>460</v>
      </c>
      <c r="L9" s="181" t="s">
        <v>601</v>
      </c>
      <c r="N9" s="406" t="s">
        <v>192</v>
      </c>
      <c r="O9" s="471">
        <v>217861</v>
      </c>
      <c r="P9" s="391"/>
      <c r="Q9" s="391">
        <f t="shared" si="4"/>
        <v>963.42025100000001</v>
      </c>
      <c r="R9" s="424"/>
      <c r="S9" s="391">
        <f t="shared" si="5"/>
        <v>95205.256999999998</v>
      </c>
    </row>
    <row r="10" spans="1:19" ht="15" customHeight="1" x14ac:dyDescent="0.2">
      <c r="A10" s="133" t="str">
        <f t="shared" si="0"/>
        <v>BPA</v>
      </c>
      <c r="B10" s="137">
        <f t="shared" si="1"/>
        <v>98054</v>
      </c>
      <c r="C10" s="148">
        <f t="shared" si="2"/>
        <v>963.42025100000001</v>
      </c>
      <c r="D10" s="149">
        <f t="shared" si="3"/>
        <v>42849.597999999998</v>
      </c>
      <c r="G10" s="135" t="s">
        <v>439</v>
      </c>
      <c r="H10" s="137">
        <f>(H9*2204.623)/H8</f>
        <v>1099.2838472277174</v>
      </c>
      <c r="I10" s="131" t="s">
        <v>6</v>
      </c>
      <c r="K10" s="181" t="s">
        <v>460</v>
      </c>
      <c r="L10" s="181" t="s">
        <v>601</v>
      </c>
      <c r="N10" s="406" t="s">
        <v>173</v>
      </c>
      <c r="O10" s="471">
        <v>98054</v>
      </c>
      <c r="P10" s="391"/>
      <c r="Q10" s="391">
        <f t="shared" si="4"/>
        <v>963.42025100000001</v>
      </c>
      <c r="R10" s="424"/>
      <c r="S10" s="391">
        <f t="shared" si="5"/>
        <v>42849.597999999998</v>
      </c>
    </row>
    <row r="11" spans="1:19" ht="15" customHeight="1" x14ac:dyDescent="0.2">
      <c r="A11" s="133" t="str">
        <f t="shared" si="0"/>
        <v>BPA - NWPP Reserve Sharing Energy</v>
      </c>
      <c r="B11" s="137">
        <f t="shared" si="1"/>
        <v>159</v>
      </c>
      <c r="C11" s="148">
        <f t="shared" si="2"/>
        <v>963.42025100000001</v>
      </c>
      <c r="D11" s="149">
        <f t="shared" si="3"/>
        <v>69.483000000000004</v>
      </c>
      <c r="F11" s="142" t="s">
        <v>9</v>
      </c>
      <c r="G11" s="143">
        <v>2017</v>
      </c>
      <c r="H11" s="151"/>
      <c r="K11" s="181" t="s">
        <v>460</v>
      </c>
      <c r="L11" s="181" t="s">
        <v>601</v>
      </c>
      <c r="N11" s="406" t="s">
        <v>342</v>
      </c>
      <c r="O11" s="471">
        <v>159</v>
      </c>
      <c r="P11" s="391"/>
      <c r="Q11" s="391">
        <f t="shared" si="4"/>
        <v>963.42025100000001</v>
      </c>
      <c r="R11" s="424"/>
      <c r="S11" s="391">
        <f t="shared" si="5"/>
        <v>69.483000000000004</v>
      </c>
    </row>
    <row r="12" spans="1:19" ht="15" customHeight="1" x14ac:dyDescent="0.2">
      <c r="A12" s="133" t="str">
        <f t="shared" si="0"/>
        <v>British Columbia Transmission Corp</v>
      </c>
      <c r="B12" s="137">
        <f t="shared" si="1"/>
        <v>409</v>
      </c>
      <c r="C12" s="148">
        <f t="shared" si="2"/>
        <v>963.42025100000001</v>
      </c>
      <c r="D12" s="149">
        <f t="shared" si="3"/>
        <v>178.733</v>
      </c>
      <c r="K12" s="181" t="s">
        <v>460</v>
      </c>
      <c r="L12" s="181" t="s">
        <v>601</v>
      </c>
      <c r="N12" s="406" t="s">
        <v>193</v>
      </c>
      <c r="O12" s="471">
        <v>409</v>
      </c>
      <c r="P12" s="391"/>
      <c r="Q12" s="391">
        <f t="shared" si="4"/>
        <v>963.42025100000001</v>
      </c>
      <c r="R12" s="424"/>
      <c r="S12" s="391">
        <f t="shared" si="5"/>
        <v>178.733</v>
      </c>
    </row>
    <row r="13" spans="1:19" x14ac:dyDescent="0.2">
      <c r="A13" s="133" t="str">
        <f t="shared" si="0"/>
        <v>California ISO</v>
      </c>
      <c r="B13" s="137">
        <f t="shared" si="1"/>
        <v>23659</v>
      </c>
      <c r="C13" s="148">
        <f t="shared" si="2"/>
        <v>963.42025100000001</v>
      </c>
      <c r="D13" s="149">
        <f t="shared" si="3"/>
        <v>10338.983</v>
      </c>
      <c r="K13" s="181" t="s">
        <v>460</v>
      </c>
      <c r="L13" s="181" t="s">
        <v>601</v>
      </c>
      <c r="N13" s="406" t="s">
        <v>197</v>
      </c>
      <c r="O13" s="471">
        <v>23659</v>
      </c>
      <c r="P13" s="391"/>
      <c r="Q13" s="391">
        <f t="shared" si="4"/>
        <v>963.42025100000001</v>
      </c>
      <c r="R13" s="424"/>
      <c r="S13" s="391">
        <f t="shared" si="5"/>
        <v>10338.983</v>
      </c>
    </row>
    <row r="14" spans="1:19" x14ac:dyDescent="0.2">
      <c r="A14" s="133" t="str">
        <f t="shared" si="0"/>
        <v>Calpine Energy Services</v>
      </c>
      <c r="B14" s="137">
        <f t="shared" si="1"/>
        <v>-252611</v>
      </c>
      <c r="C14" s="148">
        <f t="shared" si="2"/>
        <v>1099.2838472277174</v>
      </c>
      <c r="D14" s="149">
        <f t="shared" si="3"/>
        <v>-125958.58427134296</v>
      </c>
      <c r="K14" s="181" t="s">
        <v>460</v>
      </c>
      <c r="L14" s="181" t="s">
        <v>601</v>
      </c>
      <c r="N14" s="406" t="s">
        <v>198</v>
      </c>
      <c r="O14" s="471">
        <v>-252611</v>
      </c>
      <c r="P14" s="391"/>
      <c r="Q14" s="391">
        <f t="shared" si="4"/>
        <v>1099.2838472277174</v>
      </c>
      <c r="R14" s="424"/>
      <c r="S14" s="391">
        <f t="shared" si="5"/>
        <v>-125958.58427134296</v>
      </c>
    </row>
    <row r="15" spans="1:19" x14ac:dyDescent="0.2">
      <c r="A15" s="133" t="str">
        <f t="shared" si="0"/>
        <v>Cargill Power Markets</v>
      </c>
      <c r="B15" s="137">
        <f t="shared" si="1"/>
        <v>157955</v>
      </c>
      <c r="C15" s="148">
        <f t="shared" si="2"/>
        <v>963.42025100000001</v>
      </c>
      <c r="D15" s="149">
        <f t="shared" si="3"/>
        <v>69026.334999999992</v>
      </c>
      <c r="K15" s="181" t="s">
        <v>460</v>
      </c>
      <c r="L15" s="181" t="s">
        <v>601</v>
      </c>
      <c r="N15" s="406" t="s">
        <v>174</v>
      </c>
      <c r="O15" s="471">
        <v>157955</v>
      </c>
      <c r="P15" s="391"/>
      <c r="Q15" s="391">
        <f t="shared" si="4"/>
        <v>963.42025100000001</v>
      </c>
      <c r="R15" s="424"/>
      <c r="S15" s="391">
        <f t="shared" si="5"/>
        <v>69026.334999999992</v>
      </c>
    </row>
    <row r="16" spans="1:19" x14ac:dyDescent="0.2">
      <c r="A16" s="133" t="str">
        <f t="shared" si="0"/>
        <v>Chelan County PUD #1</v>
      </c>
      <c r="B16" s="137">
        <f t="shared" si="1"/>
        <v>-52667</v>
      </c>
      <c r="C16" s="148">
        <f t="shared" si="2"/>
        <v>1099.2838472277174</v>
      </c>
      <c r="D16" s="149">
        <f t="shared" si="3"/>
        <v>-26261.171357616331</v>
      </c>
      <c r="H16" s="131"/>
      <c r="K16" s="181" t="s">
        <v>460</v>
      </c>
      <c r="L16" s="181" t="s">
        <v>601</v>
      </c>
      <c r="N16" s="406" t="s">
        <v>199</v>
      </c>
      <c r="O16" s="471">
        <v>-52667</v>
      </c>
      <c r="P16" s="391"/>
      <c r="Q16" s="391">
        <f t="shared" si="4"/>
        <v>1099.2838472277174</v>
      </c>
      <c r="R16" s="424"/>
      <c r="S16" s="391">
        <f t="shared" si="5"/>
        <v>-26261.171357616331</v>
      </c>
    </row>
    <row r="17" spans="1:19" x14ac:dyDescent="0.2">
      <c r="A17" s="133" t="str">
        <f t="shared" si="0"/>
        <v>Citigroup Energy Inc</v>
      </c>
      <c r="B17" s="137">
        <f t="shared" si="1"/>
        <v>312832</v>
      </c>
      <c r="C17" s="148">
        <f t="shared" si="2"/>
        <v>963.42025100000001</v>
      </c>
      <c r="D17" s="149">
        <f t="shared" si="3"/>
        <v>136707.584</v>
      </c>
      <c r="H17" s="131"/>
      <c r="K17" s="181" t="s">
        <v>460</v>
      </c>
      <c r="L17" s="181" t="s">
        <v>601</v>
      </c>
      <c r="N17" s="406" t="s">
        <v>185</v>
      </c>
      <c r="O17" s="471">
        <v>312832</v>
      </c>
      <c r="P17" s="391"/>
      <c r="Q17" s="391">
        <f t="shared" si="4"/>
        <v>963.42025100000001</v>
      </c>
      <c r="R17" s="424"/>
      <c r="S17" s="391">
        <f t="shared" si="5"/>
        <v>136707.584</v>
      </c>
    </row>
    <row r="18" spans="1:19" x14ac:dyDescent="0.2">
      <c r="A18" s="133" t="str">
        <f t="shared" si="0"/>
        <v>Clark Public Utilities</v>
      </c>
      <c r="B18" s="137">
        <f t="shared" si="1"/>
        <v>-2830</v>
      </c>
      <c r="C18" s="148">
        <f t="shared" si="2"/>
        <v>1099.2838472277174</v>
      </c>
      <c r="D18" s="149">
        <f t="shared" si="3"/>
        <v>-1411.1135045104947</v>
      </c>
      <c r="H18" s="131"/>
      <c r="K18" s="181" t="s">
        <v>460</v>
      </c>
      <c r="L18" s="181" t="s">
        <v>601</v>
      </c>
      <c r="N18" s="406" t="s">
        <v>201</v>
      </c>
      <c r="O18" s="471">
        <v>-2830</v>
      </c>
      <c r="P18" s="391"/>
      <c r="Q18" s="391">
        <f t="shared" si="4"/>
        <v>1099.2838472277174</v>
      </c>
      <c r="R18" s="424"/>
      <c r="S18" s="391">
        <f t="shared" si="5"/>
        <v>-1411.1135045104947</v>
      </c>
    </row>
    <row r="19" spans="1:19" x14ac:dyDescent="0.2">
      <c r="A19" s="133" t="str">
        <f t="shared" si="0"/>
        <v>Clatskanie PUD</v>
      </c>
      <c r="B19" s="137">
        <f t="shared" si="1"/>
        <v>-7310</v>
      </c>
      <c r="C19" s="148">
        <f t="shared" si="2"/>
        <v>1099.2838472277174</v>
      </c>
      <c r="D19" s="149">
        <f t="shared" si="3"/>
        <v>-3644.9610310854118</v>
      </c>
      <c r="E19" s="173"/>
      <c r="H19" s="131"/>
      <c r="K19" s="181" t="s">
        <v>460</v>
      </c>
      <c r="L19" s="181" t="s">
        <v>601</v>
      </c>
      <c r="N19" s="406" t="s">
        <v>202</v>
      </c>
      <c r="O19" s="471">
        <v>-7310</v>
      </c>
      <c r="P19" s="391"/>
      <c r="Q19" s="391">
        <f t="shared" si="4"/>
        <v>1099.2838472277174</v>
      </c>
      <c r="R19" s="424"/>
      <c r="S19" s="391">
        <f t="shared" si="5"/>
        <v>-3644.9610310854118</v>
      </c>
    </row>
    <row r="20" spans="1:19" x14ac:dyDescent="0.2">
      <c r="A20" s="133" t="str">
        <f t="shared" si="0"/>
        <v>Conoco, Inc.</v>
      </c>
      <c r="B20" s="137">
        <f t="shared" si="1"/>
        <v>-8000</v>
      </c>
      <c r="C20" s="148">
        <f t="shared" si="2"/>
        <v>1099.2838472277174</v>
      </c>
      <c r="D20" s="149">
        <f t="shared" si="3"/>
        <v>-3989.013440312352</v>
      </c>
      <c r="E20" s="173"/>
      <c r="H20" s="131"/>
      <c r="K20" s="181" t="s">
        <v>460</v>
      </c>
      <c r="L20" s="181" t="s">
        <v>601</v>
      </c>
      <c r="N20" s="406" t="s">
        <v>203</v>
      </c>
      <c r="O20" s="471">
        <v>-8000</v>
      </c>
      <c r="P20" s="391"/>
      <c r="Q20" s="391">
        <f t="shared" si="4"/>
        <v>1099.2838472277174</v>
      </c>
      <c r="R20" s="424"/>
      <c r="S20" s="391">
        <f t="shared" si="5"/>
        <v>-3989.013440312352</v>
      </c>
    </row>
    <row r="21" spans="1:19" x14ac:dyDescent="0.2">
      <c r="A21" s="133" t="str">
        <f t="shared" si="0"/>
        <v>Deviation</v>
      </c>
      <c r="B21" s="137">
        <f t="shared" si="1"/>
        <v>-25311.027999999998</v>
      </c>
      <c r="C21" s="148">
        <f t="shared" si="2"/>
        <v>1099.2838472277174</v>
      </c>
      <c r="D21" s="149">
        <f t="shared" si="3"/>
        <v>-12620.753860015284</v>
      </c>
      <c r="E21" s="173"/>
      <c r="H21" s="131"/>
      <c r="J21" s="525" t="s">
        <v>621</v>
      </c>
      <c r="K21" s="181" t="s">
        <v>460</v>
      </c>
      <c r="L21" s="181" t="s">
        <v>601</v>
      </c>
      <c r="N21" s="406" t="s">
        <v>176</v>
      </c>
      <c r="O21" s="471">
        <v>-25311.027999999998</v>
      </c>
      <c r="P21" s="391"/>
      <c r="Q21" s="391">
        <f t="shared" si="4"/>
        <v>1099.2838472277174</v>
      </c>
      <c r="R21" s="424"/>
      <c r="S21" s="391">
        <f t="shared" si="5"/>
        <v>-12620.753860015284</v>
      </c>
    </row>
    <row r="22" spans="1:19" x14ac:dyDescent="0.2">
      <c r="A22" s="133" t="str">
        <f t="shared" si="0"/>
        <v>Douglas County PUD #1</v>
      </c>
      <c r="B22" s="137">
        <f t="shared" si="1"/>
        <v>212117</v>
      </c>
      <c r="C22" s="148">
        <f t="shared" si="2"/>
        <v>963.42025100000001</v>
      </c>
      <c r="D22" s="149">
        <f t="shared" si="3"/>
        <v>92695.129000000001</v>
      </c>
      <c r="E22" s="173"/>
      <c r="H22" s="131"/>
      <c r="K22" s="181" t="s">
        <v>460</v>
      </c>
      <c r="L22" s="181" t="s">
        <v>601</v>
      </c>
      <c r="N22" s="406" t="s">
        <v>177</v>
      </c>
      <c r="O22" s="471">
        <v>212117</v>
      </c>
      <c r="P22" s="391"/>
      <c r="Q22" s="391">
        <f t="shared" si="4"/>
        <v>963.42025100000001</v>
      </c>
      <c r="R22" s="424"/>
      <c r="S22" s="391">
        <f t="shared" si="5"/>
        <v>92695.129000000001</v>
      </c>
    </row>
    <row r="23" spans="1:19" x14ac:dyDescent="0.2">
      <c r="A23" s="133" t="str">
        <f t="shared" si="0"/>
        <v>EDF Trading NA LLC</v>
      </c>
      <c r="B23" s="137">
        <f t="shared" si="1"/>
        <v>485184</v>
      </c>
      <c r="C23" s="148">
        <f t="shared" si="2"/>
        <v>963.42025100000001</v>
      </c>
      <c r="D23" s="149">
        <f t="shared" si="3"/>
        <v>212025.408</v>
      </c>
      <c r="E23" s="173"/>
      <c r="H23" s="131"/>
      <c r="K23" s="181" t="s">
        <v>460</v>
      </c>
      <c r="L23" s="181" t="s">
        <v>601</v>
      </c>
      <c r="N23" s="406" t="s">
        <v>208</v>
      </c>
      <c r="O23" s="471">
        <v>485184</v>
      </c>
      <c r="P23" s="391"/>
      <c r="Q23" s="391">
        <f t="shared" si="4"/>
        <v>963.42025100000001</v>
      </c>
      <c r="R23" s="424"/>
      <c r="S23" s="391">
        <f t="shared" si="5"/>
        <v>212025.408</v>
      </c>
    </row>
    <row r="24" spans="1:19" x14ac:dyDescent="0.2">
      <c r="A24" s="133" t="str">
        <f t="shared" si="0"/>
        <v>Energy Keepers Inc.</v>
      </c>
      <c r="B24" s="137">
        <f t="shared" si="1"/>
        <v>60</v>
      </c>
      <c r="C24" s="148">
        <f t="shared" si="2"/>
        <v>963.42025100000001</v>
      </c>
      <c r="D24" s="149">
        <f t="shared" si="3"/>
        <v>26.22</v>
      </c>
      <c r="E24" s="173"/>
      <c r="H24" s="131"/>
      <c r="K24" s="181" t="s">
        <v>460</v>
      </c>
      <c r="L24" s="181" t="s">
        <v>601</v>
      </c>
      <c r="N24" s="406" t="s">
        <v>397</v>
      </c>
      <c r="O24" s="471">
        <v>60</v>
      </c>
      <c r="P24" s="391"/>
      <c r="Q24" s="391">
        <f t="shared" si="4"/>
        <v>963.42025100000001</v>
      </c>
      <c r="R24" s="424"/>
      <c r="S24" s="391">
        <f t="shared" si="5"/>
        <v>26.22</v>
      </c>
    </row>
    <row r="25" spans="1:19" x14ac:dyDescent="0.2">
      <c r="A25" s="133" t="str">
        <f t="shared" si="0"/>
        <v>ENMAX Energy Marketing, Inc.</v>
      </c>
      <c r="B25" s="137">
        <f t="shared" si="1"/>
        <v>-296</v>
      </c>
      <c r="C25" s="148">
        <f t="shared" si="2"/>
        <v>1099.2838472277174</v>
      </c>
      <c r="D25" s="149">
        <f t="shared" si="3"/>
        <v>-147.59349729155704</v>
      </c>
      <c r="E25" s="173"/>
      <c r="H25" s="131"/>
      <c r="K25" s="181" t="s">
        <v>460</v>
      </c>
      <c r="L25" s="181" t="s">
        <v>601</v>
      </c>
      <c r="N25" s="406" t="s">
        <v>210</v>
      </c>
      <c r="O25" s="471">
        <v>-296</v>
      </c>
      <c r="P25" s="391"/>
      <c r="Q25" s="391">
        <f t="shared" si="4"/>
        <v>1099.2838472277174</v>
      </c>
      <c r="R25" s="424"/>
      <c r="S25" s="391">
        <f t="shared" si="5"/>
        <v>-147.59349729155704</v>
      </c>
    </row>
    <row r="26" spans="1:19" x14ac:dyDescent="0.2">
      <c r="A26" s="133" t="str">
        <f t="shared" si="0"/>
        <v>Eugene Water &amp; Electric</v>
      </c>
      <c r="B26" s="137">
        <f t="shared" si="1"/>
        <v>-63712</v>
      </c>
      <c r="C26" s="148">
        <f t="shared" si="2"/>
        <v>1099.2838472277174</v>
      </c>
      <c r="D26" s="149">
        <f t="shared" si="3"/>
        <v>-31768.503038647574</v>
      </c>
      <c r="E26" s="174"/>
      <c r="H26" s="131"/>
      <c r="K26" s="181" t="s">
        <v>460</v>
      </c>
      <c r="L26" s="181" t="s">
        <v>601</v>
      </c>
      <c r="N26" s="406" t="s">
        <v>211</v>
      </c>
      <c r="O26" s="471">
        <v>-63712</v>
      </c>
      <c r="P26" s="391"/>
      <c r="Q26" s="391">
        <f t="shared" si="4"/>
        <v>1099.2838472277174</v>
      </c>
      <c r="R26" s="424"/>
      <c r="S26" s="391">
        <f t="shared" si="5"/>
        <v>-31768.503038647574</v>
      </c>
    </row>
    <row r="27" spans="1:19" x14ac:dyDescent="0.2">
      <c r="A27" s="133" t="str">
        <f t="shared" si="0"/>
        <v>Exelon Generation Co LLC</v>
      </c>
      <c r="B27" s="137">
        <f t="shared" si="1"/>
        <v>149950</v>
      </c>
      <c r="C27" s="148">
        <f t="shared" si="2"/>
        <v>963.42025100000001</v>
      </c>
      <c r="D27" s="149">
        <f t="shared" si="3"/>
        <v>65528.15</v>
      </c>
      <c r="E27" s="174"/>
      <c r="H27" s="131"/>
      <c r="K27" s="181" t="s">
        <v>460</v>
      </c>
      <c r="L27" s="181" t="s">
        <v>601</v>
      </c>
      <c r="N27" s="406" t="s">
        <v>186</v>
      </c>
      <c r="O27" s="471">
        <v>149950</v>
      </c>
      <c r="P27" s="391"/>
      <c r="Q27" s="391">
        <f t="shared" si="4"/>
        <v>963.42025100000001</v>
      </c>
      <c r="R27" s="424"/>
      <c r="S27" s="391">
        <f t="shared" si="5"/>
        <v>65528.15</v>
      </c>
    </row>
    <row r="28" spans="1:19" x14ac:dyDescent="0.2">
      <c r="A28" s="133" t="str">
        <f t="shared" si="0"/>
        <v>Grant County PUD #2</v>
      </c>
      <c r="B28" s="137">
        <f t="shared" si="1"/>
        <v>-4</v>
      </c>
      <c r="C28" s="148">
        <f t="shared" si="2"/>
        <v>1099.2838472277174</v>
      </c>
      <c r="D28" s="149">
        <f t="shared" si="3"/>
        <v>-1.9945067201561761</v>
      </c>
      <c r="E28" s="174"/>
      <c r="H28" s="131"/>
      <c r="K28" s="181" t="s">
        <v>460</v>
      </c>
      <c r="L28" s="181" t="s">
        <v>601</v>
      </c>
      <c r="N28" s="406" t="s">
        <v>213</v>
      </c>
      <c r="O28" s="471">
        <v>-4</v>
      </c>
      <c r="P28" s="391"/>
      <c r="Q28" s="391">
        <f t="shared" si="4"/>
        <v>1099.2838472277174</v>
      </c>
      <c r="R28" s="424"/>
      <c r="S28" s="391">
        <f t="shared" si="5"/>
        <v>-1.9945067201561761</v>
      </c>
    </row>
    <row r="29" spans="1:19" x14ac:dyDescent="0.2">
      <c r="A29" s="133" t="str">
        <f t="shared" si="0"/>
        <v>GRIDFORCE ENERGY MANAGEMENT, LLC.</v>
      </c>
      <c r="B29" s="137">
        <f t="shared" si="1"/>
        <v>-202</v>
      </c>
      <c r="C29" s="148">
        <f t="shared" si="2"/>
        <v>1099.2838472277174</v>
      </c>
      <c r="D29" s="149">
        <f t="shared" si="3"/>
        <v>-100.7225893678869</v>
      </c>
      <c r="E29" s="174"/>
      <c r="H29" s="131"/>
      <c r="K29" s="181" t="s">
        <v>460</v>
      </c>
      <c r="L29" s="181" t="s">
        <v>601</v>
      </c>
      <c r="N29" s="406" t="s">
        <v>343</v>
      </c>
      <c r="O29" s="471">
        <v>-202</v>
      </c>
      <c r="P29" s="391"/>
      <c r="Q29" s="391">
        <f t="shared" si="4"/>
        <v>1099.2838472277174</v>
      </c>
      <c r="R29" s="424"/>
      <c r="S29" s="391">
        <f t="shared" si="5"/>
        <v>-100.7225893678869</v>
      </c>
    </row>
    <row r="30" spans="1:19" x14ac:dyDescent="0.2">
      <c r="A30" s="133" t="str">
        <f t="shared" si="0"/>
        <v>Iberdrola Renewables (PPM Energy)</v>
      </c>
      <c r="B30" s="137">
        <f t="shared" si="1"/>
        <v>843374</v>
      </c>
      <c r="C30" s="148">
        <f t="shared" si="2"/>
        <v>963.42025100000001</v>
      </c>
      <c r="D30" s="149">
        <f t="shared" si="3"/>
        <v>368554.43799999997</v>
      </c>
      <c r="E30" s="174"/>
      <c r="H30" s="131"/>
      <c r="K30" s="181" t="s">
        <v>460</v>
      </c>
      <c r="L30" s="181" t="s">
        <v>601</v>
      </c>
      <c r="N30" s="406" t="s">
        <v>215</v>
      </c>
      <c r="O30" s="471">
        <v>843374</v>
      </c>
      <c r="P30" s="391"/>
      <c r="Q30" s="391">
        <f t="shared" si="4"/>
        <v>963.42025100000001</v>
      </c>
      <c r="R30" s="424"/>
      <c r="S30" s="391">
        <f t="shared" si="5"/>
        <v>368554.43799999997</v>
      </c>
    </row>
    <row r="31" spans="1:19" x14ac:dyDescent="0.2">
      <c r="A31" s="133" t="str">
        <f t="shared" si="0"/>
        <v>Idaho Power Company</v>
      </c>
      <c r="B31" s="137">
        <f t="shared" si="1"/>
        <v>-13337</v>
      </c>
      <c r="C31" s="148">
        <f t="shared" si="2"/>
        <v>1099.2838472277174</v>
      </c>
      <c r="D31" s="149">
        <f t="shared" si="3"/>
        <v>-6650.1840316807302</v>
      </c>
      <c r="E31" s="174"/>
      <c r="H31" s="131"/>
      <c r="K31" s="181" t="s">
        <v>460</v>
      </c>
      <c r="L31" s="181" t="s">
        <v>601</v>
      </c>
      <c r="N31" s="406" t="s">
        <v>217</v>
      </c>
      <c r="O31" s="471">
        <v>-13337</v>
      </c>
      <c r="P31" s="391"/>
      <c r="Q31" s="391">
        <f t="shared" si="4"/>
        <v>1099.2838472277174</v>
      </c>
      <c r="R31" s="424"/>
      <c r="S31" s="391">
        <f t="shared" si="5"/>
        <v>-6650.1840316807302</v>
      </c>
    </row>
    <row r="32" spans="1:19" x14ac:dyDescent="0.2">
      <c r="A32" s="133" t="str">
        <f t="shared" si="0"/>
        <v>J. Aron &amp; Company</v>
      </c>
      <c r="B32" s="137">
        <f t="shared" si="1"/>
        <v>30000</v>
      </c>
      <c r="C32" s="148">
        <f t="shared" si="2"/>
        <v>963.42025100000001</v>
      </c>
      <c r="D32" s="149">
        <f t="shared" si="3"/>
        <v>13110</v>
      </c>
      <c r="E32" s="174"/>
      <c r="H32" s="131"/>
      <c r="K32" s="181" t="s">
        <v>460</v>
      </c>
      <c r="L32" s="181" t="s">
        <v>601</v>
      </c>
      <c r="N32" s="406" t="s">
        <v>220</v>
      </c>
      <c r="O32" s="471">
        <v>30000</v>
      </c>
      <c r="P32" s="391"/>
      <c r="Q32" s="391">
        <f t="shared" si="4"/>
        <v>963.42025100000001</v>
      </c>
      <c r="R32" s="424"/>
      <c r="S32" s="391">
        <f t="shared" si="5"/>
        <v>13110</v>
      </c>
    </row>
    <row r="33" spans="1:19" x14ac:dyDescent="0.2">
      <c r="A33" s="133" t="str">
        <f t="shared" si="0"/>
        <v>Morgan Stanley CG</v>
      </c>
      <c r="B33" s="137">
        <f t="shared" si="1"/>
        <v>628267</v>
      </c>
      <c r="C33" s="148">
        <f t="shared" si="2"/>
        <v>963.42025100000001</v>
      </c>
      <c r="D33" s="149">
        <f t="shared" si="3"/>
        <v>274552.679</v>
      </c>
      <c r="E33" s="174"/>
      <c r="H33" s="131"/>
      <c r="K33" s="181" t="s">
        <v>460</v>
      </c>
      <c r="L33" s="181" t="s">
        <v>601</v>
      </c>
      <c r="N33" s="406" t="s">
        <v>178</v>
      </c>
      <c r="O33" s="471">
        <v>628267</v>
      </c>
      <c r="P33" s="391"/>
      <c r="Q33" s="391">
        <f t="shared" si="4"/>
        <v>963.42025100000001</v>
      </c>
      <c r="R33" s="424"/>
      <c r="S33" s="391">
        <f t="shared" si="5"/>
        <v>274552.679</v>
      </c>
    </row>
    <row r="34" spans="1:19" x14ac:dyDescent="0.2">
      <c r="A34" s="133" t="str">
        <f t="shared" si="0"/>
        <v>Natur Ener USA</v>
      </c>
      <c r="B34" s="137">
        <f t="shared" si="1"/>
        <v>-211</v>
      </c>
      <c r="C34" s="148">
        <f t="shared" si="2"/>
        <v>1099.2838472277174</v>
      </c>
      <c r="D34" s="149">
        <f t="shared" si="3"/>
        <v>-105.2102294882383</v>
      </c>
      <c r="E34" s="174"/>
      <c r="H34" s="131"/>
      <c r="K34" s="181" t="s">
        <v>460</v>
      </c>
      <c r="L34" s="181" t="s">
        <v>601</v>
      </c>
      <c r="N34" s="406" t="s">
        <v>226</v>
      </c>
      <c r="O34" s="471">
        <v>-211</v>
      </c>
      <c r="P34" s="391"/>
      <c r="Q34" s="391">
        <f t="shared" si="4"/>
        <v>1099.2838472277174</v>
      </c>
      <c r="R34" s="424"/>
      <c r="S34" s="391">
        <f t="shared" si="5"/>
        <v>-105.2102294882383</v>
      </c>
    </row>
    <row r="35" spans="1:19" x14ac:dyDescent="0.2">
      <c r="A35" s="133" t="str">
        <f t="shared" si="0"/>
        <v>Nevada Power Company</v>
      </c>
      <c r="B35" s="137">
        <f t="shared" si="1"/>
        <v>-16</v>
      </c>
      <c r="C35" s="148">
        <f t="shared" si="2"/>
        <v>1099.2838472277174</v>
      </c>
      <c r="D35" s="149">
        <f t="shared" si="3"/>
        <v>-7.9780268806247046</v>
      </c>
      <c r="E35" s="174"/>
      <c r="H35" s="131"/>
      <c r="K35" s="181" t="s">
        <v>460</v>
      </c>
      <c r="L35" s="181" t="s">
        <v>601</v>
      </c>
      <c r="N35" s="406" t="s">
        <v>261</v>
      </c>
      <c r="O35" s="471">
        <v>-16</v>
      </c>
      <c r="P35" s="391"/>
      <c r="Q35" s="391">
        <f t="shared" si="4"/>
        <v>1099.2838472277174</v>
      </c>
      <c r="R35" s="424"/>
      <c r="S35" s="391">
        <f t="shared" si="5"/>
        <v>-7.9780268806247046</v>
      </c>
    </row>
    <row r="36" spans="1:19" x14ac:dyDescent="0.2">
      <c r="A36" s="133" t="str">
        <f t="shared" si="0"/>
        <v>NextEra Energy Power Marketing</v>
      </c>
      <c r="B36" s="137">
        <f t="shared" si="1"/>
        <v>4000</v>
      </c>
      <c r="C36" s="148">
        <f t="shared" si="2"/>
        <v>963.42025100000001</v>
      </c>
      <c r="D36" s="149">
        <f t="shared" si="3"/>
        <v>1748</v>
      </c>
      <c r="E36" s="174"/>
      <c r="H36" s="131"/>
      <c r="K36" s="181" t="s">
        <v>460</v>
      </c>
      <c r="L36" s="181" t="s">
        <v>601</v>
      </c>
      <c r="N36" s="406" t="s">
        <v>227</v>
      </c>
      <c r="O36" s="471">
        <v>4000</v>
      </c>
      <c r="P36" s="391"/>
      <c r="Q36" s="391">
        <f t="shared" si="4"/>
        <v>963.42025100000001</v>
      </c>
      <c r="R36" s="424"/>
      <c r="S36" s="391">
        <f t="shared" si="5"/>
        <v>1748</v>
      </c>
    </row>
    <row r="37" spans="1:19" x14ac:dyDescent="0.2">
      <c r="A37" s="133" t="str">
        <f t="shared" si="0"/>
        <v>Northwestern Energy</v>
      </c>
      <c r="B37" s="137">
        <f t="shared" si="1"/>
        <v>-15807</v>
      </c>
      <c r="C37" s="148">
        <f t="shared" si="2"/>
        <v>1099.2838472277174</v>
      </c>
      <c r="D37" s="149">
        <f t="shared" si="3"/>
        <v>-7881.791931377169</v>
      </c>
      <c r="E37" s="174"/>
      <c r="H37" s="131"/>
      <c r="K37" s="181" t="s">
        <v>460</v>
      </c>
      <c r="L37" s="181" t="s">
        <v>601</v>
      </c>
      <c r="N37" s="406" t="s">
        <v>231</v>
      </c>
      <c r="O37" s="471">
        <v>-15807</v>
      </c>
      <c r="P37" s="391"/>
      <c r="Q37" s="391">
        <f t="shared" si="4"/>
        <v>1099.2838472277174</v>
      </c>
      <c r="R37" s="424"/>
      <c r="S37" s="391">
        <f t="shared" si="5"/>
        <v>-7881.791931377169</v>
      </c>
    </row>
    <row r="38" spans="1:19" x14ac:dyDescent="0.2">
      <c r="A38" s="133" t="str">
        <f t="shared" si="0"/>
        <v>Okanogan PUD</v>
      </c>
      <c r="B38" s="137">
        <f t="shared" si="1"/>
        <v>26026</v>
      </c>
      <c r="C38" s="148">
        <f t="shared" si="2"/>
        <v>963.42025100000001</v>
      </c>
      <c r="D38" s="149">
        <f t="shared" si="3"/>
        <v>11373.361999999999</v>
      </c>
      <c r="E38" s="174"/>
      <c r="H38" s="131"/>
      <c r="K38" s="181" t="s">
        <v>460</v>
      </c>
      <c r="L38" s="181" t="s">
        <v>601</v>
      </c>
      <c r="N38" s="406" t="s">
        <v>233</v>
      </c>
      <c r="O38" s="471">
        <v>26026</v>
      </c>
      <c r="P38" s="391"/>
      <c r="Q38" s="391">
        <f t="shared" si="4"/>
        <v>963.42025100000001</v>
      </c>
      <c r="R38" s="424"/>
      <c r="S38" s="391">
        <f t="shared" si="5"/>
        <v>11373.361999999999</v>
      </c>
    </row>
    <row r="39" spans="1:19" x14ac:dyDescent="0.2">
      <c r="A39" s="133" t="str">
        <f t="shared" si="0"/>
        <v>Pacificorp</v>
      </c>
      <c r="B39" s="137">
        <f t="shared" si="1"/>
        <v>-206617</v>
      </c>
      <c r="C39" s="148">
        <f t="shared" si="2"/>
        <v>1099.2838472277174</v>
      </c>
      <c r="D39" s="149">
        <f t="shared" si="3"/>
        <v>-103024.74874962715</v>
      </c>
      <c r="E39" s="174"/>
      <c r="H39" s="131"/>
      <c r="K39" s="181" t="s">
        <v>460</v>
      </c>
      <c r="L39" s="181" t="s">
        <v>601</v>
      </c>
      <c r="N39" s="406" t="s">
        <v>236</v>
      </c>
      <c r="O39" s="471">
        <v>-206617</v>
      </c>
      <c r="P39" s="391"/>
      <c r="Q39" s="391">
        <f t="shared" si="4"/>
        <v>1099.2838472277174</v>
      </c>
      <c r="R39" s="424"/>
      <c r="S39" s="391">
        <f t="shared" si="5"/>
        <v>-103024.74874962715</v>
      </c>
    </row>
    <row r="40" spans="1:19" x14ac:dyDescent="0.2">
      <c r="A40" s="133" t="str">
        <f t="shared" si="0"/>
        <v>Portland General Electric</v>
      </c>
      <c r="B40" s="137">
        <f t="shared" si="1"/>
        <v>-133050</v>
      </c>
      <c r="C40" s="148">
        <f t="shared" si="2"/>
        <v>1099.2838472277174</v>
      </c>
      <c r="D40" s="149">
        <f t="shared" si="3"/>
        <v>-66342.279779194811</v>
      </c>
      <c r="E40" s="174"/>
      <c r="H40" s="131"/>
      <c r="K40" s="181" t="s">
        <v>460</v>
      </c>
      <c r="L40" s="181" t="s">
        <v>601</v>
      </c>
      <c r="N40" s="406" t="s">
        <v>238</v>
      </c>
      <c r="O40" s="471">
        <v>-133050</v>
      </c>
      <c r="P40" s="391"/>
      <c r="Q40" s="391">
        <f t="shared" si="4"/>
        <v>1099.2838472277174</v>
      </c>
      <c r="R40" s="424"/>
      <c r="S40" s="391">
        <f t="shared" si="5"/>
        <v>-66342.279779194811</v>
      </c>
    </row>
    <row r="41" spans="1:19" x14ac:dyDescent="0.2">
      <c r="A41" s="133" t="str">
        <f t="shared" si="0"/>
        <v>Powerex Corp.</v>
      </c>
      <c r="B41" s="137">
        <f t="shared" si="1"/>
        <v>-120376</v>
      </c>
      <c r="C41" s="148">
        <f t="shared" si="2"/>
        <v>1099.2838472277174</v>
      </c>
      <c r="D41" s="149">
        <f t="shared" si="3"/>
        <v>-60022.685236379963</v>
      </c>
      <c r="E41" s="174"/>
      <c r="H41" s="131"/>
      <c r="K41" s="181" t="s">
        <v>460</v>
      </c>
      <c r="L41" s="181" t="s">
        <v>601</v>
      </c>
      <c r="N41" s="406" t="s">
        <v>180</v>
      </c>
      <c r="O41" s="471">
        <v>-120376</v>
      </c>
      <c r="P41" s="391"/>
      <c r="Q41" s="391">
        <f t="shared" si="4"/>
        <v>1099.2838472277174</v>
      </c>
      <c r="R41" s="424"/>
      <c r="S41" s="391">
        <f t="shared" si="5"/>
        <v>-60022.685236379963</v>
      </c>
    </row>
    <row r="42" spans="1:19" x14ac:dyDescent="0.2">
      <c r="A42" s="133" t="str">
        <f t="shared" si="0"/>
        <v>Public Service of Colorado</v>
      </c>
      <c r="B42" s="137">
        <f t="shared" si="1"/>
        <v>130513</v>
      </c>
      <c r="C42" s="148">
        <f t="shared" si="2"/>
        <v>963.42025100000001</v>
      </c>
      <c r="D42" s="149">
        <f t="shared" si="3"/>
        <v>57034.180999999997</v>
      </c>
      <c r="E42" s="174"/>
      <c r="H42" s="131"/>
      <c r="K42" s="181" t="s">
        <v>460</v>
      </c>
      <c r="L42" s="181" t="s">
        <v>601</v>
      </c>
      <c r="N42" s="406" t="s">
        <v>239</v>
      </c>
      <c r="O42" s="471">
        <v>130513</v>
      </c>
      <c r="P42" s="391"/>
      <c r="Q42" s="391">
        <f t="shared" si="4"/>
        <v>963.42025100000001</v>
      </c>
      <c r="R42" s="424"/>
      <c r="S42" s="391">
        <f t="shared" si="5"/>
        <v>57034.180999999997</v>
      </c>
    </row>
    <row r="43" spans="1:19" x14ac:dyDescent="0.2">
      <c r="A43" s="133" t="str">
        <f t="shared" si="0"/>
        <v>Rainbow Energy Marketing</v>
      </c>
      <c r="B43" s="137">
        <f t="shared" si="1"/>
        <v>-2238</v>
      </c>
      <c r="C43" s="148">
        <f t="shared" si="2"/>
        <v>1099.2838472277174</v>
      </c>
      <c r="D43" s="149">
        <f t="shared" si="3"/>
        <v>-1115.9265099273805</v>
      </c>
      <c r="E43" s="174"/>
      <c r="H43" s="131"/>
      <c r="K43" s="181" t="s">
        <v>460</v>
      </c>
      <c r="L43" s="181" t="s">
        <v>601</v>
      </c>
      <c r="N43" s="406" t="s">
        <v>240</v>
      </c>
      <c r="O43" s="471">
        <v>-2238</v>
      </c>
      <c r="P43" s="391"/>
      <c r="Q43" s="391">
        <f t="shared" si="4"/>
        <v>1099.2838472277174</v>
      </c>
      <c r="R43" s="424"/>
      <c r="S43" s="391">
        <f t="shared" si="5"/>
        <v>-1115.9265099273805</v>
      </c>
    </row>
    <row r="44" spans="1:19" x14ac:dyDescent="0.2">
      <c r="A44" s="133" t="str">
        <f t="shared" si="0"/>
        <v>Sacramento Municipal</v>
      </c>
      <c r="B44" s="137">
        <f t="shared" si="1"/>
        <v>139</v>
      </c>
      <c r="C44" s="148">
        <f t="shared" si="2"/>
        <v>963.42025100000001</v>
      </c>
      <c r="D44" s="149">
        <f t="shared" si="3"/>
        <v>60.743000000000002</v>
      </c>
      <c r="E44" s="174"/>
      <c r="H44" s="131"/>
      <c r="K44" s="181" t="s">
        <v>460</v>
      </c>
      <c r="L44" s="181" t="s">
        <v>601</v>
      </c>
      <c r="N44" s="406" t="s">
        <v>242</v>
      </c>
      <c r="O44" s="471">
        <v>139</v>
      </c>
      <c r="P44" s="391"/>
      <c r="Q44" s="391">
        <f t="shared" si="4"/>
        <v>963.42025100000001</v>
      </c>
      <c r="R44" s="424"/>
      <c r="S44" s="391">
        <f t="shared" si="5"/>
        <v>60.743000000000002</v>
      </c>
    </row>
    <row r="45" spans="1:19" x14ac:dyDescent="0.2">
      <c r="A45" s="133" t="str">
        <f t="shared" si="0"/>
        <v>Seattle City Light Marketing</v>
      </c>
      <c r="B45" s="137">
        <f t="shared" si="1"/>
        <v>132196</v>
      </c>
      <c r="C45" s="148">
        <f t="shared" si="2"/>
        <v>963.42025100000001</v>
      </c>
      <c r="D45" s="149">
        <f t="shared" si="3"/>
        <v>57769.651999999995</v>
      </c>
      <c r="E45" s="174"/>
      <c r="H45" s="131"/>
      <c r="K45" s="181" t="s">
        <v>460</v>
      </c>
      <c r="L45" s="181" t="s">
        <v>601</v>
      </c>
      <c r="N45" s="406" t="s">
        <v>181</v>
      </c>
      <c r="O45" s="471">
        <v>132196</v>
      </c>
      <c r="P45" s="391"/>
      <c r="Q45" s="391">
        <f t="shared" si="4"/>
        <v>963.42025100000001</v>
      </c>
      <c r="R45" s="424"/>
      <c r="S45" s="391">
        <f t="shared" si="5"/>
        <v>57769.651999999995</v>
      </c>
    </row>
    <row r="46" spans="1:19" x14ac:dyDescent="0.2">
      <c r="A46" s="133" t="str">
        <f t="shared" si="0"/>
        <v>Shell Energy (Coral Pwr)</v>
      </c>
      <c r="B46" s="137">
        <f t="shared" si="1"/>
        <v>-20612</v>
      </c>
      <c r="C46" s="148">
        <f t="shared" si="2"/>
        <v>1099.2838472277174</v>
      </c>
      <c r="D46" s="149">
        <f t="shared" si="3"/>
        <v>-10277.693128964775</v>
      </c>
      <c r="E46" s="174"/>
      <c r="H46" s="131"/>
      <c r="K46" s="181" t="s">
        <v>460</v>
      </c>
      <c r="L46" s="181" t="s">
        <v>601</v>
      </c>
      <c r="N46" s="406" t="s">
        <v>182</v>
      </c>
      <c r="O46" s="471">
        <v>-20612</v>
      </c>
      <c r="P46" s="391"/>
      <c r="Q46" s="391">
        <f t="shared" si="4"/>
        <v>1099.2838472277174</v>
      </c>
      <c r="R46" s="424"/>
      <c r="S46" s="391">
        <f t="shared" si="5"/>
        <v>-10277.693128964775</v>
      </c>
    </row>
    <row r="47" spans="1:19" x14ac:dyDescent="0.2">
      <c r="A47" s="133" t="str">
        <f t="shared" si="0"/>
        <v>Snohomish County PUD #1</v>
      </c>
      <c r="B47" s="137">
        <f t="shared" si="1"/>
        <v>12341</v>
      </c>
      <c r="C47" s="148">
        <f t="shared" si="2"/>
        <v>963.42025100000001</v>
      </c>
      <c r="D47" s="149">
        <f t="shared" si="3"/>
        <v>5393.0169999999998</v>
      </c>
      <c r="E47" s="174"/>
      <c r="H47" s="131"/>
      <c r="K47" s="181" t="s">
        <v>460</v>
      </c>
      <c r="L47" s="181" t="s">
        <v>601</v>
      </c>
      <c r="N47" s="406" t="s">
        <v>247</v>
      </c>
      <c r="O47" s="471">
        <v>12341</v>
      </c>
      <c r="P47" s="391"/>
      <c r="Q47" s="391">
        <f t="shared" si="4"/>
        <v>963.42025100000001</v>
      </c>
      <c r="R47" s="424"/>
      <c r="S47" s="391">
        <f t="shared" si="5"/>
        <v>5393.0169999999998</v>
      </c>
    </row>
    <row r="48" spans="1:19" x14ac:dyDescent="0.2">
      <c r="A48" s="133" t="str">
        <f t="shared" si="0"/>
        <v>Tacoma Power</v>
      </c>
      <c r="B48" s="137">
        <f t="shared" si="1"/>
        <v>40463</v>
      </c>
      <c r="C48" s="148">
        <f t="shared" si="2"/>
        <v>963.42025100000001</v>
      </c>
      <c r="D48" s="149">
        <f t="shared" si="3"/>
        <v>17682.331000000002</v>
      </c>
      <c r="E48" s="174"/>
      <c r="H48" s="131"/>
      <c r="K48" s="181" t="s">
        <v>460</v>
      </c>
      <c r="L48" s="181" t="s">
        <v>601</v>
      </c>
      <c r="N48" s="406" t="s">
        <v>183</v>
      </c>
      <c r="O48" s="471">
        <v>40463</v>
      </c>
      <c r="P48" s="391"/>
      <c r="Q48" s="391">
        <f t="shared" si="4"/>
        <v>963.42025100000001</v>
      </c>
      <c r="R48" s="424"/>
      <c r="S48" s="391">
        <f t="shared" si="5"/>
        <v>17682.331000000002</v>
      </c>
    </row>
    <row r="49" spans="1:19" x14ac:dyDescent="0.2">
      <c r="A49" s="133" t="str">
        <f t="shared" si="0"/>
        <v>Talen Energy (PPL Energy Plus)</v>
      </c>
      <c r="B49" s="137">
        <f t="shared" si="1"/>
        <v>221765</v>
      </c>
      <c r="C49" s="148">
        <f t="shared" si="2"/>
        <v>963.42025100000001</v>
      </c>
      <c r="D49" s="149">
        <f t="shared" si="3"/>
        <v>96911.304999999993</v>
      </c>
      <c r="E49" s="174"/>
      <c r="H49" s="131"/>
      <c r="K49" s="181" t="s">
        <v>460</v>
      </c>
      <c r="L49" s="181" t="s">
        <v>601</v>
      </c>
      <c r="N49" s="406" t="s">
        <v>249</v>
      </c>
      <c r="O49" s="471">
        <v>221765</v>
      </c>
      <c r="P49" s="391"/>
      <c r="Q49" s="391">
        <f t="shared" si="4"/>
        <v>963.42025100000001</v>
      </c>
      <c r="R49" s="424"/>
      <c r="S49" s="391">
        <f t="shared" si="5"/>
        <v>96911.304999999993</v>
      </c>
    </row>
    <row r="50" spans="1:19" x14ac:dyDescent="0.2">
      <c r="A50" s="133" t="str">
        <f t="shared" si="0"/>
        <v>Tenaska Power Services Co.</v>
      </c>
      <c r="B50" s="137">
        <f t="shared" si="1"/>
        <v>-3000</v>
      </c>
      <c r="C50" s="148">
        <f t="shared" si="2"/>
        <v>1099.2838472277174</v>
      </c>
      <c r="D50" s="149">
        <f t="shared" si="3"/>
        <v>-1495.8800401171322</v>
      </c>
      <c r="E50" s="174"/>
      <c r="H50" s="131"/>
      <c r="K50" s="181" t="s">
        <v>460</v>
      </c>
      <c r="L50" s="181" t="s">
        <v>601</v>
      </c>
      <c r="N50" s="406" t="s">
        <v>251</v>
      </c>
      <c r="O50" s="471">
        <v>-3000</v>
      </c>
      <c r="P50" s="391"/>
      <c r="Q50" s="391">
        <f t="shared" si="4"/>
        <v>1099.2838472277174</v>
      </c>
      <c r="R50" s="424"/>
      <c r="S50" s="391">
        <f t="shared" si="5"/>
        <v>-1495.8800401171322</v>
      </c>
    </row>
    <row r="51" spans="1:19" x14ac:dyDescent="0.2">
      <c r="A51" s="133" t="str">
        <f t="shared" si="0"/>
        <v>The Energy Authority</v>
      </c>
      <c r="B51" s="137">
        <f t="shared" si="1"/>
        <v>922890</v>
      </c>
      <c r="C51" s="148">
        <f t="shared" si="2"/>
        <v>963.42025100000001</v>
      </c>
      <c r="D51" s="149">
        <f t="shared" si="3"/>
        <v>403302.93</v>
      </c>
      <c r="E51" s="174"/>
      <c r="H51" s="131"/>
      <c r="K51" s="181" t="s">
        <v>460</v>
      </c>
      <c r="L51" s="181" t="s">
        <v>601</v>
      </c>
      <c r="N51" s="406" t="s">
        <v>252</v>
      </c>
      <c r="O51" s="471">
        <v>922890</v>
      </c>
      <c r="P51" s="391"/>
      <c r="Q51" s="391">
        <f t="shared" si="4"/>
        <v>963.42025100000001</v>
      </c>
      <c r="R51" s="424"/>
      <c r="S51" s="391">
        <f t="shared" si="5"/>
        <v>403302.93</v>
      </c>
    </row>
    <row r="52" spans="1:19" x14ac:dyDescent="0.2">
      <c r="A52" s="133" t="str">
        <f t="shared" si="0"/>
        <v>TransAlta Energy Marketing</v>
      </c>
      <c r="B52" s="137">
        <f t="shared" si="1"/>
        <v>254287</v>
      </c>
      <c r="C52" s="148">
        <f t="shared" si="2"/>
        <v>963.42025100000001</v>
      </c>
      <c r="D52" s="149">
        <f t="shared" si="3"/>
        <v>111123.41900000001</v>
      </c>
      <c r="E52" s="174"/>
      <c r="H52" s="131"/>
      <c r="K52" s="181" t="s">
        <v>460</v>
      </c>
      <c r="L52" s="181" t="s">
        <v>601</v>
      </c>
      <c r="N52" s="406" t="s">
        <v>184</v>
      </c>
      <c r="O52" s="471">
        <v>254287</v>
      </c>
      <c r="P52" s="391"/>
      <c r="Q52" s="391">
        <f t="shared" si="4"/>
        <v>963.42025100000001</v>
      </c>
      <c r="R52" s="424"/>
      <c r="S52" s="391">
        <f t="shared" si="5"/>
        <v>111123.41900000001</v>
      </c>
    </row>
    <row r="53" spans="1:19" x14ac:dyDescent="0.2">
      <c r="A53" s="133" t="str">
        <f t="shared" si="0"/>
        <v>TransCanada Energy Sales Ltd</v>
      </c>
      <c r="B53" s="137">
        <f t="shared" si="1"/>
        <v>-46100</v>
      </c>
      <c r="C53" s="148">
        <f t="shared" si="2"/>
        <v>1099.2838472277174</v>
      </c>
      <c r="D53" s="149">
        <f t="shared" si="3"/>
        <v>-22986.689949799929</v>
      </c>
      <c r="E53" s="174"/>
      <c r="H53" s="131"/>
      <c r="K53" s="181" t="s">
        <v>460</v>
      </c>
      <c r="L53" s="181" t="s">
        <v>601</v>
      </c>
      <c r="N53" s="406" t="s">
        <v>254</v>
      </c>
      <c r="O53" s="471">
        <v>-46100</v>
      </c>
      <c r="P53" s="391"/>
      <c r="Q53" s="391">
        <f t="shared" si="4"/>
        <v>1099.2838472277174</v>
      </c>
      <c r="R53" s="424"/>
      <c r="S53" s="391">
        <f t="shared" si="5"/>
        <v>-22986.689949799929</v>
      </c>
    </row>
    <row r="54" spans="1:19" x14ac:dyDescent="0.2">
      <c r="A54" s="133" t="str">
        <f t="shared" si="0"/>
        <v>Turlock Irrigation District</v>
      </c>
      <c r="B54" s="137">
        <f t="shared" si="1"/>
        <v>8325</v>
      </c>
      <c r="C54" s="148">
        <f t="shared" si="2"/>
        <v>963.42025100000001</v>
      </c>
      <c r="D54" s="149">
        <f t="shared" si="3"/>
        <v>3638.0250000000001</v>
      </c>
      <c r="E54" s="174"/>
      <c r="H54" s="131"/>
      <c r="K54" s="181" t="s">
        <v>460</v>
      </c>
      <c r="L54" s="181" t="s">
        <v>601</v>
      </c>
      <c r="N54" s="406" t="s">
        <v>256</v>
      </c>
      <c r="O54" s="471">
        <v>8325</v>
      </c>
      <c r="P54" s="391"/>
      <c r="Q54" s="391">
        <f t="shared" si="4"/>
        <v>963.42025100000001</v>
      </c>
      <c r="R54" s="424"/>
      <c r="S54" s="391">
        <f t="shared" si="5"/>
        <v>3638.0250000000001</v>
      </c>
    </row>
    <row r="55" spans="1:19" x14ac:dyDescent="0.2">
      <c r="A55" s="133" t="str">
        <f t="shared" si="0"/>
        <v>Vitol Inc.</v>
      </c>
      <c r="B55" s="137">
        <f t="shared" si="1"/>
        <v>226338</v>
      </c>
      <c r="C55" s="148">
        <f t="shared" si="2"/>
        <v>963.42025100000001</v>
      </c>
      <c r="D55" s="149">
        <f t="shared" si="3"/>
        <v>98909.705999999991</v>
      </c>
      <c r="E55" s="174"/>
      <c r="H55" s="131"/>
      <c r="K55" s="181" t="s">
        <v>460</v>
      </c>
      <c r="L55" s="181" t="s">
        <v>601</v>
      </c>
      <c r="N55" s="406" t="s">
        <v>257</v>
      </c>
      <c r="O55" s="471">
        <v>226338</v>
      </c>
      <c r="P55" s="391"/>
      <c r="Q55" s="391">
        <f t="shared" si="4"/>
        <v>963.42025100000001</v>
      </c>
      <c r="R55" s="424"/>
      <c r="S55" s="391">
        <f t="shared" si="5"/>
        <v>98909.705999999991</v>
      </c>
    </row>
    <row r="56" spans="1:19" x14ac:dyDescent="0.2">
      <c r="A56" s="133" t="str">
        <f t="shared" si="0"/>
        <v>Williams Power Company</v>
      </c>
      <c r="B56" s="137">
        <f t="shared" si="1"/>
        <v>-3928</v>
      </c>
      <c r="C56" s="148">
        <f t="shared" si="2"/>
        <v>1099.2838472277174</v>
      </c>
      <c r="D56" s="149">
        <f t="shared" si="3"/>
        <v>-1958.6055991933652</v>
      </c>
      <c r="E56" s="174"/>
      <c r="H56" s="131"/>
      <c r="K56" s="181" t="s">
        <v>460</v>
      </c>
      <c r="L56" s="181" t="s">
        <v>601</v>
      </c>
      <c r="N56" s="406" t="s">
        <v>259</v>
      </c>
      <c r="O56" s="471">
        <v>-3928</v>
      </c>
      <c r="P56" s="391"/>
      <c r="Q56" s="391">
        <f t="shared" si="4"/>
        <v>1099.2838472277174</v>
      </c>
      <c r="R56" s="424"/>
      <c r="S56" s="391">
        <f t="shared" si="5"/>
        <v>-1958.6055991933652</v>
      </c>
    </row>
    <row r="57" spans="1:19" x14ac:dyDescent="0.2">
      <c r="A57" s="133" t="str">
        <f t="shared" si="0"/>
        <v>CAISO EESC Load Undistributed Costs</v>
      </c>
      <c r="B57" s="137">
        <f t="shared" si="1"/>
        <v>33124.885999999999</v>
      </c>
      <c r="C57" s="148">
        <f t="shared" si="2"/>
        <v>963.42025100000001</v>
      </c>
      <c r="D57" s="149">
        <f t="shared" si="3"/>
        <v>14475.575181999999</v>
      </c>
      <c r="E57" s="174"/>
      <c r="H57" s="131"/>
      <c r="K57" s="181" t="s">
        <v>460</v>
      </c>
      <c r="L57" s="181" t="s">
        <v>602</v>
      </c>
      <c r="N57" s="406" t="s">
        <v>196</v>
      </c>
      <c r="O57" s="471">
        <v>33124.885999999999</v>
      </c>
      <c r="P57" s="391"/>
      <c r="Q57" s="391">
        <f t="shared" si="4"/>
        <v>963.42025100000001</v>
      </c>
      <c r="R57" s="424"/>
      <c r="S57" s="391">
        <f t="shared" si="5"/>
        <v>14475.575181999999</v>
      </c>
    </row>
    <row r="58" spans="1:19" x14ac:dyDescent="0.2">
      <c r="A58" s="133" t="str">
        <f t="shared" si="0"/>
        <v>CAISO PRSC Undistributed Costs</v>
      </c>
      <c r="B58" s="137">
        <f t="shared" si="1"/>
        <v>-8712.773000000001</v>
      </c>
      <c r="C58" s="148">
        <f t="shared" si="2"/>
        <v>1099.2838472277174</v>
      </c>
      <c r="D58" s="149">
        <f t="shared" si="3"/>
        <v>-4344.4210749238227</v>
      </c>
      <c r="E58" s="174"/>
      <c r="H58" s="131"/>
      <c r="K58" s="181" t="s">
        <v>460</v>
      </c>
      <c r="L58" s="181" t="s">
        <v>602</v>
      </c>
      <c r="N58" s="406" t="s">
        <v>344</v>
      </c>
      <c r="O58" s="471">
        <v>-8712.773000000001</v>
      </c>
      <c r="P58" s="391"/>
      <c r="Q58" s="391">
        <f t="shared" si="4"/>
        <v>1099.2838472277174</v>
      </c>
      <c r="R58" s="424"/>
      <c r="S58" s="391">
        <f t="shared" si="5"/>
        <v>-4344.4210749238227</v>
      </c>
    </row>
    <row r="59" spans="1:19" x14ac:dyDescent="0.2">
      <c r="A59" s="133" t="str">
        <f t="shared" si="0"/>
        <v>Colstrip - Energy Imbalance Market</v>
      </c>
      <c r="B59" s="137">
        <f t="shared" si="1"/>
        <v>105630.905</v>
      </c>
      <c r="C59" s="148">
        <f t="shared" si="2"/>
        <v>963.42025100000001</v>
      </c>
      <c r="D59" s="149">
        <f t="shared" si="3"/>
        <v>46160.705484999999</v>
      </c>
      <c r="E59" s="174"/>
      <c r="H59" s="131"/>
      <c r="K59" s="181" t="s">
        <v>461</v>
      </c>
      <c r="L59" s="181" t="s">
        <v>602</v>
      </c>
      <c r="N59" s="406" t="s">
        <v>345</v>
      </c>
      <c r="O59" s="471">
        <v>105630.905</v>
      </c>
      <c r="P59" s="391"/>
      <c r="Q59" s="391">
        <f t="shared" si="4"/>
        <v>963.42025100000001</v>
      </c>
      <c r="R59" s="424"/>
      <c r="S59" s="391">
        <f t="shared" si="5"/>
        <v>46160.705484999999</v>
      </c>
    </row>
    <row r="60" spans="1:19" x14ac:dyDescent="0.2">
      <c r="A60" s="133" t="str">
        <f t="shared" si="0"/>
        <v>Douglas PUD - Wells Project</v>
      </c>
      <c r="B60" s="137">
        <f t="shared" si="1"/>
        <v>20574.114999999991</v>
      </c>
      <c r="C60" s="148">
        <f t="shared" si="2"/>
        <v>963.42025100000001</v>
      </c>
      <c r="D60" s="149">
        <f t="shared" si="3"/>
        <v>8990.8882549999962</v>
      </c>
      <c r="E60" s="174"/>
      <c r="H60" s="131"/>
      <c r="K60" s="181" t="s">
        <v>460</v>
      </c>
      <c r="L60" s="181" t="s">
        <v>602</v>
      </c>
      <c r="M60" s="181" t="s">
        <v>426</v>
      </c>
      <c r="N60" s="406" t="s">
        <v>292</v>
      </c>
      <c r="O60" s="471">
        <v>20574.114999999991</v>
      </c>
      <c r="P60" s="391"/>
      <c r="Q60" s="391">
        <f t="shared" si="4"/>
        <v>963.42025100000001</v>
      </c>
      <c r="R60" s="424"/>
      <c r="S60" s="391">
        <f t="shared" si="5"/>
        <v>8990.8882549999962</v>
      </c>
    </row>
    <row r="61" spans="1:19" x14ac:dyDescent="0.2">
      <c r="A61" s="133" t="str">
        <f t="shared" si="0"/>
        <v>Encogen</v>
      </c>
      <c r="B61" s="137">
        <f t="shared" si="1"/>
        <v>1723.08</v>
      </c>
      <c r="C61" s="148">
        <f t="shared" si="2"/>
        <v>963.42025100000001</v>
      </c>
      <c r="D61" s="149">
        <f t="shared" si="3"/>
        <v>752.98595999999986</v>
      </c>
      <c r="E61" s="174"/>
      <c r="H61" s="131"/>
      <c r="K61" s="181" t="s">
        <v>461</v>
      </c>
      <c r="L61" s="181" t="s">
        <v>602</v>
      </c>
      <c r="N61" s="406" t="s">
        <v>268</v>
      </c>
      <c r="O61" s="471">
        <v>1723.08</v>
      </c>
      <c r="P61" s="391"/>
      <c r="Q61" s="391">
        <f t="shared" si="4"/>
        <v>963.42025100000001</v>
      </c>
      <c r="R61" s="424"/>
      <c r="S61" s="391">
        <f t="shared" si="5"/>
        <v>752.98595999999986</v>
      </c>
    </row>
    <row r="62" spans="1:19" x14ac:dyDescent="0.2">
      <c r="A62" s="133" t="str">
        <f t="shared" si="0"/>
        <v>Ferndale Co-Generation</v>
      </c>
      <c r="B62" s="137">
        <f t="shared" si="1"/>
        <v>70220.598999999987</v>
      </c>
      <c r="C62" s="148">
        <f t="shared" si="2"/>
        <v>963.42025100000001</v>
      </c>
      <c r="D62" s="149">
        <f t="shared" si="3"/>
        <v>30686.401762999994</v>
      </c>
      <c r="E62" s="174"/>
      <c r="H62" s="131"/>
      <c r="K62" s="181" t="s">
        <v>461</v>
      </c>
      <c r="L62" s="181" t="s">
        <v>602</v>
      </c>
      <c r="N62" s="406" t="s">
        <v>269</v>
      </c>
      <c r="O62" s="471">
        <v>70220.598999999987</v>
      </c>
      <c r="P62" s="391"/>
      <c r="Q62" s="391">
        <f t="shared" si="4"/>
        <v>963.42025100000001</v>
      </c>
      <c r="R62" s="424"/>
      <c r="S62" s="391">
        <f t="shared" si="5"/>
        <v>30686.401762999994</v>
      </c>
    </row>
    <row r="63" spans="1:19" x14ac:dyDescent="0.2">
      <c r="A63" s="133" t="str">
        <f t="shared" si="0"/>
        <v>Freddie #1</v>
      </c>
      <c r="B63" s="137">
        <f t="shared" si="1"/>
        <v>214.42699999999999</v>
      </c>
      <c r="C63" s="148">
        <f t="shared" si="2"/>
        <v>963.42025100000001</v>
      </c>
      <c r="D63" s="149">
        <f t="shared" si="3"/>
        <v>93.704599000000002</v>
      </c>
      <c r="E63" s="174"/>
      <c r="H63" s="131"/>
      <c r="K63" s="181" t="s">
        <v>461</v>
      </c>
      <c r="L63" s="181" t="s">
        <v>602</v>
      </c>
      <c r="N63" s="406" t="s">
        <v>270</v>
      </c>
      <c r="O63" s="471">
        <v>214.42699999999999</v>
      </c>
      <c r="P63" s="391"/>
      <c r="Q63" s="391">
        <f t="shared" si="4"/>
        <v>963.42025100000001</v>
      </c>
      <c r="R63" s="424"/>
      <c r="S63" s="391">
        <f t="shared" si="5"/>
        <v>93.704599000000002</v>
      </c>
    </row>
    <row r="64" spans="1:19" x14ac:dyDescent="0.2">
      <c r="A64" s="133" t="str">
        <f t="shared" si="0"/>
        <v>Fredonia - Energy Imbalance Market</v>
      </c>
      <c r="B64" s="137">
        <f t="shared" si="1"/>
        <v>8211.0470000000023</v>
      </c>
      <c r="C64" s="148">
        <f t="shared" si="2"/>
        <v>963.42025100000001</v>
      </c>
      <c r="D64" s="149">
        <f t="shared" si="3"/>
        <v>3588.2275390000009</v>
      </c>
      <c r="E64" s="174"/>
      <c r="H64" s="131"/>
      <c r="K64" s="181" t="s">
        <v>461</v>
      </c>
      <c r="L64" s="181" t="s">
        <v>602</v>
      </c>
      <c r="N64" s="406" t="s">
        <v>346</v>
      </c>
      <c r="O64" s="471">
        <v>8211.0470000000023</v>
      </c>
      <c r="P64" s="391"/>
      <c r="Q64" s="391">
        <f t="shared" si="4"/>
        <v>963.42025100000001</v>
      </c>
      <c r="R64" s="424"/>
      <c r="S64" s="391">
        <f t="shared" si="5"/>
        <v>3588.2275390000009</v>
      </c>
    </row>
    <row r="65" spans="1:19" x14ac:dyDescent="0.2">
      <c r="A65" s="133" t="str">
        <f t="shared" si="0"/>
        <v>Fredrickson 1 &amp; 2</v>
      </c>
      <c r="B65" s="137">
        <f t="shared" si="1"/>
        <v>6813.1130000000003</v>
      </c>
      <c r="C65" s="148">
        <f t="shared" si="2"/>
        <v>963.42025100000001</v>
      </c>
      <c r="D65" s="149">
        <f t="shared" si="3"/>
        <v>2977.3303810000002</v>
      </c>
      <c r="E65" s="174"/>
      <c r="H65" s="131"/>
      <c r="K65" s="181" t="s">
        <v>461</v>
      </c>
      <c r="L65" s="181" t="s">
        <v>602</v>
      </c>
      <c r="N65" s="406" t="s">
        <v>273</v>
      </c>
      <c r="O65" s="471">
        <v>6813.1130000000003</v>
      </c>
      <c r="P65" s="391"/>
      <c r="Q65" s="391">
        <f t="shared" si="4"/>
        <v>963.42025100000001</v>
      </c>
      <c r="R65" s="424"/>
      <c r="S65" s="391">
        <f t="shared" si="5"/>
        <v>2977.3303810000002</v>
      </c>
    </row>
    <row r="66" spans="1:19" x14ac:dyDescent="0.2">
      <c r="A66" s="133" t="str">
        <f t="shared" si="0"/>
        <v>Goldendale</v>
      </c>
      <c r="B66" s="137">
        <f t="shared" si="1"/>
        <v>-40989.185000000005</v>
      </c>
      <c r="C66" s="148">
        <f t="shared" si="2"/>
        <v>1099.2838472277174</v>
      </c>
      <c r="D66" s="149">
        <f t="shared" si="3"/>
        <v>-20438.301234056184</v>
      </c>
      <c r="E66" s="174"/>
      <c r="H66" s="131"/>
      <c r="K66" s="181" t="s">
        <v>461</v>
      </c>
      <c r="L66" s="181" t="s">
        <v>602</v>
      </c>
      <c r="N66" s="406" t="s">
        <v>274</v>
      </c>
      <c r="O66" s="471">
        <v>-40989.185000000005</v>
      </c>
      <c r="P66" s="391"/>
      <c r="Q66" s="391">
        <f t="shared" si="4"/>
        <v>1099.2838472277174</v>
      </c>
      <c r="R66" s="424"/>
      <c r="S66" s="391">
        <f t="shared" si="5"/>
        <v>-20438.301234056184</v>
      </c>
    </row>
    <row r="67" spans="1:19" x14ac:dyDescent="0.2">
      <c r="A67" s="133" t="str">
        <f t="shared" si="0"/>
        <v>Lower Baker</v>
      </c>
      <c r="B67" s="137">
        <f t="shared" si="1"/>
        <v>2625.971</v>
      </c>
      <c r="C67" s="148">
        <f t="shared" si="2"/>
        <v>963.42025100000001</v>
      </c>
      <c r="D67" s="149">
        <f t="shared" si="3"/>
        <v>1147.5493269999999</v>
      </c>
      <c r="E67" s="174"/>
      <c r="H67" s="131"/>
      <c r="K67" s="181" t="s">
        <v>461</v>
      </c>
      <c r="L67" s="181" t="s">
        <v>602</v>
      </c>
      <c r="N67" s="406" t="s">
        <v>263</v>
      </c>
      <c r="O67" s="471">
        <v>2625.971</v>
      </c>
      <c r="P67" s="391"/>
      <c r="Q67" s="391">
        <f t="shared" si="4"/>
        <v>963.42025100000001</v>
      </c>
      <c r="R67" s="424"/>
      <c r="S67" s="391">
        <f t="shared" si="5"/>
        <v>1147.5493269999999</v>
      </c>
    </row>
    <row r="68" spans="1:19" x14ac:dyDescent="0.2">
      <c r="A68" s="133" t="str">
        <f t="shared" si="0"/>
        <v>MID-C for Energy Imbalance Market</v>
      </c>
      <c r="B68" s="137">
        <f t="shared" si="1"/>
        <v>110530.56299999999</v>
      </c>
      <c r="C68" s="148">
        <f t="shared" si="2"/>
        <v>963.42025100000001</v>
      </c>
      <c r="D68" s="149">
        <f t="shared" si="3"/>
        <v>48301.856030999996</v>
      </c>
      <c r="E68" s="174"/>
      <c r="H68" s="131"/>
      <c r="K68" s="181" t="s">
        <v>460</v>
      </c>
      <c r="L68" s="181" t="s">
        <v>602</v>
      </c>
      <c r="M68" s="181" t="s">
        <v>462</v>
      </c>
      <c r="N68" s="406" t="s">
        <v>347</v>
      </c>
      <c r="O68" s="471">
        <v>110530.56299999999</v>
      </c>
      <c r="P68" s="391"/>
      <c r="Q68" s="391">
        <f t="shared" si="4"/>
        <v>963.42025100000001</v>
      </c>
      <c r="R68" s="424"/>
      <c r="S68" s="391">
        <f t="shared" si="5"/>
        <v>48301.856030999996</v>
      </c>
    </row>
    <row r="69" spans="1:19" x14ac:dyDescent="0.2">
      <c r="A69" s="133" t="str">
        <f t="shared" si="0"/>
        <v>Mint Farm</v>
      </c>
      <c r="B69" s="137">
        <f t="shared" si="1"/>
        <v>-16758.375999999997</v>
      </c>
      <c r="C69" s="148">
        <f t="shared" si="2"/>
        <v>1099.2838472277174</v>
      </c>
      <c r="D69" s="149">
        <f t="shared" si="3"/>
        <v>-8356.173387725994</v>
      </c>
      <c r="E69" s="174"/>
      <c r="H69" s="131"/>
      <c r="K69" s="181" t="s">
        <v>461</v>
      </c>
      <c r="L69" s="181" t="s">
        <v>602</v>
      </c>
      <c r="N69" s="406" t="s">
        <v>277</v>
      </c>
      <c r="O69" s="471">
        <v>-16758.375999999997</v>
      </c>
      <c r="P69" s="391"/>
      <c r="Q69" s="391">
        <f t="shared" si="4"/>
        <v>1099.2838472277174</v>
      </c>
      <c r="R69" s="424"/>
      <c r="S69" s="391">
        <f t="shared" si="5"/>
        <v>-8356.173387725994</v>
      </c>
    </row>
    <row r="70" spans="1:19" x14ac:dyDescent="0.2">
      <c r="A70" s="133" t="str">
        <f t="shared" ref="A70:A74" si="6">N70</f>
        <v>Snoqualmie-Energy Imbalance Market</v>
      </c>
      <c r="B70" s="137">
        <f t="shared" ref="B70:B74" si="7">O70</f>
        <v>1788.0920000000001</v>
      </c>
      <c r="C70" s="148">
        <f t="shared" ref="C70:C74" si="8">Q70</f>
        <v>963.42025100000001</v>
      </c>
      <c r="D70" s="149">
        <f t="shared" ref="D70:D74" si="9">S70</f>
        <v>781.39620400000013</v>
      </c>
      <c r="E70" s="174"/>
      <c r="H70" s="131"/>
      <c r="K70" s="181" t="s">
        <v>461</v>
      </c>
      <c r="L70" s="181" t="s">
        <v>602</v>
      </c>
      <c r="N70" s="406" t="s">
        <v>348</v>
      </c>
      <c r="O70" s="471">
        <v>1788.0920000000001</v>
      </c>
      <c r="P70" s="391"/>
      <c r="Q70" s="391">
        <f t="shared" ref="Q70:Q74" si="10">IF(O70&gt;0,H$2,H$10)</f>
        <v>963.42025100000001</v>
      </c>
      <c r="R70" s="424"/>
      <c r="S70" s="391">
        <f t="shared" ref="S70:S74" si="11">(O70*Q70)/2204.623</f>
        <v>781.39620400000013</v>
      </c>
    </row>
    <row r="71" spans="1:19" x14ac:dyDescent="0.2">
      <c r="A71" s="133" t="str">
        <f t="shared" si="6"/>
        <v>Sumas</v>
      </c>
      <c r="B71" s="137">
        <f t="shared" si="7"/>
        <v>24528.660000000003</v>
      </c>
      <c r="C71" s="148">
        <f t="shared" si="8"/>
        <v>963.42025100000001</v>
      </c>
      <c r="D71" s="149">
        <f t="shared" si="9"/>
        <v>10719.02442</v>
      </c>
      <c r="E71" s="174"/>
      <c r="H71" s="131"/>
      <c r="K71" s="181" t="s">
        <v>461</v>
      </c>
      <c r="L71" s="181" t="s">
        <v>602</v>
      </c>
      <c r="N71" s="406" t="s">
        <v>278</v>
      </c>
      <c r="O71" s="471">
        <v>24528.660000000003</v>
      </c>
      <c r="P71" s="391"/>
      <c r="Q71" s="391">
        <f t="shared" si="10"/>
        <v>963.42025100000001</v>
      </c>
      <c r="R71" s="424"/>
      <c r="S71" s="391">
        <f t="shared" si="11"/>
        <v>10719.02442</v>
      </c>
    </row>
    <row r="72" spans="1:19" x14ac:dyDescent="0.2">
      <c r="A72" s="133" t="str">
        <f t="shared" si="6"/>
        <v>Upper Baker</v>
      </c>
      <c r="B72" s="137">
        <f t="shared" si="7"/>
        <v>68798.140999999989</v>
      </c>
      <c r="C72" s="148">
        <f t="shared" si="8"/>
        <v>963.42025100000001</v>
      </c>
      <c r="D72" s="149">
        <f t="shared" si="9"/>
        <v>30064.787616999994</v>
      </c>
      <c r="E72" s="174"/>
      <c r="H72" s="131"/>
      <c r="K72" s="181" t="s">
        <v>461</v>
      </c>
      <c r="L72" s="181" t="s">
        <v>602</v>
      </c>
      <c r="N72" s="406" t="s">
        <v>266</v>
      </c>
      <c r="O72" s="471">
        <v>68798.140999999989</v>
      </c>
      <c r="P72" s="391"/>
      <c r="Q72" s="391">
        <f t="shared" si="10"/>
        <v>963.42025100000001</v>
      </c>
      <c r="R72" s="424"/>
      <c r="S72" s="391">
        <f t="shared" si="11"/>
        <v>30064.787616999994</v>
      </c>
    </row>
    <row r="73" spans="1:19" x14ac:dyDescent="0.2">
      <c r="A73" s="133" t="str">
        <f t="shared" si="6"/>
        <v>Whitehorn 2&amp;3</v>
      </c>
      <c r="B73" s="137">
        <f t="shared" si="7"/>
        <v>13715.259000000002</v>
      </c>
      <c r="C73" s="148">
        <f t="shared" si="8"/>
        <v>963.42025100000001</v>
      </c>
      <c r="D73" s="149">
        <f t="shared" si="9"/>
        <v>5993.5681830000003</v>
      </c>
      <c r="E73" s="174"/>
      <c r="H73" s="131"/>
      <c r="K73" s="181" t="s">
        <v>461</v>
      </c>
      <c r="L73" s="181" t="s">
        <v>602</v>
      </c>
      <c r="N73" s="406" t="s">
        <v>279</v>
      </c>
      <c r="O73" s="471">
        <v>13715.259000000002</v>
      </c>
      <c r="P73" s="391"/>
      <c r="Q73" s="391">
        <f t="shared" si="10"/>
        <v>963.42025100000001</v>
      </c>
      <c r="R73" s="424"/>
      <c r="S73" s="391">
        <f t="shared" si="11"/>
        <v>5993.5681830000003</v>
      </c>
    </row>
    <row r="74" spans="1:19" x14ac:dyDescent="0.2">
      <c r="A74" s="133" t="str">
        <f t="shared" si="6"/>
        <v>Wild Horse (W183)</v>
      </c>
      <c r="B74" s="137">
        <f t="shared" si="7"/>
        <v>-6494.7579999999944</v>
      </c>
      <c r="C74" s="148">
        <f t="shared" si="8"/>
        <v>1099.2838472277174</v>
      </c>
      <c r="D74" s="149">
        <f t="shared" si="9"/>
        <v>-3238.4596191970186</v>
      </c>
      <c r="E74" s="174"/>
      <c r="H74" s="131"/>
      <c r="K74" s="181" t="s">
        <v>461</v>
      </c>
      <c r="L74" s="181" t="s">
        <v>602</v>
      </c>
      <c r="N74" s="406" t="s">
        <v>280</v>
      </c>
      <c r="O74" s="471">
        <v>-6494.7579999999944</v>
      </c>
      <c r="P74" s="391"/>
      <c r="Q74" s="391">
        <f t="shared" si="10"/>
        <v>1099.2838472277174</v>
      </c>
      <c r="R74" s="424"/>
      <c r="S74" s="391">
        <f t="shared" si="11"/>
        <v>-3238.4596191970186</v>
      </c>
    </row>
    <row r="75" spans="1:19" x14ac:dyDescent="0.25">
      <c r="A75" s="133"/>
      <c r="B75" s="137"/>
      <c r="C75" s="148"/>
      <c r="D75" s="149"/>
      <c r="E75" s="174"/>
      <c r="H75" s="131"/>
      <c r="O75" s="471">
        <f>SUM(O5:O74)</f>
        <v>4630644.3780000005</v>
      </c>
    </row>
    <row r="76" spans="1:19" x14ac:dyDescent="0.25">
      <c r="A76" s="133"/>
      <c r="B76" s="137"/>
      <c r="C76" s="148"/>
      <c r="D76" s="149"/>
      <c r="E76" s="174"/>
      <c r="H76" s="131"/>
    </row>
    <row r="77" spans="1:19" x14ac:dyDescent="0.25">
      <c r="A77" s="133"/>
      <c r="B77" s="137"/>
      <c r="C77" s="148"/>
      <c r="D77" s="149"/>
      <c r="E77" s="174"/>
      <c r="H77" s="131"/>
    </row>
    <row r="78" spans="1:19" x14ac:dyDescent="0.25">
      <c r="A78" s="133"/>
      <c r="B78" s="137"/>
      <c r="C78" s="148"/>
      <c r="D78" s="149"/>
      <c r="E78" s="174"/>
      <c r="H78" s="131"/>
    </row>
    <row r="79" spans="1:19" x14ac:dyDescent="0.25">
      <c r="A79" s="133"/>
      <c r="B79" s="137"/>
      <c r="C79" s="148"/>
      <c r="D79" s="149"/>
      <c r="H79" s="131"/>
    </row>
    <row r="80" spans="1:19" ht="21" customHeight="1" x14ac:dyDescent="0.25">
      <c r="A80" s="144" t="s">
        <v>419</v>
      </c>
      <c r="B80" s="146">
        <f>SUM(B5:B79)</f>
        <v>4630460.3780000005</v>
      </c>
      <c r="C80" s="147"/>
      <c r="D80" s="146">
        <f>SUM(D5:D79)</f>
        <v>1958569.5986324535</v>
      </c>
      <c r="H80" s="131"/>
    </row>
    <row r="81" spans="8:8" x14ac:dyDescent="0.25">
      <c r="H81" s="131"/>
    </row>
    <row r="82" spans="8:8" x14ac:dyDescent="0.25">
      <c r="H82" s="131"/>
    </row>
    <row r="83" spans="8:8" x14ac:dyDescent="0.25">
      <c r="H83" s="131"/>
    </row>
    <row r="84" spans="8:8" x14ac:dyDescent="0.25">
      <c r="H84" s="131"/>
    </row>
    <row r="85" spans="8:8" x14ac:dyDescent="0.25">
      <c r="H85" s="131"/>
    </row>
    <row r="86" spans="8:8" x14ac:dyDescent="0.25">
      <c r="H86" s="131"/>
    </row>
    <row r="87" spans="8:8" x14ac:dyDescent="0.25">
      <c r="H87" s="131"/>
    </row>
    <row r="88" spans="8:8" x14ac:dyDescent="0.25">
      <c r="H88" s="131"/>
    </row>
    <row r="89" spans="8:8" x14ac:dyDescent="0.25">
      <c r="H89" s="131"/>
    </row>
    <row r="90" spans="8:8" x14ac:dyDescent="0.25">
      <c r="H90" s="131"/>
    </row>
    <row r="91" spans="8:8" x14ac:dyDescent="0.25">
      <c r="H91" s="131"/>
    </row>
    <row r="92" spans="8:8" x14ac:dyDescent="0.25">
      <c r="H92" s="131"/>
    </row>
    <row r="93" spans="8:8" x14ac:dyDescent="0.25">
      <c r="H93" s="131"/>
    </row>
    <row r="94" spans="8:8" x14ac:dyDescent="0.25">
      <c r="H94" s="131"/>
    </row>
    <row r="95" spans="8:8" x14ac:dyDescent="0.25">
      <c r="H95" s="131"/>
    </row>
    <row r="96" spans="8:8" x14ac:dyDescent="0.25">
      <c r="H96" s="131"/>
    </row>
    <row r="97" spans="8:8" x14ac:dyDescent="0.25">
      <c r="H97" s="131"/>
    </row>
    <row r="98" spans="8:8" x14ac:dyDescent="0.25">
      <c r="H98" s="131"/>
    </row>
    <row r="99" spans="8:8" x14ac:dyDescent="0.25">
      <c r="H99" s="131"/>
    </row>
    <row r="100" spans="8:8" x14ac:dyDescent="0.25">
      <c r="H100" s="131"/>
    </row>
    <row r="101" spans="8:8" x14ac:dyDescent="0.25">
      <c r="H101" s="131"/>
    </row>
    <row r="102" spans="8:8" x14ac:dyDescent="0.25">
      <c r="H102" s="131"/>
    </row>
    <row r="103" spans="8:8" x14ac:dyDescent="0.25">
      <c r="H103" s="131"/>
    </row>
    <row r="104" spans="8:8" x14ac:dyDescent="0.25">
      <c r="H104" s="131"/>
    </row>
    <row r="105" spans="8:8" x14ac:dyDescent="0.25">
      <c r="H105" s="131"/>
    </row>
    <row r="106" spans="8:8" x14ac:dyDescent="0.25">
      <c r="H106" s="131"/>
    </row>
    <row r="107" spans="8:8" x14ac:dyDescent="0.25">
      <c r="H107" s="131"/>
    </row>
    <row r="108" spans="8:8" x14ac:dyDescent="0.25">
      <c r="H108" s="131"/>
    </row>
    <row r="109" spans="8:8" x14ac:dyDescent="0.25">
      <c r="H109" s="131"/>
    </row>
    <row r="110" spans="8:8" x14ac:dyDescent="0.25">
      <c r="H110" s="131"/>
    </row>
    <row r="111" spans="8:8" x14ac:dyDescent="0.25">
      <c r="H111" s="131"/>
    </row>
    <row r="112" spans="8:8" x14ac:dyDescent="0.25">
      <c r="H112" s="131"/>
    </row>
    <row r="113" spans="8:8" x14ac:dyDescent="0.25">
      <c r="H113" s="131"/>
    </row>
    <row r="114" spans="8:8" x14ac:dyDescent="0.25">
      <c r="H114" s="131"/>
    </row>
    <row r="115" spans="8:8" x14ac:dyDescent="0.25">
      <c r="H115" s="131"/>
    </row>
    <row r="116" spans="8:8" x14ac:dyDescent="0.25">
      <c r="H116" s="131"/>
    </row>
    <row r="117" spans="8:8" x14ac:dyDescent="0.25">
      <c r="H117" s="131"/>
    </row>
    <row r="118" spans="8:8" x14ac:dyDescent="0.25">
      <c r="H118" s="131"/>
    </row>
    <row r="119" spans="8:8" x14ac:dyDescent="0.25">
      <c r="H119" s="131"/>
    </row>
    <row r="120" spans="8:8" x14ac:dyDescent="0.25">
      <c r="H120" s="131"/>
    </row>
    <row r="121" spans="8:8" x14ac:dyDescent="0.25">
      <c r="H121" s="131"/>
    </row>
    <row r="122" spans="8:8" x14ac:dyDescent="0.25">
      <c r="H122" s="131"/>
    </row>
    <row r="123" spans="8:8" x14ac:dyDescent="0.25">
      <c r="H123" s="131"/>
    </row>
    <row r="124" spans="8:8" x14ac:dyDescent="0.25">
      <c r="H124" s="131"/>
    </row>
    <row r="125" spans="8:8" x14ac:dyDescent="0.25">
      <c r="H125" s="131"/>
    </row>
    <row r="126" spans="8:8" x14ac:dyDescent="0.25">
      <c r="H126" s="131"/>
    </row>
    <row r="127" spans="8:8" x14ac:dyDescent="0.25">
      <c r="H127" s="131"/>
    </row>
    <row r="128" spans="8:8" x14ac:dyDescent="0.25">
      <c r="H128" s="131"/>
    </row>
    <row r="129" spans="8:8" x14ac:dyDescent="0.25">
      <c r="H129" s="131"/>
    </row>
    <row r="130" spans="8:8" x14ac:dyDescent="0.25">
      <c r="H130" s="131"/>
    </row>
    <row r="131" spans="8:8" x14ac:dyDescent="0.25">
      <c r="H131" s="131"/>
    </row>
    <row r="132" spans="8:8" x14ac:dyDescent="0.25">
      <c r="H132" s="131"/>
    </row>
    <row r="133" spans="8:8" x14ac:dyDescent="0.25">
      <c r="H133" s="131"/>
    </row>
    <row r="134" spans="8:8" x14ac:dyDescent="0.25">
      <c r="H134" s="131"/>
    </row>
    <row r="135" spans="8:8" x14ac:dyDescent="0.25">
      <c r="H135" s="131"/>
    </row>
    <row r="136" spans="8:8" x14ac:dyDescent="0.25">
      <c r="H136" s="131"/>
    </row>
    <row r="137" spans="8:8" x14ac:dyDescent="0.25">
      <c r="H137" s="131"/>
    </row>
    <row r="138" spans="8:8" x14ac:dyDescent="0.25">
      <c r="H138" s="131"/>
    </row>
    <row r="139" spans="8:8" x14ac:dyDescent="0.25">
      <c r="H139" s="131"/>
    </row>
    <row r="140" spans="8:8" x14ac:dyDescent="0.25">
      <c r="H140" s="131"/>
    </row>
    <row r="141" spans="8:8" x14ac:dyDescent="0.25">
      <c r="H141" s="131"/>
    </row>
    <row r="142" spans="8:8" x14ac:dyDescent="0.25">
      <c r="H142" s="131"/>
    </row>
    <row r="143" spans="8:8" x14ac:dyDescent="0.25">
      <c r="H143" s="131"/>
    </row>
    <row r="144" spans="8:8" x14ac:dyDescent="0.25">
      <c r="H144" s="131"/>
    </row>
    <row r="145" spans="8:8" x14ac:dyDescent="0.25">
      <c r="H145" s="131"/>
    </row>
    <row r="146" spans="8:8" x14ac:dyDescent="0.25">
      <c r="H146" s="131"/>
    </row>
    <row r="147" spans="8:8" x14ac:dyDescent="0.25">
      <c r="H147" s="131"/>
    </row>
    <row r="148" spans="8:8" x14ac:dyDescent="0.25">
      <c r="H148" s="131"/>
    </row>
    <row r="149" spans="8:8" x14ac:dyDescent="0.25">
      <c r="H149" s="131"/>
    </row>
    <row r="150" spans="8:8" x14ac:dyDescent="0.25">
      <c r="H150" s="131"/>
    </row>
    <row r="151" spans="8:8" x14ac:dyDescent="0.25">
      <c r="H151" s="131"/>
    </row>
    <row r="152" spans="8:8" x14ac:dyDescent="0.25">
      <c r="H152" s="131"/>
    </row>
    <row r="153" spans="8:8" x14ac:dyDescent="0.25">
      <c r="H153" s="131"/>
    </row>
    <row r="154" spans="8:8" x14ac:dyDescent="0.25">
      <c r="H154" s="131"/>
    </row>
    <row r="155" spans="8:8" x14ac:dyDescent="0.25">
      <c r="H155" s="131"/>
    </row>
    <row r="156" spans="8:8" x14ac:dyDescent="0.25">
      <c r="H156" s="131"/>
    </row>
    <row r="157" spans="8:8" x14ac:dyDescent="0.25">
      <c r="H157" s="131"/>
    </row>
    <row r="158" spans="8:8" x14ac:dyDescent="0.25">
      <c r="H158" s="131"/>
    </row>
    <row r="159" spans="8:8" x14ac:dyDescent="0.25">
      <c r="H159" s="131"/>
    </row>
    <row r="160" spans="8:8" x14ac:dyDescent="0.25">
      <c r="H160" s="131"/>
    </row>
    <row r="161" spans="8:8" x14ac:dyDescent="0.25">
      <c r="H161" s="131"/>
    </row>
  </sheetData>
  <mergeCells count="4">
    <mergeCell ref="B3:B4"/>
    <mergeCell ref="D3:D4"/>
    <mergeCell ref="C3:C4"/>
    <mergeCell ref="A3:A4"/>
  </mergeCells>
  <hyperlinks>
    <hyperlink ref="F2"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2" t="s">
        <v>11</v>
      </c>
    </row>
    <row r="2" spans="1:7" ht="15.75" thickBot="1" x14ac:dyDescent="0.3"/>
    <row r="3" spans="1:7" x14ac:dyDescent="0.25">
      <c r="A3" s="59"/>
      <c r="B3" s="60" t="s">
        <v>15</v>
      </c>
      <c r="C3" s="61" t="s">
        <v>25</v>
      </c>
      <c r="D3" s="65"/>
      <c r="E3" s="63"/>
    </row>
    <row r="4" spans="1:7" x14ac:dyDescent="0.25">
      <c r="A4" s="650" t="s">
        <v>16</v>
      </c>
      <c r="B4" s="652"/>
      <c r="C4" s="35">
        <v>2016</v>
      </c>
      <c r="D4" s="68" t="s">
        <v>39</v>
      </c>
      <c r="E4" s="64"/>
    </row>
    <row r="5" spans="1:7" ht="15.75" thickBot="1" x14ac:dyDescent="0.3">
      <c r="A5" s="653" t="s">
        <v>21</v>
      </c>
      <c r="B5" s="654"/>
      <c r="C5" s="74">
        <f>+F10*'Census Stats 2016'!M39</f>
        <v>2466653.4993227008</v>
      </c>
      <c r="D5" s="62">
        <f>+D13/C5</f>
        <v>8.2899454688770735</v>
      </c>
    </row>
    <row r="6" spans="1:7" x14ac:dyDescent="0.25">
      <c r="A6" s="5"/>
      <c r="B6" s="5"/>
      <c r="C6" s="21"/>
      <c r="E6" s="20"/>
    </row>
    <row r="7" spans="1:7" ht="19.5" thickBot="1" x14ac:dyDescent="0.35">
      <c r="A7" s="5"/>
      <c r="B7" s="57" t="s">
        <v>36</v>
      </c>
      <c r="C7" s="21"/>
      <c r="E7" s="20"/>
    </row>
    <row r="8" spans="1:7" x14ac:dyDescent="0.25">
      <c r="A8" s="39"/>
      <c r="B8" s="40"/>
      <c r="C8" s="40"/>
      <c r="D8" s="40"/>
      <c r="E8" s="40"/>
      <c r="F8" s="41" t="s">
        <v>20</v>
      </c>
      <c r="G8" s="52" t="s">
        <v>40</v>
      </c>
    </row>
    <row r="9" spans="1:7" x14ac:dyDescent="0.25">
      <c r="A9" s="42"/>
      <c r="B9" s="16"/>
      <c r="C9" s="16"/>
      <c r="D9" s="18" t="s">
        <v>14</v>
      </c>
      <c r="E9" s="30" t="s">
        <v>28</v>
      </c>
      <c r="F9" s="23" t="s">
        <v>35</v>
      </c>
      <c r="G9" s="53" t="s">
        <v>20</v>
      </c>
    </row>
    <row r="10" spans="1:7" x14ac:dyDescent="0.25">
      <c r="A10" s="650" t="s">
        <v>12</v>
      </c>
      <c r="B10" s="651"/>
      <c r="C10" s="652"/>
      <c r="D10" s="119">
        <v>10245326</v>
      </c>
      <c r="E10" s="17">
        <f>+D10/D13</f>
        <v>0.50103257351434871</v>
      </c>
      <c r="F10" s="117">
        <v>984739</v>
      </c>
      <c r="G10" s="54">
        <f>+D10/F10</f>
        <v>10.404103016129147</v>
      </c>
    </row>
    <row r="11" spans="1:7" x14ac:dyDescent="0.25">
      <c r="A11" s="650" t="s">
        <v>17</v>
      </c>
      <c r="B11" s="651"/>
      <c r="C11" s="652"/>
      <c r="D11" s="119">
        <f>83933+8895950</f>
        <v>8979883</v>
      </c>
      <c r="E11" s="17">
        <f>+D11/D13</f>
        <v>0.43914794798601342</v>
      </c>
      <c r="F11" s="118">
        <f>125067+12930</f>
        <v>137997</v>
      </c>
      <c r="G11" s="54">
        <f>+D11/F11</f>
        <v>65.073030573128406</v>
      </c>
    </row>
    <row r="12" spans="1:7" x14ac:dyDescent="0.25">
      <c r="A12" s="650" t="s">
        <v>18</v>
      </c>
      <c r="B12" s="651"/>
      <c r="C12" s="652"/>
      <c r="D12" s="119">
        <v>1223214</v>
      </c>
      <c r="E12" s="17">
        <f>+D12/D13</f>
        <v>5.9819478499637847E-2</v>
      </c>
      <c r="F12" s="5"/>
      <c r="G12" s="43"/>
    </row>
    <row r="13" spans="1:7" ht="15.75" thickBot="1" x14ac:dyDescent="0.3">
      <c r="A13" s="44"/>
      <c r="B13" s="655" t="s">
        <v>13</v>
      </c>
      <c r="C13" s="654"/>
      <c r="D13" s="120">
        <f>SUM(D10:D12)</f>
        <v>20448423</v>
      </c>
      <c r="E13" s="45"/>
      <c r="F13" s="46"/>
      <c r="G13" s="47"/>
    </row>
    <row r="15" spans="1:7" ht="19.5" thickBot="1" x14ac:dyDescent="0.35">
      <c r="B15" s="58" t="s">
        <v>37</v>
      </c>
    </row>
    <row r="16" spans="1:7" x14ac:dyDescent="0.25">
      <c r="A16" s="39"/>
      <c r="B16" s="40"/>
      <c r="C16" s="40"/>
      <c r="D16" s="40"/>
      <c r="E16" s="41" t="s">
        <v>29</v>
      </c>
      <c r="F16" s="48" t="s">
        <v>522</v>
      </c>
      <c r="G16" s="49"/>
    </row>
    <row r="17" spans="1:9" ht="18" x14ac:dyDescent="0.35">
      <c r="A17" s="50"/>
      <c r="B17" s="5"/>
      <c r="C17" s="5"/>
      <c r="D17" s="30" t="s">
        <v>19</v>
      </c>
      <c r="E17" s="23" t="s">
        <v>30</v>
      </c>
      <c r="F17" s="19" t="s">
        <v>8</v>
      </c>
      <c r="G17" s="43"/>
    </row>
    <row r="18" spans="1:9" x14ac:dyDescent="0.25">
      <c r="A18" s="637" t="s">
        <v>542</v>
      </c>
      <c r="B18" s="638"/>
      <c r="C18" s="639"/>
      <c r="D18" s="32">
        <f>'2016 Known'!B57</f>
        <v>18455003.524999999</v>
      </c>
      <c r="E18" s="17">
        <f>+D18/(D18+D20)</f>
        <v>0.8387547066287564</v>
      </c>
      <c r="F18" s="9">
        <f>'2016 Known'!C57</f>
        <v>8866654.4601570237</v>
      </c>
      <c r="G18" s="43"/>
    </row>
    <row r="19" spans="1:9" ht="15.75" thickBot="1" x14ac:dyDescent="0.3">
      <c r="A19" s="463"/>
      <c r="B19" s="464"/>
      <c r="C19" s="337" t="s">
        <v>543</v>
      </c>
      <c r="D19" s="323">
        <v>0</v>
      </c>
      <c r="E19" s="276">
        <v>0</v>
      </c>
      <c r="F19" s="323">
        <v>0</v>
      </c>
      <c r="G19" s="43"/>
    </row>
    <row r="20" spans="1:9" ht="18" x14ac:dyDescent="0.35">
      <c r="A20" s="650" t="s">
        <v>34</v>
      </c>
      <c r="B20" s="651"/>
      <c r="C20" s="652"/>
      <c r="D20" s="99">
        <f>'2016 Unknown - Net by'!B81</f>
        <v>3547857.8350000004</v>
      </c>
      <c r="E20" s="56">
        <f>+D20/(D18+D20)</f>
        <v>0.16124529337124363</v>
      </c>
      <c r="F20" s="70">
        <f>'2016 Unknown - Net by'!D81</f>
        <v>1515124.9085044775</v>
      </c>
      <c r="G20" s="72" t="s">
        <v>38</v>
      </c>
    </row>
    <row r="21" spans="1:9" ht="18.75" thickBot="1" x14ac:dyDescent="0.4">
      <c r="A21" s="44"/>
      <c r="B21" s="46"/>
      <c r="C21" s="46"/>
      <c r="D21" s="69">
        <f>+C4</f>
        <v>2016</v>
      </c>
      <c r="E21" s="51" t="s">
        <v>4</v>
      </c>
      <c r="F21" s="71">
        <f>SUM(F18:F20)</f>
        <v>10381779.368661501</v>
      </c>
      <c r="G21" s="73">
        <f>+F21/G23</f>
        <v>1.647545045681841</v>
      </c>
      <c r="I21" s="98"/>
    </row>
    <row r="23" spans="1:9" ht="18" x14ac:dyDescent="0.35">
      <c r="F23" s="22" t="s">
        <v>524</v>
      </c>
      <c r="G23" s="32">
        <f>+G30</f>
        <v>6301362.9860207997</v>
      </c>
      <c r="H23" s="29"/>
    </row>
    <row r="25" spans="1:9" x14ac:dyDescent="0.25">
      <c r="E25" s="29" t="s">
        <v>22</v>
      </c>
      <c r="F25" s="24"/>
      <c r="G25" s="24"/>
    </row>
    <row r="26" spans="1:9" x14ac:dyDescent="0.25">
      <c r="E26" s="24"/>
      <c r="F26" s="24"/>
      <c r="G26" s="27" t="s">
        <v>26</v>
      </c>
    </row>
    <row r="27" spans="1:9" ht="18" x14ac:dyDescent="0.35">
      <c r="E27" s="24"/>
      <c r="F27" s="24"/>
      <c r="G27" s="28" t="s">
        <v>525</v>
      </c>
    </row>
    <row r="28" spans="1:9" x14ac:dyDescent="0.25">
      <c r="E28" s="24"/>
      <c r="F28" s="25" t="s">
        <v>23</v>
      </c>
      <c r="G28" s="26">
        <f>1131957*0.9071847</f>
        <v>1026894.0714579</v>
      </c>
    </row>
    <row r="29" spans="1:9" x14ac:dyDescent="0.25">
      <c r="E29" s="24"/>
      <c r="F29" s="25" t="s">
        <v>24</v>
      </c>
      <c r="G29" s="26">
        <f>2399078*0.9071847</f>
        <v>2176406.8557066</v>
      </c>
    </row>
    <row r="30" spans="1:9" x14ac:dyDescent="0.25">
      <c r="E30" s="24"/>
      <c r="F30" s="25" t="s">
        <v>25</v>
      </c>
      <c r="G30" s="26">
        <f>6946064*0.9071847</f>
        <v>6301362.9860207997</v>
      </c>
    </row>
    <row r="33" spans="6:6" x14ac:dyDescent="0.25">
      <c r="F33" t="s">
        <v>340</v>
      </c>
    </row>
  </sheetData>
  <mergeCells count="8">
    <mergeCell ref="A18:C18"/>
    <mergeCell ref="A20:C20"/>
    <mergeCell ref="A4:B4"/>
    <mergeCell ref="A5:B5"/>
    <mergeCell ref="A10:C10"/>
    <mergeCell ref="A11:C11"/>
    <mergeCell ref="A12:C12"/>
    <mergeCell ref="B13:C1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7"/>
  <sheetViews>
    <sheetView workbookViewId="0">
      <pane ySplit="1605" activePane="bottomLeft"/>
      <selection activeCell="G1" sqref="G1:G1048576"/>
      <selection pane="bottomLeft" activeCell="H21" sqref="H21"/>
    </sheetView>
  </sheetViews>
  <sheetFormatPr defaultColWidth="9.140625" defaultRowHeight="12.75" x14ac:dyDescent="0.2"/>
  <cols>
    <col min="1" max="1" width="47.5703125" style="416" customWidth="1"/>
    <col min="2" max="3" width="16.7109375" style="416" customWidth="1"/>
    <col min="4" max="4" width="9.7109375" style="392" customWidth="1"/>
    <col min="5" max="5" width="9.140625" style="417"/>
    <col min="6" max="6" width="9.7109375" style="417" customWidth="1"/>
    <col min="7" max="7" width="20.42578125" style="542" customWidth="1"/>
    <col min="8" max="8" width="17.5703125" style="416" bestFit="1" customWidth="1"/>
    <col min="9" max="9" width="11.28515625" style="416" bestFit="1" customWidth="1"/>
    <col min="10" max="10" width="9.28515625" style="416" bestFit="1" customWidth="1"/>
    <col min="11" max="11" width="9.7109375" style="416" bestFit="1" customWidth="1"/>
    <col min="12" max="12" width="3.5703125" style="377" customWidth="1"/>
    <col min="13" max="14" width="12" style="373" customWidth="1"/>
    <col min="15" max="16" width="9.140625" style="373"/>
    <col min="17" max="16384" width="9.140625" style="416"/>
  </cols>
  <sheetData>
    <row r="1" spans="1:17" x14ac:dyDescent="0.2">
      <c r="A1" s="414" t="s">
        <v>10</v>
      </c>
      <c r="B1" s="415">
        <v>2016</v>
      </c>
      <c r="C1" s="423"/>
      <c r="G1" s="535"/>
      <c r="H1" s="373"/>
      <c r="I1" s="373"/>
      <c r="J1" s="373">
        <f>'EFs &amp; Rates'!I11</f>
        <v>25</v>
      </c>
      <c r="K1" s="373">
        <f>'EFs &amp; Rates'!J11</f>
        <v>298</v>
      </c>
    </row>
    <row r="2" spans="1:17" ht="14.25" x14ac:dyDescent="0.2">
      <c r="A2" s="378"/>
      <c r="B2" s="379"/>
      <c r="C2" s="380" t="s">
        <v>522</v>
      </c>
      <c r="D2" s="380"/>
      <c r="E2" s="379"/>
      <c r="F2" s="373"/>
      <c r="G2" s="535">
        <v>2016</v>
      </c>
      <c r="H2" s="381" t="s">
        <v>462</v>
      </c>
      <c r="I2" s="382">
        <f>'EFs &amp; Rates'!N5</f>
        <v>963.42025100000001</v>
      </c>
      <c r="J2" s="383" t="s">
        <v>561</v>
      </c>
      <c r="K2" s="373"/>
      <c r="N2" s="485" t="s">
        <v>578</v>
      </c>
    </row>
    <row r="3" spans="1:17" ht="38.25" x14ac:dyDescent="0.2">
      <c r="A3" s="384" t="s">
        <v>0</v>
      </c>
      <c r="B3" s="385" t="s">
        <v>31</v>
      </c>
      <c r="C3" s="386" t="s">
        <v>562</v>
      </c>
      <c r="D3" s="386" t="s">
        <v>424</v>
      </c>
      <c r="E3" s="385" t="s">
        <v>425</v>
      </c>
      <c r="F3" s="387" t="s">
        <v>472</v>
      </c>
      <c r="G3" s="536" t="s">
        <v>576</v>
      </c>
      <c r="H3" s="387" t="s">
        <v>469</v>
      </c>
      <c r="I3" s="388" t="s">
        <v>537</v>
      </c>
      <c r="J3" s="388" t="s">
        <v>538</v>
      </c>
      <c r="K3" s="388" t="s">
        <v>539</v>
      </c>
      <c r="M3" s="439" t="s">
        <v>575</v>
      </c>
      <c r="N3" s="439" t="s">
        <v>577</v>
      </c>
      <c r="O3" s="407" t="s">
        <v>558</v>
      </c>
      <c r="P3" s="407" t="s">
        <v>559</v>
      </c>
      <c r="Q3" s="389" t="s">
        <v>452</v>
      </c>
    </row>
    <row r="4" spans="1:17" x14ac:dyDescent="0.2">
      <c r="A4" s="418" t="s">
        <v>263</v>
      </c>
      <c r="B4" s="419">
        <v>358832.6</v>
      </c>
      <c r="C4" s="419">
        <f>G4</f>
        <v>0</v>
      </c>
      <c r="D4" s="417" t="s">
        <v>464</v>
      </c>
      <c r="E4" s="373" t="s">
        <v>426</v>
      </c>
      <c r="F4" s="392" t="s">
        <v>463</v>
      </c>
      <c r="G4" s="537"/>
      <c r="K4" s="373"/>
    </row>
    <row r="5" spans="1:17" x14ac:dyDescent="0.2">
      <c r="A5" s="418" t="s">
        <v>264</v>
      </c>
      <c r="B5" s="419">
        <v>53046.2</v>
      </c>
      <c r="C5" s="419">
        <f t="shared" ref="C5:C56" si="0">G5</f>
        <v>0</v>
      </c>
      <c r="D5" s="417" t="s">
        <v>464</v>
      </c>
      <c r="E5" s="417" t="s">
        <v>426</v>
      </c>
      <c r="F5" s="392" t="s">
        <v>463</v>
      </c>
      <c r="G5" s="537"/>
      <c r="K5" s="373"/>
    </row>
    <row r="6" spans="1:17" x14ac:dyDescent="0.2">
      <c r="A6" s="418" t="s">
        <v>265</v>
      </c>
      <c r="B6" s="419">
        <v>152538</v>
      </c>
      <c r="C6" s="419">
        <f t="shared" si="0"/>
        <v>0</v>
      </c>
      <c r="D6" s="417" t="s">
        <v>464</v>
      </c>
      <c r="E6" s="417" t="s">
        <v>426</v>
      </c>
      <c r="F6" s="392" t="s">
        <v>463</v>
      </c>
      <c r="G6" s="537"/>
      <c r="K6" s="373"/>
    </row>
    <row r="7" spans="1:17" x14ac:dyDescent="0.2">
      <c r="A7" s="418" t="s">
        <v>266</v>
      </c>
      <c r="B7" s="419">
        <v>369104.94</v>
      </c>
      <c r="C7" s="419">
        <f t="shared" si="0"/>
        <v>0</v>
      </c>
      <c r="D7" s="417" t="s">
        <v>464</v>
      </c>
      <c r="E7" s="417" t="s">
        <v>426</v>
      </c>
      <c r="F7" s="392" t="s">
        <v>463</v>
      </c>
      <c r="G7" s="537"/>
      <c r="K7" s="373"/>
    </row>
    <row r="8" spans="1:17" x14ac:dyDescent="0.2">
      <c r="A8" s="418" t="s">
        <v>572</v>
      </c>
      <c r="B8" s="473">
        <f>1958039+2571140</f>
        <v>4529179</v>
      </c>
      <c r="C8" s="419">
        <f t="shared" si="0"/>
        <v>4642920.9501864174</v>
      </c>
      <c r="D8" s="417" t="s">
        <v>464</v>
      </c>
      <c r="E8" s="417" t="s">
        <v>427</v>
      </c>
      <c r="F8" s="392" t="s">
        <v>427</v>
      </c>
      <c r="G8" s="538">
        <f t="shared" ref="G8" si="1">I8+(J8*$J$1)+(K8*$K$1)</f>
        <v>4642920.9501864174</v>
      </c>
      <c r="I8" s="416">
        <v>4608092.5791526828</v>
      </c>
      <c r="J8" s="416">
        <v>509.55070215768745</v>
      </c>
      <c r="K8" s="373">
        <v>74.126186173799994</v>
      </c>
    </row>
    <row r="9" spans="1:17" x14ac:dyDescent="0.2">
      <c r="A9" s="418" t="s">
        <v>268</v>
      </c>
      <c r="B9" s="419">
        <v>212390.3</v>
      </c>
      <c r="C9" s="419">
        <f t="shared" si="0"/>
        <v>103712.96400000001</v>
      </c>
      <c r="D9" s="417" t="s">
        <v>464</v>
      </c>
      <c r="E9" s="417" t="s">
        <v>429</v>
      </c>
      <c r="F9" s="392" t="s">
        <v>429</v>
      </c>
      <c r="G9" s="539">
        <v>103712.96400000001</v>
      </c>
      <c r="H9" s="470"/>
      <c r="I9" s="475"/>
      <c r="K9" s="373"/>
    </row>
    <row r="10" spans="1:17" x14ac:dyDescent="0.2">
      <c r="A10" s="418" t="s">
        <v>269</v>
      </c>
      <c r="B10" s="419">
        <v>741136.76800000004</v>
      </c>
      <c r="C10" s="419">
        <f t="shared" si="0"/>
        <v>354145.48800000001</v>
      </c>
      <c r="D10" s="417" t="s">
        <v>464</v>
      </c>
      <c r="E10" s="417" t="s">
        <v>429</v>
      </c>
      <c r="F10" s="392" t="s">
        <v>429</v>
      </c>
      <c r="G10" s="539">
        <v>354145.48800000001</v>
      </c>
      <c r="H10" s="470"/>
      <c r="I10" s="475"/>
      <c r="K10" s="373"/>
    </row>
    <row r="11" spans="1:17" x14ac:dyDescent="0.2">
      <c r="A11" s="418" t="s">
        <v>270</v>
      </c>
      <c r="B11" s="419">
        <v>417524.85800000001</v>
      </c>
      <c r="C11" s="419">
        <f t="shared" si="0"/>
        <v>164696.860686</v>
      </c>
      <c r="D11" s="417" t="s">
        <v>464</v>
      </c>
      <c r="E11" s="417" t="s">
        <v>429</v>
      </c>
      <c r="F11" s="392" t="s">
        <v>429</v>
      </c>
      <c r="G11" s="539">
        <f>330384.876*0.4985</f>
        <v>164696.860686</v>
      </c>
      <c r="H11" s="470"/>
      <c r="I11" s="475"/>
    </row>
    <row r="12" spans="1:17" x14ac:dyDescent="0.2">
      <c r="A12" s="418" t="s">
        <v>274</v>
      </c>
      <c r="B12" s="419">
        <v>1028475</v>
      </c>
      <c r="C12" s="419">
        <f t="shared" si="0"/>
        <v>385283.97200000001</v>
      </c>
      <c r="D12" s="417" t="s">
        <v>464</v>
      </c>
      <c r="E12" s="417" t="s">
        <v>429</v>
      </c>
      <c r="F12" s="392" t="s">
        <v>429</v>
      </c>
      <c r="G12" s="539">
        <v>385283.97200000001</v>
      </c>
      <c r="H12" s="470"/>
      <c r="I12" s="475"/>
    </row>
    <row r="13" spans="1:17" x14ac:dyDescent="0.2">
      <c r="A13" s="418" t="s">
        <v>277</v>
      </c>
      <c r="B13" s="419">
        <v>1057946.8</v>
      </c>
      <c r="C13" s="419">
        <f t="shared" si="0"/>
        <v>433450.74400000001</v>
      </c>
      <c r="D13" s="417" t="s">
        <v>464</v>
      </c>
      <c r="E13" s="417" t="s">
        <v>429</v>
      </c>
      <c r="F13" s="392" t="s">
        <v>429</v>
      </c>
      <c r="G13" s="539">
        <v>433450.74400000001</v>
      </c>
      <c r="H13" s="470"/>
      <c r="I13" s="475"/>
    </row>
    <row r="14" spans="1:17" x14ac:dyDescent="0.2">
      <c r="A14" s="418" t="s">
        <v>278</v>
      </c>
      <c r="B14" s="419">
        <v>394996.2</v>
      </c>
      <c r="C14" s="419">
        <f t="shared" si="0"/>
        <v>192574.03599999999</v>
      </c>
      <c r="D14" s="417" t="s">
        <v>464</v>
      </c>
      <c r="E14" s="417" t="s">
        <v>429</v>
      </c>
      <c r="F14" s="392" t="s">
        <v>429</v>
      </c>
      <c r="G14" s="539">
        <v>192574.03599999999</v>
      </c>
      <c r="H14" s="470"/>
      <c r="I14" s="475"/>
    </row>
    <row r="15" spans="1:17" x14ac:dyDescent="0.2">
      <c r="A15" s="418" t="s">
        <v>267</v>
      </c>
      <c r="B15" s="473">
        <v>196.41</v>
      </c>
      <c r="C15" s="419">
        <f t="shared" si="0"/>
        <v>154.94372006759997</v>
      </c>
      <c r="D15" s="417" t="s">
        <v>464</v>
      </c>
      <c r="E15" s="373" t="s">
        <v>428</v>
      </c>
      <c r="F15" s="392" t="s">
        <v>429</v>
      </c>
      <c r="G15" s="538">
        <f t="shared" ref="G15" si="2">I15+(J15*$J$1)+(K15*$K$1)</f>
        <v>154.94372006759997</v>
      </c>
      <c r="H15" s="470"/>
      <c r="I15" s="475">
        <v>154.41383591999997</v>
      </c>
      <c r="J15" s="416">
        <v>6.2634060000000009E-3</v>
      </c>
      <c r="K15" s="416">
        <v>1.2526811999999999E-3</v>
      </c>
    </row>
    <row r="16" spans="1:17" x14ac:dyDescent="0.2">
      <c r="A16" s="418" t="s">
        <v>271</v>
      </c>
      <c r="B16" s="419">
        <f>108950.5+136862.6</f>
        <v>245813.1</v>
      </c>
      <c r="C16" s="419">
        <f t="shared" si="0"/>
        <v>163716.432</v>
      </c>
      <c r="D16" s="417" t="s">
        <v>464</v>
      </c>
      <c r="E16" s="417" t="s">
        <v>429</v>
      </c>
      <c r="F16" s="392" t="s">
        <v>429</v>
      </c>
      <c r="G16" s="539">
        <v>163716.432</v>
      </c>
      <c r="H16" s="470"/>
      <c r="I16" s="475"/>
    </row>
    <row r="17" spans="1:9" x14ac:dyDescent="0.2">
      <c r="A17" s="418" t="s">
        <v>273</v>
      </c>
      <c r="B17" s="419">
        <v>19942.310000000001</v>
      </c>
      <c r="C17" s="419">
        <f t="shared" si="0"/>
        <v>30295.736000000001</v>
      </c>
      <c r="D17" s="417" t="s">
        <v>464</v>
      </c>
      <c r="E17" s="417" t="s">
        <v>429</v>
      </c>
      <c r="F17" s="392" t="s">
        <v>429</v>
      </c>
      <c r="G17" s="539">
        <v>30295.736000000001</v>
      </c>
      <c r="I17" s="476"/>
    </row>
    <row r="18" spans="1:9" x14ac:dyDescent="0.2">
      <c r="A18" s="418" t="s">
        <v>275</v>
      </c>
      <c r="B18" s="419">
        <v>417242.31400000001</v>
      </c>
      <c r="C18" s="419">
        <f t="shared" si="0"/>
        <v>0</v>
      </c>
      <c r="D18" s="417" t="s">
        <v>464</v>
      </c>
      <c r="E18" s="417" t="s">
        <v>430</v>
      </c>
      <c r="F18" s="392" t="s">
        <v>463</v>
      </c>
      <c r="G18" s="537"/>
    </row>
    <row r="19" spans="1:9" x14ac:dyDescent="0.2">
      <c r="A19" s="418" t="s">
        <v>276</v>
      </c>
      <c r="B19" s="419">
        <v>873260.06099999999</v>
      </c>
      <c r="C19" s="419">
        <f t="shared" si="0"/>
        <v>0</v>
      </c>
      <c r="D19" s="417" t="s">
        <v>464</v>
      </c>
      <c r="E19" s="417" t="s">
        <v>430</v>
      </c>
      <c r="F19" s="392" t="s">
        <v>463</v>
      </c>
      <c r="G19" s="537"/>
    </row>
    <row r="20" spans="1:9" x14ac:dyDescent="0.2">
      <c r="A20" s="418" t="s">
        <v>279</v>
      </c>
      <c r="B20" s="419">
        <v>33783.050000000003</v>
      </c>
      <c r="C20" s="419">
        <f t="shared" si="0"/>
        <v>44949.527999999998</v>
      </c>
      <c r="D20" s="417" t="s">
        <v>464</v>
      </c>
      <c r="E20" s="417" t="s">
        <v>429</v>
      </c>
      <c r="F20" s="392" t="s">
        <v>429</v>
      </c>
      <c r="G20" s="539">
        <v>44949.527999999998</v>
      </c>
    </row>
    <row r="21" spans="1:9" x14ac:dyDescent="0.2">
      <c r="A21" s="418" t="s">
        <v>280</v>
      </c>
      <c r="B21" s="419">
        <v>672199.75300000003</v>
      </c>
      <c r="C21" s="419">
        <f t="shared" si="0"/>
        <v>0</v>
      </c>
      <c r="D21" s="417" t="s">
        <v>464</v>
      </c>
      <c r="E21" s="373" t="s">
        <v>430</v>
      </c>
      <c r="F21" s="392" t="s">
        <v>463</v>
      </c>
      <c r="G21" s="538"/>
    </row>
    <row r="22" spans="1:9" x14ac:dyDescent="0.2">
      <c r="A22" s="418" t="s">
        <v>283</v>
      </c>
      <c r="B22" s="419">
        <v>147.732</v>
      </c>
      <c r="C22" s="419">
        <f t="shared" si="0"/>
        <v>0</v>
      </c>
      <c r="D22" s="424" t="s">
        <v>465</v>
      </c>
      <c r="E22" s="373" t="s">
        <v>430</v>
      </c>
      <c r="F22" s="392" t="s">
        <v>463</v>
      </c>
      <c r="G22" s="537"/>
    </row>
    <row r="23" spans="1:9" x14ac:dyDescent="0.2">
      <c r="A23" s="418" t="s">
        <v>284</v>
      </c>
      <c r="B23" s="419">
        <v>19758.352999999999</v>
      </c>
      <c r="C23" s="419">
        <f t="shared" si="0"/>
        <v>8634.4002610000007</v>
      </c>
      <c r="D23" s="424" t="s">
        <v>465</v>
      </c>
      <c r="E23" s="373" t="s">
        <v>432</v>
      </c>
      <c r="F23" s="392" t="s">
        <v>432</v>
      </c>
      <c r="G23" s="540">
        <f t="shared" ref="G23" si="3">(B23*$I$2)/2204.623</f>
        <v>8634.4002610000007</v>
      </c>
    </row>
    <row r="24" spans="1:9" x14ac:dyDescent="0.2">
      <c r="A24" s="418" t="s">
        <v>285</v>
      </c>
      <c r="B24" s="419">
        <v>5.2510000000000003</v>
      </c>
      <c r="C24" s="419">
        <f t="shared" si="0"/>
        <v>0</v>
      </c>
      <c r="D24" s="424" t="s">
        <v>465</v>
      </c>
      <c r="E24" s="373" t="s">
        <v>431</v>
      </c>
      <c r="F24" s="392" t="s">
        <v>463</v>
      </c>
      <c r="G24" s="537"/>
    </row>
    <row r="25" spans="1:9" x14ac:dyDescent="0.2">
      <c r="A25" s="418" t="s">
        <v>286</v>
      </c>
      <c r="B25" s="419">
        <v>12262.769</v>
      </c>
      <c r="C25" s="419">
        <f t="shared" si="0"/>
        <v>0</v>
      </c>
      <c r="D25" s="424" t="s">
        <v>465</v>
      </c>
      <c r="E25" s="373" t="s">
        <v>426</v>
      </c>
      <c r="F25" s="392" t="s">
        <v>463</v>
      </c>
      <c r="G25" s="537"/>
    </row>
    <row r="26" spans="1:9" x14ac:dyDescent="0.2">
      <c r="A26" s="418" t="s">
        <v>173</v>
      </c>
      <c r="B26" s="419">
        <v>7084</v>
      </c>
      <c r="C26" s="419">
        <f t="shared" si="0"/>
        <v>0</v>
      </c>
      <c r="D26" s="424" t="s">
        <v>465</v>
      </c>
      <c r="E26" s="373" t="s">
        <v>426</v>
      </c>
      <c r="F26" s="392" t="s">
        <v>463</v>
      </c>
      <c r="G26" s="537"/>
    </row>
    <row r="27" spans="1:9" x14ac:dyDescent="0.2">
      <c r="A27" s="418" t="s">
        <v>287</v>
      </c>
      <c r="B27" s="419">
        <v>398392</v>
      </c>
      <c r="C27" s="419">
        <f t="shared" si="0"/>
        <v>174097.304</v>
      </c>
      <c r="D27" s="424" t="s">
        <v>465</v>
      </c>
      <c r="E27" s="373" t="s">
        <v>432</v>
      </c>
      <c r="F27" s="392" t="s">
        <v>432</v>
      </c>
      <c r="G27" s="540">
        <f t="shared" ref="G27" si="4">(B27*$I$2)/2204.623</f>
        <v>174097.304</v>
      </c>
    </row>
    <row r="28" spans="1:9" x14ac:dyDescent="0.2">
      <c r="A28" s="418" t="s">
        <v>288</v>
      </c>
      <c r="B28" s="419">
        <v>28.61</v>
      </c>
      <c r="C28" s="419">
        <f t="shared" si="0"/>
        <v>0</v>
      </c>
      <c r="D28" s="424" t="s">
        <v>465</v>
      </c>
      <c r="E28" s="373" t="s">
        <v>433</v>
      </c>
      <c r="F28" s="392" t="s">
        <v>463</v>
      </c>
      <c r="G28" s="537"/>
    </row>
    <row r="29" spans="1:9" x14ac:dyDescent="0.2">
      <c r="A29" s="418" t="s">
        <v>289</v>
      </c>
      <c r="B29" s="419">
        <v>2313083</v>
      </c>
      <c r="C29" s="419">
        <f t="shared" si="0"/>
        <v>0</v>
      </c>
      <c r="D29" s="424" t="s">
        <v>465</v>
      </c>
      <c r="E29" s="417" t="s">
        <v>426</v>
      </c>
      <c r="F29" s="392" t="s">
        <v>463</v>
      </c>
      <c r="G29" s="537"/>
    </row>
    <row r="30" spans="1:9" x14ac:dyDescent="0.2">
      <c r="A30" s="418" t="s">
        <v>290</v>
      </c>
      <c r="B30" s="419">
        <v>-39689</v>
      </c>
      <c r="C30" s="419">
        <f t="shared" si="0"/>
        <v>0</v>
      </c>
      <c r="D30" s="424" t="s">
        <v>465</v>
      </c>
      <c r="E30" s="417" t="s">
        <v>426</v>
      </c>
      <c r="F30" s="392" t="s">
        <v>463</v>
      </c>
      <c r="G30" s="537"/>
    </row>
    <row r="31" spans="1:9" x14ac:dyDescent="0.2">
      <c r="A31" s="418" t="s">
        <v>291</v>
      </c>
      <c r="B31" s="419">
        <v>-82394</v>
      </c>
      <c r="C31" s="419">
        <f t="shared" si="0"/>
        <v>0</v>
      </c>
      <c r="D31" s="424" t="s">
        <v>465</v>
      </c>
      <c r="E31" s="417" t="s">
        <v>426</v>
      </c>
      <c r="F31" s="392" t="s">
        <v>463</v>
      </c>
      <c r="G31" s="537"/>
    </row>
    <row r="32" spans="1:9" x14ac:dyDescent="0.2">
      <c r="A32" s="418" t="s">
        <v>292</v>
      </c>
      <c r="B32" s="419">
        <v>1120584</v>
      </c>
      <c r="C32" s="419">
        <f t="shared" si="0"/>
        <v>0</v>
      </c>
      <c r="D32" s="424" t="s">
        <v>465</v>
      </c>
      <c r="E32" s="417" t="s">
        <v>426</v>
      </c>
      <c r="F32" s="392" t="s">
        <v>463</v>
      </c>
      <c r="G32" s="537"/>
    </row>
    <row r="33" spans="1:15" x14ac:dyDescent="0.2">
      <c r="A33" s="418" t="s">
        <v>293</v>
      </c>
      <c r="B33" s="419">
        <v>4644.826</v>
      </c>
      <c r="C33" s="419">
        <f t="shared" si="0"/>
        <v>0</v>
      </c>
      <c r="D33" s="424" t="s">
        <v>465</v>
      </c>
      <c r="E33" s="417" t="s">
        <v>431</v>
      </c>
      <c r="F33" s="392" t="s">
        <v>463</v>
      </c>
      <c r="G33" s="537"/>
    </row>
    <row r="34" spans="1:15" x14ac:dyDescent="0.2">
      <c r="A34" s="418" t="s">
        <v>294</v>
      </c>
      <c r="B34" s="419">
        <v>4514.4679999999998</v>
      </c>
      <c r="C34" s="419">
        <f t="shared" si="0"/>
        <v>0</v>
      </c>
      <c r="D34" s="424" t="s">
        <v>465</v>
      </c>
      <c r="E34" s="417" t="s">
        <v>431</v>
      </c>
      <c r="F34" s="392" t="s">
        <v>463</v>
      </c>
      <c r="G34" s="537"/>
    </row>
    <row r="35" spans="1:15" x14ac:dyDescent="0.2">
      <c r="A35" s="418" t="s">
        <v>295</v>
      </c>
      <c r="B35" s="419">
        <v>5137.9570000000003</v>
      </c>
      <c r="C35" s="419">
        <f t="shared" si="0"/>
        <v>0</v>
      </c>
      <c r="D35" s="424" t="s">
        <v>465</v>
      </c>
      <c r="E35" s="417" t="s">
        <v>431</v>
      </c>
      <c r="F35" s="392" t="s">
        <v>463</v>
      </c>
      <c r="G35" s="537"/>
    </row>
    <row r="36" spans="1:15" x14ac:dyDescent="0.2">
      <c r="A36" s="418" t="s">
        <v>297</v>
      </c>
      <c r="B36" s="419">
        <v>60243</v>
      </c>
      <c r="C36" s="419">
        <f t="shared" si="0"/>
        <v>0</v>
      </c>
      <c r="D36" s="424" t="s">
        <v>465</v>
      </c>
      <c r="E36" s="417" t="s">
        <v>426</v>
      </c>
      <c r="F36" s="392" t="s">
        <v>463</v>
      </c>
      <c r="G36" s="537"/>
    </row>
    <row r="37" spans="1:15" x14ac:dyDescent="0.2">
      <c r="A37" s="418" t="s">
        <v>299</v>
      </c>
      <c r="B37" s="419">
        <v>59.14</v>
      </c>
      <c r="C37" s="419">
        <f t="shared" si="0"/>
        <v>0</v>
      </c>
      <c r="D37" s="424" t="s">
        <v>465</v>
      </c>
      <c r="E37" s="417" t="s">
        <v>433</v>
      </c>
      <c r="F37" s="392" t="s">
        <v>463</v>
      </c>
      <c r="G37" s="537"/>
    </row>
    <row r="38" spans="1:15" x14ac:dyDescent="0.2">
      <c r="A38" s="418" t="s">
        <v>300</v>
      </c>
      <c r="B38" s="419">
        <v>200</v>
      </c>
      <c r="C38" s="419">
        <f t="shared" si="0"/>
        <v>85.701345321881092</v>
      </c>
      <c r="D38" s="424" t="s">
        <v>465</v>
      </c>
      <c r="E38" s="417" t="s">
        <v>429</v>
      </c>
      <c r="F38" s="392" t="s">
        <v>429</v>
      </c>
      <c r="G38" s="541">
        <f>M38*B38</f>
        <v>85.701345321881092</v>
      </c>
      <c r="H38" s="373"/>
      <c r="I38" s="181"/>
      <c r="J38" s="181"/>
      <c r="K38" s="181"/>
      <c r="M38" s="373">
        <f>N38/O38</f>
        <v>0.42850672660940547</v>
      </c>
      <c r="N38" s="373">
        <v>1040251.084</v>
      </c>
      <c r="O38" s="373">
        <v>2427619.0299999998</v>
      </c>
    </row>
    <row r="39" spans="1:15" x14ac:dyDescent="0.2">
      <c r="A39" s="418" t="s">
        <v>301</v>
      </c>
      <c r="B39" s="419">
        <v>126694</v>
      </c>
      <c r="C39" s="419">
        <f t="shared" si="0"/>
        <v>0</v>
      </c>
      <c r="D39" s="424" t="s">
        <v>465</v>
      </c>
      <c r="E39" s="417" t="s">
        <v>430</v>
      </c>
      <c r="F39" s="392" t="s">
        <v>463</v>
      </c>
      <c r="G39" s="537"/>
    </row>
    <row r="40" spans="1:15" x14ac:dyDescent="0.2">
      <c r="A40" s="418" t="s">
        <v>302</v>
      </c>
      <c r="B40" s="419">
        <v>128.57599999999999</v>
      </c>
      <c r="C40" s="419">
        <f t="shared" si="0"/>
        <v>0</v>
      </c>
      <c r="D40" s="424" t="s">
        <v>465</v>
      </c>
      <c r="E40" s="417" t="s">
        <v>430</v>
      </c>
      <c r="F40" s="392" t="s">
        <v>463</v>
      </c>
      <c r="G40" s="537"/>
    </row>
    <row r="41" spans="1:15" x14ac:dyDescent="0.2">
      <c r="A41" s="418" t="s">
        <v>305</v>
      </c>
      <c r="B41" s="419">
        <v>4372.0810000000001</v>
      </c>
      <c r="C41" s="419">
        <f t="shared" si="0"/>
        <v>0</v>
      </c>
      <c r="D41" s="424" t="s">
        <v>465</v>
      </c>
      <c r="E41" s="417" t="s">
        <v>431</v>
      </c>
      <c r="F41" s="392" t="s">
        <v>463</v>
      </c>
      <c r="G41" s="537"/>
    </row>
    <row r="42" spans="1:15" x14ac:dyDescent="0.2">
      <c r="A42" s="418" t="s">
        <v>306</v>
      </c>
      <c r="B42" s="419">
        <v>4450.1899999999996</v>
      </c>
      <c r="C42" s="419">
        <f t="shared" si="0"/>
        <v>0</v>
      </c>
      <c r="D42" s="424" t="s">
        <v>465</v>
      </c>
      <c r="E42" s="417" t="s">
        <v>426</v>
      </c>
      <c r="F42" s="392" t="s">
        <v>463</v>
      </c>
      <c r="G42" s="537"/>
    </row>
    <row r="43" spans="1:15" x14ac:dyDescent="0.2">
      <c r="A43" s="418" t="s">
        <v>307</v>
      </c>
      <c r="B43" s="419">
        <v>193.251</v>
      </c>
      <c r="C43" s="419">
        <f t="shared" si="0"/>
        <v>0</v>
      </c>
      <c r="D43" s="424" t="s">
        <v>465</v>
      </c>
      <c r="E43" s="417" t="s">
        <v>426</v>
      </c>
      <c r="F43" s="392" t="s">
        <v>463</v>
      </c>
      <c r="G43" s="537"/>
    </row>
    <row r="44" spans="1:15" x14ac:dyDescent="0.2">
      <c r="A44" s="418" t="s">
        <v>309</v>
      </c>
      <c r="B44" s="419">
        <v>11177.98</v>
      </c>
      <c r="C44" s="419">
        <f t="shared" si="0"/>
        <v>0</v>
      </c>
      <c r="D44" s="424" t="s">
        <v>465</v>
      </c>
      <c r="E44" s="417" t="s">
        <v>430</v>
      </c>
      <c r="F44" s="392" t="s">
        <v>463</v>
      </c>
      <c r="G44" s="537"/>
    </row>
    <row r="45" spans="1:15" x14ac:dyDescent="0.2">
      <c r="A45" s="418" t="s">
        <v>310</v>
      </c>
      <c r="B45" s="419">
        <v>1568805</v>
      </c>
      <c r="C45" s="419">
        <f t="shared" si="0"/>
        <v>1746187.5739582172</v>
      </c>
      <c r="D45" s="424" t="s">
        <v>465</v>
      </c>
      <c r="E45" s="417" t="s">
        <v>427</v>
      </c>
      <c r="F45" s="392" t="s">
        <v>427</v>
      </c>
      <c r="G45" s="541">
        <f>M45*B45</f>
        <v>1746187.5739582172</v>
      </c>
      <c r="H45" s="373"/>
      <c r="I45" s="181"/>
      <c r="J45" s="181"/>
      <c r="K45" s="181"/>
      <c r="M45" s="373">
        <f>N45/O45</f>
        <v>1.1130685929469992</v>
      </c>
      <c r="N45" s="373">
        <v>5094331.2680000002</v>
      </c>
      <c r="O45" s="373">
        <v>4576834.976999999</v>
      </c>
    </row>
    <row r="46" spans="1:15" x14ac:dyDescent="0.2">
      <c r="A46" s="418" t="s">
        <v>311</v>
      </c>
      <c r="B46" s="419">
        <v>3115.201</v>
      </c>
      <c r="C46" s="419">
        <f t="shared" si="0"/>
        <v>0</v>
      </c>
      <c r="D46" s="424" t="s">
        <v>465</v>
      </c>
      <c r="E46" s="417" t="s">
        <v>431</v>
      </c>
      <c r="F46" s="392" t="s">
        <v>463</v>
      </c>
      <c r="G46" s="537"/>
    </row>
    <row r="47" spans="1:15" x14ac:dyDescent="0.2">
      <c r="A47" s="418" t="s">
        <v>312</v>
      </c>
      <c r="B47" s="419">
        <v>3277.547</v>
      </c>
      <c r="C47" s="419">
        <f t="shared" si="0"/>
        <v>0</v>
      </c>
      <c r="D47" s="424" t="s">
        <v>465</v>
      </c>
      <c r="E47" s="417" t="s">
        <v>431</v>
      </c>
      <c r="F47" s="392" t="s">
        <v>463</v>
      </c>
      <c r="G47" s="537"/>
    </row>
    <row r="48" spans="1:15" x14ac:dyDescent="0.2">
      <c r="A48" s="418" t="s">
        <v>315</v>
      </c>
      <c r="B48" s="419">
        <v>166693.777</v>
      </c>
      <c r="C48" s="419">
        <f t="shared" si="0"/>
        <v>0</v>
      </c>
      <c r="D48" s="424" t="s">
        <v>465</v>
      </c>
      <c r="E48" s="417" t="s">
        <v>426</v>
      </c>
      <c r="F48" s="392" t="s">
        <v>463</v>
      </c>
      <c r="G48" s="537"/>
    </row>
    <row r="49" spans="1:7" x14ac:dyDescent="0.2">
      <c r="A49" s="418" t="s">
        <v>316</v>
      </c>
      <c r="B49" s="419">
        <v>36724.080999999998</v>
      </c>
      <c r="C49" s="419">
        <f t="shared" si="0"/>
        <v>0</v>
      </c>
      <c r="D49" s="424" t="s">
        <v>465</v>
      </c>
      <c r="E49" s="417" t="s">
        <v>431</v>
      </c>
      <c r="F49" s="392" t="s">
        <v>463</v>
      </c>
      <c r="G49" s="537"/>
    </row>
    <row r="50" spans="1:7" x14ac:dyDescent="0.2">
      <c r="A50" s="418" t="s">
        <v>318</v>
      </c>
      <c r="B50" s="419">
        <v>46042.635999999999</v>
      </c>
      <c r="C50" s="419">
        <f t="shared" si="0"/>
        <v>0</v>
      </c>
      <c r="D50" s="424" t="s">
        <v>465</v>
      </c>
      <c r="E50" s="417" t="s">
        <v>426</v>
      </c>
      <c r="F50" s="392" t="s">
        <v>463</v>
      </c>
      <c r="G50" s="537"/>
    </row>
    <row r="51" spans="1:7" x14ac:dyDescent="0.2">
      <c r="A51" s="418" t="s">
        <v>319</v>
      </c>
      <c r="B51" s="419">
        <v>292.56</v>
      </c>
      <c r="C51" s="419">
        <f t="shared" si="0"/>
        <v>0</v>
      </c>
      <c r="D51" s="424" t="s">
        <v>465</v>
      </c>
      <c r="E51" s="417" t="s">
        <v>431</v>
      </c>
      <c r="F51" s="392" t="s">
        <v>463</v>
      </c>
      <c r="G51" s="537"/>
    </row>
    <row r="52" spans="1:7" x14ac:dyDescent="0.2">
      <c r="A52" s="418" t="s">
        <v>321</v>
      </c>
      <c r="B52" s="419">
        <v>24374.06</v>
      </c>
      <c r="C52" s="419">
        <f t="shared" si="0"/>
        <v>0</v>
      </c>
      <c r="D52" s="424" t="s">
        <v>465</v>
      </c>
      <c r="E52" s="417" t="s">
        <v>426</v>
      </c>
      <c r="F52" s="392" t="s">
        <v>463</v>
      </c>
      <c r="G52" s="537"/>
    </row>
    <row r="53" spans="1:7" x14ac:dyDescent="0.2">
      <c r="A53" s="418" t="s">
        <v>325</v>
      </c>
      <c r="B53" s="419">
        <v>907.41</v>
      </c>
      <c r="C53" s="419">
        <f t="shared" si="0"/>
        <v>0</v>
      </c>
      <c r="D53" s="424" t="s">
        <v>465</v>
      </c>
      <c r="E53" s="417" t="s">
        <v>426</v>
      </c>
      <c r="F53" s="392" t="s">
        <v>463</v>
      </c>
      <c r="G53" s="537"/>
    </row>
    <row r="54" spans="1:7" x14ac:dyDescent="0.2">
      <c r="A54" s="418" t="s">
        <v>326</v>
      </c>
      <c r="B54" s="419">
        <v>79876.214000000007</v>
      </c>
      <c r="C54" s="419">
        <f t="shared" si="0"/>
        <v>0</v>
      </c>
      <c r="D54" s="424" t="s">
        <v>465</v>
      </c>
      <c r="E54" s="417" t="s">
        <v>426</v>
      </c>
      <c r="F54" s="392" t="s">
        <v>463</v>
      </c>
      <c r="G54" s="537"/>
    </row>
    <row r="55" spans="1:7" x14ac:dyDescent="0.2">
      <c r="A55" s="418" t="s">
        <v>327</v>
      </c>
      <c r="B55" s="419">
        <v>11111.191000000001</v>
      </c>
      <c r="C55" s="419">
        <f t="shared" si="0"/>
        <v>0</v>
      </c>
      <c r="D55" s="424" t="s">
        <v>465</v>
      </c>
      <c r="E55" s="417" t="s">
        <v>426</v>
      </c>
      <c r="F55" s="392" t="s">
        <v>463</v>
      </c>
      <c r="G55" s="537"/>
    </row>
    <row r="56" spans="1:7" x14ac:dyDescent="0.2">
      <c r="A56" s="418" t="s">
        <v>341</v>
      </c>
      <c r="B56" s="419">
        <v>965098</v>
      </c>
      <c r="C56" s="419">
        <f t="shared" si="0"/>
        <v>421747.826</v>
      </c>
      <c r="D56" s="424" t="s">
        <v>465</v>
      </c>
      <c r="E56" s="373" t="s">
        <v>432</v>
      </c>
      <c r="F56" s="392" t="s">
        <v>432</v>
      </c>
      <c r="G56" s="540">
        <f t="shared" ref="G56" si="5">(B56*$I$2)/2204.623</f>
        <v>421747.826</v>
      </c>
    </row>
    <row r="57" spans="1:7" x14ac:dyDescent="0.2">
      <c r="B57" s="425">
        <f>SUM(B4:B56)</f>
        <v>18455003.524999999</v>
      </c>
      <c r="C57" s="425">
        <f>SUM(C4:C56)</f>
        <v>8866654.4601570237</v>
      </c>
      <c r="D57" s="426"/>
    </row>
    <row r="58" spans="1:7" x14ac:dyDescent="0.2">
      <c r="B58" s="427"/>
      <c r="C58" s="427"/>
      <c r="D58" s="417"/>
      <c r="E58" s="428"/>
    </row>
    <row r="59" spans="1:7" x14ac:dyDescent="0.2">
      <c r="B59" s="427"/>
      <c r="C59" s="427"/>
      <c r="D59" s="417"/>
      <c r="E59" s="428"/>
    </row>
    <row r="60" spans="1:7" x14ac:dyDescent="0.2">
      <c r="B60" s="427"/>
      <c r="C60" s="427"/>
      <c r="D60" s="417"/>
      <c r="E60" s="428"/>
    </row>
    <row r="61" spans="1:7" x14ac:dyDescent="0.2">
      <c r="D61" s="417"/>
    </row>
    <row r="62" spans="1:7" x14ac:dyDescent="0.2">
      <c r="D62" s="417"/>
    </row>
    <row r="63" spans="1:7" x14ac:dyDescent="0.2">
      <c r="D63" s="417"/>
    </row>
    <row r="64" spans="1:7" x14ac:dyDescent="0.2">
      <c r="D64" s="417"/>
    </row>
    <row r="65" spans="4:4" x14ac:dyDescent="0.2">
      <c r="D65" s="417"/>
    </row>
    <row r="66" spans="4:4" x14ac:dyDescent="0.2">
      <c r="D66" s="417"/>
    </row>
    <row r="67" spans="4:4" x14ac:dyDescent="0.2">
      <c r="D67" s="417"/>
    </row>
  </sheetData>
  <autoFilter ref="A1:K57"/>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2"/>
  <sheetViews>
    <sheetView topLeftCell="A46" workbookViewId="0">
      <selection activeCell="F24" sqref="F24"/>
    </sheetView>
  </sheetViews>
  <sheetFormatPr defaultColWidth="9.140625" defaultRowHeight="15" x14ac:dyDescent="0.25"/>
  <cols>
    <col min="1" max="1" width="46.140625" style="131" customWidth="1"/>
    <col min="2" max="2" width="13.7109375" style="131" customWidth="1"/>
    <col min="3" max="3" width="12.5703125" style="131" customWidth="1"/>
    <col min="4" max="4" width="13.5703125" style="131" customWidth="1"/>
    <col min="5" max="5" width="9.140625" style="131"/>
    <col min="6" max="7" width="21.85546875" style="131" customWidth="1"/>
    <col min="8" max="8" width="12.28515625" style="136" customWidth="1"/>
    <col min="9" max="9" width="16.7109375" style="131" customWidth="1"/>
    <col min="10" max="10" width="9.140625" style="131"/>
    <col min="11" max="13" width="9.140625" style="181"/>
    <col min="14" max="14" width="13.140625" style="406" customWidth="1"/>
    <col min="15" max="15" width="15.7109375" style="181" customWidth="1"/>
    <col min="16" max="17" width="15.7109375" style="406" customWidth="1"/>
    <col min="18" max="18" width="22.7109375" style="406" customWidth="1"/>
    <col min="19" max="19" width="15.7109375" style="406" customWidth="1"/>
    <col min="20" max="16384" width="9.140625" style="131"/>
  </cols>
  <sheetData>
    <row r="2" spans="1:19" ht="25.5" customHeight="1" x14ac:dyDescent="0.25">
      <c r="A2" s="145" t="s">
        <v>436</v>
      </c>
      <c r="B2" s="153"/>
      <c r="C2" s="134"/>
      <c r="D2" s="134"/>
      <c r="E2" s="134"/>
      <c r="F2" s="154" t="s">
        <v>2</v>
      </c>
      <c r="G2" s="134"/>
      <c r="H2" s="150">
        <f>'EFs &amp; Rates'!N5</f>
        <v>963.42025100000001</v>
      </c>
      <c r="I2" s="134" t="s">
        <v>6</v>
      </c>
    </row>
    <row r="3" spans="1:19" ht="26.25" customHeight="1" x14ac:dyDescent="0.25">
      <c r="A3" s="640" t="s">
        <v>0</v>
      </c>
      <c r="B3" s="642" t="s">
        <v>434</v>
      </c>
      <c r="C3" s="642" t="s">
        <v>435</v>
      </c>
      <c r="D3" s="642" t="s">
        <v>521</v>
      </c>
      <c r="E3" s="136"/>
      <c r="F3" s="142" t="s">
        <v>9</v>
      </c>
      <c r="G3" s="143">
        <v>2016</v>
      </c>
      <c r="H3" s="151"/>
    </row>
    <row r="4" spans="1:19" ht="26.25" customHeight="1" x14ac:dyDescent="0.25">
      <c r="A4" s="641"/>
      <c r="B4" s="643"/>
      <c r="C4" s="643"/>
      <c r="D4" s="643"/>
      <c r="E4" s="140"/>
      <c r="H4" s="152"/>
      <c r="K4" s="528" t="s">
        <v>598</v>
      </c>
      <c r="L4" s="528" t="s">
        <v>599</v>
      </c>
      <c r="M4" s="528" t="s">
        <v>424</v>
      </c>
      <c r="N4" s="526" t="s">
        <v>600</v>
      </c>
      <c r="O4" s="531" t="s">
        <v>418</v>
      </c>
      <c r="P4" s="527"/>
      <c r="Q4" s="529" t="s">
        <v>459</v>
      </c>
      <c r="R4" s="530"/>
      <c r="S4" s="530" t="s">
        <v>622</v>
      </c>
    </row>
    <row r="5" spans="1:19" ht="15" customHeight="1" x14ac:dyDescent="0.2">
      <c r="A5" s="133" t="str">
        <f>N5</f>
        <v>Avista Corp. WWP Division</v>
      </c>
      <c r="B5" s="137">
        <f>O5</f>
        <v>-12460</v>
      </c>
      <c r="C5" s="148">
        <f>Q5</f>
        <v>1059.2049104425603</v>
      </c>
      <c r="D5" s="149">
        <f>S5</f>
        <v>-5986.3719030937718</v>
      </c>
      <c r="H5" s="152"/>
      <c r="K5" s="181" t="s">
        <v>460</v>
      </c>
      <c r="L5" s="181" t="s">
        <v>601</v>
      </c>
      <c r="N5" s="406" t="s">
        <v>187</v>
      </c>
      <c r="O5" s="471">
        <v>-12460</v>
      </c>
      <c r="P5" s="391"/>
      <c r="Q5" s="391">
        <f>IF(O5&gt;0,H$2,H$10)</f>
        <v>1059.2049104425603</v>
      </c>
      <c r="R5" s="424"/>
      <c r="S5" s="391">
        <f>(O5*Q5)/2204.623</f>
        <v>-5986.3719030937718</v>
      </c>
    </row>
    <row r="6" spans="1:19" ht="15" customHeight="1" x14ac:dyDescent="0.2">
      <c r="A6" s="133" t="str">
        <f t="shared" ref="A6:A69" si="0">N6</f>
        <v>Avista Nichols Pump</v>
      </c>
      <c r="B6" s="137">
        <f t="shared" ref="B6:B69" si="1">O6</f>
        <v>21796.48</v>
      </c>
      <c r="C6" s="148">
        <f t="shared" ref="C6:C69" si="2">Q6</f>
        <v>963.42025100000001</v>
      </c>
      <c r="D6" s="149">
        <f t="shared" ref="D6:D69" si="3">S6</f>
        <v>9525.0617599999987</v>
      </c>
      <c r="H6" s="152"/>
      <c r="K6" s="181" t="s">
        <v>460</v>
      </c>
      <c r="L6" s="181" t="s">
        <v>601</v>
      </c>
      <c r="N6" s="406" t="s">
        <v>171</v>
      </c>
      <c r="O6" s="471">
        <v>21796.48</v>
      </c>
      <c r="P6" s="391" t="s">
        <v>460</v>
      </c>
      <c r="Q6" s="391">
        <f t="shared" ref="Q6:Q69" si="4">IF(O6&gt;0,H$2,H$10)</f>
        <v>963.42025100000001</v>
      </c>
      <c r="R6" s="424"/>
      <c r="S6" s="391">
        <f t="shared" ref="S6:S69" si="5">(O6*Q6)/2204.623</f>
        <v>9525.0617599999987</v>
      </c>
    </row>
    <row r="7" spans="1:19" ht="15" customHeight="1" x14ac:dyDescent="0.2">
      <c r="A7" s="133" t="str">
        <f t="shared" si="0"/>
        <v>Black Hills Power</v>
      </c>
      <c r="B7" s="137">
        <f t="shared" si="1"/>
        <v>201</v>
      </c>
      <c r="C7" s="148">
        <f t="shared" si="2"/>
        <v>963.42025100000001</v>
      </c>
      <c r="D7" s="149">
        <f t="shared" si="3"/>
        <v>87.837000000000003</v>
      </c>
      <c r="E7" s="136"/>
      <c r="H7" s="152"/>
      <c r="K7" s="181" t="s">
        <v>460</v>
      </c>
      <c r="L7" s="181" t="s">
        <v>601</v>
      </c>
      <c r="N7" s="406" t="s">
        <v>189</v>
      </c>
      <c r="O7" s="471">
        <v>201</v>
      </c>
      <c r="P7" s="391" t="s">
        <v>460</v>
      </c>
      <c r="Q7" s="391">
        <f t="shared" si="4"/>
        <v>963.42025100000001</v>
      </c>
      <c r="R7" s="424"/>
      <c r="S7" s="391">
        <f t="shared" si="5"/>
        <v>87.837000000000003</v>
      </c>
    </row>
    <row r="8" spans="1:19" ht="15" customHeight="1" x14ac:dyDescent="0.2">
      <c r="A8" s="133"/>
      <c r="B8" s="137"/>
      <c r="C8" s="148"/>
      <c r="D8" s="149"/>
      <c r="E8" s="140"/>
      <c r="G8" s="135" t="s">
        <v>437</v>
      </c>
      <c r="H8" s="150">
        <f>'2016 Known'!B57</f>
        <v>18455003.524999999</v>
      </c>
      <c r="I8" s="131" t="s">
        <v>418</v>
      </c>
      <c r="K8" s="181" t="s">
        <v>460</v>
      </c>
      <c r="L8" s="181" t="s">
        <v>601</v>
      </c>
      <c r="N8" s="524" t="s">
        <v>191</v>
      </c>
      <c r="O8" s="471">
        <v>2580</v>
      </c>
      <c r="P8" s="391" t="s">
        <v>460</v>
      </c>
      <c r="Q8" s="391">
        <f t="shared" si="4"/>
        <v>963.42025100000001</v>
      </c>
      <c r="R8" s="424"/>
      <c r="S8" s="391">
        <f t="shared" si="5"/>
        <v>1127.46</v>
      </c>
    </row>
    <row r="9" spans="1:19" ht="15" customHeight="1" x14ac:dyDescent="0.2">
      <c r="A9" s="133" t="str">
        <f t="shared" si="0"/>
        <v>BP Energy Co.</v>
      </c>
      <c r="B9" s="137">
        <f t="shared" si="1"/>
        <v>215742</v>
      </c>
      <c r="C9" s="148">
        <f t="shared" si="2"/>
        <v>963.42025100000001</v>
      </c>
      <c r="D9" s="149">
        <f t="shared" si="3"/>
        <v>94279.254000000001</v>
      </c>
      <c r="F9" s="132"/>
      <c r="G9" s="135" t="s">
        <v>438</v>
      </c>
      <c r="H9" s="150">
        <f>'2016 Known'!C57</f>
        <v>8866654.4601570237</v>
      </c>
      <c r="I9" s="131" t="s">
        <v>520</v>
      </c>
      <c r="K9" s="181" t="s">
        <v>460</v>
      </c>
      <c r="L9" s="181" t="s">
        <v>601</v>
      </c>
      <c r="N9" s="406" t="s">
        <v>192</v>
      </c>
      <c r="O9" s="471">
        <v>215742</v>
      </c>
      <c r="P9" s="391" t="s">
        <v>460</v>
      </c>
      <c r="Q9" s="391">
        <f t="shared" si="4"/>
        <v>963.42025100000001</v>
      </c>
      <c r="R9" s="424"/>
      <c r="S9" s="391">
        <f t="shared" si="5"/>
        <v>94279.254000000001</v>
      </c>
    </row>
    <row r="10" spans="1:19" ht="15" customHeight="1" x14ac:dyDescent="0.2">
      <c r="A10" s="133" t="str">
        <f t="shared" si="0"/>
        <v>BPA</v>
      </c>
      <c r="B10" s="137">
        <f t="shared" si="1"/>
        <v>258423</v>
      </c>
      <c r="C10" s="148">
        <f t="shared" si="2"/>
        <v>963.42025100000001</v>
      </c>
      <c r="D10" s="149">
        <f t="shared" si="3"/>
        <v>112930.851</v>
      </c>
      <c r="G10" s="135" t="s">
        <v>439</v>
      </c>
      <c r="H10" s="137">
        <f>(H9*2204.623)/H8</f>
        <v>1059.2049104425603</v>
      </c>
      <c r="I10" s="131" t="s">
        <v>6</v>
      </c>
      <c r="K10" s="181" t="s">
        <v>460</v>
      </c>
      <c r="L10" s="181" t="s">
        <v>601</v>
      </c>
      <c r="N10" s="406" t="s">
        <v>173</v>
      </c>
      <c r="O10" s="471">
        <v>258423</v>
      </c>
      <c r="P10" s="391" t="s">
        <v>460</v>
      </c>
      <c r="Q10" s="391">
        <f t="shared" si="4"/>
        <v>963.42025100000001</v>
      </c>
      <c r="R10" s="424"/>
      <c r="S10" s="391">
        <f t="shared" si="5"/>
        <v>112930.851</v>
      </c>
    </row>
    <row r="11" spans="1:19" ht="15" customHeight="1" x14ac:dyDescent="0.2">
      <c r="A11" s="133" t="str">
        <f t="shared" si="0"/>
        <v>BPA - NWPP Reserve Sharing Energy</v>
      </c>
      <c r="B11" s="137">
        <f t="shared" si="1"/>
        <v>-159</v>
      </c>
      <c r="C11" s="148">
        <f t="shared" si="2"/>
        <v>1059.2049104425603</v>
      </c>
      <c r="D11" s="149">
        <f t="shared" si="3"/>
        <v>-76.391102134182162</v>
      </c>
      <c r="F11" s="142" t="s">
        <v>9</v>
      </c>
      <c r="G11" s="143">
        <v>2016</v>
      </c>
      <c r="H11" s="151"/>
      <c r="K11" s="181" t="s">
        <v>460</v>
      </c>
      <c r="L11" s="181" t="s">
        <v>601</v>
      </c>
      <c r="N11" s="406" t="s">
        <v>342</v>
      </c>
      <c r="O11" s="471">
        <v>-159</v>
      </c>
      <c r="P11" s="391" t="s">
        <v>460</v>
      </c>
      <c r="Q11" s="391">
        <f t="shared" si="4"/>
        <v>1059.2049104425603</v>
      </c>
      <c r="R11" s="424"/>
      <c r="S11" s="391">
        <f t="shared" si="5"/>
        <v>-76.391102134182162</v>
      </c>
    </row>
    <row r="12" spans="1:19" ht="15" customHeight="1" x14ac:dyDescent="0.2">
      <c r="A12" s="133" t="str">
        <f t="shared" si="0"/>
        <v>British Columbia Transmission Corp</v>
      </c>
      <c r="B12" s="137">
        <f t="shared" si="1"/>
        <v>15</v>
      </c>
      <c r="C12" s="148">
        <f t="shared" si="2"/>
        <v>963.42025100000001</v>
      </c>
      <c r="D12" s="149">
        <f t="shared" si="3"/>
        <v>6.5549999999999997</v>
      </c>
      <c r="K12" s="181" t="s">
        <v>460</v>
      </c>
      <c r="L12" s="181" t="s">
        <v>601</v>
      </c>
      <c r="N12" s="406" t="s">
        <v>193</v>
      </c>
      <c r="O12" s="471">
        <v>15</v>
      </c>
      <c r="P12" s="391" t="s">
        <v>460</v>
      </c>
      <c r="Q12" s="391">
        <f t="shared" si="4"/>
        <v>963.42025100000001</v>
      </c>
      <c r="R12" s="424"/>
      <c r="S12" s="391">
        <f t="shared" si="5"/>
        <v>6.5549999999999997</v>
      </c>
    </row>
    <row r="13" spans="1:19" x14ac:dyDescent="0.2">
      <c r="A13" s="133" t="str">
        <f t="shared" si="0"/>
        <v>California ISO</v>
      </c>
      <c r="B13" s="137">
        <f t="shared" si="1"/>
        <v>33095</v>
      </c>
      <c r="C13" s="148">
        <f t="shared" si="2"/>
        <v>963.42025100000001</v>
      </c>
      <c r="D13" s="149">
        <f t="shared" si="3"/>
        <v>14462.514999999999</v>
      </c>
      <c r="K13" s="181" t="s">
        <v>460</v>
      </c>
      <c r="L13" s="181" t="s">
        <v>601</v>
      </c>
      <c r="N13" s="406" t="s">
        <v>197</v>
      </c>
      <c r="O13" s="471">
        <v>33095</v>
      </c>
      <c r="P13" s="391" t="s">
        <v>460</v>
      </c>
      <c r="Q13" s="391">
        <f t="shared" si="4"/>
        <v>963.42025100000001</v>
      </c>
      <c r="R13" s="424"/>
      <c r="S13" s="391">
        <f t="shared" si="5"/>
        <v>14462.514999999999</v>
      </c>
    </row>
    <row r="14" spans="1:19" x14ac:dyDescent="0.2">
      <c r="A14" s="133" t="str">
        <f t="shared" si="0"/>
        <v>Calpine Energy Services</v>
      </c>
      <c r="B14" s="137">
        <f t="shared" si="1"/>
        <v>-29780</v>
      </c>
      <c r="C14" s="148">
        <f t="shared" si="2"/>
        <v>1059.2049104425603</v>
      </c>
      <c r="D14" s="149">
        <f t="shared" si="3"/>
        <v>-14307.717116704056</v>
      </c>
      <c r="K14" s="181" t="s">
        <v>460</v>
      </c>
      <c r="L14" s="181" t="s">
        <v>601</v>
      </c>
      <c r="N14" s="406" t="s">
        <v>198</v>
      </c>
      <c r="O14" s="471">
        <v>-29780</v>
      </c>
      <c r="P14" s="391" t="s">
        <v>460</v>
      </c>
      <c r="Q14" s="391">
        <f t="shared" si="4"/>
        <v>1059.2049104425603</v>
      </c>
      <c r="R14" s="424"/>
      <c r="S14" s="391">
        <f t="shared" si="5"/>
        <v>-14307.717116704056</v>
      </c>
    </row>
    <row r="15" spans="1:19" x14ac:dyDescent="0.2">
      <c r="A15" s="133" t="str">
        <f t="shared" si="0"/>
        <v>Cargill Power Markets</v>
      </c>
      <c r="B15" s="137">
        <f t="shared" si="1"/>
        <v>470528</v>
      </c>
      <c r="C15" s="148">
        <f t="shared" si="2"/>
        <v>963.42025100000001</v>
      </c>
      <c r="D15" s="149">
        <f t="shared" si="3"/>
        <v>205620.736</v>
      </c>
      <c r="K15" s="181" t="s">
        <v>460</v>
      </c>
      <c r="L15" s="181" t="s">
        <v>601</v>
      </c>
      <c r="N15" s="406" t="s">
        <v>174</v>
      </c>
      <c r="O15" s="471">
        <v>470528</v>
      </c>
      <c r="P15" s="391" t="s">
        <v>460</v>
      </c>
      <c r="Q15" s="391">
        <f t="shared" si="4"/>
        <v>963.42025100000001</v>
      </c>
      <c r="R15" s="424"/>
      <c r="S15" s="391">
        <f t="shared" si="5"/>
        <v>205620.736</v>
      </c>
    </row>
    <row r="16" spans="1:19" x14ac:dyDescent="0.2">
      <c r="A16" s="133" t="str">
        <f t="shared" si="0"/>
        <v>Chelan County PUD #1</v>
      </c>
      <c r="B16" s="137">
        <f t="shared" si="1"/>
        <v>62405</v>
      </c>
      <c r="C16" s="148">
        <f t="shared" si="2"/>
        <v>963.42025100000001</v>
      </c>
      <c r="D16" s="149">
        <f t="shared" si="3"/>
        <v>27270.985000000001</v>
      </c>
      <c r="H16" s="131"/>
      <c r="K16" s="181" t="s">
        <v>460</v>
      </c>
      <c r="L16" s="181" t="s">
        <v>601</v>
      </c>
      <c r="N16" s="406" t="s">
        <v>199</v>
      </c>
      <c r="O16" s="471">
        <v>62405</v>
      </c>
      <c r="P16" s="391" t="s">
        <v>460</v>
      </c>
      <c r="Q16" s="391">
        <f t="shared" si="4"/>
        <v>963.42025100000001</v>
      </c>
      <c r="R16" s="424"/>
      <c r="S16" s="391">
        <f t="shared" si="5"/>
        <v>27270.985000000001</v>
      </c>
    </row>
    <row r="17" spans="1:19" x14ac:dyDescent="0.2">
      <c r="A17" s="133" t="str">
        <f t="shared" si="0"/>
        <v>Citigroup Energy Inc</v>
      </c>
      <c r="B17" s="137">
        <f t="shared" si="1"/>
        <v>122525</v>
      </c>
      <c r="C17" s="148">
        <f t="shared" si="2"/>
        <v>963.42025100000001</v>
      </c>
      <c r="D17" s="149">
        <f t="shared" si="3"/>
        <v>53543.424999999996</v>
      </c>
      <c r="H17" s="131"/>
      <c r="K17" s="181" t="s">
        <v>460</v>
      </c>
      <c r="L17" s="181" t="s">
        <v>601</v>
      </c>
      <c r="N17" s="406" t="s">
        <v>185</v>
      </c>
      <c r="O17" s="471">
        <v>122525</v>
      </c>
      <c r="P17" s="391" t="s">
        <v>460</v>
      </c>
      <c r="Q17" s="391">
        <f t="shared" si="4"/>
        <v>963.42025100000001</v>
      </c>
      <c r="R17" s="424"/>
      <c r="S17" s="391">
        <f t="shared" si="5"/>
        <v>53543.424999999996</v>
      </c>
    </row>
    <row r="18" spans="1:19" x14ac:dyDescent="0.2">
      <c r="A18" s="133" t="str">
        <f t="shared" si="0"/>
        <v>Clark Public Utilities</v>
      </c>
      <c r="B18" s="137">
        <f t="shared" si="1"/>
        <v>157</v>
      </c>
      <c r="C18" s="148">
        <f t="shared" si="2"/>
        <v>963.42025100000001</v>
      </c>
      <c r="D18" s="149">
        <f t="shared" si="3"/>
        <v>68.608999999999995</v>
      </c>
      <c r="H18" s="131"/>
      <c r="K18" s="181" t="s">
        <v>460</v>
      </c>
      <c r="L18" s="181" t="s">
        <v>601</v>
      </c>
      <c r="N18" s="406" t="s">
        <v>201</v>
      </c>
      <c r="O18" s="471">
        <v>157</v>
      </c>
      <c r="P18" s="391" t="s">
        <v>460</v>
      </c>
      <c r="Q18" s="391">
        <f t="shared" si="4"/>
        <v>963.42025100000001</v>
      </c>
      <c r="R18" s="424"/>
      <c r="S18" s="391">
        <f t="shared" si="5"/>
        <v>68.608999999999995</v>
      </c>
    </row>
    <row r="19" spans="1:19" x14ac:dyDescent="0.2">
      <c r="A19" s="133" t="str">
        <f t="shared" si="0"/>
        <v>Clatskanie PUD</v>
      </c>
      <c r="B19" s="137">
        <f t="shared" si="1"/>
        <v>1009</v>
      </c>
      <c r="C19" s="148">
        <f t="shared" si="2"/>
        <v>963.42025100000001</v>
      </c>
      <c r="D19" s="149">
        <f t="shared" si="3"/>
        <v>440.93299999999999</v>
      </c>
      <c r="H19" s="131"/>
      <c r="K19" s="181" t="s">
        <v>460</v>
      </c>
      <c r="L19" s="181" t="s">
        <v>601</v>
      </c>
      <c r="N19" s="406" t="s">
        <v>202</v>
      </c>
      <c r="O19" s="471">
        <v>1009</v>
      </c>
      <c r="P19" s="391" t="s">
        <v>460</v>
      </c>
      <c r="Q19" s="391">
        <f t="shared" si="4"/>
        <v>963.42025100000001</v>
      </c>
      <c r="R19" s="424"/>
      <c r="S19" s="391">
        <f t="shared" si="5"/>
        <v>440.93299999999999</v>
      </c>
    </row>
    <row r="20" spans="1:19" x14ac:dyDescent="0.2">
      <c r="A20" s="133" t="str">
        <f t="shared" si="0"/>
        <v>Conoco, Inc.</v>
      </c>
      <c r="B20" s="137">
        <f t="shared" si="1"/>
        <v>-3825</v>
      </c>
      <c r="C20" s="148">
        <f t="shared" si="2"/>
        <v>1059.2049104425603</v>
      </c>
      <c r="D20" s="149">
        <f t="shared" si="3"/>
        <v>-1837.7104758694766</v>
      </c>
      <c r="H20" s="131"/>
      <c r="K20" s="181" t="s">
        <v>460</v>
      </c>
      <c r="L20" s="181" t="s">
        <v>601</v>
      </c>
      <c r="N20" s="406" t="s">
        <v>203</v>
      </c>
      <c r="O20" s="471">
        <v>-3825</v>
      </c>
      <c r="P20" s="391" t="s">
        <v>460</v>
      </c>
      <c r="Q20" s="391">
        <f t="shared" si="4"/>
        <v>1059.2049104425603</v>
      </c>
      <c r="R20" s="424"/>
      <c r="S20" s="391">
        <f t="shared" si="5"/>
        <v>-1837.7104758694766</v>
      </c>
    </row>
    <row r="21" spans="1:19" x14ac:dyDescent="0.2">
      <c r="A21" s="133" t="str">
        <f t="shared" si="0"/>
        <v>Constellation Power Source, Inc.</v>
      </c>
      <c r="B21" s="137">
        <f t="shared" si="1"/>
        <v>-7</v>
      </c>
      <c r="C21" s="148">
        <f t="shared" si="2"/>
        <v>1059.2049104425603</v>
      </c>
      <c r="D21" s="149">
        <f t="shared" si="3"/>
        <v>-3.3631302826369502</v>
      </c>
      <c r="H21" s="131"/>
      <c r="K21" s="181" t="s">
        <v>460</v>
      </c>
      <c r="L21" s="181" t="s">
        <v>601</v>
      </c>
      <c r="N21" s="406" t="s">
        <v>175</v>
      </c>
      <c r="O21" s="471">
        <v>-7</v>
      </c>
      <c r="P21" s="424" t="s">
        <v>461</v>
      </c>
      <c r="Q21" s="391">
        <f t="shared" si="4"/>
        <v>1059.2049104425603</v>
      </c>
      <c r="R21" s="424"/>
      <c r="S21" s="391">
        <f t="shared" si="5"/>
        <v>-3.3631302826369502</v>
      </c>
    </row>
    <row r="22" spans="1:19" x14ac:dyDescent="0.2">
      <c r="A22" s="133" t="str">
        <f t="shared" si="0"/>
        <v>CP Energy Marketing (Epcor)</v>
      </c>
      <c r="B22" s="137">
        <f t="shared" si="1"/>
        <v>-1642</v>
      </c>
      <c r="C22" s="148">
        <f t="shared" si="2"/>
        <v>1059.2049104425603</v>
      </c>
      <c r="D22" s="149">
        <f t="shared" si="3"/>
        <v>-788.89427486998181</v>
      </c>
      <c r="H22" s="131"/>
      <c r="K22" s="181" t="s">
        <v>460</v>
      </c>
      <c r="L22" s="181" t="s">
        <v>601</v>
      </c>
      <c r="N22" s="406" t="s">
        <v>204</v>
      </c>
      <c r="O22" s="471">
        <v>-1642</v>
      </c>
      <c r="P22" s="424" t="s">
        <v>460</v>
      </c>
      <c r="Q22" s="391">
        <f t="shared" si="4"/>
        <v>1059.2049104425603</v>
      </c>
      <c r="R22" s="424"/>
      <c r="S22" s="391">
        <f t="shared" si="5"/>
        <v>-788.89427486998181</v>
      </c>
    </row>
    <row r="23" spans="1:19" x14ac:dyDescent="0.2">
      <c r="A23" s="133" t="str">
        <f t="shared" si="0"/>
        <v>Deviation</v>
      </c>
      <c r="B23" s="137">
        <f t="shared" si="1"/>
        <v>18141.771000000001</v>
      </c>
      <c r="C23" s="148">
        <f t="shared" si="2"/>
        <v>963.42025100000001</v>
      </c>
      <c r="D23" s="149">
        <f t="shared" si="3"/>
        <v>7927.9539270000005</v>
      </c>
      <c r="H23" s="131"/>
      <c r="J23" s="525" t="s">
        <v>621</v>
      </c>
      <c r="K23" s="181" t="s">
        <v>460</v>
      </c>
      <c r="L23" s="181" t="s">
        <v>601</v>
      </c>
      <c r="N23" s="406" t="s">
        <v>176</v>
      </c>
      <c r="O23" s="471">
        <v>18141.771000000001</v>
      </c>
      <c r="P23" s="424" t="s">
        <v>460</v>
      </c>
      <c r="Q23" s="391">
        <f t="shared" si="4"/>
        <v>963.42025100000001</v>
      </c>
      <c r="R23" s="424"/>
      <c r="S23" s="391">
        <f t="shared" si="5"/>
        <v>7927.9539270000005</v>
      </c>
    </row>
    <row r="24" spans="1:19" x14ac:dyDescent="0.2">
      <c r="A24" s="133" t="str">
        <f t="shared" si="0"/>
        <v>Douglas County PUD #1</v>
      </c>
      <c r="B24" s="137">
        <f t="shared" si="1"/>
        <v>279149</v>
      </c>
      <c r="C24" s="148">
        <f t="shared" si="2"/>
        <v>963.42025100000001</v>
      </c>
      <c r="D24" s="149">
        <f t="shared" si="3"/>
        <v>121988.11300000001</v>
      </c>
      <c r="H24" s="131"/>
      <c r="K24" s="181" t="s">
        <v>460</v>
      </c>
      <c r="L24" s="181" t="s">
        <v>601</v>
      </c>
      <c r="N24" s="406" t="s">
        <v>177</v>
      </c>
      <c r="O24" s="471">
        <v>279149</v>
      </c>
      <c r="P24" s="424" t="s">
        <v>460</v>
      </c>
      <c r="Q24" s="391">
        <f t="shared" si="4"/>
        <v>963.42025100000001</v>
      </c>
      <c r="R24" s="424"/>
      <c r="S24" s="391">
        <f t="shared" si="5"/>
        <v>121988.11300000001</v>
      </c>
    </row>
    <row r="25" spans="1:19" x14ac:dyDescent="0.2">
      <c r="A25" s="133" t="str">
        <f t="shared" si="0"/>
        <v>EDF Trading NA LLC</v>
      </c>
      <c r="B25" s="137">
        <f t="shared" si="1"/>
        <v>-95897</v>
      </c>
      <c r="C25" s="148">
        <f t="shared" si="2"/>
        <v>1059.2049104425603</v>
      </c>
      <c r="D25" s="149">
        <f t="shared" si="3"/>
        <v>-46073.443530576522</v>
      </c>
      <c r="H25" s="131"/>
      <c r="K25" s="181" t="s">
        <v>460</v>
      </c>
      <c r="L25" s="181" t="s">
        <v>601</v>
      </c>
      <c r="N25" s="406" t="s">
        <v>208</v>
      </c>
      <c r="O25" s="471">
        <v>-95897</v>
      </c>
      <c r="P25" s="424" t="s">
        <v>460</v>
      </c>
      <c r="Q25" s="391">
        <f t="shared" si="4"/>
        <v>1059.2049104425603</v>
      </c>
      <c r="R25" s="424"/>
      <c r="S25" s="391">
        <f t="shared" si="5"/>
        <v>-46073.443530576522</v>
      </c>
    </row>
    <row r="26" spans="1:19" x14ac:dyDescent="0.2">
      <c r="A26" s="133" t="str">
        <f t="shared" si="0"/>
        <v>Eugene Water &amp; Electric</v>
      </c>
      <c r="B26" s="137">
        <f t="shared" si="1"/>
        <v>-42733</v>
      </c>
      <c r="C26" s="148">
        <f t="shared" si="2"/>
        <v>1059.2049104425603</v>
      </c>
      <c r="D26" s="149">
        <f t="shared" si="3"/>
        <v>-20530.949481132116</v>
      </c>
      <c r="H26" s="131"/>
      <c r="K26" s="181" t="s">
        <v>460</v>
      </c>
      <c r="L26" s="181" t="s">
        <v>601</v>
      </c>
      <c r="N26" s="406" t="s">
        <v>211</v>
      </c>
      <c r="O26" s="471">
        <v>-42733</v>
      </c>
      <c r="P26" s="424" t="s">
        <v>460</v>
      </c>
      <c r="Q26" s="391">
        <f t="shared" si="4"/>
        <v>1059.2049104425603</v>
      </c>
      <c r="R26" s="424"/>
      <c r="S26" s="391">
        <f t="shared" si="5"/>
        <v>-20530.949481132116</v>
      </c>
    </row>
    <row r="27" spans="1:19" x14ac:dyDescent="0.2">
      <c r="A27" s="133" t="str">
        <f t="shared" si="0"/>
        <v>Exelon Generation Co LLC</v>
      </c>
      <c r="B27" s="137">
        <f t="shared" si="1"/>
        <v>80290</v>
      </c>
      <c r="C27" s="148">
        <f t="shared" si="2"/>
        <v>963.42025100000001</v>
      </c>
      <c r="D27" s="149">
        <f t="shared" si="3"/>
        <v>35086.730000000003</v>
      </c>
      <c r="H27" s="131"/>
      <c r="K27" s="181" t="s">
        <v>460</v>
      </c>
      <c r="L27" s="181" t="s">
        <v>601</v>
      </c>
      <c r="N27" s="406" t="s">
        <v>186</v>
      </c>
      <c r="O27" s="471">
        <v>80290</v>
      </c>
      <c r="P27" s="424" t="s">
        <v>460</v>
      </c>
      <c r="Q27" s="391">
        <f t="shared" si="4"/>
        <v>963.42025100000001</v>
      </c>
      <c r="R27" s="424"/>
      <c r="S27" s="391">
        <f t="shared" si="5"/>
        <v>35086.730000000003</v>
      </c>
    </row>
    <row r="28" spans="1:19" x14ac:dyDescent="0.2">
      <c r="A28" s="133" t="str">
        <f t="shared" si="0"/>
        <v>Grant County PUD #2</v>
      </c>
      <c r="B28" s="137">
        <f t="shared" si="1"/>
        <v>20</v>
      </c>
      <c r="C28" s="148">
        <f t="shared" si="2"/>
        <v>963.42025100000001</v>
      </c>
      <c r="D28" s="149">
        <f t="shared" si="3"/>
        <v>8.7399999999999984</v>
      </c>
      <c r="H28" s="131"/>
      <c r="K28" s="181" t="s">
        <v>460</v>
      </c>
      <c r="L28" s="181" t="s">
        <v>601</v>
      </c>
      <c r="N28" s="406" t="s">
        <v>213</v>
      </c>
      <c r="O28" s="471">
        <v>20</v>
      </c>
      <c r="P28" s="424" t="s">
        <v>461</v>
      </c>
      <c r="Q28" s="391">
        <f t="shared" si="4"/>
        <v>963.42025100000001</v>
      </c>
      <c r="R28" s="424"/>
      <c r="S28" s="391">
        <f t="shared" si="5"/>
        <v>8.7399999999999984</v>
      </c>
    </row>
    <row r="29" spans="1:19" x14ac:dyDescent="0.2">
      <c r="A29" s="133" t="str">
        <f t="shared" si="0"/>
        <v>GRIDFORCE ENERGY MANAGEMENT, LLC.</v>
      </c>
      <c r="B29" s="137">
        <f t="shared" si="1"/>
        <v>-68</v>
      </c>
      <c r="C29" s="148">
        <f t="shared" si="2"/>
        <v>1059.2049104425603</v>
      </c>
      <c r="D29" s="149">
        <f t="shared" si="3"/>
        <v>-32.670408459901807</v>
      </c>
      <c r="H29" s="131"/>
      <c r="K29" s="181" t="s">
        <v>460</v>
      </c>
      <c r="L29" s="181" t="s">
        <v>601</v>
      </c>
      <c r="N29" s="406" t="s">
        <v>343</v>
      </c>
      <c r="O29" s="471">
        <v>-68</v>
      </c>
      <c r="P29" s="424" t="s">
        <v>460</v>
      </c>
      <c r="Q29" s="391">
        <f t="shared" si="4"/>
        <v>1059.2049104425603</v>
      </c>
      <c r="R29" s="424"/>
      <c r="S29" s="391">
        <f t="shared" si="5"/>
        <v>-32.670408459901807</v>
      </c>
    </row>
    <row r="30" spans="1:19" x14ac:dyDescent="0.2">
      <c r="A30" s="133" t="str">
        <f t="shared" si="0"/>
        <v>Iberdrola Renewables (PPM Energy)</v>
      </c>
      <c r="B30" s="137">
        <f t="shared" si="1"/>
        <v>183408</v>
      </c>
      <c r="C30" s="148">
        <f t="shared" si="2"/>
        <v>963.42025100000001</v>
      </c>
      <c r="D30" s="149">
        <f t="shared" si="3"/>
        <v>80149.296000000002</v>
      </c>
      <c r="H30" s="131"/>
      <c r="K30" s="181" t="s">
        <v>460</v>
      </c>
      <c r="L30" s="181" t="s">
        <v>601</v>
      </c>
      <c r="N30" s="406" t="s">
        <v>215</v>
      </c>
      <c r="O30" s="471">
        <v>183408</v>
      </c>
      <c r="P30" s="424" t="s">
        <v>460</v>
      </c>
      <c r="Q30" s="391">
        <f t="shared" si="4"/>
        <v>963.42025100000001</v>
      </c>
      <c r="R30" s="424"/>
      <c r="S30" s="391">
        <f t="shared" si="5"/>
        <v>80149.296000000002</v>
      </c>
    </row>
    <row r="31" spans="1:19" x14ac:dyDescent="0.2">
      <c r="A31" s="133" t="str">
        <f t="shared" si="0"/>
        <v>Idaho Power Company</v>
      </c>
      <c r="B31" s="137">
        <f t="shared" si="1"/>
        <v>-35833</v>
      </c>
      <c r="C31" s="148">
        <f t="shared" si="2"/>
        <v>1059.2049104425603</v>
      </c>
      <c r="D31" s="149">
        <f t="shared" si="3"/>
        <v>-17215.863916818551</v>
      </c>
      <c r="H31" s="131"/>
      <c r="K31" s="181" t="s">
        <v>460</v>
      </c>
      <c r="L31" s="181" t="s">
        <v>601</v>
      </c>
      <c r="N31" s="406" t="s">
        <v>217</v>
      </c>
      <c r="O31" s="471">
        <v>-35833</v>
      </c>
      <c r="P31" s="424" t="s">
        <v>460</v>
      </c>
      <c r="Q31" s="391">
        <f t="shared" si="4"/>
        <v>1059.2049104425603</v>
      </c>
      <c r="R31" s="424"/>
      <c r="S31" s="391">
        <f t="shared" si="5"/>
        <v>-17215.863916818551</v>
      </c>
    </row>
    <row r="32" spans="1:19" x14ac:dyDescent="0.2">
      <c r="A32" s="133" t="str">
        <f t="shared" si="0"/>
        <v>Morgan Stanley CG</v>
      </c>
      <c r="B32" s="137">
        <f t="shared" si="1"/>
        <v>626943</v>
      </c>
      <c r="C32" s="148">
        <f t="shared" si="2"/>
        <v>963.42025100000001</v>
      </c>
      <c r="D32" s="149">
        <f t="shared" si="3"/>
        <v>273974.09100000001</v>
      </c>
      <c r="H32" s="131"/>
      <c r="K32" s="181" t="s">
        <v>460</v>
      </c>
      <c r="L32" s="181" t="s">
        <v>601</v>
      </c>
      <c r="N32" s="406" t="s">
        <v>178</v>
      </c>
      <c r="O32" s="471">
        <v>626943</v>
      </c>
      <c r="P32" s="424" t="s">
        <v>461</v>
      </c>
      <c r="Q32" s="391">
        <f t="shared" si="4"/>
        <v>963.42025100000001</v>
      </c>
      <c r="R32" s="424"/>
      <c r="S32" s="391">
        <f t="shared" si="5"/>
        <v>273974.09100000001</v>
      </c>
    </row>
    <row r="33" spans="1:19" x14ac:dyDescent="0.2">
      <c r="A33" s="133" t="str">
        <f t="shared" si="0"/>
        <v>Natur Ener USA</v>
      </c>
      <c r="B33" s="137">
        <f t="shared" si="1"/>
        <v>-22</v>
      </c>
      <c r="C33" s="148">
        <f t="shared" si="2"/>
        <v>1059.2049104425603</v>
      </c>
      <c r="D33" s="149">
        <f t="shared" si="3"/>
        <v>-10.569838031144702</v>
      </c>
      <c r="H33" s="131"/>
      <c r="K33" s="181" t="s">
        <v>460</v>
      </c>
      <c r="L33" s="181" t="s">
        <v>601</v>
      </c>
      <c r="N33" s="406" t="s">
        <v>226</v>
      </c>
      <c r="O33" s="471">
        <v>-22</v>
      </c>
      <c r="P33" s="424" t="s">
        <v>461</v>
      </c>
      <c r="Q33" s="391">
        <f t="shared" si="4"/>
        <v>1059.2049104425603</v>
      </c>
      <c r="R33" s="424"/>
      <c r="S33" s="391">
        <f t="shared" si="5"/>
        <v>-10.569838031144702</v>
      </c>
    </row>
    <row r="34" spans="1:19" x14ac:dyDescent="0.2">
      <c r="A34" s="133" t="str">
        <f t="shared" si="0"/>
        <v>Nevada Power Company</v>
      </c>
      <c r="B34" s="137">
        <f t="shared" si="1"/>
        <v>-116</v>
      </c>
      <c r="C34" s="148">
        <f t="shared" si="2"/>
        <v>1059.2049104425603</v>
      </c>
      <c r="D34" s="149">
        <f t="shared" si="3"/>
        <v>-55.731873255126608</v>
      </c>
      <c r="H34" s="131"/>
      <c r="K34" s="181" t="s">
        <v>460</v>
      </c>
      <c r="L34" s="181" t="s">
        <v>601</v>
      </c>
      <c r="N34" s="406" t="s">
        <v>261</v>
      </c>
      <c r="O34" s="471">
        <v>-116</v>
      </c>
      <c r="P34" s="424" t="s">
        <v>461</v>
      </c>
      <c r="Q34" s="391">
        <f t="shared" si="4"/>
        <v>1059.2049104425603</v>
      </c>
      <c r="R34" s="424"/>
      <c r="S34" s="391">
        <f t="shared" si="5"/>
        <v>-55.731873255126608</v>
      </c>
    </row>
    <row r="35" spans="1:19" x14ac:dyDescent="0.2">
      <c r="A35" s="133" t="str">
        <f t="shared" si="0"/>
        <v>NextEra Energy Power Marketing</v>
      </c>
      <c r="B35" s="137">
        <f t="shared" si="1"/>
        <v>38906</v>
      </c>
      <c r="C35" s="148">
        <f t="shared" si="2"/>
        <v>963.42025100000001</v>
      </c>
      <c r="D35" s="149">
        <f t="shared" si="3"/>
        <v>17001.921999999999</v>
      </c>
      <c r="H35" s="131"/>
      <c r="K35" s="181" t="s">
        <v>460</v>
      </c>
      <c r="L35" s="181" t="s">
        <v>601</v>
      </c>
      <c r="N35" s="406" t="s">
        <v>227</v>
      </c>
      <c r="O35" s="471">
        <v>38906</v>
      </c>
      <c r="P35" s="424" t="s">
        <v>461</v>
      </c>
      <c r="Q35" s="391">
        <f t="shared" si="4"/>
        <v>963.42025100000001</v>
      </c>
      <c r="R35" s="424"/>
      <c r="S35" s="391">
        <f t="shared" si="5"/>
        <v>17001.921999999999</v>
      </c>
    </row>
    <row r="36" spans="1:19" x14ac:dyDescent="0.2">
      <c r="A36" s="133" t="str">
        <f t="shared" si="0"/>
        <v>Noble Americas Gas &amp; Power</v>
      </c>
      <c r="B36" s="137">
        <f t="shared" si="1"/>
        <v>1200</v>
      </c>
      <c r="C36" s="148">
        <f t="shared" si="2"/>
        <v>963.42025100000001</v>
      </c>
      <c r="D36" s="149">
        <f t="shared" si="3"/>
        <v>524.40000000000009</v>
      </c>
      <c r="H36" s="131"/>
      <c r="K36" s="181" t="s">
        <v>460</v>
      </c>
      <c r="L36" s="181" t="s">
        <v>601</v>
      </c>
      <c r="N36" s="406" t="s">
        <v>229</v>
      </c>
      <c r="O36" s="471">
        <v>1200</v>
      </c>
      <c r="P36" s="424" t="s">
        <v>461</v>
      </c>
      <c r="Q36" s="391">
        <f t="shared" si="4"/>
        <v>963.42025100000001</v>
      </c>
      <c r="R36" s="424"/>
      <c r="S36" s="391">
        <f t="shared" si="5"/>
        <v>524.40000000000009</v>
      </c>
    </row>
    <row r="37" spans="1:19" x14ac:dyDescent="0.2">
      <c r="A37" s="133" t="str">
        <f t="shared" si="0"/>
        <v>NorthPoint Energy Solutions, Inc.</v>
      </c>
      <c r="B37" s="137">
        <f t="shared" si="1"/>
        <v>336</v>
      </c>
      <c r="C37" s="148">
        <f t="shared" si="2"/>
        <v>963.42025100000001</v>
      </c>
      <c r="D37" s="149">
        <f t="shared" si="3"/>
        <v>146.83200000000002</v>
      </c>
      <c r="H37" s="131"/>
      <c r="K37" s="181" t="s">
        <v>460</v>
      </c>
      <c r="L37" s="181" t="s">
        <v>601</v>
      </c>
      <c r="N37" s="406" t="s">
        <v>230</v>
      </c>
      <c r="O37" s="471">
        <v>336</v>
      </c>
      <c r="P37" s="424" t="s">
        <v>460</v>
      </c>
      <c r="Q37" s="391">
        <f t="shared" si="4"/>
        <v>963.42025100000001</v>
      </c>
      <c r="R37" s="424"/>
      <c r="S37" s="391">
        <f t="shared" si="5"/>
        <v>146.83200000000002</v>
      </c>
    </row>
    <row r="38" spans="1:19" x14ac:dyDescent="0.2">
      <c r="A38" s="133" t="str">
        <f t="shared" si="0"/>
        <v>Northwestern Energy</v>
      </c>
      <c r="B38" s="137">
        <f t="shared" si="1"/>
        <v>-35274</v>
      </c>
      <c r="C38" s="148">
        <f t="shared" si="2"/>
        <v>1059.2049104425603</v>
      </c>
      <c r="D38" s="149">
        <f t="shared" si="3"/>
        <v>-16947.293941390828</v>
      </c>
      <c r="H38" s="131"/>
      <c r="K38" s="181" t="s">
        <v>460</v>
      </c>
      <c r="L38" s="181" t="s">
        <v>601</v>
      </c>
      <c r="N38" s="406" t="s">
        <v>231</v>
      </c>
      <c r="O38" s="471">
        <v>-35274</v>
      </c>
      <c r="P38" s="424" t="s">
        <v>460</v>
      </c>
      <c r="Q38" s="391">
        <f t="shared" si="4"/>
        <v>1059.2049104425603</v>
      </c>
      <c r="R38" s="424"/>
      <c r="S38" s="391">
        <f t="shared" si="5"/>
        <v>-16947.293941390828</v>
      </c>
    </row>
    <row r="39" spans="1:19" x14ac:dyDescent="0.2">
      <c r="A39" s="133" t="str">
        <f t="shared" si="0"/>
        <v>Okanogan PUD</v>
      </c>
      <c r="B39" s="137">
        <f t="shared" si="1"/>
        <v>6305</v>
      </c>
      <c r="C39" s="148">
        <f t="shared" si="2"/>
        <v>963.42025100000001</v>
      </c>
      <c r="D39" s="149">
        <f t="shared" si="3"/>
        <v>2755.2849999999999</v>
      </c>
      <c r="H39" s="131"/>
      <c r="K39" s="181" t="s">
        <v>460</v>
      </c>
      <c r="L39" s="181" t="s">
        <v>601</v>
      </c>
      <c r="N39" s="406" t="s">
        <v>233</v>
      </c>
      <c r="O39" s="471">
        <v>6305</v>
      </c>
      <c r="P39" s="424" t="s">
        <v>460</v>
      </c>
      <c r="Q39" s="391">
        <f t="shared" si="4"/>
        <v>963.42025100000001</v>
      </c>
      <c r="R39" s="424"/>
      <c r="S39" s="391">
        <f t="shared" si="5"/>
        <v>2755.2849999999999</v>
      </c>
    </row>
    <row r="40" spans="1:19" x14ac:dyDescent="0.2">
      <c r="A40" s="133" t="str">
        <f t="shared" si="0"/>
        <v>Pacificorp</v>
      </c>
      <c r="B40" s="137">
        <f t="shared" si="1"/>
        <v>-139480</v>
      </c>
      <c r="C40" s="148">
        <f t="shared" si="2"/>
        <v>1059.2049104425603</v>
      </c>
      <c r="D40" s="149">
        <f t="shared" si="3"/>
        <v>-67012.7731174574</v>
      </c>
      <c r="H40" s="131"/>
      <c r="K40" s="181" t="s">
        <v>460</v>
      </c>
      <c r="L40" s="181" t="s">
        <v>601</v>
      </c>
      <c r="N40" s="406" t="s">
        <v>236</v>
      </c>
      <c r="O40" s="471">
        <v>-139480</v>
      </c>
      <c r="P40" s="424" t="s">
        <v>460</v>
      </c>
      <c r="Q40" s="391">
        <f t="shared" si="4"/>
        <v>1059.2049104425603</v>
      </c>
      <c r="R40" s="424"/>
      <c r="S40" s="391">
        <f t="shared" si="5"/>
        <v>-67012.7731174574</v>
      </c>
    </row>
    <row r="41" spans="1:19" x14ac:dyDescent="0.2">
      <c r="A41" s="133" t="str">
        <f t="shared" si="0"/>
        <v>Portland General Electric</v>
      </c>
      <c r="B41" s="137">
        <f t="shared" si="1"/>
        <v>5929</v>
      </c>
      <c r="C41" s="148">
        <f t="shared" si="2"/>
        <v>963.42025100000001</v>
      </c>
      <c r="D41" s="149">
        <f t="shared" si="3"/>
        <v>2590.973</v>
      </c>
      <c r="H41" s="131"/>
      <c r="K41" s="181" t="s">
        <v>460</v>
      </c>
      <c r="L41" s="181" t="s">
        <v>601</v>
      </c>
      <c r="N41" s="406" t="s">
        <v>238</v>
      </c>
      <c r="O41" s="471">
        <v>5929</v>
      </c>
      <c r="P41" s="424" t="s">
        <v>461</v>
      </c>
      <c r="Q41" s="391">
        <f t="shared" si="4"/>
        <v>963.42025100000001</v>
      </c>
      <c r="R41" s="424"/>
      <c r="S41" s="391">
        <f t="shared" si="5"/>
        <v>2590.973</v>
      </c>
    </row>
    <row r="42" spans="1:19" x14ac:dyDescent="0.2">
      <c r="A42" s="133" t="str">
        <f t="shared" si="0"/>
        <v>Powerex Corp.</v>
      </c>
      <c r="B42" s="137">
        <f t="shared" si="1"/>
        <v>-276170</v>
      </c>
      <c r="C42" s="148">
        <f t="shared" si="2"/>
        <v>1059.2049104425603</v>
      </c>
      <c r="D42" s="149">
        <f t="shared" si="3"/>
        <v>-132685.09859369235</v>
      </c>
      <c r="H42" s="131"/>
      <c r="K42" s="181" t="s">
        <v>460</v>
      </c>
      <c r="L42" s="181" t="s">
        <v>601</v>
      </c>
      <c r="N42" s="406" t="s">
        <v>180</v>
      </c>
      <c r="O42" s="471">
        <v>-276170</v>
      </c>
      <c r="P42" s="424" t="s">
        <v>460</v>
      </c>
      <c r="Q42" s="391">
        <f t="shared" si="4"/>
        <v>1059.2049104425603</v>
      </c>
      <c r="R42" s="424"/>
      <c r="S42" s="391">
        <f t="shared" si="5"/>
        <v>-132685.09859369235</v>
      </c>
    </row>
    <row r="43" spans="1:19" x14ac:dyDescent="0.2">
      <c r="A43" s="133" t="str">
        <f t="shared" si="0"/>
        <v>Public Service of Colorado</v>
      </c>
      <c r="B43" s="137">
        <f t="shared" si="1"/>
        <v>-28595</v>
      </c>
      <c r="C43" s="148">
        <f t="shared" si="2"/>
        <v>1059.2049104425603</v>
      </c>
      <c r="D43" s="149">
        <f t="shared" si="3"/>
        <v>-13738.387204571942</v>
      </c>
      <c r="H43" s="131"/>
      <c r="K43" s="181" t="s">
        <v>460</v>
      </c>
      <c r="L43" s="181" t="s">
        <v>601</v>
      </c>
      <c r="N43" s="406" t="s">
        <v>239</v>
      </c>
      <c r="O43" s="471">
        <v>-28595</v>
      </c>
      <c r="P43" s="424" t="s">
        <v>461</v>
      </c>
      <c r="Q43" s="391">
        <f t="shared" si="4"/>
        <v>1059.2049104425603</v>
      </c>
      <c r="R43" s="424"/>
      <c r="S43" s="391">
        <f t="shared" si="5"/>
        <v>-13738.387204571942</v>
      </c>
    </row>
    <row r="44" spans="1:19" x14ac:dyDescent="0.2">
      <c r="A44" s="133" t="str">
        <f t="shared" si="0"/>
        <v>Rainbow Energy Marketing</v>
      </c>
      <c r="B44" s="137">
        <f t="shared" si="1"/>
        <v>-20488</v>
      </c>
      <c r="C44" s="148">
        <f t="shared" si="2"/>
        <v>1059.2049104425603</v>
      </c>
      <c r="D44" s="149">
        <f t="shared" si="3"/>
        <v>-9843.4018900951196</v>
      </c>
      <c r="H44" s="131"/>
      <c r="K44" s="181" t="s">
        <v>460</v>
      </c>
      <c r="L44" s="181" t="s">
        <v>601</v>
      </c>
      <c r="N44" s="406" t="s">
        <v>240</v>
      </c>
      <c r="O44" s="471">
        <v>-20488</v>
      </c>
      <c r="P44" s="424" t="s">
        <v>460</v>
      </c>
      <c r="Q44" s="391">
        <f t="shared" si="4"/>
        <v>1059.2049104425603</v>
      </c>
      <c r="R44" s="424"/>
      <c r="S44" s="391">
        <f t="shared" si="5"/>
        <v>-9843.4018900951196</v>
      </c>
    </row>
    <row r="45" spans="1:19" x14ac:dyDescent="0.2">
      <c r="A45" s="133" t="str">
        <f t="shared" si="0"/>
        <v>Sacramento Municipal</v>
      </c>
      <c r="B45" s="137">
        <f t="shared" si="1"/>
        <v>143</v>
      </c>
      <c r="C45" s="148">
        <f t="shared" si="2"/>
        <v>963.42025100000001</v>
      </c>
      <c r="D45" s="149">
        <f t="shared" si="3"/>
        <v>62.490999999999993</v>
      </c>
      <c r="H45" s="131"/>
      <c r="K45" s="181" t="s">
        <v>460</v>
      </c>
      <c r="L45" s="181" t="s">
        <v>601</v>
      </c>
      <c r="N45" s="406" t="s">
        <v>242</v>
      </c>
      <c r="O45" s="471">
        <v>143</v>
      </c>
      <c r="P45" s="424" t="s">
        <v>460</v>
      </c>
      <c r="Q45" s="391">
        <f t="shared" si="4"/>
        <v>963.42025100000001</v>
      </c>
      <c r="R45" s="424"/>
      <c r="S45" s="391">
        <f t="shared" si="5"/>
        <v>62.490999999999993</v>
      </c>
    </row>
    <row r="46" spans="1:19" x14ac:dyDescent="0.2">
      <c r="A46" s="133" t="str">
        <f t="shared" si="0"/>
        <v>Seattle City Light Marketing</v>
      </c>
      <c r="B46" s="137">
        <f t="shared" si="1"/>
        <v>62420</v>
      </c>
      <c r="C46" s="148">
        <f t="shared" si="2"/>
        <v>963.42025100000001</v>
      </c>
      <c r="D46" s="149">
        <f t="shared" si="3"/>
        <v>27277.539999999997</v>
      </c>
      <c r="H46" s="131"/>
      <c r="K46" s="181" t="s">
        <v>460</v>
      </c>
      <c r="L46" s="181" t="s">
        <v>601</v>
      </c>
      <c r="N46" s="406" t="s">
        <v>181</v>
      </c>
      <c r="O46" s="471">
        <v>62420</v>
      </c>
      <c r="P46" s="424" t="s">
        <v>460</v>
      </c>
      <c r="Q46" s="391">
        <f t="shared" si="4"/>
        <v>963.42025100000001</v>
      </c>
      <c r="R46" s="424"/>
      <c r="S46" s="391">
        <f t="shared" si="5"/>
        <v>27277.539999999997</v>
      </c>
    </row>
    <row r="47" spans="1:19" x14ac:dyDescent="0.2">
      <c r="A47" s="133" t="str">
        <f t="shared" si="0"/>
        <v>Shell Energy (Coral Pwr)</v>
      </c>
      <c r="B47" s="137">
        <f t="shared" si="1"/>
        <v>93989</v>
      </c>
      <c r="C47" s="148">
        <f t="shared" si="2"/>
        <v>963.42025100000001</v>
      </c>
      <c r="D47" s="149">
        <f t="shared" si="3"/>
        <v>41073.192999999999</v>
      </c>
      <c r="H47" s="131"/>
      <c r="K47" s="181" t="s">
        <v>460</v>
      </c>
      <c r="L47" s="181" t="s">
        <v>601</v>
      </c>
      <c r="N47" s="406" t="s">
        <v>182</v>
      </c>
      <c r="O47" s="471">
        <v>93989</v>
      </c>
      <c r="P47" s="424" t="s">
        <v>460</v>
      </c>
      <c r="Q47" s="391">
        <f t="shared" si="4"/>
        <v>963.42025100000001</v>
      </c>
      <c r="R47" s="424"/>
      <c r="S47" s="391">
        <f t="shared" si="5"/>
        <v>41073.192999999999</v>
      </c>
    </row>
    <row r="48" spans="1:19" x14ac:dyDescent="0.2">
      <c r="A48" s="133" t="str">
        <f t="shared" si="0"/>
        <v>Snohomish County PUD #1</v>
      </c>
      <c r="B48" s="137">
        <f t="shared" si="1"/>
        <v>19380</v>
      </c>
      <c r="C48" s="148">
        <f t="shared" si="2"/>
        <v>963.42025100000001</v>
      </c>
      <c r="D48" s="149">
        <f t="shared" si="3"/>
        <v>8469.06</v>
      </c>
      <c r="H48" s="131"/>
      <c r="K48" s="181" t="s">
        <v>460</v>
      </c>
      <c r="L48" s="181" t="s">
        <v>601</v>
      </c>
      <c r="N48" s="406" t="s">
        <v>247</v>
      </c>
      <c r="O48" s="471">
        <v>19380</v>
      </c>
      <c r="P48" s="424" t="s">
        <v>460</v>
      </c>
      <c r="Q48" s="391">
        <f t="shared" si="4"/>
        <v>963.42025100000001</v>
      </c>
      <c r="R48" s="424"/>
      <c r="S48" s="391">
        <f t="shared" si="5"/>
        <v>8469.06</v>
      </c>
    </row>
    <row r="49" spans="1:19" x14ac:dyDescent="0.2">
      <c r="A49" s="133" t="str">
        <f t="shared" si="0"/>
        <v>Southern Cal - Edison</v>
      </c>
      <c r="B49" s="137">
        <f t="shared" si="1"/>
        <v>100</v>
      </c>
      <c r="C49" s="148">
        <f t="shared" si="2"/>
        <v>963.42025100000001</v>
      </c>
      <c r="D49" s="149">
        <f t="shared" si="3"/>
        <v>43.699999999999996</v>
      </c>
      <c r="H49" s="131"/>
      <c r="K49" s="181" t="s">
        <v>460</v>
      </c>
      <c r="L49" s="181" t="s">
        <v>601</v>
      </c>
      <c r="N49" s="406" t="s">
        <v>248</v>
      </c>
      <c r="O49" s="471">
        <v>100</v>
      </c>
      <c r="P49" s="424" t="s">
        <v>460</v>
      </c>
      <c r="Q49" s="391">
        <f t="shared" si="4"/>
        <v>963.42025100000001</v>
      </c>
      <c r="R49" s="424"/>
      <c r="S49" s="391">
        <f t="shared" si="5"/>
        <v>43.699999999999996</v>
      </c>
    </row>
    <row r="50" spans="1:19" x14ac:dyDescent="0.2">
      <c r="A50" s="133" t="str">
        <f t="shared" si="0"/>
        <v>Tacoma Power</v>
      </c>
      <c r="B50" s="137">
        <f t="shared" si="1"/>
        <v>52178</v>
      </c>
      <c r="C50" s="148">
        <f t="shared" si="2"/>
        <v>963.42025100000001</v>
      </c>
      <c r="D50" s="149">
        <f t="shared" si="3"/>
        <v>22801.786</v>
      </c>
      <c r="H50" s="131"/>
      <c r="K50" s="181" t="s">
        <v>460</v>
      </c>
      <c r="L50" s="181" t="s">
        <v>601</v>
      </c>
      <c r="N50" s="406" t="s">
        <v>183</v>
      </c>
      <c r="O50" s="471">
        <v>52178</v>
      </c>
      <c r="P50" s="424" t="s">
        <v>460</v>
      </c>
      <c r="Q50" s="391">
        <f t="shared" si="4"/>
        <v>963.42025100000001</v>
      </c>
      <c r="R50" s="424"/>
      <c r="S50" s="391">
        <f t="shared" si="5"/>
        <v>22801.786</v>
      </c>
    </row>
    <row r="51" spans="1:19" x14ac:dyDescent="0.2">
      <c r="A51" s="133" t="str">
        <f t="shared" si="0"/>
        <v>Talen Energy (PPL Energy Plus)</v>
      </c>
      <c r="B51" s="137">
        <f t="shared" si="1"/>
        <v>165789</v>
      </c>
      <c r="C51" s="148">
        <f t="shared" si="2"/>
        <v>963.42025100000001</v>
      </c>
      <c r="D51" s="149">
        <f t="shared" si="3"/>
        <v>72449.793000000005</v>
      </c>
      <c r="H51" s="131"/>
      <c r="K51" s="181" t="s">
        <v>460</v>
      </c>
      <c r="L51" s="181" t="s">
        <v>601</v>
      </c>
      <c r="N51" s="406" t="s">
        <v>249</v>
      </c>
      <c r="O51" s="471">
        <v>165789</v>
      </c>
      <c r="P51" s="424" t="s">
        <v>460</v>
      </c>
      <c r="Q51" s="391">
        <f t="shared" si="4"/>
        <v>963.42025100000001</v>
      </c>
      <c r="R51" s="424"/>
      <c r="S51" s="391">
        <f t="shared" si="5"/>
        <v>72449.793000000005</v>
      </c>
    </row>
    <row r="52" spans="1:19" x14ac:dyDescent="0.2">
      <c r="A52" s="133" t="str">
        <f t="shared" si="0"/>
        <v>Tenaska Power Services Co.</v>
      </c>
      <c r="B52" s="137">
        <f t="shared" si="1"/>
        <v>958</v>
      </c>
      <c r="C52" s="148">
        <f t="shared" si="2"/>
        <v>963.42025100000001</v>
      </c>
      <c r="D52" s="149">
        <f t="shared" si="3"/>
        <v>418.64599999999996</v>
      </c>
      <c r="H52" s="131"/>
      <c r="K52" s="181" t="s">
        <v>460</v>
      </c>
      <c r="L52" s="181" t="s">
        <v>601</v>
      </c>
      <c r="N52" s="406" t="s">
        <v>251</v>
      </c>
      <c r="O52" s="471">
        <v>958</v>
      </c>
      <c r="P52" s="424" t="s">
        <v>460</v>
      </c>
      <c r="Q52" s="391">
        <f t="shared" si="4"/>
        <v>963.42025100000001</v>
      </c>
      <c r="R52" s="424"/>
      <c r="S52" s="391">
        <f t="shared" si="5"/>
        <v>418.64599999999996</v>
      </c>
    </row>
    <row r="53" spans="1:19" x14ac:dyDescent="0.2">
      <c r="A53" s="133" t="str">
        <f t="shared" si="0"/>
        <v>The Energy Authority</v>
      </c>
      <c r="B53" s="137">
        <f t="shared" si="1"/>
        <v>933975</v>
      </c>
      <c r="C53" s="148">
        <f t="shared" si="2"/>
        <v>963.42025100000001</v>
      </c>
      <c r="D53" s="149">
        <f t="shared" si="3"/>
        <v>408147.07499999995</v>
      </c>
      <c r="H53" s="131"/>
      <c r="K53" s="181" t="s">
        <v>460</v>
      </c>
      <c r="L53" s="181" t="s">
        <v>601</v>
      </c>
      <c r="N53" s="406" t="s">
        <v>252</v>
      </c>
      <c r="O53" s="471">
        <v>933975</v>
      </c>
      <c r="P53" s="424" t="s">
        <v>460</v>
      </c>
      <c r="Q53" s="391">
        <f t="shared" si="4"/>
        <v>963.42025100000001</v>
      </c>
      <c r="R53" s="424"/>
      <c r="S53" s="391">
        <f t="shared" si="5"/>
        <v>408147.07499999995</v>
      </c>
    </row>
    <row r="54" spans="1:19" x14ac:dyDescent="0.2">
      <c r="A54" s="133" t="str">
        <f t="shared" si="0"/>
        <v>Transalta Centralia Generation LLC</v>
      </c>
      <c r="B54" s="137">
        <f t="shared" si="1"/>
        <v>-2206</v>
      </c>
      <c r="C54" s="148">
        <f t="shared" si="2"/>
        <v>1059.2049104425603</v>
      </c>
      <c r="D54" s="149">
        <f t="shared" si="3"/>
        <v>-1059.8664862138733</v>
      </c>
      <c r="H54" s="131"/>
      <c r="K54" s="181" t="s">
        <v>460</v>
      </c>
      <c r="L54" s="181" t="s">
        <v>601</v>
      </c>
      <c r="N54" s="406" t="s">
        <v>310</v>
      </c>
      <c r="O54" s="471">
        <v>-2206</v>
      </c>
      <c r="P54" s="424" t="s">
        <v>460</v>
      </c>
      <c r="Q54" s="391">
        <f t="shared" si="4"/>
        <v>1059.2049104425603</v>
      </c>
      <c r="R54" s="424"/>
      <c r="S54" s="391">
        <f t="shared" si="5"/>
        <v>-1059.8664862138733</v>
      </c>
    </row>
    <row r="55" spans="1:19" x14ac:dyDescent="0.2">
      <c r="A55" s="133" t="str">
        <f t="shared" si="0"/>
        <v>TransAlta Energy Marketing</v>
      </c>
      <c r="B55" s="137">
        <f t="shared" si="1"/>
        <v>325758</v>
      </c>
      <c r="C55" s="148">
        <f t="shared" si="2"/>
        <v>963.42025100000001</v>
      </c>
      <c r="D55" s="149">
        <f t="shared" si="3"/>
        <v>142356.24600000001</v>
      </c>
      <c r="H55" s="131"/>
      <c r="K55" s="181" t="s">
        <v>460</v>
      </c>
      <c r="L55" s="181" t="s">
        <v>601</v>
      </c>
      <c r="N55" s="406" t="s">
        <v>184</v>
      </c>
      <c r="O55" s="471">
        <v>325758</v>
      </c>
      <c r="P55" s="424" t="s">
        <v>460</v>
      </c>
      <c r="Q55" s="391">
        <f t="shared" si="4"/>
        <v>963.42025100000001</v>
      </c>
      <c r="R55" s="424"/>
      <c r="S55" s="391">
        <f t="shared" si="5"/>
        <v>142356.24600000001</v>
      </c>
    </row>
    <row r="56" spans="1:19" x14ac:dyDescent="0.2">
      <c r="A56" s="133" t="str">
        <f t="shared" si="0"/>
        <v>TransCanada Energy Sales Ltd</v>
      </c>
      <c r="B56" s="137">
        <f t="shared" si="1"/>
        <v>-7308</v>
      </c>
      <c r="C56" s="148">
        <f t="shared" si="2"/>
        <v>1059.2049104425603</v>
      </c>
      <c r="D56" s="149">
        <f t="shared" si="3"/>
        <v>-3511.1080150729763</v>
      </c>
      <c r="H56" s="131"/>
      <c r="K56" s="181" t="s">
        <v>460</v>
      </c>
      <c r="L56" s="181" t="s">
        <v>601</v>
      </c>
      <c r="N56" s="406" t="s">
        <v>254</v>
      </c>
      <c r="O56" s="471">
        <v>-7308</v>
      </c>
      <c r="P56" s="424" t="s">
        <v>460</v>
      </c>
      <c r="Q56" s="391">
        <f t="shared" si="4"/>
        <v>1059.2049104425603</v>
      </c>
      <c r="R56" s="424"/>
      <c r="S56" s="391">
        <f t="shared" si="5"/>
        <v>-3511.1080150729763</v>
      </c>
    </row>
    <row r="57" spans="1:19" x14ac:dyDescent="0.2">
      <c r="A57" s="133" t="str">
        <f t="shared" si="0"/>
        <v>Turlock Irrigation District</v>
      </c>
      <c r="B57" s="137">
        <f t="shared" si="1"/>
        <v>18516</v>
      </c>
      <c r="C57" s="148">
        <f t="shared" si="2"/>
        <v>963.42025100000001</v>
      </c>
      <c r="D57" s="149">
        <f t="shared" si="3"/>
        <v>8091.4920000000002</v>
      </c>
      <c r="H57" s="131"/>
      <c r="K57" s="181" t="s">
        <v>460</v>
      </c>
      <c r="L57" s="181" t="s">
        <v>601</v>
      </c>
      <c r="N57" s="406" t="s">
        <v>256</v>
      </c>
      <c r="O57" s="471">
        <v>18516</v>
      </c>
      <c r="P57" s="424" t="s">
        <v>460</v>
      </c>
      <c r="Q57" s="391">
        <f t="shared" si="4"/>
        <v>963.42025100000001</v>
      </c>
      <c r="R57" s="424"/>
      <c r="S57" s="391">
        <f t="shared" si="5"/>
        <v>8091.4920000000002</v>
      </c>
    </row>
    <row r="58" spans="1:19" x14ac:dyDescent="0.2">
      <c r="A58" s="133" t="str">
        <f t="shared" si="0"/>
        <v>Vitol Inc.</v>
      </c>
      <c r="B58" s="137">
        <f t="shared" si="1"/>
        <v>192747</v>
      </c>
      <c r="C58" s="148">
        <f t="shared" si="2"/>
        <v>963.42025100000001</v>
      </c>
      <c r="D58" s="149">
        <f t="shared" si="3"/>
        <v>84230.438999999998</v>
      </c>
      <c r="H58" s="131"/>
      <c r="K58" s="181" t="s">
        <v>460</v>
      </c>
      <c r="L58" s="181" t="s">
        <v>601</v>
      </c>
      <c r="N58" s="406" t="s">
        <v>257</v>
      </c>
      <c r="O58" s="471">
        <v>192747</v>
      </c>
      <c r="P58" s="424" t="s">
        <v>460</v>
      </c>
      <c r="Q58" s="391">
        <f t="shared" si="4"/>
        <v>963.42025100000001</v>
      </c>
      <c r="R58" s="424"/>
      <c r="S58" s="391">
        <f t="shared" si="5"/>
        <v>84230.438999999998</v>
      </c>
    </row>
    <row r="59" spans="1:19" x14ac:dyDescent="0.2">
      <c r="A59" s="133" t="str">
        <f t="shared" si="0"/>
        <v>CAISO EESC Load Undistributed Costs</v>
      </c>
      <c r="B59" s="137">
        <f t="shared" si="1"/>
        <v>-39390.894</v>
      </c>
      <c r="C59" s="148">
        <f t="shared" si="2"/>
        <v>1059.2049104425603</v>
      </c>
      <c r="D59" s="149">
        <f t="shared" si="3"/>
        <v>-18925.244067363165</v>
      </c>
      <c r="H59" s="131"/>
      <c r="K59" s="181" t="s">
        <v>460</v>
      </c>
      <c r="L59" s="181" t="s">
        <v>602</v>
      </c>
      <c r="N59" s="406" t="s">
        <v>196</v>
      </c>
      <c r="O59" s="471">
        <v>-39390.894</v>
      </c>
      <c r="P59" s="424" t="s">
        <v>460</v>
      </c>
      <c r="Q59" s="391">
        <f t="shared" si="4"/>
        <v>1059.2049104425603</v>
      </c>
      <c r="R59" s="424"/>
      <c r="S59" s="391">
        <f t="shared" si="5"/>
        <v>-18925.244067363165</v>
      </c>
    </row>
    <row r="60" spans="1:19" x14ac:dyDescent="0.2">
      <c r="A60" s="133" t="str">
        <f t="shared" si="0"/>
        <v>CAISO PRSC Undistributed Costs</v>
      </c>
      <c r="B60" s="137">
        <f t="shared" si="1"/>
        <v>17560.87</v>
      </c>
      <c r="C60" s="148">
        <f t="shared" si="2"/>
        <v>963.42025100000001</v>
      </c>
      <c r="D60" s="149">
        <f t="shared" si="3"/>
        <v>7674.1001900000001</v>
      </c>
      <c r="H60" s="131"/>
      <c r="K60" s="181" t="s">
        <v>460</v>
      </c>
      <c r="L60" s="181" t="s">
        <v>602</v>
      </c>
      <c r="N60" s="406" t="s">
        <v>344</v>
      </c>
      <c r="O60" s="471">
        <v>17560.87</v>
      </c>
      <c r="P60" s="424" t="s">
        <v>460</v>
      </c>
      <c r="Q60" s="391">
        <f t="shared" si="4"/>
        <v>963.42025100000001</v>
      </c>
      <c r="R60" s="424"/>
      <c r="S60" s="391">
        <f t="shared" si="5"/>
        <v>7674.1001900000001</v>
      </c>
    </row>
    <row r="61" spans="1:19" x14ac:dyDescent="0.2">
      <c r="A61" s="133" t="str">
        <f t="shared" si="0"/>
        <v>Colstrip - Energy Imbalance Market</v>
      </c>
      <c r="B61" s="137">
        <f t="shared" si="1"/>
        <v>-22440.600999999999</v>
      </c>
      <c r="C61" s="148">
        <f t="shared" si="2"/>
        <v>1059.2049104425603</v>
      </c>
      <c r="D61" s="149">
        <f t="shared" si="3"/>
        <v>-10781.523540524719</v>
      </c>
      <c r="H61" s="131"/>
      <c r="K61" s="181" t="s">
        <v>461</v>
      </c>
      <c r="L61" s="181" t="s">
        <v>602</v>
      </c>
      <c r="N61" s="406" t="s">
        <v>345</v>
      </c>
      <c r="O61" s="471">
        <v>-22440.600999999999</v>
      </c>
      <c r="P61" s="424" t="s">
        <v>461</v>
      </c>
      <c r="Q61" s="391">
        <f t="shared" si="4"/>
        <v>1059.2049104425603</v>
      </c>
      <c r="R61" s="424"/>
      <c r="S61" s="391">
        <f t="shared" si="5"/>
        <v>-10781.523540524719</v>
      </c>
    </row>
    <row r="62" spans="1:19" x14ac:dyDescent="0.2">
      <c r="A62" s="133" t="str">
        <f t="shared" si="0"/>
        <v>Encogen</v>
      </c>
      <c r="B62" s="137">
        <f t="shared" si="1"/>
        <v>-321.65099999999984</v>
      </c>
      <c r="C62" s="148">
        <f t="shared" si="2"/>
        <v>1059.2049104425603</v>
      </c>
      <c r="D62" s="149">
        <f t="shared" si="3"/>
        <v>-154.53631693435105</v>
      </c>
      <c r="H62" s="131"/>
      <c r="K62" s="181" t="s">
        <v>461</v>
      </c>
      <c r="L62" s="181" t="s">
        <v>602</v>
      </c>
      <c r="N62" s="406" t="s">
        <v>268</v>
      </c>
      <c r="O62" s="471">
        <v>-321.65099999999984</v>
      </c>
      <c r="P62" s="424" t="s">
        <v>460</v>
      </c>
      <c r="Q62" s="391">
        <f t="shared" si="4"/>
        <v>1059.2049104425603</v>
      </c>
      <c r="R62" s="424"/>
      <c r="S62" s="391">
        <f t="shared" si="5"/>
        <v>-154.53631693435105</v>
      </c>
    </row>
    <row r="63" spans="1:19" x14ac:dyDescent="0.2">
      <c r="A63" s="133" t="str">
        <f t="shared" si="0"/>
        <v>Ferndale Co-Generation</v>
      </c>
      <c r="B63" s="137">
        <f t="shared" si="1"/>
        <v>1025.3830000000016</v>
      </c>
      <c r="C63" s="148">
        <f t="shared" si="2"/>
        <v>963.42025100000001</v>
      </c>
      <c r="D63" s="149">
        <f t="shared" si="3"/>
        <v>448.0923710000007</v>
      </c>
      <c r="H63" s="131"/>
      <c r="K63" s="181" t="s">
        <v>461</v>
      </c>
      <c r="L63" s="181" t="s">
        <v>602</v>
      </c>
      <c r="N63" s="406" t="s">
        <v>269</v>
      </c>
      <c r="O63" s="471">
        <v>1025.3830000000016</v>
      </c>
      <c r="P63" s="424" t="s">
        <v>460</v>
      </c>
      <c r="Q63" s="391">
        <f t="shared" si="4"/>
        <v>963.42025100000001</v>
      </c>
      <c r="R63" s="424"/>
      <c r="S63" s="391">
        <f t="shared" si="5"/>
        <v>448.0923710000007</v>
      </c>
    </row>
    <row r="64" spans="1:19" x14ac:dyDescent="0.2">
      <c r="A64" s="133" t="str">
        <f t="shared" si="0"/>
        <v>Freddie #1</v>
      </c>
      <c r="B64" s="137">
        <f t="shared" si="1"/>
        <v>-2196.0230000000001</v>
      </c>
      <c r="C64" s="148">
        <f t="shared" si="2"/>
        <v>1059.2049104425603</v>
      </c>
      <c r="D64" s="149">
        <f t="shared" si="3"/>
        <v>-1055.0730646667494</v>
      </c>
      <c r="H64" s="131"/>
      <c r="K64" s="181" t="s">
        <v>461</v>
      </c>
      <c r="L64" s="181" t="s">
        <v>602</v>
      </c>
      <c r="N64" s="406" t="s">
        <v>270</v>
      </c>
      <c r="O64" s="471">
        <v>-2196.0230000000001</v>
      </c>
      <c r="P64" s="424" t="s">
        <v>460</v>
      </c>
      <c r="Q64" s="391">
        <f t="shared" si="4"/>
        <v>1059.2049104425603</v>
      </c>
      <c r="R64" s="424"/>
      <c r="S64" s="391">
        <f t="shared" si="5"/>
        <v>-1055.0730646667494</v>
      </c>
    </row>
    <row r="65" spans="1:19" x14ac:dyDescent="0.2">
      <c r="A65" s="133" t="str">
        <f t="shared" si="0"/>
        <v>Fredonia - Energy Imbalance Market</v>
      </c>
      <c r="B65" s="137">
        <f t="shared" si="1"/>
        <v>1209.79</v>
      </c>
      <c r="C65" s="148">
        <f t="shared" si="2"/>
        <v>963.42025100000001</v>
      </c>
      <c r="D65" s="149">
        <f t="shared" si="3"/>
        <v>528.67822999999999</v>
      </c>
      <c r="H65" s="131"/>
      <c r="K65" s="181" t="s">
        <v>461</v>
      </c>
      <c r="L65" s="181" t="s">
        <v>602</v>
      </c>
      <c r="N65" s="406" t="s">
        <v>346</v>
      </c>
      <c r="O65" s="471">
        <v>1209.79</v>
      </c>
      <c r="P65" s="424" t="s">
        <v>460</v>
      </c>
      <c r="Q65" s="391">
        <f t="shared" si="4"/>
        <v>963.42025100000001</v>
      </c>
      <c r="R65" s="424"/>
      <c r="S65" s="391">
        <f t="shared" si="5"/>
        <v>528.67822999999999</v>
      </c>
    </row>
    <row r="66" spans="1:19" x14ac:dyDescent="0.2">
      <c r="A66" s="133" t="str">
        <f t="shared" si="0"/>
        <v>Fredrickson 1 &amp; 2</v>
      </c>
      <c r="B66" s="137">
        <f t="shared" si="1"/>
        <v>690.89700000000005</v>
      </c>
      <c r="C66" s="148">
        <f t="shared" si="2"/>
        <v>963.42025100000001</v>
      </c>
      <c r="D66" s="149">
        <f t="shared" si="3"/>
        <v>301.921989</v>
      </c>
      <c r="H66" s="131"/>
      <c r="K66" s="181" t="s">
        <v>461</v>
      </c>
      <c r="L66" s="181" t="s">
        <v>602</v>
      </c>
      <c r="N66" s="406" t="s">
        <v>273</v>
      </c>
      <c r="O66" s="471">
        <v>690.89700000000005</v>
      </c>
      <c r="P66" s="424" t="s">
        <v>460</v>
      </c>
      <c r="Q66" s="391">
        <f t="shared" si="4"/>
        <v>963.42025100000001</v>
      </c>
      <c r="R66" s="424"/>
      <c r="S66" s="391">
        <f t="shared" si="5"/>
        <v>301.921989</v>
      </c>
    </row>
    <row r="67" spans="1:19" x14ac:dyDescent="0.2">
      <c r="A67" s="133" t="str">
        <f t="shared" si="0"/>
        <v>Goldendale</v>
      </c>
      <c r="B67" s="137">
        <f t="shared" si="1"/>
        <v>25209.396000000001</v>
      </c>
      <c r="C67" s="148">
        <f t="shared" si="2"/>
        <v>963.42025100000001</v>
      </c>
      <c r="D67" s="149">
        <f t="shared" si="3"/>
        <v>11016.506052000001</v>
      </c>
      <c r="H67" s="131"/>
      <c r="K67" s="181" t="s">
        <v>461</v>
      </c>
      <c r="L67" s="181" t="s">
        <v>602</v>
      </c>
      <c r="N67" s="406" t="s">
        <v>274</v>
      </c>
      <c r="O67" s="471">
        <v>25209.396000000001</v>
      </c>
      <c r="P67" s="424" t="s">
        <v>460</v>
      </c>
      <c r="Q67" s="391">
        <f t="shared" si="4"/>
        <v>963.42025100000001</v>
      </c>
      <c r="R67" s="424"/>
      <c r="S67" s="391">
        <f t="shared" si="5"/>
        <v>11016.506052000001</v>
      </c>
    </row>
    <row r="68" spans="1:19" x14ac:dyDescent="0.2">
      <c r="A68" s="133" t="str">
        <f t="shared" si="0"/>
        <v>Lower Baker</v>
      </c>
      <c r="B68" s="137">
        <f t="shared" si="1"/>
        <v>752.99099999999999</v>
      </c>
      <c r="C68" s="148">
        <f t="shared" si="2"/>
        <v>963.42025100000001</v>
      </c>
      <c r="D68" s="149">
        <f t="shared" si="3"/>
        <v>329.05706699999996</v>
      </c>
      <c r="H68" s="131"/>
      <c r="K68" s="181" t="s">
        <v>461</v>
      </c>
      <c r="L68" s="181" t="s">
        <v>602</v>
      </c>
      <c r="N68" s="406" t="s">
        <v>263</v>
      </c>
      <c r="O68" s="471">
        <v>752.99099999999999</v>
      </c>
      <c r="P68" s="424" t="s">
        <v>460</v>
      </c>
      <c r="Q68" s="391">
        <f t="shared" si="4"/>
        <v>963.42025100000001</v>
      </c>
      <c r="R68" s="424"/>
      <c r="S68" s="391">
        <f t="shared" si="5"/>
        <v>329.05706699999996</v>
      </c>
    </row>
    <row r="69" spans="1:19" x14ac:dyDescent="0.2">
      <c r="A69" s="133" t="str">
        <f t="shared" si="0"/>
        <v>MID-C for Energy Imbalance Market</v>
      </c>
      <c r="B69" s="137">
        <f t="shared" si="1"/>
        <v>5932.5579999999973</v>
      </c>
      <c r="C69" s="148">
        <f t="shared" si="2"/>
        <v>963.42025100000001</v>
      </c>
      <c r="D69" s="149">
        <f t="shared" si="3"/>
        <v>2592.5278459999986</v>
      </c>
      <c r="H69" s="131"/>
      <c r="K69" s="181" t="s">
        <v>460</v>
      </c>
      <c r="L69" s="181" t="s">
        <v>602</v>
      </c>
      <c r="M69" s="181" t="s">
        <v>462</v>
      </c>
      <c r="N69" s="406" t="s">
        <v>347</v>
      </c>
      <c r="O69" s="471">
        <v>5932.5579999999973</v>
      </c>
      <c r="P69" s="424" t="s">
        <v>461</v>
      </c>
      <c r="Q69" s="391">
        <f t="shared" si="4"/>
        <v>963.42025100000001</v>
      </c>
      <c r="R69" s="424"/>
      <c r="S69" s="391">
        <f t="shared" si="5"/>
        <v>2592.5278459999986</v>
      </c>
    </row>
    <row r="70" spans="1:19" x14ac:dyDescent="0.2">
      <c r="A70" s="133" t="str">
        <f t="shared" ref="A70:A75" si="6">N70</f>
        <v>Mint Farm</v>
      </c>
      <c r="B70" s="137">
        <f t="shared" ref="B70:B75" si="7">O70</f>
        <v>1351.0280000000002</v>
      </c>
      <c r="C70" s="148">
        <f t="shared" ref="C70:C75" si="8">Q70</f>
        <v>963.42025100000001</v>
      </c>
      <c r="D70" s="149">
        <f t="shared" ref="D70:D75" si="9">S70</f>
        <v>590.39923600000009</v>
      </c>
      <c r="H70" s="131"/>
      <c r="K70" s="181" t="s">
        <v>461</v>
      </c>
      <c r="L70" s="181" t="s">
        <v>602</v>
      </c>
      <c r="N70" s="406" t="s">
        <v>277</v>
      </c>
      <c r="O70" s="471">
        <v>1351.0280000000002</v>
      </c>
      <c r="P70" s="424" t="s">
        <v>460</v>
      </c>
      <c r="Q70" s="391">
        <f t="shared" ref="Q70:Q75" si="10">IF(O70&gt;0,H$2,H$10)</f>
        <v>963.42025100000001</v>
      </c>
      <c r="R70" s="424"/>
      <c r="S70" s="391">
        <f t="shared" ref="S70:S75" si="11">(O70*Q70)/2204.623</f>
        <v>590.39923600000009</v>
      </c>
    </row>
    <row r="71" spans="1:19" x14ac:dyDescent="0.2">
      <c r="A71" s="133" t="str">
        <f t="shared" si="6"/>
        <v>Snoqualmie-Energy Imbalance Market</v>
      </c>
      <c r="B71" s="137">
        <f t="shared" si="7"/>
        <v>3163.4</v>
      </c>
      <c r="C71" s="148">
        <f t="shared" si="8"/>
        <v>963.42025100000001</v>
      </c>
      <c r="D71" s="149">
        <f t="shared" si="9"/>
        <v>1382.4058</v>
      </c>
      <c r="H71" s="131"/>
      <c r="K71" s="181" t="s">
        <v>461</v>
      </c>
      <c r="L71" s="181" t="s">
        <v>602</v>
      </c>
      <c r="N71" s="406" t="s">
        <v>348</v>
      </c>
      <c r="O71" s="471">
        <v>3163.4</v>
      </c>
      <c r="P71" s="424" t="s">
        <v>460</v>
      </c>
      <c r="Q71" s="391">
        <f t="shared" si="10"/>
        <v>963.42025100000001</v>
      </c>
      <c r="R71" s="424"/>
      <c r="S71" s="391">
        <f t="shared" si="11"/>
        <v>1382.4058</v>
      </c>
    </row>
    <row r="72" spans="1:19" x14ac:dyDescent="0.2">
      <c r="A72" s="133" t="str">
        <f t="shared" si="6"/>
        <v>Sumas</v>
      </c>
      <c r="B72" s="137">
        <f t="shared" si="7"/>
        <v>4619.1450000000004</v>
      </c>
      <c r="C72" s="148">
        <f t="shared" si="8"/>
        <v>963.42025100000001</v>
      </c>
      <c r="D72" s="149">
        <f t="shared" si="9"/>
        <v>2018.5663650000001</v>
      </c>
      <c r="H72" s="131"/>
      <c r="K72" s="181" t="s">
        <v>461</v>
      </c>
      <c r="L72" s="181" t="s">
        <v>602</v>
      </c>
      <c r="N72" s="406" t="s">
        <v>278</v>
      </c>
      <c r="O72" s="471">
        <v>4619.1450000000004</v>
      </c>
      <c r="P72" s="424" t="s">
        <v>461</v>
      </c>
      <c r="Q72" s="391">
        <f t="shared" si="10"/>
        <v>963.42025100000001</v>
      </c>
      <c r="R72" s="424"/>
      <c r="S72" s="391">
        <f t="shared" si="11"/>
        <v>2018.5663650000001</v>
      </c>
    </row>
    <row r="73" spans="1:19" x14ac:dyDescent="0.2">
      <c r="A73" s="133" t="str">
        <f t="shared" si="6"/>
        <v>Upper Baker</v>
      </c>
      <c r="B73" s="137">
        <f t="shared" si="7"/>
        <v>5749.4269999999997</v>
      </c>
      <c r="C73" s="148">
        <f t="shared" si="8"/>
        <v>963.42025100000001</v>
      </c>
      <c r="D73" s="149">
        <f t="shared" si="9"/>
        <v>2512.4995989999998</v>
      </c>
      <c r="H73" s="131"/>
      <c r="K73" s="181" t="s">
        <v>461</v>
      </c>
      <c r="L73" s="181" t="s">
        <v>602</v>
      </c>
      <c r="N73" s="406" t="s">
        <v>266</v>
      </c>
      <c r="O73" s="471">
        <v>5749.4269999999997</v>
      </c>
      <c r="P73" s="424" t="s">
        <v>461</v>
      </c>
      <c r="Q73" s="391">
        <f t="shared" si="10"/>
        <v>963.42025100000001</v>
      </c>
      <c r="R73" s="424"/>
      <c r="S73" s="391">
        <f t="shared" si="11"/>
        <v>2512.4995989999998</v>
      </c>
    </row>
    <row r="74" spans="1:19" x14ac:dyDescent="0.2">
      <c r="A74" s="133" t="str">
        <f t="shared" si="6"/>
        <v>Whitehorn 2&amp;3</v>
      </c>
      <c r="B74" s="137">
        <f t="shared" si="7"/>
        <v>342.471</v>
      </c>
      <c r="C74" s="148">
        <f t="shared" si="8"/>
        <v>963.42025100000001</v>
      </c>
      <c r="D74" s="149">
        <f t="shared" si="9"/>
        <v>149.65982700000001</v>
      </c>
      <c r="H74" s="131"/>
      <c r="K74" s="181" t="s">
        <v>461</v>
      </c>
      <c r="L74" s="181" t="s">
        <v>602</v>
      </c>
      <c r="N74" s="406" t="s">
        <v>279</v>
      </c>
      <c r="O74" s="471">
        <v>342.471</v>
      </c>
      <c r="P74" s="424" t="s">
        <v>460</v>
      </c>
      <c r="Q74" s="391">
        <f t="shared" si="10"/>
        <v>963.42025100000001</v>
      </c>
      <c r="R74" s="424"/>
      <c r="S74" s="391">
        <f t="shared" si="11"/>
        <v>149.65982700000001</v>
      </c>
    </row>
    <row r="75" spans="1:19" x14ac:dyDescent="0.2">
      <c r="A75" s="133" t="str">
        <f t="shared" si="6"/>
        <v>Wild Horse (W183)</v>
      </c>
      <c r="B75" s="137">
        <f t="shared" si="7"/>
        <v>-15814.602999999999</v>
      </c>
      <c r="C75" s="148">
        <f t="shared" si="8"/>
        <v>1059.2049104425603</v>
      </c>
      <c r="D75" s="149">
        <f t="shared" si="9"/>
        <v>-7598.0814653115949</v>
      </c>
      <c r="H75" s="131"/>
      <c r="K75" s="181" t="s">
        <v>461</v>
      </c>
      <c r="L75" s="181" t="s">
        <v>602</v>
      </c>
      <c r="N75" s="406" t="s">
        <v>280</v>
      </c>
      <c r="O75" s="471">
        <v>-15814.602999999999</v>
      </c>
      <c r="Q75" s="391">
        <f t="shared" si="10"/>
        <v>1059.2049104425603</v>
      </c>
      <c r="R75" s="424"/>
      <c r="S75" s="391">
        <f t="shared" si="11"/>
        <v>-7598.0814653115949</v>
      </c>
    </row>
    <row r="76" spans="1:19" x14ac:dyDescent="0.25">
      <c r="A76" s="133"/>
      <c r="B76" s="137"/>
      <c r="C76" s="148"/>
      <c r="D76" s="149"/>
      <c r="H76" s="131"/>
      <c r="O76" s="471">
        <f>SUM(O5:O75)</f>
        <v>3550437.8350000004</v>
      </c>
    </row>
    <row r="77" spans="1:19" x14ac:dyDescent="0.25">
      <c r="A77" s="133"/>
      <c r="B77" s="137"/>
      <c r="C77" s="148"/>
      <c r="D77" s="149"/>
      <c r="H77" s="131"/>
    </row>
    <row r="78" spans="1:19" x14ac:dyDescent="0.25">
      <c r="A78" s="133"/>
      <c r="B78" s="137"/>
      <c r="C78" s="148"/>
      <c r="D78" s="149"/>
      <c r="H78" s="131"/>
    </row>
    <row r="79" spans="1:19" x14ac:dyDescent="0.25">
      <c r="A79" s="133"/>
      <c r="B79" s="137"/>
      <c r="C79" s="148"/>
      <c r="D79" s="149"/>
      <c r="H79" s="131"/>
    </row>
    <row r="80" spans="1:19" x14ac:dyDescent="0.25">
      <c r="A80" s="133"/>
      <c r="B80" s="137"/>
      <c r="C80" s="148"/>
      <c r="D80" s="149"/>
      <c r="H80" s="131"/>
    </row>
    <row r="81" spans="1:8" ht="21" customHeight="1" x14ac:dyDescent="0.25">
      <c r="A81" s="144" t="s">
        <v>419</v>
      </c>
      <c r="B81" s="146">
        <f>SUM(B5:B80)</f>
        <v>3547857.8350000004</v>
      </c>
      <c r="C81" s="147"/>
      <c r="D81" s="146">
        <f>SUM(D5:D80)</f>
        <v>1515124.9085044775</v>
      </c>
      <c r="H81" s="131"/>
    </row>
    <row r="82" spans="1:8" x14ac:dyDescent="0.25">
      <c r="H82" s="131"/>
    </row>
  </sheetData>
  <mergeCells count="4">
    <mergeCell ref="A3:A4"/>
    <mergeCell ref="B3:B4"/>
    <mergeCell ref="C3:C4"/>
    <mergeCell ref="D3:D4"/>
  </mergeCells>
  <hyperlinks>
    <hyperlink ref="F2" r:id="rId1"/>
  </hyperlinks>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2" t="s">
        <v>11</v>
      </c>
    </row>
    <row r="2" spans="1:7" ht="15.75" thickBot="1" x14ac:dyDescent="0.3"/>
    <row r="3" spans="1:7" x14ac:dyDescent="0.25">
      <c r="A3" s="59"/>
      <c r="B3" s="60" t="s">
        <v>15</v>
      </c>
      <c r="C3" s="61" t="s">
        <v>25</v>
      </c>
      <c r="D3" s="65"/>
      <c r="E3" s="63"/>
    </row>
    <row r="4" spans="1:7" x14ac:dyDescent="0.25">
      <c r="A4" s="650" t="s">
        <v>16</v>
      </c>
      <c r="B4" s="652"/>
      <c r="C4" s="35">
        <v>2015</v>
      </c>
      <c r="D4" s="68" t="s">
        <v>39</v>
      </c>
      <c r="E4" s="64"/>
    </row>
    <row r="5" spans="1:7" ht="15.75" thickBot="1" x14ac:dyDescent="0.3">
      <c r="A5" s="653" t="s">
        <v>21</v>
      </c>
      <c r="B5" s="654"/>
      <c r="C5" s="74">
        <f>+F10*'Census Stats'!$L$38</f>
        <v>2418978.85192273</v>
      </c>
      <c r="D5" s="62">
        <f>+D13/C5</f>
        <v>8.4786888416563748</v>
      </c>
    </row>
    <row r="6" spans="1:7" x14ac:dyDescent="0.25">
      <c r="A6" s="5"/>
      <c r="B6" s="5"/>
      <c r="C6" s="21"/>
      <c r="E6" s="20"/>
    </row>
    <row r="7" spans="1:7" ht="19.5" thickBot="1" x14ac:dyDescent="0.35">
      <c r="A7" s="5"/>
      <c r="B7" s="57" t="s">
        <v>36</v>
      </c>
      <c r="C7" s="21"/>
      <c r="E7" s="20"/>
    </row>
    <row r="8" spans="1:7" x14ac:dyDescent="0.25">
      <c r="A8" s="39"/>
      <c r="B8" s="40"/>
      <c r="C8" s="40"/>
      <c r="D8" s="40"/>
      <c r="E8" s="40"/>
      <c r="F8" s="41" t="s">
        <v>20</v>
      </c>
      <c r="G8" s="52" t="s">
        <v>40</v>
      </c>
    </row>
    <row r="9" spans="1:7" x14ac:dyDescent="0.25">
      <c r="A9" s="42"/>
      <c r="B9" s="16"/>
      <c r="C9" s="16"/>
      <c r="D9" s="18" t="s">
        <v>14</v>
      </c>
      <c r="E9" s="30" t="s">
        <v>28</v>
      </c>
      <c r="F9" s="23" t="s">
        <v>35</v>
      </c>
      <c r="G9" s="53" t="s">
        <v>20</v>
      </c>
    </row>
    <row r="10" spans="1:7" x14ac:dyDescent="0.25">
      <c r="A10" s="650" t="s">
        <v>12</v>
      </c>
      <c r="B10" s="651"/>
      <c r="C10" s="652"/>
      <c r="D10" s="66">
        <v>10164709</v>
      </c>
      <c r="E10" s="17">
        <f>+D10/D13</f>
        <v>0.49560329031497136</v>
      </c>
      <c r="F10" s="38">
        <v>970830</v>
      </c>
      <c r="G10" s="54">
        <f>+D10/F10</f>
        <v>10.47012247252351</v>
      </c>
    </row>
    <row r="11" spans="1:7" x14ac:dyDescent="0.25">
      <c r="A11" s="650" t="s">
        <v>17</v>
      </c>
      <c r="B11" s="651"/>
      <c r="C11" s="652"/>
      <c r="D11" s="66">
        <f>88035+8999067</f>
        <v>9087102</v>
      </c>
      <c r="E11" s="17">
        <f>+D11/D13</f>
        <v>0.44306213297672931</v>
      </c>
      <c r="F11" s="32">
        <f>123072+6275</f>
        <v>129347</v>
      </c>
      <c r="G11" s="54">
        <f>+D11/F11</f>
        <v>70.253674225146312</v>
      </c>
    </row>
    <row r="12" spans="1:7" x14ac:dyDescent="0.25">
      <c r="A12" s="650" t="s">
        <v>18</v>
      </c>
      <c r="B12" s="651"/>
      <c r="C12" s="652"/>
      <c r="D12" s="66">
        <v>1257958</v>
      </c>
      <c r="E12" s="17">
        <f>+D12/D13</f>
        <v>6.1334576708299345E-2</v>
      </c>
      <c r="F12" s="5"/>
      <c r="G12" s="43"/>
    </row>
    <row r="13" spans="1:7" ht="15.75" thickBot="1" x14ac:dyDescent="0.3">
      <c r="A13" s="44"/>
      <c r="B13" s="655" t="s">
        <v>13</v>
      </c>
      <c r="C13" s="654"/>
      <c r="D13" s="67">
        <f>SUM(D10:D12)</f>
        <v>20509769</v>
      </c>
      <c r="E13" s="45"/>
      <c r="F13" s="46"/>
      <c r="G13" s="47"/>
    </row>
    <row r="15" spans="1:7" ht="19.5" thickBot="1" x14ac:dyDescent="0.35">
      <c r="B15" s="58" t="s">
        <v>37</v>
      </c>
    </row>
    <row r="16" spans="1:7" x14ac:dyDescent="0.25">
      <c r="A16" s="39"/>
      <c r="B16" s="40"/>
      <c r="C16" s="40"/>
      <c r="D16" s="40"/>
      <c r="E16" s="41" t="s">
        <v>29</v>
      </c>
      <c r="F16" s="48" t="s">
        <v>522</v>
      </c>
      <c r="G16" s="49"/>
    </row>
    <row r="17" spans="1:9" ht="18" x14ac:dyDescent="0.35">
      <c r="A17" s="50"/>
      <c r="B17" s="5"/>
      <c r="C17" s="5"/>
      <c r="D17" s="30" t="s">
        <v>19</v>
      </c>
      <c r="E17" s="23" t="s">
        <v>30</v>
      </c>
      <c r="F17" s="19" t="s">
        <v>8</v>
      </c>
      <c r="G17" s="43"/>
    </row>
    <row r="18" spans="1:9" x14ac:dyDescent="0.25">
      <c r="A18" s="637" t="s">
        <v>542</v>
      </c>
      <c r="B18" s="638"/>
      <c r="C18" s="639"/>
      <c r="D18" s="9">
        <f>'2015 Known'!B62</f>
        <v>18582396.381000001</v>
      </c>
      <c r="E18" s="17">
        <f>+D18/(D18+D20)</f>
        <v>0.8435579479917118</v>
      </c>
      <c r="F18" s="9">
        <f>'2015 Known'!C62</f>
        <v>9232265.708943272</v>
      </c>
      <c r="G18" s="43"/>
    </row>
    <row r="19" spans="1:9" ht="15.75" thickBot="1" x14ac:dyDescent="0.3">
      <c r="A19" s="463"/>
      <c r="B19" s="464"/>
      <c r="C19" s="337" t="s">
        <v>543</v>
      </c>
      <c r="D19" s="323">
        <v>0</v>
      </c>
      <c r="E19" s="276">
        <v>0</v>
      </c>
      <c r="F19" s="323">
        <v>0</v>
      </c>
      <c r="G19" s="43"/>
    </row>
    <row r="20" spans="1:9" ht="18" x14ac:dyDescent="0.35">
      <c r="A20" s="650" t="s">
        <v>34</v>
      </c>
      <c r="B20" s="651"/>
      <c r="C20" s="652"/>
      <c r="D20" s="55">
        <f>'2015 Unknown'!B124</f>
        <v>3446198.602</v>
      </c>
      <c r="E20" s="56">
        <f>+D20/(D18+D20)</f>
        <v>0.15644205200828806</v>
      </c>
      <c r="F20" s="70">
        <f>'2015 Unknown'!D124</f>
        <v>1505988.7890739983</v>
      </c>
      <c r="G20" s="72" t="s">
        <v>38</v>
      </c>
    </row>
    <row r="21" spans="1:9" ht="18.75" thickBot="1" x14ac:dyDescent="0.4">
      <c r="A21" s="44"/>
      <c r="B21" s="46"/>
      <c r="C21" s="46"/>
      <c r="D21" s="69">
        <f>+C4</f>
        <v>2015</v>
      </c>
      <c r="E21" s="51" t="s">
        <v>4</v>
      </c>
      <c r="F21" s="71">
        <f>SUM(F18:F20)</f>
        <v>10738254.49801727</v>
      </c>
      <c r="G21" s="73">
        <f>+F21/G23</f>
        <v>1.7041161605575574</v>
      </c>
      <c r="I21" s="98"/>
    </row>
    <row r="23" spans="1:9" ht="18" x14ac:dyDescent="0.35">
      <c r="F23" s="22" t="s">
        <v>524</v>
      </c>
      <c r="G23" s="32">
        <f>+G30</f>
        <v>6301362.9860207997</v>
      </c>
      <c r="H23" s="29"/>
    </row>
    <row r="25" spans="1:9" x14ac:dyDescent="0.25">
      <c r="E25" s="29" t="s">
        <v>22</v>
      </c>
      <c r="F25" s="24"/>
      <c r="G25" s="24"/>
    </row>
    <row r="26" spans="1:9" x14ac:dyDescent="0.25">
      <c r="E26" s="24"/>
      <c r="F26" s="24"/>
      <c r="G26" s="27" t="s">
        <v>26</v>
      </c>
    </row>
    <row r="27" spans="1:9" ht="18" x14ac:dyDescent="0.35">
      <c r="E27" s="24"/>
      <c r="F27" s="24"/>
      <c r="G27" s="28" t="s">
        <v>525</v>
      </c>
    </row>
    <row r="28" spans="1:9" x14ac:dyDescent="0.25">
      <c r="E28" s="24"/>
      <c r="F28" s="25" t="s">
        <v>23</v>
      </c>
      <c r="G28" s="26">
        <f>1131957*0.9071847</f>
        <v>1026894.0714579</v>
      </c>
    </row>
    <row r="29" spans="1:9" x14ac:dyDescent="0.25">
      <c r="E29" s="24"/>
      <c r="F29" s="25" t="s">
        <v>24</v>
      </c>
      <c r="G29" s="26">
        <f>2399078*0.9071847</f>
        <v>2176406.8557066</v>
      </c>
    </row>
    <row r="30" spans="1:9" x14ac:dyDescent="0.25">
      <c r="E30" s="24"/>
      <c r="F30" s="25" t="s">
        <v>25</v>
      </c>
      <c r="G30" s="26">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workbookViewId="0">
      <pane ySplit="1605" topLeftCell="A31" activePane="bottomLeft"/>
      <selection activeCell="I1" sqref="I1"/>
      <selection pane="bottomLeft" activeCell="A65" sqref="A65"/>
    </sheetView>
  </sheetViews>
  <sheetFormatPr defaultColWidth="9.140625" defaultRowHeight="12.75" x14ac:dyDescent="0.2"/>
  <cols>
    <col min="1" max="1" width="47.5703125" style="416" customWidth="1"/>
    <col min="2" max="2" width="13.140625" style="416" customWidth="1"/>
    <col min="3" max="3" width="12.7109375" style="416" customWidth="1"/>
    <col min="4" max="4" width="9.140625" style="416"/>
    <col min="5" max="5" width="9.140625" style="417"/>
    <col min="6" max="6" width="9.7109375" style="417" customWidth="1"/>
    <col min="7" max="7" width="20.42578125" style="416" customWidth="1"/>
    <col min="8" max="8" width="17.5703125" style="416" bestFit="1" customWidth="1"/>
    <col min="9" max="9" width="11.28515625" style="416" bestFit="1" customWidth="1"/>
    <col min="10" max="10" width="9.28515625" style="416" bestFit="1" customWidth="1"/>
    <col min="11" max="11" width="9.7109375" style="416" bestFit="1" customWidth="1"/>
    <col min="12" max="12" width="3.5703125" style="377" customWidth="1"/>
    <col min="13" max="14" width="10.42578125" style="373" customWidth="1"/>
    <col min="15" max="16" width="9.140625" style="373"/>
    <col min="17" max="16384" width="9.140625" style="416"/>
  </cols>
  <sheetData>
    <row r="1" spans="1:17" x14ac:dyDescent="0.2">
      <c r="A1" s="414" t="s">
        <v>10</v>
      </c>
      <c r="B1" s="415">
        <v>2015</v>
      </c>
      <c r="G1" s="376"/>
      <c r="H1" s="373"/>
      <c r="I1" s="373"/>
      <c r="J1" s="373">
        <f>'EFs &amp; Rates'!I11</f>
        <v>25</v>
      </c>
      <c r="K1" s="373">
        <f>'EFs &amp; Rates'!J11</f>
        <v>298</v>
      </c>
    </row>
    <row r="2" spans="1:17" ht="14.25" x14ac:dyDescent="0.2">
      <c r="A2" s="378"/>
      <c r="B2" s="379"/>
      <c r="C2" s="380" t="s">
        <v>522</v>
      </c>
      <c r="D2" s="380"/>
      <c r="E2" s="379"/>
      <c r="F2" s="373"/>
      <c r="G2" s="376">
        <v>2015</v>
      </c>
      <c r="H2" s="381" t="s">
        <v>462</v>
      </c>
      <c r="I2" s="382">
        <f>'EFs &amp; Rates'!M5</f>
        <v>963.42025100000001</v>
      </c>
      <c r="J2" s="383" t="s">
        <v>561</v>
      </c>
      <c r="K2" s="373"/>
      <c r="N2" s="485" t="s">
        <v>578</v>
      </c>
    </row>
    <row r="3" spans="1:17" ht="38.25" x14ac:dyDescent="0.2">
      <c r="A3" s="384" t="s">
        <v>0</v>
      </c>
      <c r="B3" s="385" t="s">
        <v>31</v>
      </c>
      <c r="C3" s="386" t="s">
        <v>562</v>
      </c>
      <c r="D3" s="386" t="s">
        <v>424</v>
      </c>
      <c r="E3" s="385" t="s">
        <v>425</v>
      </c>
      <c r="F3" s="387" t="s">
        <v>472</v>
      </c>
      <c r="G3" s="481" t="s">
        <v>576</v>
      </c>
      <c r="H3" s="387" t="s">
        <v>469</v>
      </c>
      <c r="I3" s="388" t="s">
        <v>537</v>
      </c>
      <c r="J3" s="388" t="s">
        <v>538</v>
      </c>
      <c r="K3" s="388" t="s">
        <v>539</v>
      </c>
      <c r="M3" s="439" t="s">
        <v>575</v>
      </c>
      <c r="N3" s="439" t="s">
        <v>577</v>
      </c>
      <c r="O3" s="407" t="s">
        <v>558</v>
      </c>
      <c r="P3" s="407" t="s">
        <v>559</v>
      </c>
      <c r="Q3" s="389" t="s">
        <v>452</v>
      </c>
    </row>
    <row r="4" spans="1:17" x14ac:dyDescent="0.2">
      <c r="A4" s="418" t="s">
        <v>263</v>
      </c>
      <c r="B4" s="419">
        <v>308611.20000000001</v>
      </c>
      <c r="C4" s="419">
        <f t="shared" ref="C4:C59" si="0">G4</f>
        <v>0</v>
      </c>
      <c r="D4" s="373" t="s">
        <v>464</v>
      </c>
      <c r="E4" s="417" t="s">
        <v>426</v>
      </c>
      <c r="F4" s="417" t="s">
        <v>463</v>
      </c>
      <c r="G4" s="181"/>
      <c r="K4" s="373"/>
    </row>
    <row r="5" spans="1:17" x14ac:dyDescent="0.2">
      <c r="A5" s="418" t="s">
        <v>264</v>
      </c>
      <c r="B5" s="419">
        <v>17890.858</v>
      </c>
      <c r="C5" s="419">
        <f t="shared" si="0"/>
        <v>0</v>
      </c>
      <c r="D5" s="373" t="s">
        <v>464</v>
      </c>
      <c r="E5" s="417" t="s">
        <v>426</v>
      </c>
      <c r="F5" s="417" t="s">
        <v>463</v>
      </c>
      <c r="G5" s="181"/>
      <c r="K5" s="373"/>
    </row>
    <row r="6" spans="1:17" x14ac:dyDescent="0.2">
      <c r="A6" s="418" t="s">
        <v>265</v>
      </c>
      <c r="B6" s="419">
        <v>100979.7</v>
      </c>
      <c r="C6" s="419">
        <f t="shared" si="0"/>
        <v>0</v>
      </c>
      <c r="D6" s="373" t="s">
        <v>464</v>
      </c>
      <c r="E6" s="417" t="s">
        <v>426</v>
      </c>
      <c r="F6" s="417" t="s">
        <v>463</v>
      </c>
      <c r="G6" s="373"/>
      <c r="K6" s="373"/>
    </row>
    <row r="7" spans="1:17" x14ac:dyDescent="0.2">
      <c r="A7" s="418" t="s">
        <v>266</v>
      </c>
      <c r="B7" s="419">
        <v>278749.55</v>
      </c>
      <c r="C7" s="419">
        <f t="shared" si="0"/>
        <v>0</v>
      </c>
      <c r="D7" s="373" t="s">
        <v>464</v>
      </c>
      <c r="E7" s="417" t="s">
        <v>426</v>
      </c>
      <c r="F7" s="417" t="s">
        <v>463</v>
      </c>
      <c r="G7" s="373"/>
      <c r="K7" s="373"/>
    </row>
    <row r="8" spans="1:17" x14ac:dyDescent="0.2">
      <c r="A8" s="418" t="s">
        <v>572</v>
      </c>
      <c r="B8" s="473">
        <f>1756858+2738174</f>
        <v>4495032</v>
      </c>
      <c r="C8" s="419">
        <f t="shared" si="0"/>
        <v>5034544.2730927812</v>
      </c>
      <c r="D8" s="373" t="s">
        <v>464</v>
      </c>
      <c r="E8" s="417" t="s">
        <v>427</v>
      </c>
      <c r="F8" s="417" t="s">
        <v>427</v>
      </c>
      <c r="G8" s="478">
        <f t="shared" ref="G8:G9" si="1">I8+(J8*$J$1)+(K8*$K$1)</f>
        <v>5034544.2730927812</v>
      </c>
      <c r="I8" s="416">
        <v>4997302.2770570628</v>
      </c>
      <c r="J8" s="416">
        <v>544.87238041291744</v>
      </c>
      <c r="K8" s="373">
        <v>79.262370890588002</v>
      </c>
    </row>
    <row r="9" spans="1:17" x14ac:dyDescent="0.2">
      <c r="A9" s="418" t="s">
        <v>267</v>
      </c>
      <c r="B9" s="473">
        <v>293.68</v>
      </c>
      <c r="C9" s="419">
        <f t="shared" si="0"/>
        <v>252.82224872760236</v>
      </c>
      <c r="D9" s="373" t="s">
        <v>464</v>
      </c>
      <c r="E9" s="417" t="s">
        <v>428</v>
      </c>
      <c r="F9" s="417" t="s">
        <v>429</v>
      </c>
      <c r="G9" s="478">
        <f t="shared" si="1"/>
        <v>252.82224872760236</v>
      </c>
      <c r="I9" s="416">
        <v>251.95763477807998</v>
      </c>
      <c r="J9" s="416">
        <v>1.0220023044000002E-2</v>
      </c>
      <c r="K9" s="373">
        <v>2.0440046087999999E-3</v>
      </c>
    </row>
    <row r="10" spans="1:17" x14ac:dyDescent="0.2">
      <c r="A10" s="418" t="s">
        <v>268</v>
      </c>
      <c r="B10" s="419">
        <v>297657.59999999998</v>
      </c>
      <c r="C10" s="419">
        <f t="shared" si="0"/>
        <v>143119.11799999999</v>
      </c>
      <c r="D10" s="373" t="s">
        <v>464</v>
      </c>
      <c r="E10" s="417" t="s">
        <v>429</v>
      </c>
      <c r="F10" s="417" t="s">
        <v>429</v>
      </c>
      <c r="G10" s="522">
        <v>143119.11799999999</v>
      </c>
      <c r="H10" s="470"/>
      <c r="I10" s="475"/>
      <c r="K10" s="373"/>
    </row>
    <row r="11" spans="1:17" x14ac:dyDescent="0.2">
      <c r="A11" s="418" t="s">
        <v>269</v>
      </c>
      <c r="B11" s="419">
        <v>868466.83199999994</v>
      </c>
      <c r="C11" s="419">
        <f t="shared" si="0"/>
        <v>405725.95199999999</v>
      </c>
      <c r="D11" s="373" t="s">
        <v>464</v>
      </c>
      <c r="E11" s="417" t="s">
        <v>429</v>
      </c>
      <c r="F11" s="417" t="s">
        <v>429</v>
      </c>
      <c r="G11" s="522">
        <v>405725.95199999999</v>
      </c>
      <c r="H11" s="470"/>
      <c r="I11" s="475"/>
    </row>
    <row r="12" spans="1:17" x14ac:dyDescent="0.2">
      <c r="A12" s="418" t="s">
        <v>270</v>
      </c>
      <c r="B12" s="419">
        <v>623181.11300000001</v>
      </c>
      <c r="C12" s="419">
        <f t="shared" si="0"/>
        <v>247630.70250999997</v>
      </c>
      <c r="D12" s="373" t="s">
        <v>464</v>
      </c>
      <c r="E12" s="417" t="s">
        <v>429</v>
      </c>
      <c r="F12" s="417" t="s">
        <v>429</v>
      </c>
      <c r="G12" s="522">
        <f>496751.66*0.4985</f>
        <v>247630.70250999997</v>
      </c>
      <c r="H12" s="470"/>
      <c r="I12" s="475"/>
    </row>
    <row r="13" spans="1:17" x14ac:dyDescent="0.2">
      <c r="A13" s="418" t="s">
        <v>271</v>
      </c>
      <c r="B13" s="419">
        <f>113691.1+47603.8</f>
        <v>161294.90000000002</v>
      </c>
      <c r="C13" s="419">
        <f t="shared" si="0"/>
        <v>115726.91</v>
      </c>
      <c r="D13" s="373" t="s">
        <v>464</v>
      </c>
      <c r="E13" s="417" t="s">
        <v>429</v>
      </c>
      <c r="F13" s="417" t="s">
        <v>429</v>
      </c>
      <c r="G13" s="522">
        <v>115726.91</v>
      </c>
      <c r="H13" s="470"/>
      <c r="I13" s="475"/>
    </row>
    <row r="14" spans="1:17" x14ac:dyDescent="0.2">
      <c r="A14" s="418" t="s">
        <v>273</v>
      </c>
      <c r="B14" s="419">
        <v>39935.4</v>
      </c>
      <c r="C14" s="419">
        <f t="shared" si="0"/>
        <v>17051.536</v>
      </c>
      <c r="D14" s="373" t="s">
        <v>464</v>
      </c>
      <c r="E14" s="417" t="s">
        <v>429</v>
      </c>
      <c r="F14" s="417" t="s">
        <v>429</v>
      </c>
      <c r="G14" s="522">
        <v>17051.536</v>
      </c>
      <c r="H14" s="470"/>
      <c r="I14" s="475"/>
    </row>
    <row r="15" spans="1:17" x14ac:dyDescent="0.2">
      <c r="A15" s="418" t="s">
        <v>274</v>
      </c>
      <c r="B15" s="419">
        <v>1498666</v>
      </c>
      <c r="C15" s="419">
        <f t="shared" si="0"/>
        <v>551705.15599999996</v>
      </c>
      <c r="D15" s="373" t="s">
        <v>464</v>
      </c>
      <c r="E15" s="417" t="s">
        <v>429</v>
      </c>
      <c r="F15" s="417" t="s">
        <v>429</v>
      </c>
      <c r="G15" s="522">
        <v>551705.15599999996</v>
      </c>
      <c r="H15" s="470"/>
      <c r="I15" s="475"/>
    </row>
    <row r="16" spans="1:17" x14ac:dyDescent="0.2">
      <c r="A16" s="418" t="s">
        <v>275</v>
      </c>
      <c r="B16" s="419">
        <v>364779.478</v>
      </c>
      <c r="C16" s="419">
        <f>G16</f>
        <v>0</v>
      </c>
      <c r="D16" s="373" t="s">
        <v>464</v>
      </c>
      <c r="E16" s="417" t="s">
        <v>430</v>
      </c>
      <c r="F16" s="417" t="s">
        <v>463</v>
      </c>
      <c r="G16" s="522"/>
      <c r="H16" s="470"/>
      <c r="I16" s="475"/>
    </row>
    <row r="17" spans="1:9" x14ac:dyDescent="0.2">
      <c r="A17" s="418" t="s">
        <v>276</v>
      </c>
      <c r="B17" s="419">
        <v>741767.96</v>
      </c>
      <c r="C17" s="419">
        <f t="shared" si="0"/>
        <v>0</v>
      </c>
      <c r="D17" s="373" t="s">
        <v>464</v>
      </c>
      <c r="E17" s="417" t="s">
        <v>430</v>
      </c>
      <c r="F17" s="417" t="s">
        <v>463</v>
      </c>
      <c r="G17" s="373"/>
      <c r="H17" s="470"/>
      <c r="I17" s="475"/>
    </row>
    <row r="18" spans="1:9" x14ac:dyDescent="0.2">
      <c r="A18" s="418" t="s">
        <v>277</v>
      </c>
      <c r="B18" s="419">
        <v>1701035.9</v>
      </c>
      <c r="C18" s="419">
        <f>G18</f>
        <v>685789.20799999998</v>
      </c>
      <c r="D18" s="373" t="s">
        <v>464</v>
      </c>
      <c r="E18" s="417" t="s">
        <v>429</v>
      </c>
      <c r="F18" s="417" t="s">
        <v>429</v>
      </c>
      <c r="G18" s="522">
        <v>685789.20799999998</v>
      </c>
      <c r="I18" s="476"/>
    </row>
    <row r="19" spans="1:9" x14ac:dyDescent="0.2">
      <c r="A19" s="418" t="s">
        <v>278</v>
      </c>
      <c r="B19" s="419">
        <v>601052.9</v>
      </c>
      <c r="C19" s="419">
        <f t="shared" si="0"/>
        <v>282703.152</v>
      </c>
      <c r="D19" s="373" t="s">
        <v>464</v>
      </c>
      <c r="E19" s="417" t="s">
        <v>429</v>
      </c>
      <c r="F19" s="417" t="s">
        <v>429</v>
      </c>
      <c r="G19" s="522">
        <v>282703.152</v>
      </c>
    </row>
    <row r="20" spans="1:9" x14ac:dyDescent="0.2">
      <c r="A20" s="418" t="s">
        <v>279</v>
      </c>
      <c r="B20" s="419">
        <v>38733.300000000003</v>
      </c>
      <c r="C20" s="419">
        <f t="shared" si="0"/>
        <v>37884.199999999997</v>
      </c>
      <c r="D20" s="373" t="s">
        <v>464</v>
      </c>
      <c r="E20" s="417" t="s">
        <v>429</v>
      </c>
      <c r="F20" s="417" t="s">
        <v>429</v>
      </c>
      <c r="G20" s="522">
        <v>37884.199999999997</v>
      </c>
    </row>
    <row r="21" spans="1:9" x14ac:dyDescent="0.2">
      <c r="A21" s="418" t="s">
        <v>280</v>
      </c>
      <c r="B21" s="419">
        <v>608885.75</v>
      </c>
      <c r="C21" s="419">
        <f t="shared" si="0"/>
        <v>0</v>
      </c>
      <c r="D21" s="373" t="s">
        <v>464</v>
      </c>
      <c r="E21" s="417" t="s">
        <v>430</v>
      </c>
      <c r="F21" s="417" t="s">
        <v>463</v>
      </c>
      <c r="G21" s="478"/>
    </row>
    <row r="22" spans="1:9" x14ac:dyDescent="0.2">
      <c r="A22" s="418" t="s">
        <v>283</v>
      </c>
      <c r="B22" s="419">
        <v>138.036</v>
      </c>
      <c r="C22" s="419">
        <f t="shared" si="0"/>
        <v>0</v>
      </c>
      <c r="D22" s="373" t="s">
        <v>465</v>
      </c>
      <c r="E22" s="417" t="s">
        <v>430</v>
      </c>
      <c r="F22" s="417" t="s">
        <v>463</v>
      </c>
      <c r="G22" s="181"/>
    </row>
    <row r="23" spans="1:9" x14ac:dyDescent="0.2">
      <c r="A23" s="418" t="s">
        <v>188</v>
      </c>
      <c r="B23" s="419">
        <v>106200</v>
      </c>
      <c r="C23" s="419">
        <f t="shared" si="0"/>
        <v>46409.4</v>
      </c>
      <c r="D23" s="373" t="s">
        <v>465</v>
      </c>
      <c r="E23" s="417" t="s">
        <v>432</v>
      </c>
      <c r="F23" s="417" t="s">
        <v>432</v>
      </c>
      <c r="G23" s="466">
        <f t="shared" ref="G23" si="2">(B23*$I$2)/2204.623</f>
        <v>46409.4</v>
      </c>
    </row>
    <row r="24" spans="1:9" x14ac:dyDescent="0.2">
      <c r="A24" s="418" t="s">
        <v>284</v>
      </c>
      <c r="B24" s="419">
        <v>19583.703000000001</v>
      </c>
      <c r="C24" s="419">
        <f t="shared" si="0"/>
        <v>8558.078211</v>
      </c>
      <c r="D24" s="373" t="s">
        <v>465</v>
      </c>
      <c r="E24" s="417" t="s">
        <v>432</v>
      </c>
      <c r="F24" s="417" t="s">
        <v>432</v>
      </c>
      <c r="G24" s="466">
        <f t="shared" ref="G24" si="3">(B24*$I$2)/2204.623</f>
        <v>8558.078211</v>
      </c>
    </row>
    <row r="25" spans="1:9" x14ac:dyDescent="0.2">
      <c r="A25" s="418" t="s">
        <v>285</v>
      </c>
      <c r="B25" s="419">
        <v>1.859</v>
      </c>
      <c r="C25" s="419">
        <f t="shared" si="0"/>
        <v>0</v>
      </c>
      <c r="D25" s="373" t="s">
        <v>465</v>
      </c>
      <c r="E25" s="417" t="s">
        <v>431</v>
      </c>
      <c r="F25" s="417" t="s">
        <v>463</v>
      </c>
      <c r="G25" s="181"/>
    </row>
    <row r="26" spans="1:9" x14ac:dyDescent="0.2">
      <c r="A26" s="418" t="s">
        <v>286</v>
      </c>
      <c r="B26" s="419">
        <v>6365.9970000000003</v>
      </c>
      <c r="C26" s="419">
        <f t="shared" si="0"/>
        <v>0</v>
      </c>
      <c r="D26" s="373" t="s">
        <v>465</v>
      </c>
      <c r="E26" s="417" t="s">
        <v>426</v>
      </c>
      <c r="F26" s="417" t="s">
        <v>463</v>
      </c>
      <c r="G26" s="181"/>
    </row>
    <row r="27" spans="1:9" x14ac:dyDescent="0.2">
      <c r="A27" s="418" t="s">
        <v>191</v>
      </c>
      <c r="B27" s="419">
        <v>-2253</v>
      </c>
      <c r="C27" s="419">
        <f t="shared" si="0"/>
        <v>-984.56100000000004</v>
      </c>
      <c r="D27" s="373" t="s">
        <v>465</v>
      </c>
      <c r="E27" s="417" t="s">
        <v>432</v>
      </c>
      <c r="F27" s="417" t="s">
        <v>432</v>
      </c>
      <c r="G27" s="466">
        <f t="shared" ref="G27" si="4">(B27*$I$2)/2204.623</f>
        <v>-984.56100000000004</v>
      </c>
    </row>
    <row r="28" spans="1:9" x14ac:dyDescent="0.2">
      <c r="A28" s="418" t="s">
        <v>173</v>
      </c>
      <c r="B28" s="419">
        <v>7000</v>
      </c>
      <c r="C28" s="419">
        <f t="shared" si="0"/>
        <v>0</v>
      </c>
      <c r="D28" s="373" t="s">
        <v>465</v>
      </c>
      <c r="E28" s="373" t="s">
        <v>426</v>
      </c>
      <c r="F28" s="373" t="s">
        <v>463</v>
      </c>
      <c r="G28" s="181"/>
    </row>
    <row r="29" spans="1:9" x14ac:dyDescent="0.2">
      <c r="A29" s="418" t="s">
        <v>287</v>
      </c>
      <c r="B29" s="419">
        <v>343584</v>
      </c>
      <c r="C29" s="419">
        <f t="shared" si="0"/>
        <v>150146.20799999998</v>
      </c>
      <c r="D29" s="373" t="s">
        <v>465</v>
      </c>
      <c r="E29" s="417" t="s">
        <v>432</v>
      </c>
      <c r="F29" s="417" t="s">
        <v>432</v>
      </c>
      <c r="G29" s="466">
        <f t="shared" ref="G29" si="5">(B29*$I$2)/2204.623</f>
        <v>150146.20799999998</v>
      </c>
    </row>
    <row r="30" spans="1:9" x14ac:dyDescent="0.2">
      <c r="A30" s="418" t="s">
        <v>288</v>
      </c>
      <c r="B30" s="419">
        <v>22.84</v>
      </c>
      <c r="C30" s="419">
        <f t="shared" si="0"/>
        <v>0</v>
      </c>
      <c r="D30" s="373" t="s">
        <v>465</v>
      </c>
      <c r="E30" s="373" t="s">
        <v>433</v>
      </c>
      <c r="F30" s="373" t="s">
        <v>463</v>
      </c>
      <c r="G30" s="181"/>
    </row>
    <row r="31" spans="1:9" x14ac:dyDescent="0.2">
      <c r="A31" s="418" t="s">
        <v>289</v>
      </c>
      <c r="B31" s="419">
        <v>2299343</v>
      </c>
      <c r="C31" s="419">
        <f t="shared" si="0"/>
        <v>0</v>
      </c>
      <c r="D31" s="373" t="s">
        <v>465</v>
      </c>
      <c r="E31" s="373" t="s">
        <v>426</v>
      </c>
      <c r="F31" s="417" t="s">
        <v>463</v>
      </c>
      <c r="G31" s="181"/>
    </row>
    <row r="32" spans="1:9" x14ac:dyDescent="0.2">
      <c r="A32" s="418" t="s">
        <v>290</v>
      </c>
      <c r="B32" s="419">
        <v>-39940</v>
      </c>
      <c r="C32" s="419">
        <f t="shared" si="0"/>
        <v>0</v>
      </c>
      <c r="D32" s="373" t="s">
        <v>465</v>
      </c>
      <c r="E32" s="373" t="s">
        <v>426</v>
      </c>
      <c r="F32" s="417" t="s">
        <v>463</v>
      </c>
      <c r="G32" s="181"/>
    </row>
    <row r="33" spans="1:15" x14ac:dyDescent="0.2">
      <c r="A33" s="418" t="s">
        <v>291</v>
      </c>
      <c r="B33" s="419">
        <v>-82401</v>
      </c>
      <c r="C33" s="419">
        <f t="shared" si="0"/>
        <v>0</v>
      </c>
      <c r="D33" s="373" t="s">
        <v>465</v>
      </c>
      <c r="E33" s="373" t="s">
        <v>426</v>
      </c>
      <c r="F33" s="417" t="s">
        <v>463</v>
      </c>
      <c r="G33" s="181"/>
    </row>
    <row r="34" spans="1:15" x14ac:dyDescent="0.2">
      <c r="A34" s="418" t="s">
        <v>292</v>
      </c>
      <c r="B34" s="419">
        <v>1094705</v>
      </c>
      <c r="C34" s="419">
        <f t="shared" si="0"/>
        <v>0</v>
      </c>
      <c r="D34" s="373" t="s">
        <v>465</v>
      </c>
      <c r="E34" s="373" t="s">
        <v>426</v>
      </c>
      <c r="F34" s="417" t="s">
        <v>463</v>
      </c>
      <c r="G34" s="181"/>
    </row>
    <row r="35" spans="1:15" x14ac:dyDescent="0.2">
      <c r="A35" s="418" t="s">
        <v>293</v>
      </c>
      <c r="B35" s="419">
        <v>4697.4279999999999</v>
      </c>
      <c r="C35" s="419">
        <f t="shared" si="0"/>
        <v>0</v>
      </c>
      <c r="D35" s="373" t="s">
        <v>465</v>
      </c>
      <c r="E35" s="417" t="s">
        <v>431</v>
      </c>
      <c r="F35" s="417" t="s">
        <v>463</v>
      </c>
      <c r="G35" s="181"/>
    </row>
    <row r="36" spans="1:15" x14ac:dyDescent="0.2">
      <c r="A36" s="418" t="s">
        <v>294</v>
      </c>
      <c r="B36" s="419">
        <v>4857.8090000000002</v>
      </c>
      <c r="C36" s="419">
        <f t="shared" si="0"/>
        <v>0</v>
      </c>
      <c r="D36" s="373" t="s">
        <v>465</v>
      </c>
      <c r="E36" s="373" t="s">
        <v>431</v>
      </c>
      <c r="F36" s="417" t="s">
        <v>463</v>
      </c>
      <c r="G36" s="181"/>
    </row>
    <row r="37" spans="1:15" x14ac:dyDescent="0.2">
      <c r="A37" s="418" t="s">
        <v>295</v>
      </c>
      <c r="B37" s="419">
        <v>4485.2</v>
      </c>
      <c r="C37" s="419">
        <f t="shared" si="0"/>
        <v>0</v>
      </c>
      <c r="D37" s="373" t="s">
        <v>465</v>
      </c>
      <c r="E37" s="417" t="s">
        <v>431</v>
      </c>
      <c r="F37" s="417" t="s">
        <v>463</v>
      </c>
      <c r="G37" s="181"/>
    </row>
    <row r="38" spans="1:15" x14ac:dyDescent="0.2">
      <c r="A38" s="418" t="s">
        <v>297</v>
      </c>
      <c r="B38" s="419">
        <v>53743</v>
      </c>
      <c r="C38" s="419">
        <f t="shared" si="0"/>
        <v>0</v>
      </c>
      <c r="D38" s="373" t="s">
        <v>465</v>
      </c>
      <c r="E38" s="417" t="s">
        <v>426</v>
      </c>
      <c r="F38" s="417" t="s">
        <v>463</v>
      </c>
      <c r="G38" s="181"/>
    </row>
    <row r="39" spans="1:15" x14ac:dyDescent="0.2">
      <c r="A39" s="418" t="s">
        <v>299</v>
      </c>
      <c r="B39" s="419">
        <v>61.71</v>
      </c>
      <c r="C39" s="419">
        <f t="shared" si="0"/>
        <v>0</v>
      </c>
      <c r="D39" s="373" t="s">
        <v>465</v>
      </c>
      <c r="E39" s="373" t="s">
        <v>433</v>
      </c>
      <c r="F39" s="417" t="s">
        <v>463</v>
      </c>
      <c r="G39" s="181"/>
    </row>
    <row r="40" spans="1:15" x14ac:dyDescent="0.2">
      <c r="A40" s="418" t="s">
        <v>300</v>
      </c>
      <c r="B40" s="419">
        <v>400</v>
      </c>
      <c r="C40" s="419">
        <f t="shared" si="0"/>
        <v>167.3206793882141</v>
      </c>
      <c r="D40" s="373" t="s">
        <v>465</v>
      </c>
      <c r="E40" s="417" t="s">
        <v>429</v>
      </c>
      <c r="F40" s="417" t="s">
        <v>429</v>
      </c>
      <c r="G40" s="449">
        <f>M40*B40</f>
        <v>167.3206793882141</v>
      </c>
      <c r="H40" s="373"/>
      <c r="I40" s="181"/>
      <c r="J40" s="181"/>
      <c r="K40" s="181"/>
      <c r="M40" s="373">
        <f>N40/O40</f>
        <v>0.41830169847053528</v>
      </c>
      <c r="N40" s="373">
        <v>1118733.2520000001</v>
      </c>
      <c r="O40" s="373">
        <v>2674465</v>
      </c>
    </row>
    <row r="41" spans="1:15" x14ac:dyDescent="0.2">
      <c r="A41" s="418" t="s">
        <v>301</v>
      </c>
      <c r="B41" s="419">
        <v>119141</v>
      </c>
      <c r="C41" s="419">
        <f t="shared" si="0"/>
        <v>0</v>
      </c>
      <c r="D41" s="373" t="s">
        <v>465</v>
      </c>
      <c r="E41" s="417" t="s">
        <v>430</v>
      </c>
      <c r="F41" s="417" t="s">
        <v>463</v>
      </c>
      <c r="G41" s="181"/>
    </row>
    <row r="42" spans="1:15" x14ac:dyDescent="0.2">
      <c r="A42" s="418" t="s">
        <v>302</v>
      </c>
      <c r="B42" s="419">
        <v>129.62800000000001</v>
      </c>
      <c r="C42" s="419">
        <f t="shared" si="0"/>
        <v>0</v>
      </c>
      <c r="D42" s="373" t="s">
        <v>465</v>
      </c>
      <c r="E42" s="417" t="s">
        <v>430</v>
      </c>
      <c r="F42" s="417" t="s">
        <v>463</v>
      </c>
      <c r="G42" s="181"/>
    </row>
    <row r="43" spans="1:15" x14ac:dyDescent="0.2">
      <c r="A43" s="418" t="s">
        <v>305</v>
      </c>
      <c r="B43" s="419">
        <v>4950.2660000000005</v>
      </c>
      <c r="C43" s="419">
        <f t="shared" si="0"/>
        <v>0</v>
      </c>
      <c r="D43" s="373" t="s">
        <v>465</v>
      </c>
      <c r="E43" s="417" t="s">
        <v>431</v>
      </c>
      <c r="F43" s="417" t="s">
        <v>463</v>
      </c>
      <c r="G43" s="181"/>
    </row>
    <row r="44" spans="1:15" x14ac:dyDescent="0.2">
      <c r="A44" s="418" t="s">
        <v>306</v>
      </c>
      <c r="B44" s="419">
        <v>4961.1959999999999</v>
      </c>
      <c r="C44" s="419">
        <f t="shared" si="0"/>
        <v>0</v>
      </c>
      <c r="D44" s="373" t="s">
        <v>465</v>
      </c>
      <c r="E44" s="417" t="s">
        <v>426</v>
      </c>
      <c r="F44" s="417" t="s">
        <v>463</v>
      </c>
      <c r="G44" s="181"/>
    </row>
    <row r="45" spans="1:15" x14ac:dyDescent="0.2">
      <c r="A45" s="418" t="s">
        <v>307</v>
      </c>
      <c r="B45" s="419">
        <v>162.84899999999999</v>
      </c>
      <c r="C45" s="419">
        <f t="shared" si="0"/>
        <v>0</v>
      </c>
      <c r="D45" s="373" t="s">
        <v>465</v>
      </c>
      <c r="E45" s="417" t="s">
        <v>426</v>
      </c>
      <c r="F45" s="417" t="s">
        <v>463</v>
      </c>
      <c r="G45" s="181"/>
    </row>
    <row r="46" spans="1:15" x14ac:dyDescent="0.2">
      <c r="A46" s="418" t="s">
        <v>309</v>
      </c>
      <c r="B46" s="419">
        <v>11368.796</v>
      </c>
      <c r="C46" s="419">
        <f t="shared" si="0"/>
        <v>0</v>
      </c>
      <c r="D46" s="373" t="s">
        <v>465</v>
      </c>
      <c r="E46" s="417" t="s">
        <v>430</v>
      </c>
      <c r="F46" s="417" t="s">
        <v>463</v>
      </c>
      <c r="G46" s="181"/>
    </row>
    <row r="47" spans="1:15" x14ac:dyDescent="0.2">
      <c r="A47" s="418" t="s">
        <v>310</v>
      </c>
      <c r="B47" s="419">
        <v>1135396</v>
      </c>
      <c r="C47" s="419">
        <f t="shared" si="0"/>
        <v>1280439.9362013757</v>
      </c>
      <c r="D47" s="373" t="s">
        <v>465</v>
      </c>
      <c r="E47" s="417" t="s">
        <v>427</v>
      </c>
      <c r="F47" s="417" t="s">
        <v>427</v>
      </c>
      <c r="G47" s="449">
        <f>M47*B47</f>
        <v>1280439.9362013757</v>
      </c>
      <c r="H47" s="373"/>
      <c r="I47" s="181"/>
      <c r="J47" s="181"/>
      <c r="K47" s="181"/>
      <c r="M47" s="373">
        <f>N47/O47</f>
        <v>1.1277474433601806</v>
      </c>
      <c r="N47" s="373">
        <v>5665100.6059999997</v>
      </c>
      <c r="O47" s="373">
        <v>5023377.0329999998</v>
      </c>
    </row>
    <row r="48" spans="1:15" x14ac:dyDescent="0.2">
      <c r="A48" s="418" t="s">
        <v>311</v>
      </c>
      <c r="B48" s="419">
        <v>1619.28</v>
      </c>
      <c r="C48" s="419">
        <f t="shared" si="0"/>
        <v>0</v>
      </c>
      <c r="D48" s="373" t="s">
        <v>465</v>
      </c>
      <c r="E48" s="417" t="s">
        <v>431</v>
      </c>
      <c r="F48" s="417" t="s">
        <v>463</v>
      </c>
      <c r="G48" s="181"/>
    </row>
    <row r="49" spans="1:7" x14ac:dyDescent="0.2">
      <c r="A49" s="418" t="s">
        <v>312</v>
      </c>
      <c r="B49" s="419">
        <v>3455.4459999999999</v>
      </c>
      <c r="C49" s="419">
        <f t="shared" si="0"/>
        <v>0</v>
      </c>
      <c r="D49" s="373" t="s">
        <v>465</v>
      </c>
      <c r="E49" s="417" t="s">
        <v>431</v>
      </c>
      <c r="F49" s="417" t="s">
        <v>463</v>
      </c>
      <c r="G49" s="181"/>
    </row>
    <row r="50" spans="1:7" x14ac:dyDescent="0.2">
      <c r="A50" s="418" t="s">
        <v>314</v>
      </c>
      <c r="B50" s="419">
        <v>32656.922999999999</v>
      </c>
      <c r="C50" s="419">
        <f t="shared" si="0"/>
        <v>0</v>
      </c>
      <c r="D50" s="373" t="s">
        <v>465</v>
      </c>
      <c r="E50" s="417" t="s">
        <v>431</v>
      </c>
      <c r="F50" s="417" t="s">
        <v>463</v>
      </c>
      <c r="G50" s="181"/>
    </row>
    <row r="51" spans="1:7" x14ac:dyDescent="0.2">
      <c r="A51" s="418" t="s">
        <v>315</v>
      </c>
      <c r="B51" s="419">
        <v>62833.254000000001</v>
      </c>
      <c r="C51" s="419">
        <f t="shared" si="0"/>
        <v>0</v>
      </c>
      <c r="D51" s="373" t="s">
        <v>465</v>
      </c>
      <c r="E51" s="417" t="s">
        <v>426</v>
      </c>
      <c r="F51" s="417" t="s">
        <v>463</v>
      </c>
      <c r="G51" s="181"/>
    </row>
    <row r="52" spans="1:7" x14ac:dyDescent="0.2">
      <c r="A52" s="418" t="s">
        <v>316</v>
      </c>
      <c r="B52" s="419">
        <v>1087.0940000000001</v>
      </c>
      <c r="C52" s="419">
        <f t="shared" si="0"/>
        <v>0</v>
      </c>
      <c r="D52" s="373" t="s">
        <v>465</v>
      </c>
      <c r="E52" s="417" t="s">
        <v>431</v>
      </c>
      <c r="F52" s="417" t="s">
        <v>463</v>
      </c>
      <c r="G52" s="181"/>
    </row>
    <row r="53" spans="1:7" x14ac:dyDescent="0.2">
      <c r="A53" s="418" t="s">
        <v>317</v>
      </c>
      <c r="B53" s="419">
        <v>744.32</v>
      </c>
      <c r="C53" s="419">
        <f t="shared" si="0"/>
        <v>0</v>
      </c>
      <c r="D53" s="373" t="s">
        <v>465</v>
      </c>
      <c r="E53" s="417" t="s">
        <v>426</v>
      </c>
      <c r="F53" s="417" t="s">
        <v>463</v>
      </c>
      <c r="G53" s="181"/>
    </row>
    <row r="54" spans="1:7" x14ac:dyDescent="0.2">
      <c r="A54" s="418" t="s">
        <v>318</v>
      </c>
      <c r="B54" s="419">
        <v>36094.142</v>
      </c>
      <c r="C54" s="419">
        <f t="shared" si="0"/>
        <v>0</v>
      </c>
      <c r="D54" s="373" t="s">
        <v>465</v>
      </c>
      <c r="E54" s="417" t="s">
        <v>426</v>
      </c>
      <c r="F54" s="417" t="s">
        <v>463</v>
      </c>
      <c r="G54" s="181"/>
    </row>
    <row r="55" spans="1:7" x14ac:dyDescent="0.2">
      <c r="A55" s="418" t="s">
        <v>319</v>
      </c>
      <c r="B55" s="419">
        <v>278.68</v>
      </c>
      <c r="C55" s="419">
        <f t="shared" si="0"/>
        <v>0</v>
      </c>
      <c r="D55" s="373" t="s">
        <v>465</v>
      </c>
      <c r="E55" s="417" t="s">
        <v>431</v>
      </c>
      <c r="F55" s="417" t="s">
        <v>463</v>
      </c>
      <c r="G55" s="181"/>
    </row>
    <row r="56" spans="1:7" x14ac:dyDescent="0.2">
      <c r="A56" s="418" t="s">
        <v>321</v>
      </c>
      <c r="B56" s="419">
        <v>22257.173999999999</v>
      </c>
      <c r="C56" s="419">
        <f t="shared" si="0"/>
        <v>0</v>
      </c>
      <c r="D56" s="373" t="s">
        <v>465</v>
      </c>
      <c r="E56" s="417" t="s">
        <v>426</v>
      </c>
      <c r="F56" s="417" t="s">
        <v>463</v>
      </c>
      <c r="G56" s="181"/>
    </row>
    <row r="57" spans="1:7" x14ac:dyDescent="0.2">
      <c r="A57" s="418" t="s">
        <v>325</v>
      </c>
      <c r="B57" s="419">
        <v>738.61900000000003</v>
      </c>
      <c r="C57" s="419">
        <f t="shared" si="0"/>
        <v>0</v>
      </c>
      <c r="D57" s="373" t="s">
        <v>465</v>
      </c>
      <c r="E57" s="417" t="s">
        <v>426</v>
      </c>
      <c r="F57" s="417" t="s">
        <v>463</v>
      </c>
      <c r="G57" s="181"/>
    </row>
    <row r="58" spans="1:7" x14ac:dyDescent="0.2">
      <c r="A58" s="418" t="s">
        <v>326</v>
      </c>
      <c r="B58" s="419">
        <v>52604.395000000004</v>
      </c>
      <c r="C58" s="419">
        <f t="shared" si="0"/>
        <v>0</v>
      </c>
      <c r="D58" s="373" t="s">
        <v>465</v>
      </c>
      <c r="E58" s="417" t="s">
        <v>426</v>
      </c>
      <c r="F58" s="417" t="s">
        <v>463</v>
      </c>
      <c r="G58" s="181"/>
    </row>
    <row r="59" spans="1:7" x14ac:dyDescent="0.2">
      <c r="A59" s="418" t="s">
        <v>327</v>
      </c>
      <c r="B59" s="419">
        <v>8526.616</v>
      </c>
      <c r="C59" s="419">
        <f t="shared" si="0"/>
        <v>0</v>
      </c>
      <c r="D59" s="373" t="s">
        <v>465</v>
      </c>
      <c r="E59" s="417" t="s">
        <v>426</v>
      </c>
      <c r="F59" s="417" t="s">
        <v>463</v>
      </c>
      <c r="G59" s="181"/>
    </row>
    <row r="60" spans="1:7" x14ac:dyDescent="0.2">
      <c r="A60" s="418" t="str">
        <f>'2015 Unknown'!A127</f>
        <v>Transalta Contract - Source "Other" and Bookouts</v>
      </c>
      <c r="B60" s="419">
        <f>'2015 Unknown'!B127</f>
        <v>515781</v>
      </c>
      <c r="C60" s="419">
        <f>'2015 Unknown'!D127</f>
        <v>225396.29699999999</v>
      </c>
      <c r="D60" s="373" t="s">
        <v>465</v>
      </c>
      <c r="E60" s="417" t="s">
        <v>432</v>
      </c>
      <c r="F60" s="417" t="s">
        <v>432</v>
      </c>
      <c r="G60" s="523" t="s">
        <v>606</v>
      </c>
    </row>
    <row r="61" spans="1:7" ht="13.5" thickBot="1" x14ac:dyDescent="0.25">
      <c r="A61" s="420"/>
      <c r="B61" s="421"/>
      <c r="C61" s="421"/>
      <c r="D61" s="373"/>
    </row>
    <row r="62" spans="1:7" ht="14.25" thickTop="1" thickBot="1" x14ac:dyDescent="0.25">
      <c r="B62" s="422">
        <f>SUM(B4:B61)</f>
        <v>18582396.381000001</v>
      </c>
      <c r="C62" s="422">
        <f>SUM(C4:C61)</f>
        <v>9232265.708943272</v>
      </c>
    </row>
  </sheetData>
  <autoFilter ref="A1:K59"/>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workbookViewId="0">
      <selection activeCell="E127" sqref="E127"/>
    </sheetView>
  </sheetViews>
  <sheetFormatPr defaultRowHeight="15" x14ac:dyDescent="0.25"/>
  <cols>
    <col min="1" max="1" width="46.140625" customWidth="1"/>
    <col min="2" max="2" width="13.7109375" customWidth="1"/>
    <col min="3" max="3" width="12.5703125" customWidth="1"/>
    <col min="4" max="4" width="13.5703125" customWidth="1"/>
    <col min="6" max="6" width="10.7109375" customWidth="1"/>
    <col min="7" max="7" width="9.140625" customWidth="1"/>
    <col min="8" max="8" width="8" customWidth="1"/>
    <col min="10" max="10" width="29.7109375" style="125" customWidth="1"/>
    <col min="11" max="11" width="29.7109375" customWidth="1"/>
    <col min="12" max="12" width="9.85546875" style="96" bestFit="1" customWidth="1"/>
  </cols>
  <sheetData>
    <row r="1" spans="1:12" ht="19.5" x14ac:dyDescent="0.35">
      <c r="A1" s="2" t="s">
        <v>32</v>
      </c>
      <c r="B1" s="183">
        <v>2015</v>
      </c>
      <c r="D1" s="7" t="s">
        <v>2</v>
      </c>
      <c r="H1" s="121">
        <f>'EFs &amp; Rates'!M5</f>
        <v>963.42025100000001</v>
      </c>
      <c r="I1" t="s">
        <v>6</v>
      </c>
    </row>
    <row r="2" spans="1:12" ht="18.75" x14ac:dyDescent="0.3">
      <c r="A2" s="2"/>
      <c r="B2" s="10" t="s">
        <v>31</v>
      </c>
      <c r="C2" s="10" t="s">
        <v>1</v>
      </c>
      <c r="D2" s="10" t="s">
        <v>522</v>
      </c>
      <c r="E2" s="3"/>
      <c r="F2" s="36" t="s">
        <v>9</v>
      </c>
      <c r="G2" s="35">
        <v>2015</v>
      </c>
      <c r="H2" s="37"/>
    </row>
    <row r="3" spans="1:12" ht="19.5" x14ac:dyDescent="0.35">
      <c r="A3" s="4" t="s">
        <v>0</v>
      </c>
      <c r="B3" s="11"/>
      <c r="C3" s="11" t="s">
        <v>7</v>
      </c>
      <c r="D3" s="11" t="s">
        <v>8</v>
      </c>
      <c r="E3" s="6"/>
    </row>
    <row r="4" spans="1:12" x14ac:dyDescent="0.25">
      <c r="A4" s="31" t="str">
        <f>J4</f>
        <v>Avista Corp. WWP Division</v>
      </c>
      <c r="B4" s="97">
        <f>L4</f>
        <v>127355</v>
      </c>
      <c r="C4" s="93">
        <f t="shared" ref="C4:C67" si="0">IF(B4&lt;&gt;0,$H$1,"")</f>
        <v>963.42025100000001</v>
      </c>
      <c r="D4" s="9">
        <f t="shared" ref="D4:D67" si="1">(+B4*C4)/2204.623</f>
        <v>55654.135000000002</v>
      </c>
      <c r="F4" s="122" t="s">
        <v>402</v>
      </c>
      <c r="G4" s="122"/>
      <c r="J4" s="125" t="s">
        <v>187</v>
      </c>
      <c r="K4" t="s">
        <v>608</v>
      </c>
      <c r="L4" s="96">
        <v>127355</v>
      </c>
    </row>
    <row r="5" spans="1:12" x14ac:dyDescent="0.25">
      <c r="A5" s="31" t="str">
        <f t="shared" ref="A5:A68" si="2">J5</f>
        <v>Barclays Bank Plc</v>
      </c>
      <c r="B5" s="97">
        <f t="shared" ref="B5:B68" si="3">L5</f>
        <v>-30</v>
      </c>
      <c r="C5" s="93">
        <f t="shared" si="0"/>
        <v>963.42025100000001</v>
      </c>
      <c r="D5" s="9">
        <f t="shared" si="1"/>
        <v>-13.11</v>
      </c>
      <c r="F5" s="123">
        <v>2072887.884457618</v>
      </c>
      <c r="G5" s="122" t="s">
        <v>401</v>
      </c>
      <c r="J5" s="125" t="s">
        <v>188</v>
      </c>
      <c r="K5" t="s">
        <v>608</v>
      </c>
      <c r="L5" s="96">
        <v>-30</v>
      </c>
    </row>
    <row r="6" spans="1:12" x14ac:dyDescent="0.25">
      <c r="A6" s="31" t="str">
        <f t="shared" si="2"/>
        <v>Black Hills Power</v>
      </c>
      <c r="B6" s="97">
        <f t="shared" si="3"/>
        <v>1200</v>
      </c>
      <c r="C6" s="93">
        <f t="shared" si="0"/>
        <v>963.42025100000001</v>
      </c>
      <c r="D6" s="9">
        <f t="shared" si="1"/>
        <v>524.40000000000009</v>
      </c>
      <c r="J6" s="125" t="s">
        <v>189</v>
      </c>
      <c r="K6" t="s">
        <v>608</v>
      </c>
      <c r="L6" s="96">
        <v>1200</v>
      </c>
    </row>
    <row r="7" spans="1:12" x14ac:dyDescent="0.25">
      <c r="A7" s="31"/>
      <c r="B7" s="97"/>
      <c r="C7" s="93"/>
      <c r="D7" s="9"/>
      <c r="J7" s="89" t="s">
        <v>191</v>
      </c>
      <c r="K7" t="s">
        <v>608</v>
      </c>
      <c r="L7" s="96">
        <v>-5721875</v>
      </c>
    </row>
    <row r="8" spans="1:12" x14ac:dyDescent="0.25">
      <c r="A8" s="31" t="str">
        <f t="shared" si="2"/>
        <v>BP Energy Co.</v>
      </c>
      <c r="B8" s="97">
        <f t="shared" si="3"/>
        <v>340839</v>
      </c>
      <c r="C8" s="93">
        <f t="shared" si="0"/>
        <v>963.42025100000001</v>
      </c>
      <c r="D8" s="9">
        <f t="shared" si="1"/>
        <v>148946.64300000001</v>
      </c>
      <c r="J8" s="125" t="s">
        <v>192</v>
      </c>
      <c r="K8" t="s">
        <v>608</v>
      </c>
      <c r="L8" s="96">
        <v>340839</v>
      </c>
    </row>
    <row r="9" spans="1:12" x14ac:dyDescent="0.25">
      <c r="A9" s="31" t="str">
        <f t="shared" si="2"/>
        <v>BPA</v>
      </c>
      <c r="B9" s="97">
        <f t="shared" si="3"/>
        <v>141462</v>
      </c>
      <c r="C9" s="93">
        <f t="shared" si="0"/>
        <v>963.42025100000001</v>
      </c>
      <c r="D9" s="9">
        <f t="shared" si="1"/>
        <v>61818.893999999993</v>
      </c>
      <c r="J9" s="125" t="s">
        <v>173</v>
      </c>
      <c r="K9" t="s">
        <v>608</v>
      </c>
      <c r="L9" s="96">
        <v>141462</v>
      </c>
    </row>
    <row r="10" spans="1:12" x14ac:dyDescent="0.25">
      <c r="A10" s="31" t="str">
        <f t="shared" si="2"/>
        <v>British Columbia Transmission Corp</v>
      </c>
      <c r="B10" s="97">
        <f t="shared" si="3"/>
        <v>67</v>
      </c>
      <c r="C10" s="93">
        <f t="shared" si="0"/>
        <v>963.42025100000001</v>
      </c>
      <c r="D10" s="9">
        <f t="shared" si="1"/>
        <v>29.279</v>
      </c>
      <c r="J10" s="125" t="s">
        <v>193</v>
      </c>
      <c r="K10" t="s">
        <v>608</v>
      </c>
      <c r="L10" s="96">
        <v>67</v>
      </c>
    </row>
    <row r="11" spans="1:12" x14ac:dyDescent="0.25">
      <c r="A11" s="31"/>
      <c r="B11" s="97"/>
      <c r="C11" s="93"/>
      <c r="D11" s="9"/>
      <c r="J11" s="89" t="s">
        <v>196</v>
      </c>
      <c r="K11" t="s">
        <v>608</v>
      </c>
      <c r="L11" s="96">
        <v>0</v>
      </c>
    </row>
    <row r="12" spans="1:12" x14ac:dyDescent="0.25">
      <c r="A12" s="31" t="str">
        <f t="shared" si="2"/>
        <v>California ISO</v>
      </c>
      <c r="B12" s="97">
        <f t="shared" si="3"/>
        <v>12114</v>
      </c>
      <c r="C12" s="93">
        <f t="shared" si="0"/>
        <v>963.42025100000001</v>
      </c>
      <c r="D12" s="9">
        <f t="shared" si="1"/>
        <v>5293.8180000000002</v>
      </c>
      <c r="J12" s="125" t="s">
        <v>197</v>
      </c>
      <c r="K12" t="s">
        <v>608</v>
      </c>
      <c r="L12" s="96">
        <v>12114</v>
      </c>
    </row>
    <row r="13" spans="1:12" x14ac:dyDescent="0.25">
      <c r="A13" s="31" t="str">
        <f t="shared" si="2"/>
        <v>Calpine Energy Services</v>
      </c>
      <c r="B13" s="97">
        <f t="shared" si="3"/>
        <v>350294</v>
      </c>
      <c r="C13" s="93">
        <f t="shared" si="0"/>
        <v>963.42025100000001</v>
      </c>
      <c r="D13" s="9">
        <f t="shared" si="1"/>
        <v>153078.478</v>
      </c>
      <c r="J13" s="125" t="s">
        <v>198</v>
      </c>
      <c r="K13" t="s">
        <v>608</v>
      </c>
      <c r="L13" s="96">
        <v>350294</v>
      </c>
    </row>
    <row r="14" spans="1:12" x14ac:dyDescent="0.25">
      <c r="A14" s="31"/>
      <c r="B14" s="97"/>
      <c r="C14" s="93"/>
      <c r="D14" s="9"/>
      <c r="J14" s="89" t="s">
        <v>614</v>
      </c>
      <c r="K14" t="s">
        <v>608</v>
      </c>
      <c r="L14" s="96">
        <v>0</v>
      </c>
    </row>
    <row r="15" spans="1:12" x14ac:dyDescent="0.25">
      <c r="A15" s="31" t="str">
        <f t="shared" si="2"/>
        <v>Cargill Power Markets</v>
      </c>
      <c r="B15" s="97">
        <f t="shared" si="3"/>
        <v>779739</v>
      </c>
      <c r="C15" s="93">
        <f t="shared" si="0"/>
        <v>963.42025100000001</v>
      </c>
      <c r="D15" s="9">
        <f t="shared" si="1"/>
        <v>340745.94299999997</v>
      </c>
      <c r="J15" s="125" t="s">
        <v>174</v>
      </c>
      <c r="K15" t="s">
        <v>608</v>
      </c>
      <c r="L15" s="96">
        <v>779739</v>
      </c>
    </row>
    <row r="16" spans="1:12" x14ac:dyDescent="0.25">
      <c r="A16" s="31" t="str">
        <f t="shared" si="2"/>
        <v>Chelan County PUD #1</v>
      </c>
      <c r="B16" s="97">
        <f t="shared" si="3"/>
        <v>857</v>
      </c>
      <c r="C16" s="93">
        <f t="shared" si="0"/>
        <v>963.42025100000001</v>
      </c>
      <c r="D16" s="9">
        <f t="shared" si="1"/>
        <v>374.50900000000001</v>
      </c>
      <c r="J16" s="125" t="s">
        <v>199</v>
      </c>
      <c r="K16" t="s">
        <v>608</v>
      </c>
      <c r="L16" s="96">
        <v>857</v>
      </c>
    </row>
    <row r="17" spans="1:12" x14ac:dyDescent="0.25">
      <c r="A17" s="31"/>
      <c r="B17" s="97"/>
      <c r="C17" s="93"/>
      <c r="D17" s="9"/>
      <c r="J17" s="89" t="s">
        <v>615</v>
      </c>
      <c r="K17" t="s">
        <v>608</v>
      </c>
      <c r="L17" s="96">
        <v>0</v>
      </c>
    </row>
    <row r="18" spans="1:12" x14ac:dyDescent="0.25">
      <c r="A18" s="31" t="str">
        <f t="shared" si="2"/>
        <v>Citigroup Energy Inc</v>
      </c>
      <c r="B18" s="97">
        <f t="shared" si="3"/>
        <v>507518</v>
      </c>
      <c r="C18" s="93">
        <f t="shared" si="0"/>
        <v>963.42025100000001</v>
      </c>
      <c r="D18" s="9">
        <f t="shared" si="1"/>
        <v>221785.36600000001</v>
      </c>
      <c r="J18" s="125" t="s">
        <v>185</v>
      </c>
      <c r="K18" t="s">
        <v>608</v>
      </c>
      <c r="L18" s="96">
        <v>507518</v>
      </c>
    </row>
    <row r="19" spans="1:12" x14ac:dyDescent="0.25">
      <c r="A19" s="31" t="str">
        <f t="shared" si="2"/>
        <v>Clark Public Utilities</v>
      </c>
      <c r="B19" s="97">
        <f t="shared" si="3"/>
        <v>5045</v>
      </c>
      <c r="C19" s="93">
        <f t="shared" si="0"/>
        <v>963.42025100000001</v>
      </c>
      <c r="D19" s="9">
        <f t="shared" si="1"/>
        <v>2204.665</v>
      </c>
      <c r="J19" s="125" t="s">
        <v>201</v>
      </c>
      <c r="K19" t="s">
        <v>608</v>
      </c>
      <c r="L19" s="96">
        <v>5045</v>
      </c>
    </row>
    <row r="20" spans="1:12" x14ac:dyDescent="0.25">
      <c r="A20" s="31" t="str">
        <f t="shared" si="2"/>
        <v>Clatskanie PUD</v>
      </c>
      <c r="B20" s="97">
        <f t="shared" si="3"/>
        <v>2021</v>
      </c>
      <c r="C20" s="93">
        <f t="shared" si="0"/>
        <v>963.42025100000001</v>
      </c>
      <c r="D20" s="9">
        <f t="shared" si="1"/>
        <v>883.17700000000002</v>
      </c>
      <c r="J20" s="125" t="s">
        <v>202</v>
      </c>
      <c r="K20" t="s">
        <v>608</v>
      </c>
      <c r="L20" s="96">
        <v>2021</v>
      </c>
    </row>
    <row r="21" spans="1:12" x14ac:dyDescent="0.25">
      <c r="A21" s="31" t="str">
        <f t="shared" si="2"/>
        <v>Conoco, Inc.</v>
      </c>
      <c r="B21" s="97">
        <f t="shared" si="3"/>
        <v>2000</v>
      </c>
      <c r="C21" s="93">
        <f t="shared" si="0"/>
        <v>963.42025100000001</v>
      </c>
      <c r="D21" s="9">
        <f t="shared" si="1"/>
        <v>874</v>
      </c>
      <c r="J21" s="125" t="s">
        <v>203</v>
      </c>
      <c r="K21" t="s">
        <v>608</v>
      </c>
      <c r="L21" s="96">
        <v>2000</v>
      </c>
    </row>
    <row r="22" spans="1:12" x14ac:dyDescent="0.25">
      <c r="A22" s="31" t="str">
        <f t="shared" si="2"/>
        <v>Constellation Power Source, Inc.</v>
      </c>
      <c r="B22" s="97">
        <f t="shared" si="3"/>
        <v>7</v>
      </c>
      <c r="C22" s="93">
        <f t="shared" si="0"/>
        <v>963.42025100000001</v>
      </c>
      <c r="D22" s="9">
        <f t="shared" si="1"/>
        <v>3.0590000000000002</v>
      </c>
      <c r="J22" s="125" t="s">
        <v>175</v>
      </c>
      <c r="K22" t="s">
        <v>608</v>
      </c>
      <c r="L22" s="96">
        <v>7</v>
      </c>
    </row>
    <row r="23" spans="1:12" x14ac:dyDescent="0.25">
      <c r="A23" s="31" t="str">
        <f t="shared" si="2"/>
        <v>Douglas County PUD #1</v>
      </c>
      <c r="B23" s="97">
        <f t="shared" si="3"/>
        <v>271759</v>
      </c>
      <c r="C23" s="93">
        <f t="shared" si="0"/>
        <v>963.42025100000001</v>
      </c>
      <c r="D23" s="9">
        <f t="shared" si="1"/>
        <v>118758.68299999999</v>
      </c>
      <c r="J23" s="125" t="s">
        <v>177</v>
      </c>
      <c r="K23" t="s">
        <v>608</v>
      </c>
      <c r="L23" s="96">
        <v>271759</v>
      </c>
    </row>
    <row r="24" spans="1:12" x14ac:dyDescent="0.25">
      <c r="A24" s="31"/>
      <c r="B24" s="97"/>
      <c r="C24" s="93"/>
      <c r="D24" s="9"/>
      <c r="J24" s="89" t="s">
        <v>616</v>
      </c>
      <c r="K24" t="s">
        <v>608</v>
      </c>
      <c r="L24" s="96">
        <v>0</v>
      </c>
    </row>
    <row r="25" spans="1:12" x14ac:dyDescent="0.25">
      <c r="A25" s="31" t="str">
        <f t="shared" si="2"/>
        <v>EDF Trading NA LLC</v>
      </c>
      <c r="B25" s="97">
        <f t="shared" si="3"/>
        <v>2085606</v>
      </c>
      <c r="C25" s="93">
        <f t="shared" si="0"/>
        <v>963.42025100000001</v>
      </c>
      <c r="D25" s="9">
        <f t="shared" si="1"/>
        <v>911409.82200000004</v>
      </c>
      <c r="J25" s="125" t="s">
        <v>208</v>
      </c>
      <c r="K25" t="s">
        <v>608</v>
      </c>
      <c r="L25" s="96">
        <v>2085606</v>
      </c>
    </row>
    <row r="26" spans="1:12" x14ac:dyDescent="0.25">
      <c r="A26" s="31" t="str">
        <f t="shared" si="2"/>
        <v>ENMAX Energy Marketing, Inc.</v>
      </c>
      <c r="B26" s="97">
        <f t="shared" si="3"/>
        <v>990</v>
      </c>
      <c r="C26" s="93">
        <f t="shared" si="0"/>
        <v>963.42025100000001</v>
      </c>
      <c r="D26" s="9">
        <f t="shared" si="1"/>
        <v>432.63</v>
      </c>
      <c r="J26" s="125" t="s">
        <v>210</v>
      </c>
      <c r="K26" t="s">
        <v>608</v>
      </c>
      <c r="L26" s="96">
        <v>990</v>
      </c>
    </row>
    <row r="27" spans="1:12" x14ac:dyDescent="0.25">
      <c r="A27" s="31" t="str">
        <f t="shared" si="2"/>
        <v>Eugene Water &amp; Electric</v>
      </c>
      <c r="B27" s="97">
        <f t="shared" si="3"/>
        <v>10905</v>
      </c>
      <c r="C27" s="93">
        <f t="shared" si="0"/>
        <v>963.42025100000001</v>
      </c>
      <c r="D27" s="9">
        <f t="shared" si="1"/>
        <v>4765.4849999999997</v>
      </c>
      <c r="J27" s="125" t="s">
        <v>211</v>
      </c>
      <c r="K27" t="s">
        <v>608</v>
      </c>
      <c r="L27" s="96">
        <v>10905</v>
      </c>
    </row>
    <row r="28" spans="1:12" x14ac:dyDescent="0.25">
      <c r="A28" s="31"/>
      <c r="B28" s="97"/>
      <c r="C28" s="93"/>
      <c r="D28" s="9"/>
      <c r="J28" s="89" t="s">
        <v>617</v>
      </c>
      <c r="K28" t="s">
        <v>608</v>
      </c>
      <c r="L28" s="96">
        <v>0</v>
      </c>
    </row>
    <row r="29" spans="1:12" x14ac:dyDescent="0.25">
      <c r="A29" s="31" t="str">
        <f t="shared" si="2"/>
        <v>Exelon Generation Co LLC</v>
      </c>
      <c r="B29" s="97">
        <f t="shared" si="3"/>
        <v>183085</v>
      </c>
      <c r="C29" s="93">
        <f t="shared" si="0"/>
        <v>963.42025100000001</v>
      </c>
      <c r="D29" s="9">
        <f t="shared" si="1"/>
        <v>80008.14499999999</v>
      </c>
      <c r="J29" s="125" t="s">
        <v>186</v>
      </c>
      <c r="K29" t="s">
        <v>608</v>
      </c>
      <c r="L29" s="96">
        <v>183085</v>
      </c>
    </row>
    <row r="30" spans="1:12" x14ac:dyDescent="0.25">
      <c r="A30" s="31" t="str">
        <f t="shared" si="2"/>
        <v>Grant County PUD #2</v>
      </c>
      <c r="B30" s="97">
        <f t="shared" si="3"/>
        <v>14148</v>
      </c>
      <c r="C30" s="93">
        <f t="shared" si="0"/>
        <v>963.42025100000001</v>
      </c>
      <c r="D30" s="9">
        <f t="shared" si="1"/>
        <v>6182.6759999999995</v>
      </c>
      <c r="J30" s="125" t="s">
        <v>213</v>
      </c>
      <c r="K30" t="s">
        <v>608</v>
      </c>
      <c r="L30" s="96">
        <v>14148</v>
      </c>
    </row>
    <row r="31" spans="1:12" x14ac:dyDescent="0.25">
      <c r="A31" s="31" t="str">
        <f t="shared" si="2"/>
        <v>Iberdrola Renewables (PPM Energy)</v>
      </c>
      <c r="B31" s="97">
        <f t="shared" si="3"/>
        <v>677785</v>
      </c>
      <c r="C31" s="93">
        <f t="shared" si="0"/>
        <v>963.42025100000001</v>
      </c>
      <c r="D31" s="9">
        <f t="shared" si="1"/>
        <v>296192.04500000004</v>
      </c>
      <c r="J31" s="125" t="s">
        <v>215</v>
      </c>
      <c r="K31" t="s">
        <v>608</v>
      </c>
      <c r="L31" s="96">
        <v>677785</v>
      </c>
    </row>
    <row r="32" spans="1:12" x14ac:dyDescent="0.25">
      <c r="A32" s="31" t="str">
        <f t="shared" si="2"/>
        <v>Idaho Power Company</v>
      </c>
      <c r="B32" s="97">
        <f t="shared" si="3"/>
        <v>14768</v>
      </c>
      <c r="C32" s="93">
        <f t="shared" si="0"/>
        <v>963.42025100000001</v>
      </c>
      <c r="D32" s="9">
        <f t="shared" si="1"/>
        <v>6453.616</v>
      </c>
      <c r="J32" s="125" t="s">
        <v>217</v>
      </c>
      <c r="K32" t="s">
        <v>608</v>
      </c>
      <c r="L32" s="96">
        <v>14768</v>
      </c>
    </row>
    <row r="33" spans="1:12" x14ac:dyDescent="0.25">
      <c r="A33" s="31" t="str">
        <f t="shared" si="2"/>
        <v>J. Aron &amp; Company</v>
      </c>
      <c r="B33" s="97">
        <f t="shared" si="3"/>
        <v>10400</v>
      </c>
      <c r="C33" s="93">
        <f t="shared" si="0"/>
        <v>963.42025100000001</v>
      </c>
      <c r="D33" s="9">
        <f t="shared" si="1"/>
        <v>4544.8</v>
      </c>
      <c r="J33" s="125" t="s">
        <v>220</v>
      </c>
      <c r="K33" t="s">
        <v>608</v>
      </c>
      <c r="L33" s="96">
        <v>10400</v>
      </c>
    </row>
    <row r="34" spans="1:12" x14ac:dyDescent="0.25">
      <c r="A34" s="31" t="str">
        <f t="shared" si="2"/>
        <v>JP Morgan Ventures Energy</v>
      </c>
      <c r="B34" s="97">
        <f t="shared" si="3"/>
        <v>67092</v>
      </c>
      <c r="C34" s="93">
        <f t="shared" si="0"/>
        <v>963.42025100000001</v>
      </c>
      <c r="D34" s="9">
        <f t="shared" si="1"/>
        <v>29319.204000000002</v>
      </c>
      <c r="J34" s="125" t="s">
        <v>221</v>
      </c>
      <c r="K34" t="s">
        <v>608</v>
      </c>
      <c r="L34" s="96">
        <v>67092</v>
      </c>
    </row>
    <row r="35" spans="1:12" x14ac:dyDescent="0.25">
      <c r="A35" s="31" t="str">
        <f t="shared" si="2"/>
        <v>Morgan Stanley CG</v>
      </c>
      <c r="B35" s="97">
        <f t="shared" si="3"/>
        <v>1304649</v>
      </c>
      <c r="C35" s="93">
        <f t="shared" si="0"/>
        <v>963.42025100000001</v>
      </c>
      <c r="D35" s="9">
        <f t="shared" si="1"/>
        <v>570131.61300000001</v>
      </c>
      <c r="J35" s="125" t="s">
        <v>178</v>
      </c>
      <c r="K35" t="s">
        <v>608</v>
      </c>
      <c r="L35" s="96">
        <v>1304649</v>
      </c>
    </row>
    <row r="36" spans="1:12" x14ac:dyDescent="0.25">
      <c r="A36" s="31"/>
      <c r="B36" s="97"/>
      <c r="C36" s="93"/>
      <c r="D36" s="9"/>
      <c r="J36" s="89" t="s">
        <v>618</v>
      </c>
      <c r="K36" t="s">
        <v>608</v>
      </c>
      <c r="L36" s="96">
        <v>0</v>
      </c>
    </row>
    <row r="37" spans="1:12" x14ac:dyDescent="0.25">
      <c r="A37" s="31" t="str">
        <f t="shared" si="2"/>
        <v>NextEra Energy Power Marketing</v>
      </c>
      <c r="B37" s="97">
        <f t="shared" si="3"/>
        <v>113998</v>
      </c>
      <c r="C37" s="93">
        <f t="shared" si="0"/>
        <v>963.42025100000001</v>
      </c>
      <c r="D37" s="9">
        <f t="shared" si="1"/>
        <v>49817.125999999997</v>
      </c>
      <c r="J37" s="125" t="s">
        <v>227</v>
      </c>
      <c r="K37" t="s">
        <v>608</v>
      </c>
      <c r="L37" s="96">
        <v>113998</v>
      </c>
    </row>
    <row r="38" spans="1:12" x14ac:dyDescent="0.25">
      <c r="A38" s="31" t="str">
        <f t="shared" si="2"/>
        <v>Noble Americas Energy Solutions</v>
      </c>
      <c r="B38" s="97">
        <f t="shared" si="3"/>
        <v>800</v>
      </c>
      <c r="C38" s="93">
        <f t="shared" si="0"/>
        <v>963.42025100000001</v>
      </c>
      <c r="D38" s="9">
        <f t="shared" si="1"/>
        <v>349.59999999999997</v>
      </c>
      <c r="J38" s="125" t="s">
        <v>228</v>
      </c>
      <c r="K38" t="s">
        <v>608</v>
      </c>
      <c r="L38" s="96">
        <v>800</v>
      </c>
    </row>
    <row r="39" spans="1:12" x14ac:dyDescent="0.25">
      <c r="A39" s="31" t="str">
        <f t="shared" si="2"/>
        <v>NorthPoint Energy Solutions, Inc.</v>
      </c>
      <c r="B39" s="97">
        <f t="shared" si="3"/>
        <v>300</v>
      </c>
      <c r="C39" s="93">
        <f t="shared" si="0"/>
        <v>963.42025100000001</v>
      </c>
      <c r="D39" s="9">
        <f t="shared" si="1"/>
        <v>131.10000000000002</v>
      </c>
      <c r="J39" s="125" t="s">
        <v>230</v>
      </c>
      <c r="K39" t="s">
        <v>608</v>
      </c>
      <c r="L39" s="96">
        <v>300</v>
      </c>
    </row>
    <row r="40" spans="1:12" x14ac:dyDescent="0.25">
      <c r="A40" s="31" t="str">
        <f t="shared" si="2"/>
        <v>Northwestern Energy</v>
      </c>
      <c r="B40" s="97">
        <f t="shared" si="3"/>
        <v>10619</v>
      </c>
      <c r="C40" s="93">
        <f t="shared" si="0"/>
        <v>963.42025100000001</v>
      </c>
      <c r="D40" s="9">
        <f t="shared" si="1"/>
        <v>4640.5030000000006</v>
      </c>
      <c r="J40" s="125" t="s">
        <v>231</v>
      </c>
      <c r="K40" t="s">
        <v>608</v>
      </c>
      <c r="L40" s="96">
        <v>10619</v>
      </c>
    </row>
    <row r="41" spans="1:12" x14ac:dyDescent="0.25">
      <c r="A41" s="31" t="str">
        <f t="shared" si="2"/>
        <v>Okanogan PUD</v>
      </c>
      <c r="B41" s="97">
        <f t="shared" si="3"/>
        <v>15430</v>
      </c>
      <c r="C41" s="93">
        <f t="shared" si="0"/>
        <v>963.42025100000001</v>
      </c>
      <c r="D41" s="9">
        <f t="shared" si="1"/>
        <v>6742.91</v>
      </c>
      <c r="J41" s="125" t="s">
        <v>233</v>
      </c>
      <c r="K41" t="s">
        <v>608</v>
      </c>
      <c r="L41" s="96">
        <v>15430</v>
      </c>
    </row>
    <row r="42" spans="1:12" x14ac:dyDescent="0.25">
      <c r="A42" s="31" t="str">
        <f t="shared" si="2"/>
        <v>Pacificorp</v>
      </c>
      <c r="B42" s="97">
        <f t="shared" si="3"/>
        <v>26590</v>
      </c>
      <c r="C42" s="93">
        <f t="shared" si="0"/>
        <v>963.42025100000001</v>
      </c>
      <c r="D42" s="9">
        <f t="shared" si="1"/>
        <v>11619.83</v>
      </c>
      <c r="J42" s="125" t="s">
        <v>236</v>
      </c>
      <c r="K42" t="s">
        <v>608</v>
      </c>
      <c r="L42" s="96">
        <v>26590</v>
      </c>
    </row>
    <row r="43" spans="1:12" x14ac:dyDescent="0.25">
      <c r="A43" s="31" t="str">
        <f t="shared" si="2"/>
        <v>Portland General Electric</v>
      </c>
      <c r="B43" s="97">
        <f t="shared" si="3"/>
        <v>109691</v>
      </c>
      <c r="C43" s="93">
        <f t="shared" si="0"/>
        <v>963.42025100000001</v>
      </c>
      <c r="D43" s="9">
        <f t="shared" si="1"/>
        <v>47934.967000000004</v>
      </c>
      <c r="J43" s="125" t="s">
        <v>238</v>
      </c>
      <c r="K43" t="s">
        <v>608</v>
      </c>
      <c r="L43" s="96">
        <v>109691</v>
      </c>
    </row>
    <row r="44" spans="1:12" x14ac:dyDescent="0.25">
      <c r="A44" s="31" t="str">
        <f t="shared" si="2"/>
        <v>Powerex Corp.</v>
      </c>
      <c r="B44" s="97">
        <f t="shared" si="3"/>
        <v>144388</v>
      </c>
      <c r="C44" s="93">
        <f t="shared" si="0"/>
        <v>963.42025100000001</v>
      </c>
      <c r="D44" s="9">
        <f t="shared" si="1"/>
        <v>63097.555999999997</v>
      </c>
      <c r="J44" s="125" t="s">
        <v>180</v>
      </c>
      <c r="K44" t="s">
        <v>608</v>
      </c>
      <c r="L44" s="96">
        <v>144388</v>
      </c>
    </row>
    <row r="45" spans="1:12" x14ac:dyDescent="0.25">
      <c r="A45" s="31" t="str">
        <f t="shared" si="2"/>
        <v>Public Service of Colorado</v>
      </c>
      <c r="B45" s="97">
        <f t="shared" si="3"/>
        <v>800</v>
      </c>
      <c r="C45" s="93">
        <f t="shared" si="0"/>
        <v>963.42025100000001</v>
      </c>
      <c r="D45" s="9">
        <f t="shared" si="1"/>
        <v>349.59999999999997</v>
      </c>
      <c r="J45" s="125" t="s">
        <v>239</v>
      </c>
      <c r="K45" t="s">
        <v>608</v>
      </c>
      <c r="L45" s="96">
        <v>800</v>
      </c>
    </row>
    <row r="46" spans="1:12" x14ac:dyDescent="0.25">
      <c r="A46" s="31" t="str">
        <f t="shared" si="2"/>
        <v>Rainbow Energy Marketing</v>
      </c>
      <c r="B46" s="97">
        <f t="shared" si="3"/>
        <v>12393</v>
      </c>
      <c r="C46" s="93">
        <f t="shared" si="0"/>
        <v>963.42025100000001</v>
      </c>
      <c r="D46" s="9">
        <f t="shared" si="1"/>
        <v>5415.741</v>
      </c>
      <c r="J46" s="125" t="s">
        <v>240</v>
      </c>
      <c r="K46" t="s">
        <v>608</v>
      </c>
      <c r="L46" s="96">
        <v>12393</v>
      </c>
    </row>
    <row r="47" spans="1:12" x14ac:dyDescent="0.25">
      <c r="A47" s="31" t="str">
        <f t="shared" si="2"/>
        <v>Sacramento Municipal</v>
      </c>
      <c r="B47" s="97">
        <f t="shared" si="3"/>
        <v>5966</v>
      </c>
      <c r="C47" s="93">
        <f t="shared" si="0"/>
        <v>963.42025100000001</v>
      </c>
      <c r="D47" s="9">
        <f t="shared" si="1"/>
        <v>2607.1420000000003</v>
      </c>
      <c r="J47" s="125" t="s">
        <v>242</v>
      </c>
      <c r="K47" t="s">
        <v>608</v>
      </c>
      <c r="L47" s="96">
        <v>5966</v>
      </c>
    </row>
    <row r="48" spans="1:12" x14ac:dyDescent="0.25">
      <c r="A48" s="31" t="str">
        <f t="shared" si="2"/>
        <v>Seattle City Light Marketing</v>
      </c>
      <c r="B48" s="97">
        <f t="shared" si="3"/>
        <v>96380</v>
      </c>
      <c r="C48" s="93">
        <f t="shared" si="0"/>
        <v>963.42025100000001</v>
      </c>
      <c r="D48" s="9">
        <f t="shared" si="1"/>
        <v>42118.06</v>
      </c>
      <c r="J48" s="125" t="s">
        <v>181</v>
      </c>
      <c r="K48" t="s">
        <v>608</v>
      </c>
      <c r="L48" s="96">
        <v>96380</v>
      </c>
    </row>
    <row r="49" spans="1:12" x14ac:dyDescent="0.25">
      <c r="A49" s="31" t="str">
        <f t="shared" si="2"/>
        <v>Shell Energy (Coral Pwr)</v>
      </c>
      <c r="B49" s="97">
        <f t="shared" si="3"/>
        <v>309247</v>
      </c>
      <c r="C49" s="93">
        <f t="shared" si="0"/>
        <v>963.42025100000001</v>
      </c>
      <c r="D49" s="9">
        <f t="shared" si="1"/>
        <v>135140.93900000001</v>
      </c>
      <c r="J49" s="125" t="s">
        <v>182</v>
      </c>
      <c r="K49" t="s">
        <v>608</v>
      </c>
      <c r="L49" s="96">
        <v>309247</v>
      </c>
    </row>
    <row r="50" spans="1:12" x14ac:dyDescent="0.25">
      <c r="A50" s="31"/>
      <c r="B50" s="97"/>
      <c r="C50" s="93"/>
      <c r="D50" s="9"/>
      <c r="J50" s="89" t="s">
        <v>619</v>
      </c>
      <c r="K50" t="s">
        <v>608</v>
      </c>
      <c r="L50" s="96">
        <v>0</v>
      </c>
    </row>
    <row r="51" spans="1:12" x14ac:dyDescent="0.25">
      <c r="A51" s="31" t="str">
        <f t="shared" si="2"/>
        <v>Snohomish County PUD #1</v>
      </c>
      <c r="B51" s="97">
        <f t="shared" si="3"/>
        <v>18557</v>
      </c>
      <c r="C51" s="93">
        <f t="shared" si="0"/>
        <v>963.42025100000001</v>
      </c>
      <c r="D51" s="9">
        <f t="shared" si="1"/>
        <v>8109.4090000000006</v>
      </c>
      <c r="J51" s="125" t="s">
        <v>247</v>
      </c>
      <c r="K51" t="s">
        <v>608</v>
      </c>
      <c r="L51" s="96">
        <v>18557</v>
      </c>
    </row>
    <row r="52" spans="1:12" x14ac:dyDescent="0.25">
      <c r="A52" s="31" t="str">
        <f t="shared" si="2"/>
        <v>Southern Cal - Edison</v>
      </c>
      <c r="B52" s="97">
        <f t="shared" si="3"/>
        <v>42837</v>
      </c>
      <c r="C52" s="93">
        <f t="shared" si="0"/>
        <v>963.42025100000001</v>
      </c>
      <c r="D52" s="9">
        <f t="shared" si="1"/>
        <v>18719.769</v>
      </c>
      <c r="J52" s="125" t="s">
        <v>248</v>
      </c>
      <c r="K52" t="s">
        <v>608</v>
      </c>
      <c r="L52" s="96">
        <v>42837</v>
      </c>
    </row>
    <row r="53" spans="1:12" x14ac:dyDescent="0.25">
      <c r="A53" s="31" t="str">
        <f t="shared" si="2"/>
        <v>Tacoma Power</v>
      </c>
      <c r="B53" s="97">
        <f t="shared" si="3"/>
        <v>38385</v>
      </c>
      <c r="C53" s="93">
        <f t="shared" si="0"/>
        <v>963.42025100000001</v>
      </c>
      <c r="D53" s="9">
        <f t="shared" si="1"/>
        <v>16774.244999999999</v>
      </c>
      <c r="J53" s="125" t="s">
        <v>183</v>
      </c>
      <c r="K53" t="s">
        <v>608</v>
      </c>
      <c r="L53" s="96">
        <v>38385</v>
      </c>
    </row>
    <row r="54" spans="1:12" x14ac:dyDescent="0.25">
      <c r="A54" s="31" t="str">
        <f t="shared" si="2"/>
        <v>Talen Energy (PPL Energy Plus)</v>
      </c>
      <c r="B54" s="97">
        <f t="shared" si="3"/>
        <v>242781</v>
      </c>
      <c r="C54" s="93">
        <f t="shared" si="0"/>
        <v>963.42025100000001</v>
      </c>
      <c r="D54" s="9">
        <f t="shared" si="1"/>
        <v>106095.29699999999</v>
      </c>
      <c r="J54" s="125" t="s">
        <v>249</v>
      </c>
      <c r="K54" t="s">
        <v>608</v>
      </c>
      <c r="L54" s="96">
        <v>242781</v>
      </c>
    </row>
    <row r="55" spans="1:12" x14ac:dyDescent="0.25">
      <c r="A55" s="31" t="str">
        <f t="shared" si="2"/>
        <v>Tenaska Power Services Co.</v>
      </c>
      <c r="B55" s="97">
        <f t="shared" si="3"/>
        <v>297</v>
      </c>
      <c r="C55" s="93">
        <f t="shared" si="0"/>
        <v>963.42025100000001</v>
      </c>
      <c r="D55" s="9">
        <f t="shared" si="1"/>
        <v>129.78899999999999</v>
      </c>
      <c r="J55" s="125" t="s">
        <v>251</v>
      </c>
      <c r="K55" t="s">
        <v>608</v>
      </c>
      <c r="L55" s="96">
        <v>297</v>
      </c>
    </row>
    <row r="56" spans="1:12" x14ac:dyDescent="0.25">
      <c r="A56" s="31" t="str">
        <f t="shared" si="2"/>
        <v>The Energy Authority</v>
      </c>
      <c r="B56" s="97">
        <f t="shared" si="3"/>
        <v>57242</v>
      </c>
      <c r="C56" s="93">
        <f t="shared" si="0"/>
        <v>963.42025100000001</v>
      </c>
      <c r="D56" s="9">
        <f t="shared" si="1"/>
        <v>25014.754000000001</v>
      </c>
      <c r="J56" s="125" t="s">
        <v>252</v>
      </c>
      <c r="K56" t="s">
        <v>608</v>
      </c>
      <c r="L56" s="96">
        <v>57242</v>
      </c>
    </row>
    <row r="57" spans="1:12" x14ac:dyDescent="0.25">
      <c r="A57" s="31" t="str">
        <f t="shared" si="2"/>
        <v>TransAlta Energy Marketing</v>
      </c>
      <c r="B57" s="97">
        <f t="shared" si="3"/>
        <v>1275174</v>
      </c>
      <c r="C57" s="93">
        <f t="shared" si="0"/>
        <v>963.42025100000001</v>
      </c>
      <c r="D57" s="9">
        <f t="shared" si="1"/>
        <v>557251.03799999994</v>
      </c>
      <c r="J57" s="125" t="s">
        <v>184</v>
      </c>
      <c r="K57" t="s">
        <v>608</v>
      </c>
      <c r="L57" s="96">
        <v>1275174</v>
      </c>
    </row>
    <row r="58" spans="1:12" x14ac:dyDescent="0.25">
      <c r="A58" s="31" t="str">
        <f t="shared" si="2"/>
        <v>TransCanada Energy Sales Ltd</v>
      </c>
      <c r="B58" s="97">
        <f t="shared" si="3"/>
        <v>15993</v>
      </c>
      <c r="C58" s="93">
        <f t="shared" si="0"/>
        <v>963.42025100000001</v>
      </c>
      <c r="D58" s="9">
        <f t="shared" si="1"/>
        <v>6988.9409999999998</v>
      </c>
      <c r="J58" s="125" t="s">
        <v>254</v>
      </c>
      <c r="K58" t="s">
        <v>608</v>
      </c>
      <c r="L58" s="96">
        <v>15993</v>
      </c>
    </row>
    <row r="59" spans="1:12" x14ac:dyDescent="0.25">
      <c r="A59" s="31" t="str">
        <f t="shared" si="2"/>
        <v>Turlock Irrigation District</v>
      </c>
      <c r="B59" s="97">
        <f t="shared" si="3"/>
        <v>24277</v>
      </c>
      <c r="C59" s="93">
        <f t="shared" si="0"/>
        <v>963.42025100000001</v>
      </c>
      <c r="D59" s="9">
        <f t="shared" si="1"/>
        <v>10609.048999999999</v>
      </c>
      <c r="J59" s="125" t="s">
        <v>256</v>
      </c>
      <c r="K59" t="s">
        <v>608</v>
      </c>
      <c r="L59" s="96">
        <v>24277</v>
      </c>
    </row>
    <row r="60" spans="1:12" x14ac:dyDescent="0.25">
      <c r="A60" s="31" t="str">
        <f t="shared" si="2"/>
        <v>Vitol Inc.</v>
      </c>
      <c r="B60" s="97">
        <f t="shared" si="3"/>
        <v>1563318</v>
      </c>
      <c r="C60" s="93">
        <f t="shared" si="0"/>
        <v>963.42025100000001</v>
      </c>
      <c r="D60" s="9">
        <f t="shared" si="1"/>
        <v>683169.9659999999</v>
      </c>
      <c r="J60" s="125" t="s">
        <v>257</v>
      </c>
      <c r="K60" t="s">
        <v>608</v>
      </c>
      <c r="L60" s="96">
        <v>1563318</v>
      </c>
    </row>
    <row r="61" spans="1:12" x14ac:dyDescent="0.25">
      <c r="A61" s="31" t="str">
        <f t="shared" si="2"/>
        <v>Western Area Power Association</v>
      </c>
      <c r="B61" s="97">
        <f t="shared" si="3"/>
        <v>3</v>
      </c>
      <c r="C61" s="93">
        <f t="shared" si="0"/>
        <v>963.42025100000001</v>
      </c>
      <c r="D61" s="9">
        <f t="shared" si="1"/>
        <v>1.3109999999999999</v>
      </c>
      <c r="J61" s="125" t="s">
        <v>258</v>
      </c>
      <c r="K61" t="s">
        <v>608</v>
      </c>
      <c r="L61" s="96">
        <v>3</v>
      </c>
    </row>
    <row r="62" spans="1:12" x14ac:dyDescent="0.25">
      <c r="A62" s="31" t="str">
        <f t="shared" si="2"/>
        <v>Avista Nichols Pump</v>
      </c>
      <c r="B62" s="97">
        <f t="shared" si="3"/>
        <v>22743.040000000001</v>
      </c>
      <c r="C62" s="93">
        <f t="shared" si="0"/>
        <v>963.42025100000001</v>
      </c>
      <c r="D62" s="9">
        <f t="shared" si="1"/>
        <v>9938.7084799999993</v>
      </c>
      <c r="J62" s="125" t="s">
        <v>171</v>
      </c>
      <c r="K62" t="s">
        <v>609</v>
      </c>
      <c r="L62" s="96">
        <v>22743.040000000001</v>
      </c>
    </row>
    <row r="63" spans="1:12" x14ac:dyDescent="0.25">
      <c r="A63" s="31"/>
      <c r="B63" s="97"/>
      <c r="C63" s="93"/>
      <c r="D63" s="9"/>
      <c r="J63" s="89" t="s">
        <v>175</v>
      </c>
      <c r="K63" t="s">
        <v>609</v>
      </c>
      <c r="L63" s="96">
        <v>0</v>
      </c>
    </row>
    <row r="64" spans="1:12" x14ac:dyDescent="0.25">
      <c r="A64" s="31" t="str">
        <f t="shared" si="2"/>
        <v>Pacific Gas &amp; Elec - Exchange</v>
      </c>
      <c r="B64" s="97">
        <f t="shared" si="3"/>
        <v>413000</v>
      </c>
      <c r="C64" s="93">
        <f t="shared" si="0"/>
        <v>963.42025100000001</v>
      </c>
      <c r="D64" s="9">
        <f t="shared" si="1"/>
        <v>180481</v>
      </c>
      <c r="J64" s="125" t="s">
        <v>179</v>
      </c>
      <c r="K64" t="s">
        <v>610</v>
      </c>
      <c r="L64" s="96">
        <v>413000</v>
      </c>
    </row>
    <row r="65" spans="1:12" x14ac:dyDescent="0.25">
      <c r="A65" s="31" t="str">
        <f t="shared" si="2"/>
        <v>Interchange-out deviation</v>
      </c>
      <c r="B65" s="97">
        <f t="shared" si="3"/>
        <v>52886.561999999998</v>
      </c>
      <c r="C65" s="93">
        <f t="shared" si="0"/>
        <v>963.42025100000001</v>
      </c>
      <c r="D65" s="9">
        <f t="shared" si="1"/>
        <v>23111.427593999997</v>
      </c>
      <c r="J65" s="125" t="s">
        <v>219</v>
      </c>
      <c r="K65" t="s">
        <v>608</v>
      </c>
      <c r="L65" s="96">
        <v>52886.561999999998</v>
      </c>
    </row>
    <row r="66" spans="1:12" x14ac:dyDescent="0.25">
      <c r="A66" s="31" t="str">
        <f t="shared" si="2"/>
        <v>Pacific Gas &amp; Elec - Exchange</v>
      </c>
      <c r="B66" s="97">
        <f t="shared" si="3"/>
        <v>-413000</v>
      </c>
      <c r="C66" s="93">
        <f t="shared" si="0"/>
        <v>963.42025100000001</v>
      </c>
      <c r="D66" s="9">
        <f t="shared" si="1"/>
        <v>-180481</v>
      </c>
      <c r="J66" s="125" t="s">
        <v>179</v>
      </c>
      <c r="K66" t="s">
        <v>610</v>
      </c>
      <c r="L66" s="96">
        <v>-413000</v>
      </c>
    </row>
    <row r="67" spans="1:12" x14ac:dyDescent="0.25">
      <c r="A67" s="31" t="str">
        <f t="shared" si="2"/>
        <v>Avista Corp. WWP Division</v>
      </c>
      <c r="B67" s="97">
        <f t="shared" si="3"/>
        <v>-59334</v>
      </c>
      <c r="C67" s="93">
        <f t="shared" si="0"/>
        <v>963.42025100000001</v>
      </c>
      <c r="D67" s="9">
        <f t="shared" si="1"/>
        <v>-25928.957999999999</v>
      </c>
      <c r="J67" s="125" t="s">
        <v>187</v>
      </c>
      <c r="K67" t="s">
        <v>611</v>
      </c>
      <c r="L67" s="96">
        <v>-59334</v>
      </c>
    </row>
    <row r="68" spans="1:12" x14ac:dyDescent="0.25">
      <c r="A68" s="31" t="str">
        <f t="shared" si="2"/>
        <v>Black Hills Power</v>
      </c>
      <c r="B68" s="97">
        <f t="shared" si="3"/>
        <v>-30</v>
      </c>
      <c r="C68" s="93">
        <f t="shared" ref="C68:C118" si="4">IF(B68&lt;&gt;0,$H$1,"")</f>
        <v>963.42025100000001</v>
      </c>
      <c r="D68" s="9">
        <f t="shared" ref="D68:D118" si="5">(+B68*C68)/2204.623</f>
        <v>-13.11</v>
      </c>
      <c r="J68" s="125" t="s">
        <v>189</v>
      </c>
      <c r="K68" t="s">
        <v>611</v>
      </c>
      <c r="L68" s="96">
        <v>-30</v>
      </c>
    </row>
    <row r="69" spans="1:12" x14ac:dyDescent="0.25">
      <c r="A69" s="31"/>
      <c r="B69" s="97"/>
      <c r="C69" s="93"/>
      <c r="D69" s="9"/>
      <c r="J69" s="89" t="s">
        <v>191</v>
      </c>
      <c r="K69" t="s">
        <v>611</v>
      </c>
      <c r="L69" s="96">
        <v>5724128</v>
      </c>
    </row>
    <row r="70" spans="1:12" x14ac:dyDescent="0.25">
      <c r="A70" s="31" t="str">
        <f t="shared" ref="A70:A118" si="6">J70</f>
        <v>BP Energy Co.</v>
      </c>
      <c r="B70" s="97">
        <f t="shared" ref="B70:B118" si="7">L70</f>
        <v>-303763</v>
      </c>
      <c r="C70" s="93">
        <f t="shared" si="4"/>
        <v>963.42025100000001</v>
      </c>
      <c r="D70" s="9">
        <f t="shared" si="5"/>
        <v>-132744.43100000001</v>
      </c>
      <c r="J70" s="125" t="s">
        <v>192</v>
      </c>
      <c r="K70" t="s">
        <v>611</v>
      </c>
      <c r="L70" s="96">
        <v>-303763</v>
      </c>
    </row>
    <row r="71" spans="1:12" x14ac:dyDescent="0.25">
      <c r="A71" s="31" t="str">
        <f t="shared" si="6"/>
        <v>BPA</v>
      </c>
      <c r="B71" s="97">
        <f t="shared" si="7"/>
        <v>-284002</v>
      </c>
      <c r="C71" s="93">
        <f t="shared" si="4"/>
        <v>963.42025100000001</v>
      </c>
      <c r="D71" s="9">
        <f t="shared" si="5"/>
        <v>-124108.874</v>
      </c>
      <c r="J71" s="125" t="s">
        <v>173</v>
      </c>
      <c r="K71" t="s">
        <v>611</v>
      </c>
      <c r="L71" s="96">
        <v>-284002</v>
      </c>
    </row>
    <row r="72" spans="1:12" x14ac:dyDescent="0.25">
      <c r="A72" s="31" t="str">
        <f t="shared" si="6"/>
        <v>British Columbia Transmission Corp</v>
      </c>
      <c r="B72" s="97">
        <f t="shared" si="7"/>
        <v>-28</v>
      </c>
      <c r="C72" s="93">
        <f t="shared" si="4"/>
        <v>963.42025100000001</v>
      </c>
      <c r="D72" s="9">
        <f t="shared" si="5"/>
        <v>-12.236000000000001</v>
      </c>
      <c r="J72" s="125" t="s">
        <v>193</v>
      </c>
      <c r="K72" t="s">
        <v>611</v>
      </c>
      <c r="L72" s="96">
        <v>-28</v>
      </c>
    </row>
    <row r="73" spans="1:12" x14ac:dyDescent="0.25">
      <c r="A73" s="31" t="str">
        <f t="shared" si="6"/>
        <v>Calpine Energy Services</v>
      </c>
      <c r="B73" s="97">
        <f t="shared" si="7"/>
        <v>-117995</v>
      </c>
      <c r="C73" s="93">
        <f t="shared" si="4"/>
        <v>963.42025100000001</v>
      </c>
      <c r="D73" s="9">
        <f t="shared" si="5"/>
        <v>-51563.815000000002</v>
      </c>
      <c r="J73" s="125" t="s">
        <v>198</v>
      </c>
      <c r="K73" t="s">
        <v>611</v>
      </c>
      <c r="L73" s="96">
        <v>-117995</v>
      </c>
    </row>
    <row r="74" spans="1:12" x14ac:dyDescent="0.25">
      <c r="A74" s="31" t="str">
        <f t="shared" si="6"/>
        <v>Cargill Power Markets</v>
      </c>
      <c r="B74" s="97">
        <f t="shared" si="7"/>
        <v>-176345</v>
      </c>
      <c r="C74" s="93">
        <f t="shared" si="4"/>
        <v>963.42025100000001</v>
      </c>
      <c r="D74" s="9">
        <f t="shared" si="5"/>
        <v>-77062.764999999999</v>
      </c>
      <c r="J74" s="125" t="s">
        <v>174</v>
      </c>
      <c r="K74" t="s">
        <v>611</v>
      </c>
      <c r="L74" s="96">
        <v>-176345</v>
      </c>
    </row>
    <row r="75" spans="1:12" x14ac:dyDescent="0.25">
      <c r="A75" s="31" t="str">
        <f t="shared" si="6"/>
        <v>Chelan County PUD #1</v>
      </c>
      <c r="B75" s="97">
        <f t="shared" si="7"/>
        <v>-4207</v>
      </c>
      <c r="C75" s="93">
        <f t="shared" si="4"/>
        <v>963.42025100000001</v>
      </c>
      <c r="D75" s="9">
        <f t="shared" si="5"/>
        <v>-1838.4590000000001</v>
      </c>
      <c r="J75" s="125" t="s">
        <v>199</v>
      </c>
      <c r="K75" t="s">
        <v>611</v>
      </c>
      <c r="L75" s="96">
        <v>-4207</v>
      </c>
    </row>
    <row r="76" spans="1:12" x14ac:dyDescent="0.25">
      <c r="A76" s="31" t="str">
        <f t="shared" si="6"/>
        <v>Citigroup Energy Inc</v>
      </c>
      <c r="B76" s="97">
        <f t="shared" si="7"/>
        <v>-327954</v>
      </c>
      <c r="C76" s="93">
        <f t="shared" si="4"/>
        <v>963.42025100000001</v>
      </c>
      <c r="D76" s="9">
        <f t="shared" si="5"/>
        <v>-143315.89799999999</v>
      </c>
      <c r="J76" s="125" t="s">
        <v>185</v>
      </c>
      <c r="K76" t="s">
        <v>611</v>
      </c>
      <c r="L76" s="96">
        <v>-327954</v>
      </c>
    </row>
    <row r="77" spans="1:12" x14ac:dyDescent="0.25">
      <c r="A77" s="31" t="str">
        <f t="shared" si="6"/>
        <v>Clark Public Utilities</v>
      </c>
      <c r="B77" s="97">
        <f t="shared" si="7"/>
        <v>-6032</v>
      </c>
      <c r="C77" s="93">
        <f t="shared" si="4"/>
        <v>963.42025100000001</v>
      </c>
      <c r="D77" s="9">
        <f t="shared" si="5"/>
        <v>-2635.9839999999999</v>
      </c>
      <c r="J77" s="125" t="s">
        <v>201</v>
      </c>
      <c r="K77" t="s">
        <v>611</v>
      </c>
      <c r="L77" s="96">
        <v>-6032</v>
      </c>
    </row>
    <row r="78" spans="1:12" x14ac:dyDescent="0.25">
      <c r="A78" s="31" t="str">
        <f t="shared" si="6"/>
        <v>Clatskanie PUD</v>
      </c>
      <c r="B78" s="97">
        <f t="shared" si="7"/>
        <v>-3692</v>
      </c>
      <c r="C78" s="93">
        <f t="shared" si="4"/>
        <v>963.42025100000001</v>
      </c>
      <c r="D78" s="9">
        <f t="shared" si="5"/>
        <v>-1613.404</v>
      </c>
      <c r="J78" s="125" t="s">
        <v>202</v>
      </c>
      <c r="K78" t="s">
        <v>611</v>
      </c>
      <c r="L78" s="96">
        <v>-3692</v>
      </c>
    </row>
    <row r="79" spans="1:12" x14ac:dyDescent="0.25">
      <c r="A79" s="31" t="str">
        <f t="shared" si="6"/>
        <v>Conoco, Inc.</v>
      </c>
      <c r="B79" s="97">
        <f t="shared" si="7"/>
        <v>-5200</v>
      </c>
      <c r="C79" s="93">
        <f t="shared" si="4"/>
        <v>963.42025100000001</v>
      </c>
      <c r="D79" s="9">
        <f t="shared" si="5"/>
        <v>-2272.4</v>
      </c>
      <c r="J79" s="125" t="s">
        <v>203</v>
      </c>
      <c r="K79" t="s">
        <v>611</v>
      </c>
      <c r="L79" s="96">
        <v>-5200</v>
      </c>
    </row>
    <row r="80" spans="1:12" x14ac:dyDescent="0.25">
      <c r="A80" s="31" t="str">
        <f t="shared" si="6"/>
        <v>Constellation Power Source, Inc.</v>
      </c>
      <c r="B80" s="97">
        <f t="shared" si="7"/>
        <v>-89</v>
      </c>
      <c r="C80" s="93">
        <f t="shared" si="4"/>
        <v>963.42025100000001</v>
      </c>
      <c r="D80" s="9">
        <f t="shared" si="5"/>
        <v>-38.893000000000001</v>
      </c>
      <c r="J80" s="125" t="s">
        <v>175</v>
      </c>
      <c r="K80" t="s">
        <v>608</v>
      </c>
      <c r="L80" s="96">
        <v>-89</v>
      </c>
    </row>
    <row r="81" spans="1:12" x14ac:dyDescent="0.25">
      <c r="A81" s="31" t="str">
        <f t="shared" si="6"/>
        <v>CP Energy Marketing (Epcor)</v>
      </c>
      <c r="B81" s="97">
        <f t="shared" si="7"/>
        <v>-902</v>
      </c>
      <c r="C81" s="93">
        <f t="shared" si="4"/>
        <v>963.42025100000001</v>
      </c>
      <c r="D81" s="9">
        <f t="shared" si="5"/>
        <v>-394.17399999999998</v>
      </c>
      <c r="J81" s="125" t="s">
        <v>204</v>
      </c>
      <c r="K81" t="s">
        <v>611</v>
      </c>
      <c r="L81" s="96">
        <v>-902</v>
      </c>
    </row>
    <row r="82" spans="1:12" x14ac:dyDescent="0.25">
      <c r="A82" s="31" t="str">
        <f t="shared" si="6"/>
        <v>Douglas County PUD #1</v>
      </c>
      <c r="B82" s="97">
        <f t="shared" si="7"/>
        <v>-2350</v>
      </c>
      <c r="C82" s="93">
        <f t="shared" si="4"/>
        <v>963.42025100000001</v>
      </c>
      <c r="D82" s="9">
        <f t="shared" si="5"/>
        <v>-1026.95</v>
      </c>
      <c r="J82" s="125" t="s">
        <v>177</v>
      </c>
      <c r="K82" t="s">
        <v>611</v>
      </c>
      <c r="L82" s="96">
        <v>-2350</v>
      </c>
    </row>
    <row r="83" spans="1:12" x14ac:dyDescent="0.25">
      <c r="A83" s="31" t="str">
        <f t="shared" si="6"/>
        <v>EDF Trading NA LLC</v>
      </c>
      <c r="B83" s="97">
        <f t="shared" si="7"/>
        <v>-1158465</v>
      </c>
      <c r="C83" s="93">
        <f t="shared" si="4"/>
        <v>963.42025100000001</v>
      </c>
      <c r="D83" s="9">
        <f t="shared" si="5"/>
        <v>-506249.20499999996</v>
      </c>
      <c r="J83" s="125" t="s">
        <v>208</v>
      </c>
      <c r="K83" t="s">
        <v>611</v>
      </c>
      <c r="L83" s="96">
        <v>-1158465</v>
      </c>
    </row>
    <row r="84" spans="1:12" x14ac:dyDescent="0.25">
      <c r="A84" s="31" t="str">
        <f t="shared" si="6"/>
        <v>ENMAX Energy Marketing, Inc.</v>
      </c>
      <c r="B84" s="97">
        <f t="shared" si="7"/>
        <v>-346</v>
      </c>
      <c r="C84" s="93">
        <f t="shared" si="4"/>
        <v>963.42025100000001</v>
      </c>
      <c r="D84" s="9">
        <f t="shared" si="5"/>
        <v>-151.202</v>
      </c>
      <c r="J84" s="125" t="s">
        <v>210</v>
      </c>
      <c r="K84" t="s">
        <v>611</v>
      </c>
      <c r="L84" s="96">
        <v>-346</v>
      </c>
    </row>
    <row r="85" spans="1:12" x14ac:dyDescent="0.25">
      <c r="A85" s="31" t="str">
        <f t="shared" si="6"/>
        <v>Eugene Water &amp; Electric</v>
      </c>
      <c r="B85" s="97">
        <f t="shared" si="7"/>
        <v>-22601</v>
      </c>
      <c r="C85" s="93">
        <f t="shared" si="4"/>
        <v>963.42025100000001</v>
      </c>
      <c r="D85" s="9">
        <f t="shared" si="5"/>
        <v>-9876.6370000000006</v>
      </c>
      <c r="J85" s="125" t="s">
        <v>211</v>
      </c>
      <c r="K85" t="s">
        <v>611</v>
      </c>
      <c r="L85" s="96">
        <v>-22601</v>
      </c>
    </row>
    <row r="86" spans="1:12" x14ac:dyDescent="0.25">
      <c r="A86" s="31" t="str">
        <f t="shared" si="6"/>
        <v>Exelon Generation Co LLC</v>
      </c>
      <c r="B86" s="97">
        <f t="shared" si="7"/>
        <v>-154413</v>
      </c>
      <c r="C86" s="93">
        <f t="shared" si="4"/>
        <v>963.42025100000001</v>
      </c>
      <c r="D86" s="9">
        <f t="shared" si="5"/>
        <v>-67478.481</v>
      </c>
      <c r="J86" s="125" t="s">
        <v>186</v>
      </c>
      <c r="K86" t="s">
        <v>611</v>
      </c>
      <c r="L86" s="96">
        <v>-154413</v>
      </c>
    </row>
    <row r="87" spans="1:12" x14ac:dyDescent="0.25">
      <c r="A87" s="31" t="str">
        <f t="shared" si="6"/>
        <v>Fortis BC</v>
      </c>
      <c r="B87" s="97">
        <f t="shared" si="7"/>
        <v>-13980</v>
      </c>
      <c r="C87" s="93">
        <f t="shared" si="4"/>
        <v>963.42025100000001</v>
      </c>
      <c r="D87" s="9">
        <f t="shared" si="5"/>
        <v>-6109.26</v>
      </c>
      <c r="J87" s="125" t="s">
        <v>260</v>
      </c>
      <c r="K87" t="s">
        <v>611</v>
      </c>
      <c r="L87" s="96">
        <v>-13980</v>
      </c>
    </row>
    <row r="88" spans="1:12" x14ac:dyDescent="0.25">
      <c r="A88" s="31" t="str">
        <f t="shared" si="6"/>
        <v>Grant County PUD #2</v>
      </c>
      <c r="B88" s="97">
        <f t="shared" si="7"/>
        <v>-34904</v>
      </c>
      <c r="C88" s="93">
        <f t="shared" si="4"/>
        <v>963.42025100000001</v>
      </c>
      <c r="D88" s="9">
        <f t="shared" si="5"/>
        <v>-15253.047999999999</v>
      </c>
      <c r="J88" s="125" t="s">
        <v>213</v>
      </c>
      <c r="K88" t="s">
        <v>611</v>
      </c>
      <c r="L88" s="96">
        <v>-34904</v>
      </c>
    </row>
    <row r="89" spans="1:12" x14ac:dyDescent="0.25">
      <c r="A89" s="31" t="str">
        <f t="shared" si="6"/>
        <v>Iberdrola Renewables (PPM Energy)</v>
      </c>
      <c r="B89" s="97">
        <f t="shared" si="7"/>
        <v>-465716</v>
      </c>
      <c r="C89" s="93">
        <f t="shared" si="4"/>
        <v>963.42025100000001</v>
      </c>
      <c r="D89" s="9">
        <f t="shared" si="5"/>
        <v>-203517.89199999999</v>
      </c>
      <c r="J89" s="125" t="s">
        <v>215</v>
      </c>
      <c r="K89" t="s">
        <v>611</v>
      </c>
      <c r="L89" s="96">
        <v>-465716</v>
      </c>
    </row>
    <row r="90" spans="1:12" x14ac:dyDescent="0.25">
      <c r="A90" s="31" t="str">
        <f t="shared" si="6"/>
        <v>Idaho Power Company</v>
      </c>
      <c r="B90" s="97">
        <f t="shared" si="7"/>
        <v>-28166</v>
      </c>
      <c r="C90" s="93">
        <f t="shared" si="4"/>
        <v>963.42025100000001</v>
      </c>
      <c r="D90" s="9">
        <f t="shared" si="5"/>
        <v>-12308.541999999999</v>
      </c>
      <c r="J90" s="125" t="s">
        <v>217</v>
      </c>
      <c r="K90" t="s">
        <v>611</v>
      </c>
      <c r="L90" s="96">
        <v>-28166</v>
      </c>
    </row>
    <row r="91" spans="1:12" x14ac:dyDescent="0.25">
      <c r="A91" s="31" t="str">
        <f t="shared" si="6"/>
        <v>J. Aron &amp; Company</v>
      </c>
      <c r="B91" s="97">
        <f t="shared" si="7"/>
        <v>-10000</v>
      </c>
      <c r="C91" s="93">
        <f t="shared" si="4"/>
        <v>963.42025100000001</v>
      </c>
      <c r="D91" s="9">
        <f t="shared" si="5"/>
        <v>-4370</v>
      </c>
      <c r="J91" s="125" t="s">
        <v>220</v>
      </c>
      <c r="K91" t="s">
        <v>611</v>
      </c>
      <c r="L91" s="96">
        <v>-10000</v>
      </c>
    </row>
    <row r="92" spans="1:12" x14ac:dyDescent="0.25">
      <c r="A92" s="31" t="str">
        <f t="shared" si="6"/>
        <v>JP Morgan Ventures Energy</v>
      </c>
      <c r="B92" s="97">
        <f t="shared" si="7"/>
        <v>-64335</v>
      </c>
      <c r="C92" s="93">
        <f t="shared" si="4"/>
        <v>963.42025100000001</v>
      </c>
      <c r="D92" s="9">
        <f t="shared" si="5"/>
        <v>-28114.395</v>
      </c>
      <c r="J92" s="125" t="s">
        <v>221</v>
      </c>
      <c r="K92" t="s">
        <v>611</v>
      </c>
      <c r="L92" s="96">
        <v>-64335</v>
      </c>
    </row>
    <row r="93" spans="1:12" x14ac:dyDescent="0.25">
      <c r="A93" s="31" t="str">
        <f t="shared" si="6"/>
        <v>Morgan Stanley CG</v>
      </c>
      <c r="B93" s="97">
        <f t="shared" si="7"/>
        <v>-799848</v>
      </c>
      <c r="C93" s="93">
        <f t="shared" si="4"/>
        <v>963.42025100000001</v>
      </c>
      <c r="D93" s="9">
        <f t="shared" si="5"/>
        <v>-349533.576</v>
      </c>
      <c r="J93" s="125" t="s">
        <v>178</v>
      </c>
      <c r="K93" t="s">
        <v>611</v>
      </c>
      <c r="L93" s="96">
        <v>-799848</v>
      </c>
    </row>
    <row r="94" spans="1:12" x14ac:dyDescent="0.25">
      <c r="A94" s="31" t="str">
        <f t="shared" si="6"/>
        <v>Natur Ener USA</v>
      </c>
      <c r="B94" s="97">
        <f t="shared" si="7"/>
        <v>-61</v>
      </c>
      <c r="C94" s="93">
        <f t="shared" si="4"/>
        <v>963.42025100000001</v>
      </c>
      <c r="D94" s="9">
        <f t="shared" si="5"/>
        <v>-26.657</v>
      </c>
      <c r="J94" s="125" t="s">
        <v>226</v>
      </c>
      <c r="K94" t="s">
        <v>611</v>
      </c>
      <c r="L94" s="96">
        <v>-61</v>
      </c>
    </row>
    <row r="95" spans="1:12" x14ac:dyDescent="0.25">
      <c r="A95" s="31" t="str">
        <f t="shared" si="6"/>
        <v>Nevada Power Company</v>
      </c>
      <c r="B95" s="97">
        <f t="shared" si="7"/>
        <v>-1267</v>
      </c>
      <c r="C95" s="93">
        <f t="shared" si="4"/>
        <v>963.42025100000001</v>
      </c>
      <c r="D95" s="9">
        <f t="shared" si="5"/>
        <v>-553.67899999999997</v>
      </c>
      <c r="J95" s="125" t="s">
        <v>261</v>
      </c>
      <c r="K95" t="s">
        <v>611</v>
      </c>
      <c r="L95" s="96">
        <v>-1267</v>
      </c>
    </row>
    <row r="96" spans="1:12" x14ac:dyDescent="0.25">
      <c r="A96" s="31" t="str">
        <f t="shared" si="6"/>
        <v>NextEra Energy Power Marketing</v>
      </c>
      <c r="B96" s="97">
        <f t="shared" si="7"/>
        <v>-1748</v>
      </c>
      <c r="C96" s="93">
        <f t="shared" si="4"/>
        <v>963.42025100000001</v>
      </c>
      <c r="D96" s="9">
        <f t="shared" si="5"/>
        <v>-763.87599999999998</v>
      </c>
      <c r="J96" s="125" t="s">
        <v>227</v>
      </c>
      <c r="K96" t="s">
        <v>611</v>
      </c>
      <c r="L96" s="96">
        <v>-1748</v>
      </c>
    </row>
    <row r="97" spans="1:12" x14ac:dyDescent="0.25">
      <c r="A97" s="31" t="str">
        <f t="shared" si="6"/>
        <v>NorthPoint Energy Solutions, Inc.</v>
      </c>
      <c r="B97" s="97">
        <f t="shared" si="7"/>
        <v>-50</v>
      </c>
      <c r="C97" s="93">
        <f t="shared" si="4"/>
        <v>963.42025100000001</v>
      </c>
      <c r="D97" s="9">
        <f t="shared" si="5"/>
        <v>-21.849999999999998</v>
      </c>
      <c r="J97" s="125" t="s">
        <v>230</v>
      </c>
      <c r="K97" t="s">
        <v>611</v>
      </c>
      <c r="L97" s="96">
        <v>-50</v>
      </c>
    </row>
    <row r="98" spans="1:12" x14ac:dyDescent="0.25">
      <c r="A98" s="31" t="str">
        <f t="shared" si="6"/>
        <v>Northwestern Energy</v>
      </c>
      <c r="B98" s="97">
        <f t="shared" si="7"/>
        <v>-27585</v>
      </c>
      <c r="C98" s="93">
        <f t="shared" si="4"/>
        <v>963.42025100000001</v>
      </c>
      <c r="D98" s="9">
        <f t="shared" si="5"/>
        <v>-12054.645</v>
      </c>
      <c r="J98" s="125" t="s">
        <v>231</v>
      </c>
      <c r="K98" t="s">
        <v>611</v>
      </c>
      <c r="L98" s="96">
        <v>-27585</v>
      </c>
    </row>
    <row r="99" spans="1:12" x14ac:dyDescent="0.25">
      <c r="A99" s="31" t="str">
        <f t="shared" si="6"/>
        <v>Okanogan PUD</v>
      </c>
      <c r="B99" s="97">
        <f t="shared" si="7"/>
        <v>-1425</v>
      </c>
      <c r="C99" s="93">
        <f t="shared" si="4"/>
        <v>963.42025100000001</v>
      </c>
      <c r="D99" s="9">
        <f t="shared" si="5"/>
        <v>-622.72500000000002</v>
      </c>
      <c r="J99" s="125" t="s">
        <v>233</v>
      </c>
      <c r="K99" t="s">
        <v>611</v>
      </c>
      <c r="L99" s="96">
        <v>-1425</v>
      </c>
    </row>
    <row r="100" spans="1:12" x14ac:dyDescent="0.25">
      <c r="A100" s="31" t="str">
        <f t="shared" si="6"/>
        <v>Pacificorp</v>
      </c>
      <c r="B100" s="97">
        <f t="shared" si="7"/>
        <v>-270353</v>
      </c>
      <c r="C100" s="93">
        <f t="shared" si="4"/>
        <v>963.42025100000001</v>
      </c>
      <c r="D100" s="9">
        <f t="shared" si="5"/>
        <v>-118144.261</v>
      </c>
      <c r="J100" s="125" t="s">
        <v>236</v>
      </c>
      <c r="K100" t="s">
        <v>611</v>
      </c>
      <c r="L100" s="96">
        <v>-270353</v>
      </c>
    </row>
    <row r="101" spans="1:12" x14ac:dyDescent="0.25">
      <c r="A101" s="31" t="str">
        <f t="shared" si="6"/>
        <v>Portland General Electric</v>
      </c>
      <c r="B101" s="97">
        <f t="shared" si="7"/>
        <v>-154103</v>
      </c>
      <c r="C101" s="93">
        <f t="shared" si="4"/>
        <v>963.42025100000001</v>
      </c>
      <c r="D101" s="9">
        <f t="shared" si="5"/>
        <v>-67343.010999999999</v>
      </c>
      <c r="J101" s="125" t="s">
        <v>238</v>
      </c>
      <c r="K101" t="s">
        <v>611</v>
      </c>
      <c r="L101" s="96">
        <v>-154103</v>
      </c>
    </row>
    <row r="102" spans="1:12" x14ac:dyDescent="0.25">
      <c r="A102" s="31" t="str">
        <f t="shared" si="6"/>
        <v>Powerex Corp.</v>
      </c>
      <c r="B102" s="97">
        <f t="shared" si="7"/>
        <v>-165730</v>
      </c>
      <c r="C102" s="93">
        <f t="shared" si="4"/>
        <v>963.42025100000001</v>
      </c>
      <c r="D102" s="9">
        <f t="shared" si="5"/>
        <v>-72424.009999999995</v>
      </c>
      <c r="J102" s="125" t="s">
        <v>180</v>
      </c>
      <c r="K102" t="s">
        <v>611</v>
      </c>
      <c r="L102" s="96">
        <v>-165730</v>
      </c>
    </row>
    <row r="103" spans="1:12" x14ac:dyDescent="0.25">
      <c r="A103" s="31" t="str">
        <f t="shared" si="6"/>
        <v>Public Service of Colorado</v>
      </c>
      <c r="B103" s="97">
        <f t="shared" si="7"/>
        <v>-600</v>
      </c>
      <c r="C103" s="93">
        <f t="shared" si="4"/>
        <v>963.42025100000001</v>
      </c>
      <c r="D103" s="9">
        <f t="shared" si="5"/>
        <v>-262.20000000000005</v>
      </c>
      <c r="J103" s="125" t="s">
        <v>239</v>
      </c>
      <c r="K103" t="s">
        <v>611</v>
      </c>
      <c r="L103" s="96">
        <v>-600</v>
      </c>
    </row>
    <row r="104" spans="1:12" x14ac:dyDescent="0.25">
      <c r="A104" s="31" t="str">
        <f t="shared" si="6"/>
        <v>Rainbow Energy Marketing</v>
      </c>
      <c r="B104" s="97">
        <f t="shared" si="7"/>
        <v>-5067</v>
      </c>
      <c r="C104" s="93">
        <f t="shared" si="4"/>
        <v>963.42025100000001</v>
      </c>
      <c r="D104" s="9">
        <f t="shared" si="5"/>
        <v>-2214.279</v>
      </c>
      <c r="J104" s="125" t="s">
        <v>240</v>
      </c>
      <c r="K104" t="s">
        <v>611</v>
      </c>
      <c r="L104" s="96">
        <v>-5067</v>
      </c>
    </row>
    <row r="105" spans="1:12" x14ac:dyDescent="0.25">
      <c r="A105" s="31" t="str">
        <f t="shared" si="6"/>
        <v>Sacramento Municipal</v>
      </c>
      <c r="B105" s="97">
        <f t="shared" si="7"/>
        <v>-15711</v>
      </c>
      <c r="C105" s="93">
        <f t="shared" si="4"/>
        <v>963.42025100000001</v>
      </c>
      <c r="D105" s="9">
        <f t="shared" si="5"/>
        <v>-6865.7070000000003</v>
      </c>
      <c r="J105" s="125" t="s">
        <v>242</v>
      </c>
      <c r="K105" t="s">
        <v>611</v>
      </c>
      <c r="L105" s="96">
        <v>-15711</v>
      </c>
    </row>
    <row r="106" spans="1:12" x14ac:dyDescent="0.25">
      <c r="A106" s="31" t="str">
        <f t="shared" si="6"/>
        <v>Seattle City Light Marketing</v>
      </c>
      <c r="B106" s="97">
        <f t="shared" si="7"/>
        <v>-34982</v>
      </c>
      <c r="C106" s="93">
        <f t="shared" si="4"/>
        <v>963.42025100000001</v>
      </c>
      <c r="D106" s="9">
        <f t="shared" si="5"/>
        <v>-15287.134</v>
      </c>
      <c r="J106" s="125" t="s">
        <v>181</v>
      </c>
      <c r="K106" t="s">
        <v>611</v>
      </c>
      <c r="L106" s="96">
        <v>-34982</v>
      </c>
    </row>
    <row r="107" spans="1:12" x14ac:dyDescent="0.25">
      <c r="A107" s="31" t="str">
        <f t="shared" si="6"/>
        <v>Shell Energy (Coral Pwr)</v>
      </c>
      <c r="B107" s="97">
        <f t="shared" si="7"/>
        <v>-349844</v>
      </c>
      <c r="C107" s="93">
        <f t="shared" si="4"/>
        <v>963.42025100000001</v>
      </c>
      <c r="D107" s="9">
        <f t="shared" si="5"/>
        <v>-152881.82800000001</v>
      </c>
      <c r="J107" s="125" t="s">
        <v>182</v>
      </c>
      <c r="K107" t="s">
        <v>611</v>
      </c>
      <c r="L107" s="96">
        <v>-349844</v>
      </c>
    </row>
    <row r="108" spans="1:12" x14ac:dyDescent="0.25">
      <c r="A108" s="31" t="str">
        <f t="shared" si="6"/>
        <v>Snohomish County PUD #1</v>
      </c>
      <c r="B108" s="97">
        <f t="shared" si="7"/>
        <v>-7576</v>
      </c>
      <c r="C108" s="93">
        <f t="shared" si="4"/>
        <v>963.42025100000001</v>
      </c>
      <c r="D108" s="9">
        <f t="shared" si="5"/>
        <v>-3310.712</v>
      </c>
      <c r="J108" s="125" t="s">
        <v>247</v>
      </c>
      <c r="K108" t="s">
        <v>611</v>
      </c>
      <c r="L108" s="96">
        <v>-7576</v>
      </c>
    </row>
    <row r="109" spans="1:12" x14ac:dyDescent="0.25">
      <c r="A109" s="31" t="str">
        <f t="shared" si="6"/>
        <v>Southern Cal - Edison</v>
      </c>
      <c r="B109" s="97">
        <f t="shared" si="7"/>
        <v>-200</v>
      </c>
      <c r="C109" s="93">
        <f t="shared" si="4"/>
        <v>963.42025100000001</v>
      </c>
      <c r="D109" s="9">
        <f t="shared" si="5"/>
        <v>-87.399999999999991</v>
      </c>
      <c r="J109" s="125" t="s">
        <v>248</v>
      </c>
      <c r="K109" t="s">
        <v>611</v>
      </c>
      <c r="L109" s="96">
        <v>-200</v>
      </c>
    </row>
    <row r="110" spans="1:12" x14ac:dyDescent="0.25">
      <c r="A110" s="31" t="str">
        <f t="shared" si="6"/>
        <v>Tacoma Power</v>
      </c>
      <c r="B110" s="97">
        <f t="shared" si="7"/>
        <v>-15061</v>
      </c>
      <c r="C110" s="93">
        <f t="shared" si="4"/>
        <v>963.42025100000001</v>
      </c>
      <c r="D110" s="9">
        <f t="shared" si="5"/>
        <v>-6581.6570000000002</v>
      </c>
      <c r="J110" s="125" t="s">
        <v>183</v>
      </c>
      <c r="K110" t="s">
        <v>611</v>
      </c>
      <c r="L110" s="96">
        <v>-15061</v>
      </c>
    </row>
    <row r="111" spans="1:12" x14ac:dyDescent="0.25">
      <c r="A111" s="31" t="str">
        <f t="shared" si="6"/>
        <v>Talen Energy (PPL Energy Plus)</v>
      </c>
      <c r="B111" s="97">
        <f t="shared" si="7"/>
        <v>-70877</v>
      </c>
      <c r="C111" s="93">
        <f t="shared" si="4"/>
        <v>963.42025100000001</v>
      </c>
      <c r="D111" s="9">
        <f t="shared" si="5"/>
        <v>-30973.249</v>
      </c>
      <c r="J111" s="125" t="s">
        <v>249</v>
      </c>
      <c r="K111" t="s">
        <v>611</v>
      </c>
      <c r="L111" s="96">
        <v>-70877</v>
      </c>
    </row>
    <row r="112" spans="1:12" x14ac:dyDescent="0.25">
      <c r="A112" s="31" t="str">
        <f t="shared" si="6"/>
        <v>Tenaska Power Services Co.</v>
      </c>
      <c r="B112" s="97">
        <f t="shared" si="7"/>
        <v>-828</v>
      </c>
      <c r="C112" s="93">
        <f t="shared" si="4"/>
        <v>963.42025100000001</v>
      </c>
      <c r="D112" s="9">
        <f t="shared" si="5"/>
        <v>-361.83599999999996</v>
      </c>
      <c r="J112" s="125" t="s">
        <v>251</v>
      </c>
      <c r="K112" t="s">
        <v>611</v>
      </c>
      <c r="L112" s="96">
        <v>-828</v>
      </c>
    </row>
    <row r="113" spans="1:12" x14ac:dyDescent="0.25">
      <c r="A113" s="31" t="str">
        <f t="shared" si="6"/>
        <v>The Energy Authority</v>
      </c>
      <c r="B113" s="97">
        <f t="shared" si="7"/>
        <v>-41339</v>
      </c>
      <c r="C113" s="93">
        <f t="shared" si="4"/>
        <v>963.42025100000001</v>
      </c>
      <c r="D113" s="9">
        <f t="shared" si="5"/>
        <v>-18065.143</v>
      </c>
      <c r="J113" s="125" t="s">
        <v>252</v>
      </c>
      <c r="K113" t="s">
        <v>611</v>
      </c>
      <c r="L113" s="96">
        <v>-41339</v>
      </c>
    </row>
    <row r="114" spans="1:12" x14ac:dyDescent="0.25">
      <c r="A114" s="31" t="str">
        <f t="shared" si="6"/>
        <v>TransAlta Energy Marketing</v>
      </c>
      <c r="B114" s="97">
        <f t="shared" si="7"/>
        <v>-637562</v>
      </c>
      <c r="C114" s="93">
        <f t="shared" si="4"/>
        <v>963.42025100000001</v>
      </c>
      <c r="D114" s="9">
        <f t="shared" si="5"/>
        <v>-278614.59399999998</v>
      </c>
      <c r="J114" s="125" t="s">
        <v>184</v>
      </c>
      <c r="K114" t="s">
        <v>611</v>
      </c>
      <c r="L114" s="96">
        <v>-637562</v>
      </c>
    </row>
    <row r="115" spans="1:12" x14ac:dyDescent="0.25">
      <c r="A115" s="31" t="str">
        <f t="shared" si="6"/>
        <v>TransCanada Energy Sales Ltd</v>
      </c>
      <c r="B115" s="97">
        <f t="shared" si="7"/>
        <v>-7621</v>
      </c>
      <c r="C115" s="93">
        <f t="shared" si="4"/>
        <v>963.42025100000001</v>
      </c>
      <c r="D115" s="9">
        <f t="shared" si="5"/>
        <v>-3330.377</v>
      </c>
      <c r="J115" s="125" t="s">
        <v>254</v>
      </c>
      <c r="K115" t="s">
        <v>611</v>
      </c>
      <c r="L115" s="96">
        <v>-7621</v>
      </c>
    </row>
    <row r="116" spans="1:12" x14ac:dyDescent="0.25">
      <c r="A116" s="31" t="str">
        <f t="shared" si="6"/>
        <v>Turlock Irrigation District</v>
      </c>
      <c r="B116" s="97">
        <f t="shared" si="7"/>
        <v>-208</v>
      </c>
      <c r="C116" s="93">
        <f t="shared" si="4"/>
        <v>963.42025100000001</v>
      </c>
      <c r="D116" s="9">
        <f t="shared" si="5"/>
        <v>-90.896000000000001</v>
      </c>
      <c r="J116" s="125" t="s">
        <v>256</v>
      </c>
      <c r="K116" t="s">
        <v>611</v>
      </c>
      <c r="L116" s="96">
        <v>-208</v>
      </c>
    </row>
    <row r="117" spans="1:12" x14ac:dyDescent="0.25">
      <c r="A117" s="31" t="str">
        <f t="shared" si="6"/>
        <v>Vitol Inc.</v>
      </c>
      <c r="B117" s="97">
        <f t="shared" si="7"/>
        <v>-1812075</v>
      </c>
      <c r="C117" s="93">
        <f t="shared" si="4"/>
        <v>963.42025100000001</v>
      </c>
      <c r="D117" s="9">
        <f t="shared" si="5"/>
        <v>-791876.77500000002</v>
      </c>
      <c r="J117" s="125" t="s">
        <v>257</v>
      </c>
      <c r="K117" t="s">
        <v>611</v>
      </c>
      <c r="L117" s="96">
        <v>-1812075</v>
      </c>
    </row>
    <row r="118" spans="1:12" x14ac:dyDescent="0.25">
      <c r="A118" s="31" t="str">
        <f t="shared" si="6"/>
        <v>Western Area Power Association</v>
      </c>
      <c r="B118" s="97">
        <f t="shared" si="7"/>
        <v>-2</v>
      </c>
      <c r="C118" s="93">
        <f t="shared" si="4"/>
        <v>963.42025100000001</v>
      </c>
      <c r="D118" s="9">
        <f t="shared" si="5"/>
        <v>-0.874</v>
      </c>
      <c r="J118" s="125" t="s">
        <v>258</v>
      </c>
      <c r="K118" t="s">
        <v>611</v>
      </c>
      <c r="L118" s="96">
        <v>-2</v>
      </c>
    </row>
    <row r="119" spans="1:12" x14ac:dyDescent="0.25">
      <c r="A119" s="31"/>
      <c r="B119" s="97"/>
      <c r="C119" s="93"/>
      <c r="D119" s="9"/>
      <c r="L119" s="96">
        <f>SUM(L4:L118)</f>
        <v>3448451.602</v>
      </c>
    </row>
    <row r="120" spans="1:12" x14ac:dyDescent="0.25">
      <c r="A120" s="31"/>
      <c r="B120" s="97"/>
      <c r="C120" s="93"/>
      <c r="D120" s="9"/>
    </row>
    <row r="121" spans="1:12" x14ac:dyDescent="0.25">
      <c r="A121" s="31"/>
      <c r="B121" s="97"/>
      <c r="C121" s="93"/>
      <c r="D121" s="9"/>
    </row>
    <row r="122" spans="1:12" x14ac:dyDescent="0.25">
      <c r="A122" s="31"/>
      <c r="B122" s="32"/>
      <c r="C122" s="93"/>
      <c r="D122" s="9"/>
    </row>
    <row r="123" spans="1:12" ht="15.75" thickBot="1" x14ac:dyDescent="0.3">
      <c r="A123" s="33"/>
      <c r="B123" s="34"/>
      <c r="C123" s="14"/>
      <c r="D123" s="15"/>
    </row>
    <row r="124" spans="1:12" ht="16.5" thickTop="1" thickBot="1" x14ac:dyDescent="0.3">
      <c r="A124" s="12"/>
      <c r="B124" s="91">
        <f>SUM(B4:B123)</f>
        <v>3446198.602</v>
      </c>
      <c r="C124" s="13"/>
      <c r="D124" s="92">
        <f>SUM(D4:D123)</f>
        <v>1505988.7890739983</v>
      </c>
    </row>
    <row r="127" spans="1:12" x14ac:dyDescent="0.25">
      <c r="A127" s="31" t="s">
        <v>339</v>
      </c>
      <c r="B127" s="32">
        <f>515489+292</f>
        <v>515781</v>
      </c>
      <c r="C127" s="93">
        <f t="shared" ref="C127" si="8">IF(B127&lt;&gt;0,$H$1,"")</f>
        <v>963.42025100000001</v>
      </c>
      <c r="D127" s="9">
        <f t="shared" ref="D127" si="9">(+B127*C127)/2204.623</f>
        <v>225396.29699999999</v>
      </c>
      <c r="E127" s="24" t="s">
        <v>620</v>
      </c>
    </row>
  </sheetData>
  <hyperlinks>
    <hyperlink ref="D1" r:id="rId1"/>
  </hyperlinks>
  <pageMargins left="0.7" right="0.7" top="0.75" bottom="0.75" header="0.3" footer="0.3"/>
  <ignoredErrors>
    <ignoredError sqref="D124" evalError="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2" t="s">
        <v>11</v>
      </c>
    </row>
    <row r="2" spans="1:7" ht="15.75" thickBot="1" x14ac:dyDescent="0.3"/>
    <row r="3" spans="1:7" x14ac:dyDescent="0.25">
      <c r="A3" s="59"/>
      <c r="B3" s="60" t="s">
        <v>15</v>
      </c>
      <c r="C3" s="61" t="s">
        <v>25</v>
      </c>
      <c r="D3" s="65"/>
      <c r="E3" s="63"/>
    </row>
    <row r="4" spans="1:7" x14ac:dyDescent="0.25">
      <c r="A4" s="650" t="s">
        <v>16</v>
      </c>
      <c r="B4" s="652"/>
      <c r="C4" s="35">
        <v>2014</v>
      </c>
      <c r="D4" s="68" t="s">
        <v>39</v>
      </c>
      <c r="E4" s="64"/>
    </row>
    <row r="5" spans="1:7" ht="15.75" thickBot="1" x14ac:dyDescent="0.3">
      <c r="A5" s="653" t="s">
        <v>21</v>
      </c>
      <c r="B5" s="654"/>
      <c r="C5" s="74">
        <f>+F10*'Census Stats'!$L$38</f>
        <v>2393758.2634168519</v>
      </c>
      <c r="D5" s="62">
        <f>+D13/C5</f>
        <v>8.6361694561803777</v>
      </c>
    </row>
    <row r="6" spans="1:7" x14ac:dyDescent="0.25">
      <c r="A6" s="5"/>
      <c r="B6" s="5"/>
      <c r="C6" s="21"/>
      <c r="E6" s="20"/>
    </row>
    <row r="7" spans="1:7" ht="19.5" thickBot="1" x14ac:dyDescent="0.35">
      <c r="A7" s="5"/>
      <c r="B7" s="57" t="s">
        <v>36</v>
      </c>
      <c r="C7" s="21"/>
      <c r="E7" s="20"/>
    </row>
    <row r="8" spans="1:7" x14ac:dyDescent="0.25">
      <c r="A8" s="39"/>
      <c r="B8" s="40"/>
      <c r="C8" s="40"/>
      <c r="D8" s="40"/>
      <c r="E8" s="40"/>
      <c r="F8" s="41" t="s">
        <v>20</v>
      </c>
      <c r="G8" s="52" t="s">
        <v>40</v>
      </c>
    </row>
    <row r="9" spans="1:7" x14ac:dyDescent="0.25">
      <c r="A9" s="42"/>
      <c r="B9" s="16"/>
      <c r="C9" s="16"/>
      <c r="D9" s="18" t="s">
        <v>14</v>
      </c>
      <c r="E9" s="30" t="s">
        <v>28</v>
      </c>
      <c r="F9" s="23" t="s">
        <v>35</v>
      </c>
      <c r="G9" s="53" t="s">
        <v>20</v>
      </c>
    </row>
    <row r="10" spans="1:7" x14ac:dyDescent="0.25">
      <c r="A10" s="650" t="s">
        <v>12</v>
      </c>
      <c r="B10" s="651"/>
      <c r="C10" s="652"/>
      <c r="D10" s="66">
        <v>10412460</v>
      </c>
      <c r="E10" s="17">
        <f>+D10/D13</f>
        <v>0.50367674552900221</v>
      </c>
      <c r="F10" s="38">
        <v>960708</v>
      </c>
      <c r="G10" s="54">
        <f>+D10/F10</f>
        <v>10.838319239560825</v>
      </c>
    </row>
    <row r="11" spans="1:7" x14ac:dyDescent="0.25">
      <c r="A11" s="650" t="s">
        <v>17</v>
      </c>
      <c r="B11" s="651"/>
      <c r="C11" s="652"/>
      <c r="D11" s="66">
        <f>8955594+87945</f>
        <v>9043539</v>
      </c>
      <c r="E11" s="17">
        <f>+D11/D13</f>
        <v>0.43745861127770064</v>
      </c>
      <c r="F11" s="32">
        <f>121332+6014</f>
        <v>127346</v>
      </c>
      <c r="G11" s="54">
        <f>+D11/F11</f>
        <v>71.015493223187221</v>
      </c>
    </row>
    <row r="12" spans="1:7" x14ac:dyDescent="0.25">
      <c r="A12" s="650" t="s">
        <v>18</v>
      </c>
      <c r="B12" s="651"/>
      <c r="C12" s="652"/>
      <c r="D12" s="66">
        <v>1216903</v>
      </c>
      <c r="E12" s="17">
        <f>+D12/D13</f>
        <v>5.8864643193297199E-2</v>
      </c>
      <c r="F12" s="5"/>
      <c r="G12" s="43"/>
    </row>
    <row r="13" spans="1:7" ht="15.75" thickBot="1" x14ac:dyDescent="0.3">
      <c r="A13" s="44"/>
      <c r="B13" s="655" t="s">
        <v>13</v>
      </c>
      <c r="C13" s="654"/>
      <c r="D13" s="67">
        <f>SUM(D10:D12)</f>
        <v>20672902</v>
      </c>
      <c r="E13" s="45"/>
      <c r="F13" s="46"/>
      <c r="G13" s="47"/>
    </row>
    <row r="15" spans="1:7" ht="19.5" thickBot="1" x14ac:dyDescent="0.35">
      <c r="B15" s="58" t="s">
        <v>37</v>
      </c>
    </row>
    <row r="16" spans="1:7" x14ac:dyDescent="0.25">
      <c r="A16" s="39"/>
      <c r="B16" s="40"/>
      <c r="C16" s="40"/>
      <c r="D16" s="40"/>
      <c r="E16" s="41" t="s">
        <v>29</v>
      </c>
      <c r="F16" s="48" t="s">
        <v>522</v>
      </c>
      <c r="G16" s="49"/>
    </row>
    <row r="17" spans="1:8" ht="18" x14ac:dyDescent="0.35">
      <c r="A17" s="50"/>
      <c r="B17" s="5"/>
      <c r="C17" s="5"/>
      <c r="D17" s="30" t="s">
        <v>19</v>
      </c>
      <c r="E17" s="23" t="s">
        <v>30</v>
      </c>
      <c r="F17" s="19" t="s">
        <v>8</v>
      </c>
      <c r="G17" s="43"/>
    </row>
    <row r="18" spans="1:8" x14ac:dyDescent="0.25">
      <c r="A18" s="637" t="s">
        <v>542</v>
      </c>
      <c r="B18" s="638"/>
      <c r="C18" s="639"/>
      <c r="D18" s="9">
        <f>'2014 Known'!B63</f>
        <v>16087761.391999997</v>
      </c>
      <c r="E18" s="17">
        <f>+D18/(D18+D20)</f>
        <v>0.72248248483677302</v>
      </c>
      <c r="F18" s="9">
        <f>'2014 Known'!C63</f>
        <v>7081267.8176674098</v>
      </c>
      <c r="G18" s="43"/>
    </row>
    <row r="19" spans="1:8" ht="15.75" thickBot="1" x14ac:dyDescent="0.3">
      <c r="A19" s="463"/>
      <c r="B19" s="464"/>
      <c r="C19" s="337" t="s">
        <v>543</v>
      </c>
      <c r="D19" s="323">
        <v>0</v>
      </c>
      <c r="E19" s="276">
        <v>0</v>
      </c>
      <c r="F19" s="323">
        <v>0</v>
      </c>
      <c r="G19" s="43"/>
    </row>
    <row r="20" spans="1:8" ht="18" x14ac:dyDescent="0.35">
      <c r="A20" s="650" t="s">
        <v>34</v>
      </c>
      <c r="B20" s="651"/>
      <c r="C20" s="652"/>
      <c r="D20" s="55">
        <f>'2014 Unknown'!B113</f>
        <v>6179576.1970000006</v>
      </c>
      <c r="E20" s="56">
        <f>+D20/(D18+D20)</f>
        <v>0.27751751516322698</v>
      </c>
      <c r="F20" s="70">
        <f>'2014 Unknown'!D113</f>
        <v>2700474.7980889999</v>
      </c>
      <c r="G20" s="72" t="s">
        <v>38</v>
      </c>
    </row>
    <row r="21" spans="1:8" ht="18.75" thickBot="1" x14ac:dyDescent="0.4">
      <c r="A21" s="44"/>
      <c r="B21" s="46"/>
      <c r="C21" s="46"/>
      <c r="D21" s="69">
        <f>+C4</f>
        <v>2014</v>
      </c>
      <c r="E21" s="51" t="s">
        <v>4</v>
      </c>
      <c r="F21" s="71">
        <f>SUM(F18:F20)</f>
        <v>9781742.6157564092</v>
      </c>
      <c r="G21" s="73">
        <f>+F21/G23</f>
        <v>1.5523217179293789</v>
      </c>
    </row>
    <row r="23" spans="1:8" ht="18" x14ac:dyDescent="0.35">
      <c r="F23" s="22" t="s">
        <v>524</v>
      </c>
      <c r="G23" s="32">
        <f>+G30</f>
        <v>6301362.9860207997</v>
      </c>
      <c r="H23" s="29"/>
    </row>
    <row r="25" spans="1:8" x14ac:dyDescent="0.25">
      <c r="E25" s="29" t="s">
        <v>22</v>
      </c>
      <c r="F25" s="24"/>
      <c r="G25" s="24"/>
    </row>
    <row r="26" spans="1:8" x14ac:dyDescent="0.25">
      <c r="E26" s="24"/>
      <c r="F26" s="24"/>
      <c r="G26" s="27" t="s">
        <v>26</v>
      </c>
    </row>
    <row r="27" spans="1:8" ht="18" x14ac:dyDescent="0.35">
      <c r="E27" s="24"/>
      <c r="F27" s="24"/>
      <c r="G27" s="28" t="s">
        <v>525</v>
      </c>
    </row>
    <row r="28" spans="1:8" x14ac:dyDescent="0.25">
      <c r="E28" s="24"/>
      <c r="F28" s="25" t="s">
        <v>23</v>
      </c>
      <c r="G28" s="26">
        <f>1131957*0.9071847</f>
        <v>1026894.0714579</v>
      </c>
    </row>
    <row r="29" spans="1:8" x14ac:dyDescent="0.25">
      <c r="E29" s="24"/>
      <c r="F29" s="25" t="s">
        <v>24</v>
      </c>
      <c r="G29" s="26">
        <f>2399078*0.9071847</f>
        <v>2176406.8557066</v>
      </c>
    </row>
    <row r="30" spans="1:8" x14ac:dyDescent="0.25">
      <c r="E30" s="24"/>
      <c r="F30" s="25" t="s">
        <v>25</v>
      </c>
      <c r="G30" s="26">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workbookViewId="0">
      <pane ySplit="1605" topLeftCell="A43" activePane="bottomLeft"/>
      <selection activeCell="I3" sqref="I3"/>
      <selection pane="bottomLeft" activeCell="I54" sqref="I54"/>
    </sheetView>
  </sheetViews>
  <sheetFormatPr defaultColWidth="9.140625" defaultRowHeight="12.75" x14ac:dyDescent="0.2"/>
  <cols>
    <col min="1" max="1" width="47.5703125" style="416" customWidth="1"/>
    <col min="2" max="2" width="13.140625" style="416" customWidth="1"/>
    <col min="3" max="3" width="12.7109375" style="416" customWidth="1"/>
    <col min="4" max="5" width="9.140625" style="417"/>
    <col min="6" max="6" width="9.7109375" style="417" customWidth="1"/>
    <col min="7" max="7" width="20.42578125" style="416" customWidth="1"/>
    <col min="8" max="8" width="17.5703125" style="416" bestFit="1" customWidth="1"/>
    <col min="9" max="9" width="11.28515625" style="416" bestFit="1" customWidth="1"/>
    <col min="10" max="10" width="9.28515625" style="416" bestFit="1" customWidth="1"/>
    <col min="11" max="11" width="9.7109375" style="416" bestFit="1" customWidth="1"/>
    <col min="12" max="12" width="3.5703125" style="377" customWidth="1"/>
    <col min="13" max="14" width="11.85546875" style="373" customWidth="1"/>
    <col min="15" max="16" width="9.140625" style="373"/>
    <col min="17" max="16384" width="9.140625" style="416"/>
  </cols>
  <sheetData>
    <row r="1" spans="1:17" x14ac:dyDescent="0.2">
      <c r="A1" s="414" t="s">
        <v>10</v>
      </c>
      <c r="B1" s="415">
        <v>2014</v>
      </c>
      <c r="G1" s="376"/>
      <c r="H1" s="373"/>
      <c r="I1" s="373"/>
      <c r="J1" s="373">
        <f>'EFs &amp; Rates'!I11</f>
        <v>25</v>
      </c>
      <c r="K1" s="373">
        <f>'EFs &amp; Rates'!J11</f>
        <v>298</v>
      </c>
    </row>
    <row r="2" spans="1:17" ht="14.25" x14ac:dyDescent="0.2">
      <c r="A2" s="378"/>
      <c r="B2" s="379"/>
      <c r="C2" s="380" t="s">
        <v>522</v>
      </c>
      <c r="D2" s="380"/>
      <c r="E2" s="379"/>
      <c r="F2" s="373"/>
      <c r="G2" s="376">
        <v>2014</v>
      </c>
      <c r="H2" s="381" t="s">
        <v>462</v>
      </c>
      <c r="I2" s="382">
        <f>'EFs &amp; Rates'!L5</f>
        <v>963.42025100000001</v>
      </c>
      <c r="J2" s="383" t="s">
        <v>561</v>
      </c>
      <c r="K2" s="373"/>
      <c r="N2" s="485" t="s">
        <v>578</v>
      </c>
    </row>
    <row r="3" spans="1:17" ht="38.25" x14ac:dyDescent="0.2">
      <c r="A3" s="384" t="s">
        <v>0</v>
      </c>
      <c r="B3" s="385" t="s">
        <v>31</v>
      </c>
      <c r="C3" s="386" t="s">
        <v>562</v>
      </c>
      <c r="D3" s="386" t="s">
        <v>424</v>
      </c>
      <c r="E3" s="385" t="s">
        <v>425</v>
      </c>
      <c r="F3" s="387" t="s">
        <v>472</v>
      </c>
      <c r="G3" s="481" t="s">
        <v>576</v>
      </c>
      <c r="H3" s="387" t="s">
        <v>469</v>
      </c>
      <c r="I3" s="388" t="s">
        <v>537</v>
      </c>
      <c r="J3" s="388" t="s">
        <v>538</v>
      </c>
      <c r="K3" s="388" t="s">
        <v>539</v>
      </c>
      <c r="M3" s="439" t="s">
        <v>575</v>
      </c>
      <c r="N3" s="439" t="s">
        <v>577</v>
      </c>
      <c r="O3" s="407" t="s">
        <v>558</v>
      </c>
      <c r="P3" s="407" t="s">
        <v>559</v>
      </c>
      <c r="Q3" s="389" t="s">
        <v>452</v>
      </c>
    </row>
    <row r="4" spans="1:17" x14ac:dyDescent="0.2">
      <c r="A4" s="418" t="s">
        <v>262</v>
      </c>
      <c r="B4" s="419">
        <v>42364.24</v>
      </c>
      <c r="C4" s="419">
        <f t="shared" ref="C4:C60" si="0">G4</f>
        <v>0</v>
      </c>
      <c r="D4" s="373" t="s">
        <v>464</v>
      </c>
      <c r="E4" s="417" t="s">
        <v>426</v>
      </c>
      <c r="F4" s="417" t="s">
        <v>463</v>
      </c>
      <c r="G4" s="181"/>
      <c r="K4" s="373"/>
    </row>
    <row r="5" spans="1:17" x14ac:dyDescent="0.2">
      <c r="A5" s="418" t="s">
        <v>263</v>
      </c>
      <c r="B5" s="419">
        <v>429609.103</v>
      </c>
      <c r="C5" s="419">
        <f t="shared" si="0"/>
        <v>0</v>
      </c>
      <c r="D5" s="373" t="s">
        <v>464</v>
      </c>
      <c r="E5" s="417" t="s">
        <v>426</v>
      </c>
      <c r="F5" s="417" t="s">
        <v>463</v>
      </c>
      <c r="G5" s="181"/>
      <c r="K5" s="373"/>
    </row>
    <row r="6" spans="1:17" x14ac:dyDescent="0.2">
      <c r="A6" s="418" t="s">
        <v>264</v>
      </c>
      <c r="B6" s="419">
        <v>40375.218000000001</v>
      </c>
      <c r="C6" s="419">
        <f t="shared" si="0"/>
        <v>0</v>
      </c>
      <c r="D6" s="373" t="s">
        <v>464</v>
      </c>
      <c r="E6" s="417" t="s">
        <v>426</v>
      </c>
      <c r="F6" s="417" t="s">
        <v>463</v>
      </c>
      <c r="G6" s="181"/>
      <c r="K6" s="373"/>
    </row>
    <row r="7" spans="1:17" x14ac:dyDescent="0.2">
      <c r="A7" s="418" t="s">
        <v>265</v>
      </c>
      <c r="B7" s="419">
        <v>147766.71299999999</v>
      </c>
      <c r="C7" s="419">
        <f t="shared" si="0"/>
        <v>0</v>
      </c>
      <c r="D7" s="373" t="s">
        <v>464</v>
      </c>
      <c r="E7" s="417" t="s">
        <v>426</v>
      </c>
      <c r="F7" s="417" t="s">
        <v>463</v>
      </c>
      <c r="G7" s="181"/>
      <c r="K7" s="373"/>
    </row>
    <row r="8" spans="1:17" x14ac:dyDescent="0.2">
      <c r="A8" s="418" t="s">
        <v>266</v>
      </c>
      <c r="B8" s="419">
        <v>340085.38099999999</v>
      </c>
      <c r="C8" s="419">
        <f t="shared" si="0"/>
        <v>0</v>
      </c>
      <c r="D8" s="373" t="s">
        <v>464</v>
      </c>
      <c r="E8" s="417" t="s">
        <v>426</v>
      </c>
      <c r="F8" s="417" t="s">
        <v>463</v>
      </c>
      <c r="G8" s="181"/>
      <c r="K8" s="373"/>
    </row>
    <row r="9" spans="1:17" x14ac:dyDescent="0.2">
      <c r="A9" s="418" t="s">
        <v>572</v>
      </c>
      <c r="B9" s="473">
        <f>2114046+2395521</f>
        <v>4509567</v>
      </c>
      <c r="C9" s="419">
        <f t="shared" si="0"/>
        <v>4890063.0296316901</v>
      </c>
      <c r="D9" s="373" t="s">
        <v>464</v>
      </c>
      <c r="E9" s="417" t="s">
        <v>427</v>
      </c>
      <c r="F9" s="417" t="s">
        <v>427</v>
      </c>
      <c r="G9" s="478">
        <f t="shared" ref="G9" si="1">I9+(J9*$J$1)+(K9*$K$1)</f>
        <v>4890063.0296316901</v>
      </c>
      <c r="I9" s="416">
        <v>4853729.1749999998</v>
      </c>
      <c r="J9" s="416">
        <v>531.62064505000001</v>
      </c>
      <c r="K9" s="373">
        <v>77.326639280000009</v>
      </c>
    </row>
    <row r="10" spans="1:17" x14ac:dyDescent="0.2">
      <c r="A10" s="418" t="s">
        <v>268</v>
      </c>
      <c r="B10" s="419">
        <v>218068.82899999997</v>
      </c>
      <c r="C10" s="419">
        <f t="shared" si="0"/>
        <v>105650.308</v>
      </c>
      <c r="D10" s="373" t="s">
        <v>464</v>
      </c>
      <c r="E10" s="417" t="s">
        <v>429</v>
      </c>
      <c r="F10" s="417" t="s">
        <v>429</v>
      </c>
      <c r="G10" s="475">
        <v>105650.308</v>
      </c>
      <c r="H10" s="470"/>
      <c r="I10" s="475"/>
      <c r="K10" s="373"/>
    </row>
    <row r="11" spans="1:17" x14ac:dyDescent="0.2">
      <c r="A11" s="418" t="s">
        <v>269</v>
      </c>
      <c r="B11" s="419">
        <v>722557.11800000002</v>
      </c>
      <c r="C11" s="419">
        <f t="shared" si="0"/>
        <v>333193.56400000001</v>
      </c>
      <c r="D11" s="373" t="s">
        <v>464</v>
      </c>
      <c r="E11" s="417" t="s">
        <v>429</v>
      </c>
      <c r="F11" s="417" t="s">
        <v>429</v>
      </c>
      <c r="G11" s="475">
        <v>333193.56400000001</v>
      </c>
      <c r="H11" s="470"/>
      <c r="I11" s="475"/>
    </row>
    <row r="12" spans="1:17" x14ac:dyDescent="0.2">
      <c r="A12" s="418" t="s">
        <v>270</v>
      </c>
      <c r="B12" s="419">
        <v>346742.94699999999</v>
      </c>
      <c r="C12" s="419">
        <f t="shared" si="0"/>
        <v>135411.96373399999</v>
      </c>
      <c r="D12" s="373" t="s">
        <v>464</v>
      </c>
      <c r="E12" s="417" t="s">
        <v>429</v>
      </c>
      <c r="F12" s="417" t="s">
        <v>429</v>
      </c>
      <c r="G12" s="475">
        <f>271638.844*0.4985</f>
        <v>135411.96373399999</v>
      </c>
      <c r="H12" s="470"/>
      <c r="I12" s="475"/>
    </row>
    <row r="13" spans="1:17" x14ac:dyDescent="0.2">
      <c r="A13" s="418" t="s">
        <v>274</v>
      </c>
      <c r="B13" s="419">
        <v>1029457.112</v>
      </c>
      <c r="C13" s="419">
        <f t="shared" si="0"/>
        <v>387311.76400000002</v>
      </c>
      <c r="D13" s="373" t="s">
        <v>464</v>
      </c>
      <c r="E13" s="417" t="s">
        <v>429</v>
      </c>
      <c r="F13" s="417" t="s">
        <v>429</v>
      </c>
      <c r="G13" s="475">
        <v>387311.76400000002</v>
      </c>
      <c r="H13" s="470"/>
      <c r="I13" s="475"/>
    </row>
    <row r="14" spans="1:17" x14ac:dyDescent="0.2">
      <c r="A14" s="418" t="s">
        <v>277</v>
      </c>
      <c r="B14" s="419">
        <v>1284786.4339999999</v>
      </c>
      <c r="C14" s="419">
        <f t="shared" si="0"/>
        <v>508640.11599999998</v>
      </c>
      <c r="D14" s="373" t="s">
        <v>464</v>
      </c>
      <c r="E14" s="417" t="s">
        <v>429</v>
      </c>
      <c r="F14" s="417" t="s">
        <v>429</v>
      </c>
      <c r="G14" s="475">
        <v>508640.11599999998</v>
      </c>
      <c r="H14" s="470"/>
      <c r="I14" s="475"/>
    </row>
    <row r="15" spans="1:17" x14ac:dyDescent="0.2">
      <c r="A15" s="418" t="s">
        <v>278</v>
      </c>
      <c r="B15" s="419">
        <v>446064.98</v>
      </c>
      <c r="C15" s="419">
        <f t="shared" si="0"/>
        <v>209202.024</v>
      </c>
      <c r="D15" s="373" t="s">
        <v>464</v>
      </c>
      <c r="E15" s="417" t="s">
        <v>429</v>
      </c>
      <c r="F15" s="417" t="s">
        <v>429</v>
      </c>
      <c r="G15" s="475">
        <v>209202.024</v>
      </c>
      <c r="H15" s="470"/>
      <c r="I15" s="475"/>
    </row>
    <row r="16" spans="1:17" x14ac:dyDescent="0.2">
      <c r="A16" s="418" t="s">
        <v>267</v>
      </c>
      <c r="B16" s="473">
        <v>357.8</v>
      </c>
      <c r="C16" s="419">
        <f t="shared" si="0"/>
        <v>296.86870338496021</v>
      </c>
      <c r="D16" s="373" t="s">
        <v>464</v>
      </c>
      <c r="E16" s="417" t="s">
        <v>428</v>
      </c>
      <c r="F16" s="417" t="s">
        <v>429</v>
      </c>
      <c r="G16" s="478">
        <f t="shared" ref="G16" si="2">I16+(J16*$J$1)+(K16*$K$1)</f>
        <v>296.86870338496021</v>
      </c>
      <c r="H16" s="470"/>
      <c r="I16" s="475">
        <v>295.8534572054208</v>
      </c>
      <c r="J16" s="416">
        <v>1.2000545857440001E-2</v>
      </c>
      <c r="K16" s="416">
        <v>2.4001091714879997E-3</v>
      </c>
    </row>
    <row r="17" spans="1:9" x14ac:dyDescent="0.2">
      <c r="A17" s="418" t="s">
        <v>271</v>
      </c>
      <c r="B17" s="419">
        <f>56804.9+11337.6</f>
        <v>68142.5</v>
      </c>
      <c r="C17" s="419">
        <f t="shared" si="0"/>
        <v>52554.582000000002</v>
      </c>
      <c r="D17" s="373" t="s">
        <v>464</v>
      </c>
      <c r="E17" s="417" t="s">
        <v>429</v>
      </c>
      <c r="F17" s="417" t="s">
        <v>429</v>
      </c>
      <c r="G17" s="475">
        <v>52554.582000000002</v>
      </c>
      <c r="H17" s="470"/>
      <c r="I17" s="475"/>
    </row>
    <row r="18" spans="1:9" x14ac:dyDescent="0.2">
      <c r="A18" s="418" t="s">
        <v>273</v>
      </c>
      <c r="B18" s="419">
        <v>14347.32</v>
      </c>
      <c r="C18" s="419">
        <f t="shared" si="0"/>
        <v>24412.653999999999</v>
      </c>
      <c r="D18" s="373" t="s">
        <v>464</v>
      </c>
      <c r="E18" s="417" t="s">
        <v>429</v>
      </c>
      <c r="F18" s="417" t="s">
        <v>429</v>
      </c>
      <c r="G18" s="475">
        <v>24412.653999999999</v>
      </c>
      <c r="I18" s="476"/>
    </row>
    <row r="19" spans="1:9" x14ac:dyDescent="0.2">
      <c r="A19" s="418" t="s">
        <v>275</v>
      </c>
      <c r="B19" s="419">
        <v>442302.62199999997</v>
      </c>
      <c r="C19" s="419">
        <f t="shared" si="0"/>
        <v>0</v>
      </c>
      <c r="D19" s="373" t="s">
        <v>464</v>
      </c>
      <c r="E19" s="417" t="s">
        <v>430</v>
      </c>
      <c r="F19" s="417" t="s">
        <v>463</v>
      </c>
      <c r="G19" s="181"/>
    </row>
    <row r="20" spans="1:9" x14ac:dyDescent="0.2">
      <c r="A20" s="418" t="s">
        <v>276</v>
      </c>
      <c r="B20" s="419">
        <v>883474.77099999995</v>
      </c>
      <c r="C20" s="419">
        <f t="shared" si="0"/>
        <v>0</v>
      </c>
      <c r="D20" s="373" t="s">
        <v>464</v>
      </c>
      <c r="E20" s="417" t="s">
        <v>430</v>
      </c>
      <c r="F20" s="417" t="s">
        <v>463</v>
      </c>
      <c r="G20" s="181"/>
    </row>
    <row r="21" spans="1:9" x14ac:dyDescent="0.2">
      <c r="A21" s="418" t="s">
        <v>279</v>
      </c>
      <c r="B21" s="419">
        <v>24458.1</v>
      </c>
      <c r="C21" s="419">
        <f t="shared" si="0"/>
        <v>29472.331999999999</v>
      </c>
      <c r="D21" s="373" t="s">
        <v>464</v>
      </c>
      <c r="E21" s="417" t="s">
        <v>429</v>
      </c>
      <c r="F21" s="417" t="s">
        <v>429</v>
      </c>
      <c r="G21" s="475">
        <v>29472.331999999999</v>
      </c>
    </row>
    <row r="22" spans="1:9" x14ac:dyDescent="0.2">
      <c r="A22" s="418" t="s">
        <v>280</v>
      </c>
      <c r="B22" s="419">
        <v>649976.24100000004</v>
      </c>
      <c r="C22" s="419">
        <f t="shared" si="0"/>
        <v>0</v>
      </c>
      <c r="D22" s="373" t="s">
        <v>464</v>
      </c>
      <c r="E22" s="417" t="s">
        <v>430</v>
      </c>
      <c r="F22" s="417" t="s">
        <v>463</v>
      </c>
      <c r="G22" s="477"/>
    </row>
    <row r="23" spans="1:9" x14ac:dyDescent="0.2">
      <c r="A23" s="418" t="s">
        <v>283</v>
      </c>
      <c r="B23" s="419">
        <v>143.74799999999999</v>
      </c>
      <c r="C23" s="419">
        <f t="shared" si="0"/>
        <v>0</v>
      </c>
      <c r="D23" s="373" t="s">
        <v>465</v>
      </c>
      <c r="E23" s="417" t="s">
        <v>430</v>
      </c>
      <c r="F23" s="417" t="s">
        <v>463</v>
      </c>
      <c r="G23" s="181"/>
    </row>
    <row r="24" spans="1:9" x14ac:dyDescent="0.2">
      <c r="A24" s="418" t="s">
        <v>188</v>
      </c>
      <c r="B24" s="419">
        <v>216079</v>
      </c>
      <c r="C24" s="419">
        <f t="shared" si="0"/>
        <v>94426.523000000001</v>
      </c>
      <c r="D24" s="373" t="s">
        <v>465</v>
      </c>
      <c r="E24" s="417" t="s">
        <v>432</v>
      </c>
      <c r="F24" s="417" t="s">
        <v>432</v>
      </c>
      <c r="G24" s="466">
        <f t="shared" ref="G24" si="3">(B24*$I$2)/2204.623</f>
        <v>94426.523000000001</v>
      </c>
    </row>
    <row r="25" spans="1:9" x14ac:dyDescent="0.2">
      <c r="A25" s="418" t="s">
        <v>284</v>
      </c>
      <c r="B25" s="419">
        <v>20696.929</v>
      </c>
      <c r="C25" s="419">
        <f t="shared" si="0"/>
        <v>9044.557972999999</v>
      </c>
      <c r="D25" s="373" t="s">
        <v>465</v>
      </c>
      <c r="E25" s="417" t="s">
        <v>432</v>
      </c>
      <c r="F25" s="417" t="s">
        <v>432</v>
      </c>
      <c r="G25" s="466">
        <f t="shared" ref="G25" si="4">(B25*$I$2)/2204.623</f>
        <v>9044.557972999999</v>
      </c>
    </row>
    <row r="26" spans="1:9" x14ac:dyDescent="0.2">
      <c r="A26" s="418" t="s">
        <v>285</v>
      </c>
      <c r="B26" s="419">
        <v>13.750999999999999</v>
      </c>
      <c r="C26" s="419">
        <f t="shared" si="0"/>
        <v>0</v>
      </c>
      <c r="D26" s="373" t="s">
        <v>465</v>
      </c>
      <c r="E26" s="417" t="s">
        <v>431</v>
      </c>
      <c r="F26" s="417" t="s">
        <v>463</v>
      </c>
      <c r="G26" s="181"/>
    </row>
    <row r="27" spans="1:9" x14ac:dyDescent="0.2">
      <c r="A27" s="418" t="s">
        <v>286</v>
      </c>
      <c r="B27" s="419">
        <v>14182.659</v>
      </c>
      <c r="C27" s="419">
        <f t="shared" si="0"/>
        <v>0</v>
      </c>
      <c r="D27" s="373" t="s">
        <v>465</v>
      </c>
      <c r="E27" s="417" t="s">
        <v>426</v>
      </c>
      <c r="F27" s="417" t="s">
        <v>463</v>
      </c>
      <c r="G27" s="181"/>
    </row>
    <row r="28" spans="1:9" x14ac:dyDescent="0.2">
      <c r="A28" s="418" t="s">
        <v>191</v>
      </c>
      <c r="B28" s="419">
        <v>-10172</v>
      </c>
      <c r="C28" s="419">
        <f t="shared" si="0"/>
        <v>-4445.1639999999998</v>
      </c>
      <c r="D28" s="373" t="s">
        <v>465</v>
      </c>
      <c r="E28" s="417" t="s">
        <v>432</v>
      </c>
      <c r="F28" s="417" t="s">
        <v>432</v>
      </c>
      <c r="G28" s="466">
        <f t="shared" ref="G28" si="5">(B28*$I$2)/2204.623</f>
        <v>-4445.1639999999998</v>
      </c>
    </row>
    <row r="29" spans="1:9" x14ac:dyDescent="0.2">
      <c r="A29" s="418" t="s">
        <v>173</v>
      </c>
      <c r="B29" s="419">
        <v>7000</v>
      </c>
      <c r="C29" s="419">
        <f t="shared" si="0"/>
        <v>0</v>
      </c>
      <c r="D29" s="373" t="s">
        <v>465</v>
      </c>
      <c r="E29" s="417" t="s">
        <v>426</v>
      </c>
      <c r="F29" s="417" t="s">
        <v>463</v>
      </c>
      <c r="G29" s="181"/>
    </row>
    <row r="30" spans="1:9" x14ac:dyDescent="0.2">
      <c r="A30" s="418" t="s">
        <v>287</v>
      </c>
      <c r="B30" s="419">
        <v>360022</v>
      </c>
      <c r="C30" s="419">
        <f t="shared" si="0"/>
        <v>157329.61399999997</v>
      </c>
      <c r="D30" s="373" t="s">
        <v>465</v>
      </c>
      <c r="E30" s="417" t="s">
        <v>432</v>
      </c>
      <c r="F30" s="417" t="s">
        <v>432</v>
      </c>
      <c r="G30" s="466">
        <f t="shared" ref="G30" si="6">(B30*$I$2)/2204.623</f>
        <v>157329.61399999997</v>
      </c>
    </row>
    <row r="31" spans="1:9" x14ac:dyDescent="0.2">
      <c r="A31" s="418" t="s">
        <v>288</v>
      </c>
      <c r="B31" s="419">
        <v>28.02</v>
      </c>
      <c r="C31" s="419">
        <f t="shared" si="0"/>
        <v>0</v>
      </c>
      <c r="D31" s="373" t="s">
        <v>465</v>
      </c>
      <c r="E31" s="417" t="s">
        <v>433</v>
      </c>
      <c r="F31" s="373" t="s">
        <v>463</v>
      </c>
      <c r="G31" s="181"/>
    </row>
    <row r="32" spans="1:9" x14ac:dyDescent="0.2">
      <c r="A32" s="418" t="s">
        <v>289</v>
      </c>
      <c r="B32" s="419">
        <v>2323845</v>
      </c>
      <c r="C32" s="419">
        <f t="shared" si="0"/>
        <v>0</v>
      </c>
      <c r="D32" s="373" t="s">
        <v>465</v>
      </c>
      <c r="E32" s="417" t="s">
        <v>426</v>
      </c>
      <c r="F32" s="373" t="s">
        <v>463</v>
      </c>
      <c r="G32" s="181"/>
    </row>
    <row r="33" spans="1:15" x14ac:dyDescent="0.2">
      <c r="A33" s="418" t="s">
        <v>290</v>
      </c>
      <c r="B33" s="419">
        <v>-38431</v>
      </c>
      <c r="C33" s="419">
        <f t="shared" si="0"/>
        <v>0</v>
      </c>
      <c r="D33" s="373" t="s">
        <v>465</v>
      </c>
      <c r="E33" s="417" t="s">
        <v>426</v>
      </c>
      <c r="F33" s="373" t="s">
        <v>463</v>
      </c>
      <c r="G33" s="181"/>
    </row>
    <row r="34" spans="1:15" x14ac:dyDescent="0.2">
      <c r="A34" s="418" t="s">
        <v>291</v>
      </c>
      <c r="B34" s="419">
        <v>-81380</v>
      </c>
      <c r="C34" s="419">
        <f t="shared" si="0"/>
        <v>0</v>
      </c>
      <c r="D34" s="373" t="s">
        <v>465</v>
      </c>
      <c r="E34" s="417" t="s">
        <v>426</v>
      </c>
      <c r="F34" s="373" t="s">
        <v>463</v>
      </c>
      <c r="G34" s="181"/>
    </row>
    <row r="35" spans="1:15" x14ac:dyDescent="0.2">
      <c r="A35" s="418" t="s">
        <v>292</v>
      </c>
      <c r="B35" s="419">
        <v>1048857</v>
      </c>
      <c r="C35" s="419">
        <f t="shared" si="0"/>
        <v>0</v>
      </c>
      <c r="D35" s="373" t="s">
        <v>465</v>
      </c>
      <c r="E35" s="417" t="s">
        <v>426</v>
      </c>
      <c r="F35" s="373" t="s">
        <v>463</v>
      </c>
      <c r="G35" s="181"/>
    </row>
    <row r="36" spans="1:15" x14ac:dyDescent="0.2">
      <c r="A36" s="418" t="s">
        <v>293</v>
      </c>
      <c r="B36" s="419">
        <v>3733.9949999999999</v>
      </c>
      <c r="C36" s="419">
        <f t="shared" si="0"/>
        <v>0</v>
      </c>
      <c r="D36" s="373" t="s">
        <v>465</v>
      </c>
      <c r="E36" s="417" t="s">
        <v>431</v>
      </c>
      <c r="F36" s="373" t="s">
        <v>463</v>
      </c>
      <c r="G36" s="181"/>
    </row>
    <row r="37" spans="1:15" x14ac:dyDescent="0.2">
      <c r="A37" s="418" t="s">
        <v>294</v>
      </c>
      <c r="B37" s="419">
        <v>4946.95</v>
      </c>
      <c r="C37" s="419">
        <f t="shared" si="0"/>
        <v>0</v>
      </c>
      <c r="D37" s="373" t="s">
        <v>465</v>
      </c>
      <c r="E37" s="417" t="s">
        <v>431</v>
      </c>
      <c r="F37" s="373" t="s">
        <v>463</v>
      </c>
      <c r="G37" s="181"/>
    </row>
    <row r="38" spans="1:15" x14ac:dyDescent="0.2">
      <c r="A38" s="418" t="s">
        <v>295</v>
      </c>
      <c r="B38" s="419">
        <v>5241.9309999999996</v>
      </c>
      <c r="C38" s="419">
        <f t="shared" si="0"/>
        <v>0</v>
      </c>
      <c r="D38" s="373" t="s">
        <v>465</v>
      </c>
      <c r="E38" s="373" t="s">
        <v>431</v>
      </c>
      <c r="F38" s="373" t="s">
        <v>463</v>
      </c>
      <c r="G38" s="181"/>
    </row>
    <row r="39" spans="1:15" x14ac:dyDescent="0.2">
      <c r="A39" s="418" t="s">
        <v>297</v>
      </c>
      <c r="B39" s="419">
        <v>50317</v>
      </c>
      <c r="C39" s="419">
        <f t="shared" si="0"/>
        <v>0</v>
      </c>
      <c r="D39" s="373" t="s">
        <v>465</v>
      </c>
      <c r="E39" s="373" t="s">
        <v>426</v>
      </c>
      <c r="F39" s="373" t="s">
        <v>463</v>
      </c>
      <c r="G39" s="181"/>
    </row>
    <row r="40" spans="1:15" x14ac:dyDescent="0.2">
      <c r="A40" s="418" t="s">
        <v>299</v>
      </c>
      <c r="B40" s="419">
        <v>59.67</v>
      </c>
      <c r="C40" s="419">
        <f t="shared" si="0"/>
        <v>0</v>
      </c>
      <c r="D40" s="373" t="s">
        <v>465</v>
      </c>
      <c r="E40" s="373" t="s">
        <v>433</v>
      </c>
      <c r="F40" s="373" t="s">
        <v>463</v>
      </c>
      <c r="G40" s="181"/>
    </row>
    <row r="41" spans="1:15" x14ac:dyDescent="0.2">
      <c r="A41" s="418" t="s">
        <v>300</v>
      </c>
      <c r="B41" s="419">
        <v>1200</v>
      </c>
      <c r="C41" s="419">
        <f t="shared" si="0"/>
        <v>489.07460504942117</v>
      </c>
      <c r="D41" s="373" t="s">
        <v>465</v>
      </c>
      <c r="E41" s="373" t="s">
        <v>429</v>
      </c>
      <c r="F41" s="417" t="s">
        <v>429</v>
      </c>
      <c r="G41" s="449">
        <f>M41*B41</f>
        <v>489.07460504942117</v>
      </c>
      <c r="H41" s="373"/>
      <c r="I41" s="181"/>
      <c r="J41" s="181"/>
      <c r="K41" s="181"/>
      <c r="M41" s="373">
        <f>N41/O41</f>
        <v>0.40756217087451763</v>
      </c>
      <c r="N41" s="373">
        <v>904746.44799999997</v>
      </c>
      <c r="O41" s="373">
        <v>2219898</v>
      </c>
    </row>
    <row r="42" spans="1:15" x14ac:dyDescent="0.2">
      <c r="A42" s="418" t="s">
        <v>301</v>
      </c>
      <c r="B42" s="419">
        <v>129205</v>
      </c>
      <c r="C42" s="419">
        <f t="shared" si="0"/>
        <v>0</v>
      </c>
      <c r="D42" s="373" t="s">
        <v>465</v>
      </c>
      <c r="E42" s="373" t="s">
        <v>430</v>
      </c>
      <c r="F42" s="373" t="s">
        <v>463</v>
      </c>
      <c r="G42" s="181"/>
    </row>
    <row r="43" spans="1:15" x14ac:dyDescent="0.2">
      <c r="A43" s="418" t="s">
        <v>302</v>
      </c>
      <c r="B43" s="419">
        <v>151.547</v>
      </c>
      <c r="C43" s="419">
        <f t="shared" si="0"/>
        <v>0</v>
      </c>
      <c r="D43" s="373" t="s">
        <v>465</v>
      </c>
      <c r="E43" s="373" t="s">
        <v>430</v>
      </c>
      <c r="F43" s="373" t="s">
        <v>463</v>
      </c>
      <c r="G43" s="181"/>
    </row>
    <row r="44" spans="1:15" x14ac:dyDescent="0.2">
      <c r="A44" s="418" t="s">
        <v>304</v>
      </c>
      <c r="B44" s="419">
        <v>290</v>
      </c>
      <c r="C44" s="419">
        <f t="shared" si="0"/>
        <v>0</v>
      </c>
      <c r="D44" s="373" t="s">
        <v>465</v>
      </c>
      <c r="E44" s="373" t="s">
        <v>431</v>
      </c>
      <c r="F44" s="373" t="s">
        <v>463</v>
      </c>
      <c r="G44" s="181"/>
    </row>
    <row r="45" spans="1:15" x14ac:dyDescent="0.2">
      <c r="A45" s="418" t="s">
        <v>305</v>
      </c>
      <c r="B45" s="419">
        <v>5027.634</v>
      </c>
      <c r="C45" s="419">
        <f t="shared" si="0"/>
        <v>0</v>
      </c>
      <c r="D45" s="373" t="s">
        <v>465</v>
      </c>
      <c r="E45" s="373" t="s">
        <v>431</v>
      </c>
      <c r="F45" s="373" t="s">
        <v>463</v>
      </c>
      <c r="G45" s="181"/>
    </row>
    <row r="46" spans="1:15" x14ac:dyDescent="0.2">
      <c r="A46" s="418" t="s">
        <v>306</v>
      </c>
      <c r="B46" s="419">
        <v>6471.0950000000003</v>
      </c>
      <c r="C46" s="419">
        <f t="shared" si="0"/>
        <v>0</v>
      </c>
      <c r="D46" s="373" t="s">
        <v>465</v>
      </c>
      <c r="E46" s="417" t="s">
        <v>426</v>
      </c>
      <c r="F46" s="373" t="s">
        <v>463</v>
      </c>
      <c r="G46" s="181"/>
    </row>
    <row r="47" spans="1:15" x14ac:dyDescent="0.2">
      <c r="A47" s="418" t="s">
        <v>307</v>
      </c>
      <c r="B47" s="419">
        <v>174.334</v>
      </c>
      <c r="C47" s="419">
        <f t="shared" si="0"/>
        <v>0</v>
      </c>
      <c r="D47" s="373" t="s">
        <v>465</v>
      </c>
      <c r="E47" s="417" t="s">
        <v>426</v>
      </c>
      <c r="F47" s="373" t="s">
        <v>463</v>
      </c>
      <c r="G47" s="181"/>
    </row>
    <row r="48" spans="1:15" x14ac:dyDescent="0.2">
      <c r="A48" s="418" t="s">
        <v>309</v>
      </c>
      <c r="B48" s="419">
        <v>11215.539000000001</v>
      </c>
      <c r="C48" s="419">
        <f t="shared" si="0"/>
        <v>0</v>
      </c>
      <c r="D48" s="373" t="s">
        <v>465</v>
      </c>
      <c r="E48" s="417" t="s">
        <v>430</v>
      </c>
      <c r="F48" s="373" t="s">
        <v>463</v>
      </c>
      <c r="G48" s="181"/>
    </row>
    <row r="49" spans="1:15" x14ac:dyDescent="0.2">
      <c r="A49" s="418" t="s">
        <v>310</v>
      </c>
      <c r="B49" s="419">
        <v>133020</v>
      </c>
      <c r="C49" s="419">
        <f t="shared" si="0"/>
        <v>148214.00602028202</v>
      </c>
      <c r="D49" s="373" t="s">
        <v>465</v>
      </c>
      <c r="E49" s="417" t="s">
        <v>427</v>
      </c>
      <c r="F49" s="417" t="s">
        <v>427</v>
      </c>
      <c r="G49" s="449">
        <f>M49*B49</f>
        <v>148214.00602028202</v>
      </c>
      <c r="H49" s="373"/>
      <c r="I49" s="181"/>
      <c r="J49" s="181"/>
      <c r="K49" s="181"/>
      <c r="M49" s="373">
        <f>N49/O49</f>
        <v>1.1142234703073373</v>
      </c>
      <c r="N49" s="373">
        <v>7447080.8159999996</v>
      </c>
      <c r="O49" s="373">
        <v>6683651.0040000007</v>
      </c>
    </row>
    <row r="50" spans="1:15" x14ac:dyDescent="0.2">
      <c r="A50" s="418" t="s">
        <v>311</v>
      </c>
      <c r="B50" s="419">
        <v>2188.8200000000002</v>
      </c>
      <c r="C50" s="419">
        <f t="shared" si="0"/>
        <v>0</v>
      </c>
      <c r="D50" s="373" t="s">
        <v>465</v>
      </c>
      <c r="E50" s="417" t="s">
        <v>431</v>
      </c>
      <c r="F50" s="373" t="s">
        <v>463</v>
      </c>
      <c r="G50" s="181"/>
    </row>
    <row r="51" spans="1:15" x14ac:dyDescent="0.2">
      <c r="A51" s="418" t="s">
        <v>312</v>
      </c>
      <c r="B51" s="419">
        <v>3510.7820000000002</v>
      </c>
      <c r="C51" s="419">
        <f t="shared" si="0"/>
        <v>0</v>
      </c>
      <c r="D51" s="373" t="s">
        <v>465</v>
      </c>
      <c r="E51" s="417" t="s">
        <v>431</v>
      </c>
      <c r="F51" s="373" t="s">
        <v>463</v>
      </c>
      <c r="G51" s="181"/>
    </row>
    <row r="52" spans="1:15" x14ac:dyDescent="0.2">
      <c r="A52" s="418" t="s">
        <v>314</v>
      </c>
      <c r="B52" s="419">
        <v>36676.847000000002</v>
      </c>
      <c r="C52" s="419">
        <f t="shared" si="0"/>
        <v>0</v>
      </c>
      <c r="D52" s="373" t="s">
        <v>465</v>
      </c>
      <c r="E52" s="417" t="s">
        <v>431</v>
      </c>
      <c r="F52" s="373" t="s">
        <v>463</v>
      </c>
      <c r="G52" s="181"/>
    </row>
    <row r="53" spans="1:15" x14ac:dyDescent="0.2">
      <c r="A53" s="418" t="s">
        <v>315</v>
      </c>
      <c r="B53" s="419">
        <v>8568.0669999999991</v>
      </c>
      <c r="C53" s="419">
        <f t="shared" si="0"/>
        <v>0</v>
      </c>
      <c r="D53" s="373" t="s">
        <v>465</v>
      </c>
      <c r="E53" s="417" t="s">
        <v>426</v>
      </c>
      <c r="F53" s="373" t="s">
        <v>463</v>
      </c>
      <c r="G53" s="181"/>
    </row>
    <row r="54" spans="1:15" x14ac:dyDescent="0.2">
      <c r="A54" s="418" t="s">
        <v>317</v>
      </c>
      <c r="B54" s="419">
        <v>233.12</v>
      </c>
      <c r="C54" s="419">
        <f t="shared" si="0"/>
        <v>0</v>
      </c>
      <c r="D54" s="373" t="s">
        <v>465</v>
      </c>
      <c r="E54" s="417" t="s">
        <v>426</v>
      </c>
      <c r="F54" s="373" t="s">
        <v>463</v>
      </c>
      <c r="G54" s="181"/>
    </row>
    <row r="55" spans="1:15" x14ac:dyDescent="0.2">
      <c r="A55" s="418" t="s">
        <v>318</v>
      </c>
      <c r="B55" s="419">
        <v>48522.928999999996</v>
      </c>
      <c r="C55" s="419">
        <f t="shared" si="0"/>
        <v>0</v>
      </c>
      <c r="D55" s="373" t="s">
        <v>465</v>
      </c>
      <c r="E55" s="417" t="s">
        <v>426</v>
      </c>
      <c r="F55" s="373" t="s">
        <v>463</v>
      </c>
      <c r="G55" s="181"/>
    </row>
    <row r="56" spans="1:15" x14ac:dyDescent="0.2">
      <c r="A56" s="418" t="s">
        <v>319</v>
      </c>
      <c r="B56" s="419">
        <v>271.08</v>
      </c>
      <c r="C56" s="419">
        <f t="shared" si="0"/>
        <v>0</v>
      </c>
      <c r="D56" s="373" t="s">
        <v>465</v>
      </c>
      <c r="E56" s="417" t="s">
        <v>431</v>
      </c>
      <c r="F56" s="373" t="s">
        <v>463</v>
      </c>
      <c r="G56" s="181"/>
    </row>
    <row r="57" spans="1:15" x14ac:dyDescent="0.2">
      <c r="A57" s="418" t="s">
        <v>321</v>
      </c>
      <c r="B57" s="419">
        <v>25212.421999999999</v>
      </c>
      <c r="C57" s="419">
        <f t="shared" si="0"/>
        <v>0</v>
      </c>
      <c r="D57" s="373" t="s">
        <v>465</v>
      </c>
      <c r="E57" s="417" t="s">
        <v>426</v>
      </c>
      <c r="F57" s="373" t="s">
        <v>463</v>
      </c>
      <c r="G57" s="181"/>
    </row>
    <row r="58" spans="1:15" x14ac:dyDescent="0.2">
      <c r="A58" s="418" t="s">
        <v>325</v>
      </c>
      <c r="B58" s="419">
        <v>1168.2139999999999</v>
      </c>
      <c r="C58" s="419">
        <f t="shared" si="0"/>
        <v>0</v>
      </c>
      <c r="D58" s="373" t="s">
        <v>465</v>
      </c>
      <c r="E58" s="417" t="s">
        <v>426</v>
      </c>
      <c r="F58" s="373" t="s">
        <v>463</v>
      </c>
      <c r="G58" s="181"/>
    </row>
    <row r="59" spans="1:15" x14ac:dyDescent="0.2">
      <c r="A59" s="418" t="s">
        <v>326</v>
      </c>
      <c r="B59" s="419">
        <v>92557.659</v>
      </c>
      <c r="C59" s="419">
        <f t="shared" si="0"/>
        <v>0</v>
      </c>
      <c r="D59" s="373" t="s">
        <v>465</v>
      </c>
      <c r="E59" s="417" t="s">
        <v>426</v>
      </c>
      <c r="F59" s="373" t="s">
        <v>463</v>
      </c>
      <c r="G59" s="181"/>
    </row>
    <row r="60" spans="1:15" x14ac:dyDescent="0.2">
      <c r="A60" s="418" t="s">
        <v>327</v>
      </c>
      <c r="B60" s="419">
        <v>16407.221000000001</v>
      </c>
      <c r="C60" s="419">
        <f t="shared" si="0"/>
        <v>0</v>
      </c>
      <c r="D60" s="373" t="s">
        <v>465</v>
      </c>
      <c r="E60" s="417" t="s">
        <v>426</v>
      </c>
      <c r="F60" s="373" t="s">
        <v>463</v>
      </c>
      <c r="G60" s="181"/>
    </row>
    <row r="61" spans="1:15" x14ac:dyDescent="0.2">
      <c r="A61" s="418"/>
      <c r="B61" s="419"/>
      <c r="C61" s="419"/>
    </row>
    <row r="62" spans="1:15" ht="13.5" thickBot="1" x14ac:dyDescent="0.25">
      <c r="A62" s="420"/>
      <c r="B62" s="421"/>
      <c r="C62" s="421"/>
    </row>
    <row r="63" spans="1:15" ht="14.25" thickTop="1" thickBot="1" x14ac:dyDescent="0.25">
      <c r="B63" s="422">
        <f>SUM(B4:B62)</f>
        <v>16087761.391999997</v>
      </c>
      <c r="C63" s="422">
        <f>SUM(C4:C62)</f>
        <v>7081267.8176674098</v>
      </c>
    </row>
  </sheetData>
  <autoFilter ref="A1:K60"/>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opLeftCell="A37" workbookViewId="0">
      <selection activeCell="F28" sqref="F28"/>
    </sheetView>
  </sheetViews>
  <sheetFormatPr defaultRowHeight="15" x14ac:dyDescent="0.25"/>
  <cols>
    <col min="1" max="1" width="46.140625" customWidth="1"/>
    <col min="2" max="2" width="13.7109375" customWidth="1"/>
    <col min="3" max="3" width="12.5703125" customWidth="1"/>
    <col min="4" max="4" width="13.5703125" customWidth="1"/>
    <col min="6" max="6" width="13.28515625" bestFit="1" customWidth="1"/>
    <col min="7" max="7" width="9.140625" customWidth="1"/>
    <col min="8" max="8" width="8" customWidth="1"/>
    <col min="10" max="10" width="29.7109375" style="125" customWidth="1"/>
    <col min="11" max="11" width="29.7109375" customWidth="1"/>
    <col min="12" max="12" width="9.85546875" style="96" bestFit="1" customWidth="1"/>
  </cols>
  <sheetData>
    <row r="1" spans="1:12" ht="19.5" x14ac:dyDescent="0.35">
      <c r="A1" s="2" t="s">
        <v>32</v>
      </c>
      <c r="B1" s="183">
        <v>2014</v>
      </c>
      <c r="D1" s="7" t="s">
        <v>2</v>
      </c>
      <c r="H1" s="121">
        <f>'EFs &amp; Rates'!L5</f>
        <v>963.42025100000001</v>
      </c>
      <c r="I1" t="s">
        <v>6</v>
      </c>
    </row>
    <row r="2" spans="1:12" ht="18.75" x14ac:dyDescent="0.3">
      <c r="A2" s="2"/>
      <c r="B2" s="10" t="s">
        <v>31</v>
      </c>
      <c r="C2" s="10" t="s">
        <v>1</v>
      </c>
      <c r="D2" s="10" t="s">
        <v>522</v>
      </c>
      <c r="E2" s="3"/>
      <c r="F2" s="36" t="s">
        <v>9</v>
      </c>
      <c r="G2" s="35">
        <v>2014</v>
      </c>
      <c r="H2" s="37"/>
    </row>
    <row r="3" spans="1:12" ht="19.5" x14ac:dyDescent="0.35">
      <c r="A3" s="4" t="s">
        <v>0</v>
      </c>
      <c r="B3" s="11"/>
      <c r="C3" s="11" t="s">
        <v>7</v>
      </c>
      <c r="D3" s="11" t="s">
        <v>8</v>
      </c>
      <c r="E3" s="6"/>
    </row>
    <row r="4" spans="1:12" x14ac:dyDescent="0.25">
      <c r="A4" s="31" t="str">
        <f>J4</f>
        <v>Avista Corp. WWP Division</v>
      </c>
      <c r="B4" s="32">
        <f>L4</f>
        <v>321265</v>
      </c>
      <c r="C4" s="93">
        <f>IF(B4&lt;&gt;0,$H$1,"")</f>
        <v>963.42025100000001</v>
      </c>
      <c r="D4" s="9">
        <f t="shared" ref="D4:D67" si="0">(+B4*C4)/2204.623</f>
        <v>140392.80499999999</v>
      </c>
      <c r="F4" s="122" t="s">
        <v>400</v>
      </c>
      <c r="G4" s="122"/>
      <c r="J4" s="125" t="s">
        <v>187</v>
      </c>
      <c r="K4" t="s">
        <v>608</v>
      </c>
      <c r="L4" s="96">
        <v>321265</v>
      </c>
    </row>
    <row r="5" spans="1:12" x14ac:dyDescent="0.25">
      <c r="A5" s="31" t="str">
        <f t="shared" ref="A5:A68" si="1">J5</f>
        <v>Black Hills Power</v>
      </c>
      <c r="B5" s="32">
        <f t="shared" ref="B5:B68" si="2">L5</f>
        <v>875</v>
      </c>
      <c r="C5" s="93">
        <f t="shared" ref="C5:C68" si="3">IF(B5&lt;&gt;0,$H$1,"")</f>
        <v>963.42025100000001</v>
      </c>
      <c r="D5" s="9">
        <f t="shared" si="0"/>
        <v>382.375</v>
      </c>
      <c r="F5" s="123">
        <v>3167830.5051870598</v>
      </c>
      <c r="G5" s="122" t="s">
        <v>401</v>
      </c>
      <c r="J5" s="125" t="s">
        <v>189</v>
      </c>
      <c r="K5" t="s">
        <v>608</v>
      </c>
      <c r="L5" s="96">
        <v>875</v>
      </c>
    </row>
    <row r="6" spans="1:12" x14ac:dyDescent="0.25">
      <c r="A6" s="31"/>
      <c r="B6" s="32"/>
      <c r="C6" s="93"/>
      <c r="D6" s="9"/>
      <c r="J6" s="89" t="s">
        <v>191</v>
      </c>
      <c r="K6" t="s">
        <v>608</v>
      </c>
      <c r="L6" s="96">
        <v>-2005870</v>
      </c>
    </row>
    <row r="7" spans="1:12" x14ac:dyDescent="0.25">
      <c r="A7" s="31" t="str">
        <f t="shared" si="1"/>
        <v>BP Energy Co.</v>
      </c>
      <c r="B7" s="32">
        <f t="shared" si="2"/>
        <v>1096755</v>
      </c>
      <c r="C7" s="93">
        <f t="shared" si="3"/>
        <v>963.42025100000001</v>
      </c>
      <c r="D7" s="9">
        <f t="shared" si="0"/>
        <v>479281.935</v>
      </c>
      <c r="J7" s="125" t="s">
        <v>192</v>
      </c>
      <c r="K7" t="s">
        <v>608</v>
      </c>
      <c r="L7" s="96">
        <v>1096755</v>
      </c>
    </row>
    <row r="8" spans="1:12" x14ac:dyDescent="0.25">
      <c r="A8" s="31" t="str">
        <f t="shared" si="1"/>
        <v>BPA</v>
      </c>
      <c r="B8" s="32">
        <f t="shared" si="2"/>
        <v>169672</v>
      </c>
      <c r="C8" s="93">
        <f t="shared" si="3"/>
        <v>963.42025100000001</v>
      </c>
      <c r="D8" s="9">
        <f t="shared" si="0"/>
        <v>74146.664000000004</v>
      </c>
      <c r="J8" s="125" t="s">
        <v>173</v>
      </c>
      <c r="K8" t="s">
        <v>608</v>
      </c>
      <c r="L8" s="96">
        <v>169672</v>
      </c>
    </row>
    <row r="9" spans="1:12" x14ac:dyDescent="0.25">
      <c r="A9" s="31" t="str">
        <f t="shared" si="1"/>
        <v>Burbank, City of</v>
      </c>
      <c r="B9" s="32">
        <f t="shared" si="2"/>
        <v>200</v>
      </c>
      <c r="C9" s="93">
        <f t="shared" si="3"/>
        <v>963.42025100000001</v>
      </c>
      <c r="D9" s="9">
        <f t="shared" si="0"/>
        <v>87.399999999999991</v>
      </c>
      <c r="J9" s="125" t="s">
        <v>195</v>
      </c>
      <c r="K9" t="s">
        <v>608</v>
      </c>
      <c r="L9" s="96">
        <v>200</v>
      </c>
    </row>
    <row r="10" spans="1:12" x14ac:dyDescent="0.25">
      <c r="A10" s="31" t="str">
        <f t="shared" si="1"/>
        <v>California ISO</v>
      </c>
      <c r="B10" s="32">
        <f t="shared" si="2"/>
        <v>65176</v>
      </c>
      <c r="C10" s="93">
        <f t="shared" si="3"/>
        <v>963.42025100000001</v>
      </c>
      <c r="D10" s="9">
        <f t="shared" si="0"/>
        <v>28481.911999999997</v>
      </c>
      <c r="J10" s="125" t="s">
        <v>197</v>
      </c>
      <c r="K10" t="s">
        <v>608</v>
      </c>
      <c r="L10" s="96">
        <v>65176</v>
      </c>
    </row>
    <row r="11" spans="1:12" x14ac:dyDescent="0.25">
      <c r="A11" s="31" t="str">
        <f t="shared" si="1"/>
        <v>Calpine Energy Services</v>
      </c>
      <c r="B11" s="32">
        <f t="shared" si="2"/>
        <v>47482</v>
      </c>
      <c r="C11" s="93">
        <f t="shared" si="3"/>
        <v>963.42025100000001</v>
      </c>
      <c r="D11" s="9">
        <f t="shared" si="0"/>
        <v>20749.634000000002</v>
      </c>
      <c r="J11" s="125" t="s">
        <v>198</v>
      </c>
      <c r="K11" t="s">
        <v>608</v>
      </c>
      <c r="L11" s="96">
        <v>47482</v>
      </c>
    </row>
    <row r="12" spans="1:12" x14ac:dyDescent="0.25">
      <c r="A12" s="31" t="str">
        <f t="shared" si="1"/>
        <v>Cargill Power Markets</v>
      </c>
      <c r="B12" s="32">
        <f t="shared" si="2"/>
        <v>609585</v>
      </c>
      <c r="C12" s="93">
        <f t="shared" si="3"/>
        <v>963.42025100000001</v>
      </c>
      <c r="D12" s="9">
        <f t="shared" si="0"/>
        <v>266388.64499999996</v>
      </c>
      <c r="J12" s="125" t="s">
        <v>174</v>
      </c>
      <c r="K12" t="s">
        <v>608</v>
      </c>
      <c r="L12" s="96">
        <v>609585</v>
      </c>
    </row>
    <row r="13" spans="1:12" x14ac:dyDescent="0.25">
      <c r="A13" s="31" t="str">
        <f t="shared" si="1"/>
        <v>Chelan County PUD #1</v>
      </c>
      <c r="B13" s="32">
        <f t="shared" si="2"/>
        <v>4821</v>
      </c>
      <c r="C13" s="93">
        <f t="shared" si="3"/>
        <v>963.42025100000001</v>
      </c>
      <c r="D13" s="9">
        <f t="shared" si="0"/>
        <v>2106.7769999999996</v>
      </c>
      <c r="J13" s="125" t="s">
        <v>199</v>
      </c>
      <c r="K13" t="s">
        <v>608</v>
      </c>
      <c r="L13" s="96">
        <v>4821</v>
      </c>
    </row>
    <row r="14" spans="1:12" x14ac:dyDescent="0.25">
      <c r="A14" s="31" t="str">
        <f t="shared" si="1"/>
        <v>Citigroup Energy Inc</v>
      </c>
      <c r="B14" s="32">
        <f t="shared" si="2"/>
        <v>145653</v>
      </c>
      <c r="C14" s="93">
        <f t="shared" si="3"/>
        <v>963.42025100000001</v>
      </c>
      <c r="D14" s="9">
        <f t="shared" si="0"/>
        <v>63650.360999999997</v>
      </c>
      <c r="J14" s="125" t="s">
        <v>185</v>
      </c>
      <c r="K14" t="s">
        <v>608</v>
      </c>
      <c r="L14" s="96">
        <v>145653</v>
      </c>
    </row>
    <row r="15" spans="1:12" x14ac:dyDescent="0.25">
      <c r="A15" s="31" t="str">
        <f t="shared" si="1"/>
        <v>City of Idaho Falls</v>
      </c>
      <c r="B15" s="32">
        <f t="shared" si="2"/>
        <v>10</v>
      </c>
      <c r="C15" s="93">
        <f t="shared" si="3"/>
        <v>963.42025100000001</v>
      </c>
      <c r="D15" s="9">
        <f t="shared" si="0"/>
        <v>4.3699999999999992</v>
      </c>
      <c r="J15" s="125" t="s">
        <v>200</v>
      </c>
      <c r="K15" t="s">
        <v>608</v>
      </c>
      <c r="L15" s="96">
        <v>10</v>
      </c>
    </row>
    <row r="16" spans="1:12" x14ac:dyDescent="0.25">
      <c r="A16" s="31" t="str">
        <f t="shared" si="1"/>
        <v>Clark Public Utilities</v>
      </c>
      <c r="B16" s="32">
        <f t="shared" si="2"/>
        <v>5396</v>
      </c>
      <c r="C16" s="93">
        <f t="shared" si="3"/>
        <v>963.42025100000001</v>
      </c>
      <c r="D16" s="9">
        <f t="shared" si="0"/>
        <v>2358.0519999999997</v>
      </c>
      <c r="J16" s="125" t="s">
        <v>201</v>
      </c>
      <c r="K16" t="s">
        <v>608</v>
      </c>
      <c r="L16" s="96">
        <v>5396</v>
      </c>
    </row>
    <row r="17" spans="1:12" x14ac:dyDescent="0.25">
      <c r="A17" s="31" t="str">
        <f t="shared" si="1"/>
        <v>Clatskanie PUD</v>
      </c>
      <c r="B17" s="32">
        <f t="shared" si="2"/>
        <v>2270</v>
      </c>
      <c r="C17" s="93">
        <f t="shared" si="3"/>
        <v>963.42025100000001</v>
      </c>
      <c r="D17" s="9">
        <f t="shared" si="0"/>
        <v>991.9899999999999</v>
      </c>
      <c r="J17" s="125" t="s">
        <v>202</v>
      </c>
      <c r="K17" t="s">
        <v>608</v>
      </c>
      <c r="L17" s="96">
        <v>2270</v>
      </c>
    </row>
    <row r="18" spans="1:12" x14ac:dyDescent="0.25">
      <c r="A18" s="31" t="str">
        <f t="shared" si="1"/>
        <v>Constellation Power Source, Inc.</v>
      </c>
      <c r="B18" s="32">
        <f t="shared" si="2"/>
        <v>20</v>
      </c>
      <c r="C18" s="93">
        <f t="shared" si="3"/>
        <v>963.42025100000001</v>
      </c>
      <c r="D18" s="9">
        <f t="shared" si="0"/>
        <v>8.7399999999999984</v>
      </c>
      <c r="J18" s="125" t="s">
        <v>175</v>
      </c>
      <c r="K18" t="s">
        <v>608</v>
      </c>
      <c r="L18" s="96">
        <v>20</v>
      </c>
    </row>
    <row r="19" spans="1:12" x14ac:dyDescent="0.25">
      <c r="A19" s="31" t="str">
        <f t="shared" si="1"/>
        <v>CP Energy Marketing (Epcor)</v>
      </c>
      <c r="B19" s="32">
        <f t="shared" si="2"/>
        <v>825</v>
      </c>
      <c r="C19" s="93">
        <f t="shared" si="3"/>
        <v>963.42025100000001</v>
      </c>
      <c r="D19" s="9">
        <f t="shared" si="0"/>
        <v>360.52500000000003</v>
      </c>
      <c r="J19" s="125" t="s">
        <v>204</v>
      </c>
      <c r="K19" t="s">
        <v>608</v>
      </c>
      <c r="L19" s="96">
        <v>825</v>
      </c>
    </row>
    <row r="20" spans="1:12" x14ac:dyDescent="0.25">
      <c r="A20" s="31" t="str">
        <f t="shared" si="1"/>
        <v>Douglas County PUD #1</v>
      </c>
      <c r="B20" s="32">
        <f t="shared" si="2"/>
        <v>277023</v>
      </c>
      <c r="C20" s="93">
        <f t="shared" si="3"/>
        <v>963.42025100000001</v>
      </c>
      <c r="D20" s="9">
        <f t="shared" si="0"/>
        <v>121059.05100000001</v>
      </c>
      <c r="J20" s="125" t="s">
        <v>177</v>
      </c>
      <c r="K20" t="s">
        <v>608</v>
      </c>
      <c r="L20" s="96">
        <v>277023</v>
      </c>
    </row>
    <row r="21" spans="1:12" x14ac:dyDescent="0.25">
      <c r="A21" s="31" t="str">
        <f t="shared" si="1"/>
        <v>EDF Trading NA LLC</v>
      </c>
      <c r="B21" s="32">
        <f t="shared" si="2"/>
        <v>611857</v>
      </c>
      <c r="C21" s="93">
        <f t="shared" si="3"/>
        <v>963.42025100000001</v>
      </c>
      <c r="D21" s="9">
        <f t="shared" si="0"/>
        <v>267381.50899999996</v>
      </c>
      <c r="J21" s="125" t="s">
        <v>208</v>
      </c>
      <c r="K21" t="s">
        <v>608</v>
      </c>
      <c r="L21" s="96">
        <v>611857</v>
      </c>
    </row>
    <row r="22" spans="1:12" x14ac:dyDescent="0.25">
      <c r="A22" s="31" t="str">
        <f t="shared" si="1"/>
        <v>ENMAX Energy Marketing, Inc.</v>
      </c>
      <c r="B22" s="32">
        <f t="shared" si="2"/>
        <v>100</v>
      </c>
      <c r="C22" s="93">
        <f t="shared" si="3"/>
        <v>963.42025100000001</v>
      </c>
      <c r="D22" s="9">
        <f t="shared" si="0"/>
        <v>43.699999999999996</v>
      </c>
      <c r="J22" s="125" t="s">
        <v>210</v>
      </c>
      <c r="K22" t="s">
        <v>608</v>
      </c>
      <c r="L22" s="96">
        <v>100</v>
      </c>
    </row>
    <row r="23" spans="1:12" x14ac:dyDescent="0.25">
      <c r="A23" s="31" t="str">
        <f t="shared" si="1"/>
        <v>Eugene Water &amp; Electric</v>
      </c>
      <c r="B23" s="32">
        <f t="shared" si="2"/>
        <v>12875</v>
      </c>
      <c r="C23" s="93">
        <f t="shared" si="3"/>
        <v>963.42025100000001</v>
      </c>
      <c r="D23" s="9">
        <f t="shared" si="0"/>
        <v>5626.375</v>
      </c>
      <c r="J23" s="125" t="s">
        <v>211</v>
      </c>
      <c r="K23" t="s">
        <v>608</v>
      </c>
      <c r="L23" s="96">
        <v>12875</v>
      </c>
    </row>
    <row r="24" spans="1:12" x14ac:dyDescent="0.25">
      <c r="A24" s="31" t="str">
        <f t="shared" si="1"/>
        <v>Exelon Generation Co LLC</v>
      </c>
      <c r="B24" s="32">
        <f t="shared" si="2"/>
        <v>187630</v>
      </c>
      <c r="C24" s="93">
        <f t="shared" si="3"/>
        <v>963.42025100000001</v>
      </c>
      <c r="D24" s="9">
        <f t="shared" si="0"/>
        <v>81994.31</v>
      </c>
      <c r="J24" s="125" t="s">
        <v>186</v>
      </c>
      <c r="K24" t="s">
        <v>608</v>
      </c>
      <c r="L24" s="96">
        <v>187630</v>
      </c>
    </row>
    <row r="25" spans="1:12" x14ac:dyDescent="0.25">
      <c r="A25" s="31" t="str">
        <f t="shared" si="1"/>
        <v>Grant County PUD #2</v>
      </c>
      <c r="B25" s="32">
        <f t="shared" si="2"/>
        <v>12652</v>
      </c>
      <c r="C25" s="93">
        <f t="shared" si="3"/>
        <v>963.42025100000001</v>
      </c>
      <c r="D25" s="9">
        <f t="shared" si="0"/>
        <v>5528.924</v>
      </c>
      <c r="J25" s="125" t="s">
        <v>213</v>
      </c>
      <c r="K25" t="s">
        <v>608</v>
      </c>
      <c r="L25" s="96">
        <v>12652</v>
      </c>
    </row>
    <row r="26" spans="1:12" x14ac:dyDescent="0.25">
      <c r="A26" s="31" t="str">
        <f t="shared" si="1"/>
        <v>Iberdrola Renewables (PPM Energy)</v>
      </c>
      <c r="B26" s="32">
        <f t="shared" si="2"/>
        <v>716696</v>
      </c>
      <c r="C26" s="93">
        <f t="shared" si="3"/>
        <v>963.42025100000001</v>
      </c>
      <c r="D26" s="9">
        <f t="shared" si="0"/>
        <v>313196.152</v>
      </c>
      <c r="J26" s="125" t="s">
        <v>215</v>
      </c>
      <c r="K26" t="s">
        <v>608</v>
      </c>
      <c r="L26" s="96">
        <v>716696</v>
      </c>
    </row>
    <row r="27" spans="1:12" x14ac:dyDescent="0.25">
      <c r="A27" s="31" t="str">
        <f t="shared" si="1"/>
        <v>Idaho Power Company</v>
      </c>
      <c r="B27" s="32">
        <f t="shared" si="2"/>
        <v>12466</v>
      </c>
      <c r="C27" s="93">
        <f t="shared" si="3"/>
        <v>963.42025100000001</v>
      </c>
      <c r="D27" s="9">
        <f t="shared" si="0"/>
        <v>5447.6419999999998</v>
      </c>
      <c r="J27" s="125" t="s">
        <v>217</v>
      </c>
      <c r="K27" t="s">
        <v>608</v>
      </c>
      <c r="L27" s="96">
        <v>12466</v>
      </c>
    </row>
    <row r="28" spans="1:12" x14ac:dyDescent="0.25">
      <c r="A28" s="31" t="str">
        <f t="shared" si="1"/>
        <v>J. Aron &amp; Company</v>
      </c>
      <c r="B28" s="32">
        <f t="shared" si="2"/>
        <v>20400</v>
      </c>
      <c r="C28" s="93">
        <f t="shared" si="3"/>
        <v>963.42025100000001</v>
      </c>
      <c r="D28" s="9">
        <f t="shared" si="0"/>
        <v>8914.7999999999993</v>
      </c>
      <c r="J28" s="125" t="s">
        <v>220</v>
      </c>
      <c r="K28" t="s">
        <v>608</v>
      </c>
      <c r="L28" s="96">
        <v>20400</v>
      </c>
    </row>
    <row r="29" spans="1:12" x14ac:dyDescent="0.25">
      <c r="A29" s="31" t="str">
        <f t="shared" si="1"/>
        <v>JP Morgan Ventures Energy</v>
      </c>
      <c r="B29" s="32">
        <f t="shared" si="2"/>
        <v>156705</v>
      </c>
      <c r="C29" s="93">
        <f t="shared" si="3"/>
        <v>963.42025100000001</v>
      </c>
      <c r="D29" s="9">
        <f t="shared" si="0"/>
        <v>68480.084999999992</v>
      </c>
      <c r="J29" s="125" t="s">
        <v>221</v>
      </c>
      <c r="K29" t="s">
        <v>608</v>
      </c>
      <c r="L29" s="96">
        <v>156705</v>
      </c>
    </row>
    <row r="30" spans="1:12" x14ac:dyDescent="0.25">
      <c r="A30" s="31" t="str">
        <f t="shared" si="1"/>
        <v>Morgan Stanley CG</v>
      </c>
      <c r="B30" s="32">
        <f t="shared" si="2"/>
        <v>1790503</v>
      </c>
      <c r="C30" s="93">
        <f t="shared" si="3"/>
        <v>963.42025100000001</v>
      </c>
      <c r="D30" s="9">
        <f t="shared" si="0"/>
        <v>782449.81099999999</v>
      </c>
      <c r="J30" s="125" t="s">
        <v>178</v>
      </c>
      <c r="K30" t="s">
        <v>608</v>
      </c>
      <c r="L30" s="96">
        <v>1790503</v>
      </c>
    </row>
    <row r="31" spans="1:12" x14ac:dyDescent="0.25">
      <c r="A31" s="31" t="str">
        <f t="shared" si="1"/>
        <v>Natur Ener USA</v>
      </c>
      <c r="B31" s="32">
        <f t="shared" si="2"/>
        <v>1</v>
      </c>
      <c r="C31" s="93">
        <f t="shared" si="3"/>
        <v>963.42025100000001</v>
      </c>
      <c r="D31" s="9">
        <f t="shared" si="0"/>
        <v>0.437</v>
      </c>
      <c r="J31" s="125" t="s">
        <v>226</v>
      </c>
      <c r="K31" t="s">
        <v>608</v>
      </c>
      <c r="L31" s="96">
        <v>1</v>
      </c>
    </row>
    <row r="32" spans="1:12" x14ac:dyDescent="0.25">
      <c r="A32" s="31" t="str">
        <f t="shared" si="1"/>
        <v>NextEra Energy Power Marketing</v>
      </c>
      <c r="B32" s="32">
        <f t="shared" si="2"/>
        <v>56233</v>
      </c>
      <c r="C32" s="93">
        <f t="shared" si="3"/>
        <v>963.42025100000001</v>
      </c>
      <c r="D32" s="9">
        <f t="shared" si="0"/>
        <v>24573.821</v>
      </c>
      <c r="J32" s="125" t="s">
        <v>227</v>
      </c>
      <c r="K32" t="s">
        <v>608</v>
      </c>
      <c r="L32" s="96">
        <v>56233</v>
      </c>
    </row>
    <row r="33" spans="1:12" x14ac:dyDescent="0.25">
      <c r="A33" s="31" t="str">
        <f t="shared" si="1"/>
        <v>Noble Americas Energy Solutions</v>
      </c>
      <c r="B33" s="32">
        <f t="shared" si="2"/>
        <v>4000</v>
      </c>
      <c r="C33" s="93">
        <f t="shared" si="3"/>
        <v>963.42025100000001</v>
      </c>
      <c r="D33" s="9">
        <f t="shared" si="0"/>
        <v>1748</v>
      </c>
      <c r="J33" s="125" t="s">
        <v>228</v>
      </c>
      <c r="K33" t="s">
        <v>608</v>
      </c>
      <c r="L33" s="96">
        <v>4000</v>
      </c>
    </row>
    <row r="34" spans="1:12" x14ac:dyDescent="0.25">
      <c r="A34" s="31" t="str">
        <f t="shared" si="1"/>
        <v>Noble Americas Gas &amp; Power</v>
      </c>
      <c r="B34" s="32">
        <f t="shared" si="2"/>
        <v>4000</v>
      </c>
      <c r="C34" s="93">
        <f t="shared" si="3"/>
        <v>963.42025100000001</v>
      </c>
      <c r="D34" s="9">
        <f t="shared" si="0"/>
        <v>1748</v>
      </c>
      <c r="J34" s="125" t="s">
        <v>229</v>
      </c>
      <c r="K34" t="s">
        <v>608</v>
      </c>
      <c r="L34" s="96">
        <v>4000</v>
      </c>
    </row>
    <row r="35" spans="1:12" x14ac:dyDescent="0.25">
      <c r="A35" s="31" t="str">
        <f t="shared" si="1"/>
        <v>NorthPoint Energy Solutions, Inc.</v>
      </c>
      <c r="B35" s="32">
        <f t="shared" si="2"/>
        <v>871</v>
      </c>
      <c r="C35" s="93">
        <f t="shared" si="3"/>
        <v>963.42025100000001</v>
      </c>
      <c r="D35" s="9">
        <f t="shared" si="0"/>
        <v>380.62700000000001</v>
      </c>
      <c r="J35" s="125" t="s">
        <v>230</v>
      </c>
      <c r="K35" t="s">
        <v>608</v>
      </c>
      <c r="L35" s="96">
        <v>871</v>
      </c>
    </row>
    <row r="36" spans="1:12" x14ac:dyDescent="0.25">
      <c r="A36" s="31" t="str">
        <f t="shared" si="1"/>
        <v>Northwestern Energy</v>
      </c>
      <c r="B36" s="32">
        <f t="shared" si="2"/>
        <v>1948</v>
      </c>
      <c r="C36" s="93">
        <f t="shared" si="3"/>
        <v>963.42025100000001</v>
      </c>
      <c r="D36" s="9">
        <f t="shared" si="0"/>
        <v>851.27599999999995</v>
      </c>
      <c r="J36" s="125" t="s">
        <v>231</v>
      </c>
      <c r="K36" t="s">
        <v>608</v>
      </c>
      <c r="L36" s="96">
        <v>1948</v>
      </c>
    </row>
    <row r="37" spans="1:12" x14ac:dyDescent="0.25">
      <c r="A37" s="31" t="str">
        <f t="shared" si="1"/>
        <v>Okanogan PUD</v>
      </c>
      <c r="B37" s="32">
        <f t="shared" si="2"/>
        <v>7707</v>
      </c>
      <c r="C37" s="93">
        <f t="shared" si="3"/>
        <v>963.42025100000001</v>
      </c>
      <c r="D37" s="9">
        <f t="shared" si="0"/>
        <v>3367.9589999999998</v>
      </c>
      <c r="J37" s="125" t="s">
        <v>233</v>
      </c>
      <c r="K37" t="s">
        <v>608</v>
      </c>
      <c r="L37" s="96">
        <v>7707</v>
      </c>
    </row>
    <row r="38" spans="1:12" x14ac:dyDescent="0.25">
      <c r="A38" s="31" t="str">
        <f t="shared" si="1"/>
        <v>Pacificorp</v>
      </c>
      <c r="B38" s="32">
        <f t="shared" si="2"/>
        <v>71357</v>
      </c>
      <c r="C38" s="93">
        <f t="shared" si="3"/>
        <v>963.42025100000001</v>
      </c>
      <c r="D38" s="9">
        <f t="shared" si="0"/>
        <v>31183.009000000002</v>
      </c>
      <c r="J38" s="125" t="s">
        <v>236</v>
      </c>
      <c r="K38" t="s">
        <v>608</v>
      </c>
      <c r="L38" s="96">
        <v>71357</v>
      </c>
    </row>
    <row r="39" spans="1:12" x14ac:dyDescent="0.25">
      <c r="A39" s="31" t="str">
        <f t="shared" si="1"/>
        <v>Portland General Electric</v>
      </c>
      <c r="B39" s="32">
        <f t="shared" si="2"/>
        <v>183483</v>
      </c>
      <c r="C39" s="93">
        <f t="shared" si="3"/>
        <v>963.42025100000001</v>
      </c>
      <c r="D39" s="9">
        <f t="shared" si="0"/>
        <v>80182.070999999996</v>
      </c>
      <c r="J39" s="125" t="s">
        <v>238</v>
      </c>
      <c r="K39" t="s">
        <v>608</v>
      </c>
      <c r="L39" s="96">
        <v>183483</v>
      </c>
    </row>
    <row r="40" spans="1:12" x14ac:dyDescent="0.25">
      <c r="A40" s="31" t="str">
        <f t="shared" si="1"/>
        <v>Powerex Corp.</v>
      </c>
      <c r="B40" s="32">
        <f t="shared" si="2"/>
        <v>100896</v>
      </c>
      <c r="C40" s="93">
        <f t="shared" si="3"/>
        <v>963.42025100000001</v>
      </c>
      <c r="D40" s="9">
        <f t="shared" si="0"/>
        <v>44091.551999999996</v>
      </c>
      <c r="J40" s="125" t="s">
        <v>180</v>
      </c>
      <c r="K40" t="s">
        <v>608</v>
      </c>
      <c r="L40" s="96">
        <v>100896</v>
      </c>
    </row>
    <row r="41" spans="1:12" x14ac:dyDescent="0.25">
      <c r="A41" s="31" t="str">
        <f t="shared" si="1"/>
        <v>Rainbow Energy Marketing</v>
      </c>
      <c r="B41" s="32">
        <f t="shared" si="2"/>
        <v>5071</v>
      </c>
      <c r="C41" s="93">
        <f t="shared" si="3"/>
        <v>963.42025100000001</v>
      </c>
      <c r="D41" s="9">
        <f t="shared" si="0"/>
        <v>2216.027</v>
      </c>
      <c r="J41" s="125" t="s">
        <v>240</v>
      </c>
      <c r="K41" t="s">
        <v>608</v>
      </c>
      <c r="L41" s="96">
        <v>5071</v>
      </c>
    </row>
    <row r="42" spans="1:12" x14ac:dyDescent="0.25">
      <c r="A42" s="31" t="str">
        <f t="shared" si="1"/>
        <v>Sacramento Municipal</v>
      </c>
      <c r="B42" s="32">
        <f t="shared" si="2"/>
        <v>2075</v>
      </c>
      <c r="C42" s="93">
        <f t="shared" si="3"/>
        <v>963.42025100000001</v>
      </c>
      <c r="D42" s="9">
        <f t="shared" si="0"/>
        <v>906.77499999999998</v>
      </c>
      <c r="J42" s="125" t="s">
        <v>242</v>
      </c>
      <c r="K42" t="s">
        <v>608</v>
      </c>
      <c r="L42" s="96">
        <v>2075</v>
      </c>
    </row>
    <row r="43" spans="1:12" x14ac:dyDescent="0.25">
      <c r="A43" s="31" t="str">
        <f t="shared" si="1"/>
        <v>Seattle City Light Marketing</v>
      </c>
      <c r="B43" s="32">
        <f t="shared" si="2"/>
        <v>69998</v>
      </c>
      <c r="C43" s="93">
        <f t="shared" si="3"/>
        <v>963.42025100000001</v>
      </c>
      <c r="D43" s="9">
        <f t="shared" si="0"/>
        <v>30589.126</v>
      </c>
      <c r="J43" s="125" t="s">
        <v>181</v>
      </c>
      <c r="K43" t="s">
        <v>608</v>
      </c>
      <c r="L43" s="96">
        <v>69998</v>
      </c>
    </row>
    <row r="44" spans="1:12" x14ac:dyDescent="0.25">
      <c r="A44" s="31" t="str">
        <f t="shared" si="1"/>
        <v>Shell Energy (Coral Pwr)</v>
      </c>
      <c r="B44" s="32">
        <f t="shared" si="2"/>
        <v>365203</v>
      </c>
      <c r="C44" s="93">
        <f t="shared" si="3"/>
        <v>963.42025100000001</v>
      </c>
      <c r="D44" s="9">
        <f t="shared" si="0"/>
        <v>159593.71100000001</v>
      </c>
      <c r="J44" s="125" t="s">
        <v>182</v>
      </c>
      <c r="K44" t="s">
        <v>608</v>
      </c>
      <c r="L44" s="96">
        <v>365203</v>
      </c>
    </row>
    <row r="45" spans="1:12" x14ac:dyDescent="0.25">
      <c r="A45" s="31" t="str">
        <f t="shared" si="1"/>
        <v>Snohomish County PUD #1</v>
      </c>
      <c r="B45" s="32">
        <f t="shared" si="2"/>
        <v>20464</v>
      </c>
      <c r="C45" s="93">
        <f t="shared" si="3"/>
        <v>963.42025100000001</v>
      </c>
      <c r="D45" s="9">
        <f t="shared" si="0"/>
        <v>8942.768</v>
      </c>
      <c r="J45" s="125" t="s">
        <v>247</v>
      </c>
      <c r="K45" t="s">
        <v>608</v>
      </c>
      <c r="L45" s="96">
        <v>20464</v>
      </c>
    </row>
    <row r="46" spans="1:12" x14ac:dyDescent="0.25">
      <c r="A46" s="31" t="str">
        <f t="shared" si="1"/>
        <v>Southern Cal - Edison</v>
      </c>
      <c r="B46" s="32">
        <f t="shared" si="2"/>
        <v>47417</v>
      </c>
      <c r="C46" s="93">
        <f t="shared" si="3"/>
        <v>963.42025100000001</v>
      </c>
      <c r="D46" s="9">
        <f t="shared" si="0"/>
        <v>20721.228999999999</v>
      </c>
      <c r="J46" s="125" t="s">
        <v>248</v>
      </c>
      <c r="K46" t="s">
        <v>608</v>
      </c>
      <c r="L46" s="96">
        <v>47417</v>
      </c>
    </row>
    <row r="47" spans="1:12" x14ac:dyDescent="0.25">
      <c r="A47" s="31" t="str">
        <f t="shared" si="1"/>
        <v>Tacoma Power</v>
      </c>
      <c r="B47" s="32">
        <f t="shared" si="2"/>
        <v>151109</v>
      </c>
      <c r="C47" s="93">
        <f t="shared" si="3"/>
        <v>963.42025100000001</v>
      </c>
      <c r="D47" s="9">
        <f t="shared" si="0"/>
        <v>66034.633000000002</v>
      </c>
      <c r="J47" s="125" t="s">
        <v>183</v>
      </c>
      <c r="K47" t="s">
        <v>608</v>
      </c>
      <c r="L47" s="96">
        <v>151109</v>
      </c>
    </row>
    <row r="48" spans="1:12" x14ac:dyDescent="0.25">
      <c r="A48" s="31" t="str">
        <f t="shared" si="1"/>
        <v>Talen Energy (PPL Energy Plus)</v>
      </c>
      <c r="B48" s="32">
        <f t="shared" si="2"/>
        <v>235629</v>
      </c>
      <c r="C48" s="93">
        <f t="shared" si="3"/>
        <v>963.42025100000001</v>
      </c>
      <c r="D48" s="9">
        <f t="shared" si="0"/>
        <v>102969.87300000001</v>
      </c>
      <c r="J48" s="125" t="s">
        <v>249</v>
      </c>
      <c r="K48" t="s">
        <v>608</v>
      </c>
      <c r="L48" s="96">
        <v>235629</v>
      </c>
    </row>
    <row r="49" spans="1:12" x14ac:dyDescent="0.25">
      <c r="A49" s="31" t="str">
        <f t="shared" si="1"/>
        <v>Tenaska Power Services Co.</v>
      </c>
      <c r="B49" s="32">
        <f t="shared" si="2"/>
        <v>4534</v>
      </c>
      <c r="C49" s="93">
        <f t="shared" si="3"/>
        <v>963.42025100000001</v>
      </c>
      <c r="D49" s="9">
        <f t="shared" si="0"/>
        <v>1981.3580000000002</v>
      </c>
      <c r="J49" s="125" t="s">
        <v>251</v>
      </c>
      <c r="K49" t="s">
        <v>608</v>
      </c>
      <c r="L49" s="96">
        <v>4534</v>
      </c>
    </row>
    <row r="50" spans="1:12" x14ac:dyDescent="0.25">
      <c r="A50" s="31" t="str">
        <f t="shared" si="1"/>
        <v>The Energy Authority</v>
      </c>
      <c r="B50" s="32">
        <f t="shared" si="2"/>
        <v>51948</v>
      </c>
      <c r="C50" s="93">
        <f t="shared" si="3"/>
        <v>963.42025100000001</v>
      </c>
      <c r="D50" s="9">
        <f t="shared" si="0"/>
        <v>22701.276000000002</v>
      </c>
      <c r="J50" s="125" t="s">
        <v>252</v>
      </c>
      <c r="K50" t="s">
        <v>608</v>
      </c>
      <c r="L50" s="96">
        <v>51948</v>
      </c>
    </row>
    <row r="51" spans="1:12" x14ac:dyDescent="0.25">
      <c r="A51" s="31" t="str">
        <f t="shared" si="1"/>
        <v>TransAlta Energy Marketing</v>
      </c>
      <c r="B51" s="32">
        <f t="shared" si="2"/>
        <v>1300789</v>
      </c>
      <c r="C51" s="93">
        <f t="shared" si="3"/>
        <v>963.42025100000001</v>
      </c>
      <c r="D51" s="9">
        <f t="shared" si="0"/>
        <v>568444.79300000006</v>
      </c>
      <c r="J51" s="125" t="s">
        <v>184</v>
      </c>
      <c r="K51" t="s">
        <v>608</v>
      </c>
      <c r="L51" s="96">
        <v>1300789</v>
      </c>
    </row>
    <row r="52" spans="1:12" x14ac:dyDescent="0.25">
      <c r="A52" s="31" t="str">
        <f t="shared" si="1"/>
        <v>TransCanada Energy Sales Ltd</v>
      </c>
      <c r="B52" s="32">
        <f t="shared" si="2"/>
        <v>2410</v>
      </c>
      <c r="C52" s="93">
        <f t="shared" si="3"/>
        <v>963.42025100000001</v>
      </c>
      <c r="D52" s="9">
        <f t="shared" si="0"/>
        <v>1053.1699999999998</v>
      </c>
      <c r="J52" s="125" t="s">
        <v>254</v>
      </c>
      <c r="K52" t="s">
        <v>608</v>
      </c>
      <c r="L52" s="96">
        <v>2410</v>
      </c>
    </row>
    <row r="53" spans="1:12" x14ac:dyDescent="0.25">
      <c r="A53" s="31" t="str">
        <f t="shared" si="1"/>
        <v>Turlock Irrigation District</v>
      </c>
      <c r="B53" s="32">
        <f t="shared" si="2"/>
        <v>81172</v>
      </c>
      <c r="C53" s="93">
        <f t="shared" si="3"/>
        <v>963.42025100000001</v>
      </c>
      <c r="D53" s="9">
        <f t="shared" si="0"/>
        <v>35472.163999999997</v>
      </c>
      <c r="J53" s="125" t="s">
        <v>256</v>
      </c>
      <c r="K53" t="s">
        <v>608</v>
      </c>
      <c r="L53" s="96">
        <v>81172</v>
      </c>
    </row>
    <row r="54" spans="1:12" x14ac:dyDescent="0.25">
      <c r="A54" s="31" t="str">
        <f t="shared" si="1"/>
        <v>Vitol Inc.</v>
      </c>
      <c r="B54" s="32">
        <f t="shared" si="2"/>
        <v>452905</v>
      </c>
      <c r="C54" s="93">
        <f t="shared" si="3"/>
        <v>963.42025100000001</v>
      </c>
      <c r="D54" s="9">
        <f t="shared" si="0"/>
        <v>197919.48500000002</v>
      </c>
      <c r="J54" s="125" t="s">
        <v>257</v>
      </c>
      <c r="K54" t="s">
        <v>608</v>
      </c>
      <c r="L54" s="96">
        <v>452905</v>
      </c>
    </row>
    <row r="55" spans="1:12" x14ac:dyDescent="0.25">
      <c r="A55" s="31" t="str">
        <f t="shared" si="1"/>
        <v>Avista Nichols Pump</v>
      </c>
      <c r="B55" s="32">
        <f t="shared" si="2"/>
        <v>22326.400000000001</v>
      </c>
      <c r="C55" s="93">
        <f t="shared" si="3"/>
        <v>963.42025100000001</v>
      </c>
      <c r="D55" s="9">
        <f t="shared" si="0"/>
        <v>9756.6368000000002</v>
      </c>
      <c r="J55" s="125" t="s">
        <v>171</v>
      </c>
      <c r="K55" t="s">
        <v>609</v>
      </c>
      <c r="L55" s="96">
        <v>22326.400000000001</v>
      </c>
    </row>
    <row r="56" spans="1:12" x14ac:dyDescent="0.25">
      <c r="A56" s="31" t="str">
        <f t="shared" si="1"/>
        <v>Pacific Gas &amp; Elec - Exchange</v>
      </c>
      <c r="B56" s="32">
        <f t="shared" si="2"/>
        <v>413000</v>
      </c>
      <c r="C56" s="93">
        <f t="shared" si="3"/>
        <v>963.42025100000001</v>
      </c>
      <c r="D56" s="9">
        <f t="shared" si="0"/>
        <v>180481</v>
      </c>
      <c r="J56" s="125" t="s">
        <v>179</v>
      </c>
      <c r="K56" t="s">
        <v>609</v>
      </c>
      <c r="L56" s="96">
        <v>413000</v>
      </c>
    </row>
    <row r="57" spans="1:12" x14ac:dyDescent="0.25">
      <c r="A57" s="31" t="str">
        <f t="shared" si="1"/>
        <v>Deviation</v>
      </c>
      <c r="B57" s="32">
        <f t="shared" si="2"/>
        <v>76073.797000000006</v>
      </c>
      <c r="C57" s="93">
        <f t="shared" si="3"/>
        <v>963.42025100000001</v>
      </c>
      <c r="D57" s="9">
        <f t="shared" si="0"/>
        <v>33244.249289000007</v>
      </c>
      <c r="J57" s="125" t="s">
        <v>176</v>
      </c>
      <c r="K57" t="s">
        <v>610</v>
      </c>
      <c r="L57" s="96">
        <v>76073.797000000006</v>
      </c>
    </row>
    <row r="58" spans="1:12" x14ac:dyDescent="0.25">
      <c r="A58" s="31" t="str">
        <f t="shared" si="1"/>
        <v>Exelon Generation Co LLC</v>
      </c>
      <c r="B58" s="32">
        <f t="shared" si="2"/>
        <v>-25</v>
      </c>
      <c r="C58" s="93">
        <f t="shared" si="3"/>
        <v>963.42025100000001</v>
      </c>
      <c r="D58" s="9">
        <f t="shared" si="0"/>
        <v>-10.924999999999999</v>
      </c>
      <c r="J58" s="125" t="s">
        <v>186</v>
      </c>
      <c r="K58" t="s">
        <v>610</v>
      </c>
      <c r="L58" s="96">
        <v>-25</v>
      </c>
    </row>
    <row r="59" spans="1:12" x14ac:dyDescent="0.25">
      <c r="A59" s="31" t="str">
        <f t="shared" si="1"/>
        <v>Pacific Gas &amp; Elec - Exchange</v>
      </c>
      <c r="B59" s="32">
        <f t="shared" si="2"/>
        <v>-413000</v>
      </c>
      <c r="C59" s="93">
        <f t="shared" si="3"/>
        <v>963.42025100000001</v>
      </c>
      <c r="D59" s="9">
        <f t="shared" si="0"/>
        <v>-180481</v>
      </c>
      <c r="J59" s="125" t="s">
        <v>179</v>
      </c>
      <c r="K59" t="s">
        <v>610</v>
      </c>
      <c r="L59" s="96">
        <v>-413000</v>
      </c>
    </row>
    <row r="60" spans="1:12" x14ac:dyDescent="0.25">
      <c r="A60" s="31" t="str">
        <f t="shared" si="1"/>
        <v>Avista Corp. WWP Division</v>
      </c>
      <c r="B60" s="32">
        <f t="shared" si="2"/>
        <v>-60183</v>
      </c>
      <c r="C60" s="93">
        <f t="shared" si="3"/>
        <v>963.42025100000001</v>
      </c>
      <c r="D60" s="9">
        <f t="shared" si="0"/>
        <v>-26299.971000000001</v>
      </c>
      <c r="J60" s="125" t="s">
        <v>187</v>
      </c>
      <c r="K60" t="s">
        <v>611</v>
      </c>
      <c r="L60" s="96">
        <v>-60183</v>
      </c>
    </row>
    <row r="61" spans="1:12" x14ac:dyDescent="0.25">
      <c r="A61" s="31" t="str">
        <f t="shared" si="1"/>
        <v>Black Hills Power</v>
      </c>
      <c r="B61" s="32">
        <f t="shared" si="2"/>
        <v>-390</v>
      </c>
      <c r="C61" s="93">
        <f t="shared" si="3"/>
        <v>963.42025100000001</v>
      </c>
      <c r="D61" s="9">
        <f t="shared" si="0"/>
        <v>-170.43</v>
      </c>
      <c r="J61" s="125" t="s">
        <v>189</v>
      </c>
      <c r="K61" t="s">
        <v>611</v>
      </c>
      <c r="L61" s="96">
        <v>-390</v>
      </c>
    </row>
    <row r="62" spans="1:12" x14ac:dyDescent="0.25">
      <c r="A62" s="31"/>
      <c r="B62" s="32"/>
      <c r="C62" s="93"/>
      <c r="D62" s="9"/>
      <c r="J62" s="89" t="s">
        <v>191</v>
      </c>
      <c r="K62" t="s">
        <v>611</v>
      </c>
      <c r="L62" s="96">
        <v>2016042</v>
      </c>
    </row>
    <row r="63" spans="1:12" x14ac:dyDescent="0.25">
      <c r="A63" s="31" t="str">
        <f t="shared" si="1"/>
        <v>BP Energy Co.</v>
      </c>
      <c r="B63" s="32">
        <f t="shared" si="2"/>
        <v>-51111</v>
      </c>
      <c r="C63" s="93">
        <f t="shared" si="3"/>
        <v>963.42025100000001</v>
      </c>
      <c r="D63" s="9">
        <f t="shared" si="0"/>
        <v>-22335.507000000001</v>
      </c>
      <c r="J63" s="125" t="s">
        <v>192</v>
      </c>
      <c r="K63" t="s">
        <v>611</v>
      </c>
      <c r="L63" s="96">
        <v>-51111</v>
      </c>
    </row>
    <row r="64" spans="1:12" x14ac:dyDescent="0.25">
      <c r="A64" s="31" t="str">
        <f t="shared" si="1"/>
        <v>BPA</v>
      </c>
      <c r="B64" s="32">
        <f t="shared" si="2"/>
        <v>-159211</v>
      </c>
      <c r="C64" s="93">
        <f t="shared" si="3"/>
        <v>963.42025100000001</v>
      </c>
      <c r="D64" s="9">
        <f t="shared" si="0"/>
        <v>-69575.206999999995</v>
      </c>
      <c r="J64" s="125" t="s">
        <v>173</v>
      </c>
      <c r="K64" t="s">
        <v>611</v>
      </c>
      <c r="L64" s="96">
        <v>-159211</v>
      </c>
    </row>
    <row r="65" spans="1:12" x14ac:dyDescent="0.25">
      <c r="A65" s="31" t="str">
        <f t="shared" si="1"/>
        <v>British Columbia Transmission Corp</v>
      </c>
      <c r="B65" s="32">
        <f t="shared" si="2"/>
        <v>-49</v>
      </c>
      <c r="C65" s="93">
        <f t="shared" si="3"/>
        <v>963.42025100000001</v>
      </c>
      <c r="D65" s="9">
        <f t="shared" si="0"/>
        <v>-21.413</v>
      </c>
      <c r="J65" s="125" t="s">
        <v>193</v>
      </c>
      <c r="K65" t="s">
        <v>611</v>
      </c>
      <c r="L65" s="96">
        <v>-49</v>
      </c>
    </row>
    <row r="66" spans="1:12" x14ac:dyDescent="0.25">
      <c r="A66" s="31" t="str">
        <f t="shared" si="1"/>
        <v>Brookfield Energy Marketing</v>
      </c>
      <c r="B66" s="32">
        <f t="shared" si="2"/>
        <v>-800</v>
      </c>
      <c r="C66" s="93">
        <f t="shared" si="3"/>
        <v>963.42025100000001</v>
      </c>
      <c r="D66" s="9">
        <f t="shared" si="0"/>
        <v>-349.59999999999997</v>
      </c>
      <c r="J66" s="125" t="s">
        <v>194</v>
      </c>
      <c r="K66" t="s">
        <v>611</v>
      </c>
      <c r="L66" s="96">
        <v>-800</v>
      </c>
    </row>
    <row r="67" spans="1:12" x14ac:dyDescent="0.25">
      <c r="A67" s="31" t="str">
        <f t="shared" si="1"/>
        <v>Burbank, City of</v>
      </c>
      <c r="B67" s="32">
        <f t="shared" si="2"/>
        <v>-2400</v>
      </c>
      <c r="C67" s="93">
        <f t="shared" si="3"/>
        <v>963.42025100000001</v>
      </c>
      <c r="D67" s="9">
        <f t="shared" si="0"/>
        <v>-1048.8000000000002</v>
      </c>
      <c r="J67" s="125" t="s">
        <v>195</v>
      </c>
      <c r="K67" t="s">
        <v>611</v>
      </c>
      <c r="L67" s="96">
        <v>-2400</v>
      </c>
    </row>
    <row r="68" spans="1:12" x14ac:dyDescent="0.25">
      <c r="A68" s="31" t="str">
        <f t="shared" si="1"/>
        <v>Calpine Energy Services</v>
      </c>
      <c r="B68" s="32">
        <f t="shared" si="2"/>
        <v>-117424</v>
      </c>
      <c r="C68" s="93">
        <f t="shared" si="3"/>
        <v>963.42025100000001</v>
      </c>
      <c r="D68" s="9">
        <f t="shared" ref="D68:D110" si="4">(+B68*C68)/2204.623</f>
        <v>-51314.288</v>
      </c>
      <c r="J68" s="125" t="s">
        <v>198</v>
      </c>
      <c r="K68" t="s">
        <v>611</v>
      </c>
      <c r="L68" s="96">
        <v>-117424</v>
      </c>
    </row>
    <row r="69" spans="1:12" x14ac:dyDescent="0.25">
      <c r="A69" s="31" t="str">
        <f t="shared" ref="A69:A110" si="5">J69</f>
        <v>Cargill Power Markets</v>
      </c>
      <c r="B69" s="32">
        <f t="shared" ref="B69:B110" si="6">L69</f>
        <v>-190421</v>
      </c>
      <c r="C69" s="93">
        <f t="shared" ref="C69:C110" si="7">IF(B69&lt;&gt;0,$H$1,"")</f>
        <v>963.42025100000001</v>
      </c>
      <c r="D69" s="9">
        <f t="shared" si="4"/>
        <v>-83213.976999999999</v>
      </c>
      <c r="J69" s="125" t="s">
        <v>174</v>
      </c>
      <c r="K69" t="s">
        <v>611</v>
      </c>
      <c r="L69" s="96">
        <v>-190421</v>
      </c>
    </row>
    <row r="70" spans="1:12" x14ac:dyDescent="0.25">
      <c r="A70" s="31" t="str">
        <f t="shared" si="5"/>
        <v>Chelan County PUD #1</v>
      </c>
      <c r="B70" s="32">
        <f t="shared" si="6"/>
        <v>-16609</v>
      </c>
      <c r="C70" s="93">
        <f t="shared" si="7"/>
        <v>963.42025100000001</v>
      </c>
      <c r="D70" s="9">
        <f t="shared" si="4"/>
        <v>-7258.1329999999998</v>
      </c>
      <c r="J70" s="125" t="s">
        <v>199</v>
      </c>
      <c r="K70" t="s">
        <v>611</v>
      </c>
      <c r="L70" s="96">
        <v>-16609</v>
      </c>
    </row>
    <row r="71" spans="1:12" x14ac:dyDescent="0.25">
      <c r="A71" s="31" t="str">
        <f t="shared" si="5"/>
        <v>Citigroup Energy Inc</v>
      </c>
      <c r="B71" s="32">
        <f t="shared" si="6"/>
        <v>-26800</v>
      </c>
      <c r="C71" s="93">
        <f t="shared" si="7"/>
        <v>963.42025100000001</v>
      </c>
      <c r="D71" s="9">
        <f t="shared" si="4"/>
        <v>-11711.599999999999</v>
      </c>
      <c r="J71" s="125" t="s">
        <v>185</v>
      </c>
      <c r="K71" t="s">
        <v>611</v>
      </c>
      <c r="L71" s="96">
        <v>-26800</v>
      </c>
    </row>
    <row r="72" spans="1:12" x14ac:dyDescent="0.25">
      <c r="A72" s="31" t="str">
        <f t="shared" si="5"/>
        <v>Clark Public Utilities</v>
      </c>
      <c r="B72" s="32">
        <f t="shared" si="6"/>
        <v>-9222</v>
      </c>
      <c r="C72" s="93">
        <f t="shared" si="7"/>
        <v>963.42025100000001</v>
      </c>
      <c r="D72" s="9">
        <f t="shared" si="4"/>
        <v>-4030.0139999999997</v>
      </c>
      <c r="J72" s="125" t="s">
        <v>201</v>
      </c>
      <c r="K72" t="s">
        <v>611</v>
      </c>
      <c r="L72" s="96">
        <v>-9222</v>
      </c>
    </row>
    <row r="73" spans="1:12" x14ac:dyDescent="0.25">
      <c r="A73" s="31" t="str">
        <f t="shared" si="5"/>
        <v>Clatskanie PUD</v>
      </c>
      <c r="B73" s="32">
        <f t="shared" si="6"/>
        <v>-4124</v>
      </c>
      <c r="C73" s="93">
        <f t="shared" si="7"/>
        <v>963.42025100000001</v>
      </c>
      <c r="D73" s="9">
        <f t="shared" si="4"/>
        <v>-1802.1880000000001</v>
      </c>
      <c r="J73" s="125" t="s">
        <v>202</v>
      </c>
      <c r="K73" t="s">
        <v>611</v>
      </c>
      <c r="L73" s="96">
        <v>-4124</v>
      </c>
    </row>
    <row r="74" spans="1:12" x14ac:dyDescent="0.25">
      <c r="A74" s="31" t="str">
        <f t="shared" si="5"/>
        <v>Conoco, Inc.</v>
      </c>
      <c r="B74" s="32">
        <f t="shared" si="6"/>
        <v>-1200</v>
      </c>
      <c r="C74" s="93">
        <f t="shared" si="7"/>
        <v>963.42025100000001</v>
      </c>
      <c r="D74" s="9">
        <f t="shared" si="4"/>
        <v>-524.40000000000009</v>
      </c>
      <c r="J74" s="125" t="s">
        <v>203</v>
      </c>
      <c r="K74" t="s">
        <v>611</v>
      </c>
      <c r="L74" s="96">
        <v>-1200</v>
      </c>
    </row>
    <row r="75" spans="1:12" x14ac:dyDescent="0.25">
      <c r="A75" s="31" t="str">
        <f t="shared" si="5"/>
        <v>Constellation Power Source, Inc.</v>
      </c>
      <c r="B75" s="32">
        <f t="shared" si="6"/>
        <v>-119</v>
      </c>
      <c r="C75" s="93">
        <f t="shared" si="7"/>
        <v>963.42025100000001</v>
      </c>
      <c r="D75" s="9">
        <f t="shared" si="4"/>
        <v>-52.003</v>
      </c>
      <c r="J75" s="125" t="s">
        <v>175</v>
      </c>
      <c r="K75" t="s">
        <v>611</v>
      </c>
      <c r="L75" s="96">
        <v>-119</v>
      </c>
    </row>
    <row r="76" spans="1:12" x14ac:dyDescent="0.25">
      <c r="A76" s="31" t="str">
        <f t="shared" si="5"/>
        <v>CP Energy Marketing (Epcor)</v>
      </c>
      <c r="B76" s="32">
        <f t="shared" si="6"/>
        <v>-947</v>
      </c>
      <c r="C76" s="93">
        <f t="shared" si="7"/>
        <v>963.42025100000001</v>
      </c>
      <c r="D76" s="9">
        <f t="shared" si="4"/>
        <v>-413.839</v>
      </c>
      <c r="J76" s="125" t="s">
        <v>204</v>
      </c>
      <c r="K76" t="s">
        <v>611</v>
      </c>
      <c r="L76" s="96">
        <v>-947</v>
      </c>
    </row>
    <row r="77" spans="1:12" x14ac:dyDescent="0.25">
      <c r="A77" s="31" t="str">
        <f t="shared" si="5"/>
        <v>Douglas County PUD #1</v>
      </c>
      <c r="B77" s="32">
        <f t="shared" si="6"/>
        <v>-1819</v>
      </c>
      <c r="C77" s="93">
        <f t="shared" si="7"/>
        <v>963.42025100000001</v>
      </c>
      <c r="D77" s="9">
        <f t="shared" si="4"/>
        <v>-794.90300000000002</v>
      </c>
      <c r="J77" s="125" t="s">
        <v>177</v>
      </c>
      <c r="K77" t="s">
        <v>611</v>
      </c>
      <c r="L77" s="96">
        <v>-1819</v>
      </c>
    </row>
    <row r="78" spans="1:12" x14ac:dyDescent="0.25">
      <c r="A78" s="31" t="str">
        <f t="shared" si="5"/>
        <v>EDF Trading NA LLC</v>
      </c>
      <c r="B78" s="32">
        <f t="shared" si="6"/>
        <v>-136984</v>
      </c>
      <c r="C78" s="93">
        <f t="shared" si="7"/>
        <v>963.42025100000001</v>
      </c>
      <c r="D78" s="9">
        <f t="shared" si="4"/>
        <v>-59862.008000000002</v>
      </c>
      <c r="J78" s="125" t="s">
        <v>208</v>
      </c>
      <c r="K78" t="s">
        <v>611</v>
      </c>
      <c r="L78" s="96">
        <v>-136984</v>
      </c>
    </row>
    <row r="79" spans="1:12" x14ac:dyDescent="0.25">
      <c r="A79" s="31" t="str">
        <f t="shared" si="5"/>
        <v>Eugene Water &amp; Electric</v>
      </c>
      <c r="B79" s="32">
        <f t="shared" si="6"/>
        <v>-38757</v>
      </c>
      <c r="C79" s="93">
        <f t="shared" si="7"/>
        <v>963.42025100000001</v>
      </c>
      <c r="D79" s="9">
        <f t="shared" si="4"/>
        <v>-16936.809000000001</v>
      </c>
      <c r="J79" s="125" t="s">
        <v>211</v>
      </c>
      <c r="K79" t="s">
        <v>611</v>
      </c>
      <c r="L79" s="96">
        <v>-38757</v>
      </c>
    </row>
    <row r="80" spans="1:12" x14ac:dyDescent="0.25">
      <c r="A80" s="31" t="str">
        <f t="shared" si="5"/>
        <v>Exelon Generation Co LLC</v>
      </c>
      <c r="B80" s="32">
        <f t="shared" si="6"/>
        <v>-16580</v>
      </c>
      <c r="C80" s="93">
        <f t="shared" si="7"/>
        <v>963.42025100000001</v>
      </c>
      <c r="D80" s="9">
        <f t="shared" si="4"/>
        <v>-7245.46</v>
      </c>
      <c r="J80" s="125" t="s">
        <v>186</v>
      </c>
      <c r="K80" t="s">
        <v>611</v>
      </c>
      <c r="L80" s="96">
        <v>-16580</v>
      </c>
    </row>
    <row r="81" spans="1:12" x14ac:dyDescent="0.25">
      <c r="A81" s="31" t="str">
        <f t="shared" si="5"/>
        <v>Fortis BC</v>
      </c>
      <c r="B81" s="32">
        <f t="shared" si="6"/>
        <v>-27508</v>
      </c>
      <c r="C81" s="93">
        <f t="shared" si="7"/>
        <v>963.42025100000001</v>
      </c>
      <c r="D81" s="9">
        <f t="shared" si="4"/>
        <v>-12020.996000000001</v>
      </c>
      <c r="J81" s="125" t="s">
        <v>260</v>
      </c>
      <c r="K81" t="s">
        <v>611</v>
      </c>
      <c r="L81" s="96">
        <v>-27508</v>
      </c>
    </row>
    <row r="82" spans="1:12" x14ac:dyDescent="0.25">
      <c r="A82" s="31" t="str">
        <f t="shared" si="5"/>
        <v>Grant County PUD #2</v>
      </c>
      <c r="B82" s="32">
        <f t="shared" si="6"/>
        <v>-27899</v>
      </c>
      <c r="C82" s="93">
        <f t="shared" si="7"/>
        <v>963.42025100000001</v>
      </c>
      <c r="D82" s="9">
        <f t="shared" si="4"/>
        <v>-12191.862999999999</v>
      </c>
      <c r="J82" s="125" t="s">
        <v>213</v>
      </c>
      <c r="K82" t="s">
        <v>611</v>
      </c>
      <c r="L82" s="96">
        <v>-27899</v>
      </c>
    </row>
    <row r="83" spans="1:12" x14ac:dyDescent="0.25">
      <c r="A83" s="31" t="str">
        <f t="shared" si="5"/>
        <v>Iberdrola Renewables (PPM Energy)</v>
      </c>
      <c r="B83" s="32">
        <f t="shared" si="6"/>
        <v>-536036</v>
      </c>
      <c r="C83" s="93">
        <f t="shared" si="7"/>
        <v>963.42025100000001</v>
      </c>
      <c r="D83" s="9">
        <f t="shared" si="4"/>
        <v>-234247.73200000002</v>
      </c>
      <c r="J83" s="125" t="s">
        <v>215</v>
      </c>
      <c r="K83" t="s">
        <v>611</v>
      </c>
      <c r="L83" s="96">
        <v>-536036</v>
      </c>
    </row>
    <row r="84" spans="1:12" x14ac:dyDescent="0.25">
      <c r="A84" s="31" t="str">
        <f t="shared" si="5"/>
        <v>Idaho Power Company</v>
      </c>
      <c r="B84" s="32">
        <f t="shared" si="6"/>
        <v>-15235</v>
      </c>
      <c r="C84" s="93">
        <f t="shared" si="7"/>
        <v>963.42025100000001</v>
      </c>
      <c r="D84" s="9">
        <f t="shared" si="4"/>
        <v>-6657.6949999999997</v>
      </c>
      <c r="J84" s="125" t="s">
        <v>217</v>
      </c>
      <c r="K84" t="s">
        <v>611</v>
      </c>
      <c r="L84" s="96">
        <v>-15235</v>
      </c>
    </row>
    <row r="85" spans="1:12" x14ac:dyDescent="0.25">
      <c r="A85" s="31" t="str">
        <f t="shared" si="5"/>
        <v>J. Aron &amp; Company</v>
      </c>
      <c r="B85" s="32">
        <f t="shared" si="6"/>
        <v>-2600</v>
      </c>
      <c r="C85" s="93">
        <f t="shared" si="7"/>
        <v>963.42025100000001</v>
      </c>
      <c r="D85" s="9">
        <f t="shared" si="4"/>
        <v>-1136.2</v>
      </c>
      <c r="J85" s="125" t="s">
        <v>220</v>
      </c>
      <c r="K85" t="s">
        <v>611</v>
      </c>
      <c r="L85" s="96">
        <v>-2600</v>
      </c>
    </row>
    <row r="86" spans="1:12" x14ac:dyDescent="0.25">
      <c r="A86" s="31" t="str">
        <f t="shared" si="5"/>
        <v>JP Morgan Ventures Energy</v>
      </c>
      <c r="B86" s="32">
        <f t="shared" si="6"/>
        <v>-5071</v>
      </c>
      <c r="C86" s="93">
        <f t="shared" si="7"/>
        <v>963.42025100000001</v>
      </c>
      <c r="D86" s="9">
        <f t="shared" si="4"/>
        <v>-2216.027</v>
      </c>
      <c r="J86" s="125" t="s">
        <v>221</v>
      </c>
      <c r="K86" t="s">
        <v>611</v>
      </c>
      <c r="L86" s="96">
        <v>-5071</v>
      </c>
    </row>
    <row r="87" spans="1:12" x14ac:dyDescent="0.25">
      <c r="A87" s="31" t="str">
        <f t="shared" si="5"/>
        <v>Morgan Stanley CG</v>
      </c>
      <c r="B87" s="32">
        <f t="shared" si="6"/>
        <v>-332554</v>
      </c>
      <c r="C87" s="93">
        <f t="shared" si="7"/>
        <v>963.42025100000001</v>
      </c>
      <c r="D87" s="9">
        <f t="shared" si="4"/>
        <v>-145326.098</v>
      </c>
      <c r="J87" s="125" t="s">
        <v>178</v>
      </c>
      <c r="K87" t="s">
        <v>611</v>
      </c>
      <c r="L87" s="96">
        <v>-332554</v>
      </c>
    </row>
    <row r="88" spans="1:12" x14ac:dyDescent="0.25">
      <c r="A88" s="31" t="str">
        <f t="shared" si="5"/>
        <v>Natur Ener USA</v>
      </c>
      <c r="B88" s="32">
        <f t="shared" si="6"/>
        <v>-24</v>
      </c>
      <c r="C88" s="93">
        <f t="shared" si="7"/>
        <v>963.42025100000001</v>
      </c>
      <c r="D88" s="9">
        <f t="shared" si="4"/>
        <v>-10.488</v>
      </c>
      <c r="J88" s="125" t="s">
        <v>226</v>
      </c>
      <c r="K88" t="s">
        <v>611</v>
      </c>
      <c r="L88" s="96">
        <v>-24</v>
      </c>
    </row>
    <row r="89" spans="1:12" x14ac:dyDescent="0.25">
      <c r="A89" s="31" t="str">
        <f t="shared" si="5"/>
        <v>Nevada Power Company</v>
      </c>
      <c r="B89" s="32">
        <f t="shared" si="6"/>
        <v>-159</v>
      </c>
      <c r="C89" s="93">
        <f t="shared" si="7"/>
        <v>963.42025100000001</v>
      </c>
      <c r="D89" s="9">
        <f t="shared" si="4"/>
        <v>-69.483000000000004</v>
      </c>
      <c r="J89" s="125" t="s">
        <v>261</v>
      </c>
      <c r="K89" t="s">
        <v>611</v>
      </c>
      <c r="L89" s="96">
        <v>-159</v>
      </c>
    </row>
    <row r="90" spans="1:12" x14ac:dyDescent="0.25">
      <c r="A90" s="31" t="str">
        <f t="shared" si="5"/>
        <v>NextEra Energy Power Marketing</v>
      </c>
      <c r="B90" s="32">
        <f t="shared" si="6"/>
        <v>-159</v>
      </c>
      <c r="C90" s="93">
        <f t="shared" si="7"/>
        <v>963.42025100000001</v>
      </c>
      <c r="D90" s="9">
        <f t="shared" si="4"/>
        <v>-69.483000000000004</v>
      </c>
      <c r="J90" s="125" t="s">
        <v>227</v>
      </c>
      <c r="K90" t="s">
        <v>611</v>
      </c>
      <c r="L90" s="96">
        <v>-159</v>
      </c>
    </row>
    <row r="91" spans="1:12" x14ac:dyDescent="0.25">
      <c r="A91" s="31" t="str">
        <f t="shared" si="5"/>
        <v>Noble Americas Gas &amp; Power</v>
      </c>
      <c r="B91" s="32">
        <f t="shared" si="6"/>
        <v>-400</v>
      </c>
      <c r="C91" s="93">
        <f t="shared" si="7"/>
        <v>963.42025100000001</v>
      </c>
      <c r="D91" s="9">
        <f t="shared" si="4"/>
        <v>-174.79999999999998</v>
      </c>
      <c r="J91" s="125" t="s">
        <v>229</v>
      </c>
      <c r="K91" t="s">
        <v>611</v>
      </c>
      <c r="L91" s="96">
        <v>-400</v>
      </c>
    </row>
    <row r="92" spans="1:12" x14ac:dyDescent="0.25">
      <c r="A92" s="31" t="str">
        <f t="shared" si="5"/>
        <v>NorthPoint Energy Solutions, Inc.</v>
      </c>
      <c r="B92" s="32">
        <f t="shared" si="6"/>
        <v>-3481</v>
      </c>
      <c r="C92" s="93">
        <f t="shared" si="7"/>
        <v>963.42025100000001</v>
      </c>
      <c r="D92" s="9">
        <f t="shared" si="4"/>
        <v>-1521.1969999999999</v>
      </c>
      <c r="J92" s="125" t="s">
        <v>230</v>
      </c>
      <c r="K92" t="s">
        <v>611</v>
      </c>
      <c r="L92" s="96">
        <v>-3481</v>
      </c>
    </row>
    <row r="93" spans="1:12" x14ac:dyDescent="0.25">
      <c r="A93" s="31" t="str">
        <f t="shared" si="5"/>
        <v>Northwestern Energy</v>
      </c>
      <c r="B93" s="32">
        <f t="shared" si="6"/>
        <v>-68236</v>
      </c>
      <c r="C93" s="93">
        <f t="shared" si="7"/>
        <v>963.42025100000001</v>
      </c>
      <c r="D93" s="9">
        <f t="shared" si="4"/>
        <v>-29819.131999999998</v>
      </c>
      <c r="J93" s="125" t="s">
        <v>231</v>
      </c>
      <c r="K93" t="s">
        <v>611</v>
      </c>
      <c r="L93" s="96">
        <v>-68236</v>
      </c>
    </row>
    <row r="94" spans="1:12" x14ac:dyDescent="0.25">
      <c r="A94" s="31" t="str">
        <f t="shared" si="5"/>
        <v>Okanogan PUD</v>
      </c>
      <c r="B94" s="32">
        <f t="shared" si="6"/>
        <v>-1855</v>
      </c>
      <c r="C94" s="93">
        <f t="shared" si="7"/>
        <v>963.42025100000001</v>
      </c>
      <c r="D94" s="9">
        <f t="shared" si="4"/>
        <v>-810.63499999999999</v>
      </c>
      <c r="J94" s="125" t="s">
        <v>233</v>
      </c>
      <c r="K94" t="s">
        <v>611</v>
      </c>
      <c r="L94" s="96">
        <v>-1855</v>
      </c>
    </row>
    <row r="95" spans="1:12" x14ac:dyDescent="0.25">
      <c r="A95" s="31" t="str">
        <f t="shared" si="5"/>
        <v>Pacificorp</v>
      </c>
      <c r="B95" s="32">
        <f t="shared" si="6"/>
        <v>-109675</v>
      </c>
      <c r="C95" s="93">
        <f t="shared" si="7"/>
        <v>963.42025100000001</v>
      </c>
      <c r="D95" s="9">
        <f t="shared" si="4"/>
        <v>-47927.975000000006</v>
      </c>
      <c r="J95" s="125" t="s">
        <v>236</v>
      </c>
      <c r="K95" t="s">
        <v>611</v>
      </c>
      <c r="L95" s="96">
        <v>-109675</v>
      </c>
    </row>
    <row r="96" spans="1:12" x14ac:dyDescent="0.25">
      <c r="A96" s="31" t="str">
        <f t="shared" si="5"/>
        <v>Portland General Electric</v>
      </c>
      <c r="B96" s="32">
        <f t="shared" si="6"/>
        <v>-123272</v>
      </c>
      <c r="C96" s="93">
        <f t="shared" si="7"/>
        <v>963.42025100000001</v>
      </c>
      <c r="D96" s="9">
        <f t="shared" si="4"/>
        <v>-53869.864000000001</v>
      </c>
      <c r="J96" s="125" t="s">
        <v>238</v>
      </c>
      <c r="K96" t="s">
        <v>611</v>
      </c>
      <c r="L96" s="96">
        <v>-123272</v>
      </c>
    </row>
    <row r="97" spans="1:12" x14ac:dyDescent="0.25">
      <c r="A97" s="31" t="str">
        <f t="shared" si="5"/>
        <v>Powerex Corp.</v>
      </c>
      <c r="B97" s="32">
        <f t="shared" si="6"/>
        <v>-401453</v>
      </c>
      <c r="C97" s="93">
        <f t="shared" si="7"/>
        <v>963.42025100000001</v>
      </c>
      <c r="D97" s="9">
        <f t="shared" si="4"/>
        <v>-175434.96100000001</v>
      </c>
      <c r="J97" s="125" t="s">
        <v>180</v>
      </c>
      <c r="K97" t="s">
        <v>611</v>
      </c>
      <c r="L97" s="96">
        <v>-401453</v>
      </c>
    </row>
    <row r="98" spans="1:12" x14ac:dyDescent="0.25">
      <c r="A98" s="31" t="str">
        <f t="shared" si="5"/>
        <v>Rainbow Energy Marketing</v>
      </c>
      <c r="B98" s="32">
        <f t="shared" si="6"/>
        <v>-21430</v>
      </c>
      <c r="C98" s="93">
        <f t="shared" si="7"/>
        <v>963.42025100000001</v>
      </c>
      <c r="D98" s="9">
        <f t="shared" si="4"/>
        <v>-9364.91</v>
      </c>
      <c r="J98" s="125" t="s">
        <v>240</v>
      </c>
      <c r="K98" t="s">
        <v>611</v>
      </c>
      <c r="L98" s="96">
        <v>-21430</v>
      </c>
    </row>
    <row r="99" spans="1:12" x14ac:dyDescent="0.25">
      <c r="A99" s="31" t="str">
        <f t="shared" si="5"/>
        <v>Sacramento Municipal</v>
      </c>
      <c r="B99" s="32">
        <f t="shared" si="6"/>
        <v>-4593</v>
      </c>
      <c r="C99" s="93">
        <f t="shared" si="7"/>
        <v>963.42025100000001</v>
      </c>
      <c r="D99" s="9">
        <f t="shared" si="4"/>
        <v>-2007.1409999999998</v>
      </c>
      <c r="J99" s="125" t="s">
        <v>242</v>
      </c>
      <c r="K99" t="s">
        <v>611</v>
      </c>
      <c r="L99" s="96">
        <v>-4593</v>
      </c>
    </row>
    <row r="100" spans="1:12" x14ac:dyDescent="0.25">
      <c r="A100" s="31" t="str">
        <f t="shared" si="5"/>
        <v>Seattle City Light Marketing</v>
      </c>
      <c r="B100" s="32">
        <f t="shared" si="6"/>
        <v>-20865</v>
      </c>
      <c r="C100" s="93">
        <f t="shared" si="7"/>
        <v>963.42025100000001</v>
      </c>
      <c r="D100" s="9">
        <f t="shared" si="4"/>
        <v>-9118.0049999999992</v>
      </c>
      <c r="J100" s="125" t="s">
        <v>181</v>
      </c>
      <c r="K100" t="s">
        <v>611</v>
      </c>
      <c r="L100" s="96">
        <v>-20865</v>
      </c>
    </row>
    <row r="101" spans="1:12" x14ac:dyDescent="0.25">
      <c r="A101" s="31" t="str">
        <f t="shared" si="5"/>
        <v>Shell Energy (Coral Pwr)</v>
      </c>
      <c r="B101" s="32">
        <f t="shared" si="6"/>
        <v>-210325</v>
      </c>
      <c r="C101" s="93">
        <f t="shared" si="7"/>
        <v>963.42025100000001</v>
      </c>
      <c r="D101" s="9">
        <f t="shared" si="4"/>
        <v>-91912.025000000009</v>
      </c>
      <c r="J101" s="125" t="s">
        <v>182</v>
      </c>
      <c r="K101" t="s">
        <v>611</v>
      </c>
      <c r="L101" s="96">
        <v>-210325</v>
      </c>
    </row>
    <row r="102" spans="1:12" x14ac:dyDescent="0.25">
      <c r="A102" s="31" t="str">
        <f t="shared" si="5"/>
        <v>Snohomish County PUD #1</v>
      </c>
      <c r="B102" s="32">
        <f t="shared" si="6"/>
        <v>-12377</v>
      </c>
      <c r="C102" s="93">
        <f t="shared" si="7"/>
        <v>963.42025100000001</v>
      </c>
      <c r="D102" s="9">
        <f t="shared" si="4"/>
        <v>-5408.7489999999998</v>
      </c>
      <c r="J102" s="125" t="s">
        <v>247</v>
      </c>
      <c r="K102" t="s">
        <v>611</v>
      </c>
      <c r="L102" s="96">
        <v>-12377</v>
      </c>
    </row>
    <row r="103" spans="1:12" x14ac:dyDescent="0.25">
      <c r="A103" s="31" t="str">
        <f t="shared" si="5"/>
        <v>Tacoma Power</v>
      </c>
      <c r="B103" s="32">
        <f t="shared" si="6"/>
        <v>-14402</v>
      </c>
      <c r="C103" s="93">
        <f t="shared" si="7"/>
        <v>963.42025100000001</v>
      </c>
      <c r="D103" s="9">
        <f t="shared" si="4"/>
        <v>-6293.674</v>
      </c>
      <c r="J103" s="125" t="s">
        <v>183</v>
      </c>
      <c r="K103" t="s">
        <v>611</v>
      </c>
      <c r="L103" s="96">
        <v>-14402</v>
      </c>
    </row>
    <row r="104" spans="1:12" x14ac:dyDescent="0.25">
      <c r="A104" s="31" t="str">
        <f t="shared" si="5"/>
        <v>Talen Energy (PPL Energy Plus)</v>
      </c>
      <c r="B104" s="32">
        <f t="shared" si="6"/>
        <v>-52930</v>
      </c>
      <c r="C104" s="93">
        <f t="shared" si="7"/>
        <v>963.42025100000001</v>
      </c>
      <c r="D104" s="9">
        <f t="shared" si="4"/>
        <v>-23130.41</v>
      </c>
      <c r="J104" s="125" t="s">
        <v>249</v>
      </c>
      <c r="K104" t="s">
        <v>611</v>
      </c>
      <c r="L104" s="96">
        <v>-52930</v>
      </c>
    </row>
    <row r="105" spans="1:12" x14ac:dyDescent="0.25">
      <c r="A105" s="31" t="str">
        <f t="shared" si="5"/>
        <v>Tenaska Power Services Co.</v>
      </c>
      <c r="B105" s="32">
        <f t="shared" si="6"/>
        <v>-512</v>
      </c>
      <c r="C105" s="93">
        <f t="shared" si="7"/>
        <v>963.42025100000001</v>
      </c>
      <c r="D105" s="9">
        <f t="shared" si="4"/>
        <v>-223.744</v>
      </c>
      <c r="J105" s="125" t="s">
        <v>251</v>
      </c>
      <c r="K105" t="s">
        <v>611</v>
      </c>
      <c r="L105" s="96">
        <v>-512</v>
      </c>
    </row>
    <row r="106" spans="1:12" x14ac:dyDescent="0.25">
      <c r="A106" s="31" t="str">
        <f t="shared" si="5"/>
        <v>The Energy Authority</v>
      </c>
      <c r="B106" s="32">
        <f t="shared" si="6"/>
        <v>-36276</v>
      </c>
      <c r="C106" s="93">
        <f t="shared" si="7"/>
        <v>963.42025100000001</v>
      </c>
      <c r="D106" s="9">
        <f t="shared" si="4"/>
        <v>-15852.611999999999</v>
      </c>
      <c r="J106" s="125" t="s">
        <v>252</v>
      </c>
      <c r="K106" t="s">
        <v>611</v>
      </c>
      <c r="L106" s="96">
        <v>-36276</v>
      </c>
    </row>
    <row r="107" spans="1:12" x14ac:dyDescent="0.25">
      <c r="A107" s="31" t="str">
        <f t="shared" si="5"/>
        <v>TransAlta Energy Marketing</v>
      </c>
      <c r="B107" s="32">
        <f t="shared" si="6"/>
        <v>-302261</v>
      </c>
      <c r="C107" s="93">
        <f t="shared" si="7"/>
        <v>963.42025100000001</v>
      </c>
      <c r="D107" s="9">
        <f t="shared" si="4"/>
        <v>-132088.057</v>
      </c>
      <c r="J107" s="125" t="s">
        <v>184</v>
      </c>
      <c r="K107" t="s">
        <v>611</v>
      </c>
      <c r="L107" s="96">
        <v>-302261</v>
      </c>
    </row>
    <row r="108" spans="1:12" x14ac:dyDescent="0.25">
      <c r="A108" s="31" t="str">
        <f t="shared" si="5"/>
        <v>TransCanada Energy Sales Ltd</v>
      </c>
      <c r="B108" s="32">
        <f t="shared" si="6"/>
        <v>-20682</v>
      </c>
      <c r="C108" s="93">
        <f t="shared" si="7"/>
        <v>963.42025100000001</v>
      </c>
      <c r="D108" s="9">
        <f t="shared" si="4"/>
        <v>-9038.0339999999997</v>
      </c>
      <c r="J108" s="125" t="s">
        <v>254</v>
      </c>
      <c r="K108" t="s">
        <v>611</v>
      </c>
      <c r="L108" s="96">
        <v>-20682</v>
      </c>
    </row>
    <row r="109" spans="1:12" x14ac:dyDescent="0.25">
      <c r="A109" s="31" t="str">
        <f t="shared" si="5"/>
        <v>Turlock Irrigation District</v>
      </c>
      <c r="B109" s="32">
        <f t="shared" si="6"/>
        <v>-311</v>
      </c>
      <c r="C109" s="93">
        <f t="shared" si="7"/>
        <v>963.42025100000001</v>
      </c>
      <c r="D109" s="9">
        <f t="shared" si="4"/>
        <v>-135.90699999999998</v>
      </c>
      <c r="J109" s="125" t="s">
        <v>256</v>
      </c>
      <c r="K109" t="s">
        <v>611</v>
      </c>
      <c r="L109" s="96">
        <v>-311</v>
      </c>
    </row>
    <row r="110" spans="1:12" x14ac:dyDescent="0.25">
      <c r="A110" s="31" t="str">
        <f t="shared" si="5"/>
        <v>Vitol Inc.</v>
      </c>
      <c r="B110" s="32">
        <f t="shared" si="6"/>
        <v>-221200</v>
      </c>
      <c r="C110" s="93">
        <f t="shared" si="7"/>
        <v>963.42025100000001</v>
      </c>
      <c r="D110" s="9">
        <f t="shared" si="4"/>
        <v>-96664.4</v>
      </c>
      <c r="J110" s="125" t="s">
        <v>257</v>
      </c>
      <c r="K110" t="s">
        <v>611</v>
      </c>
      <c r="L110" s="96">
        <v>-221200</v>
      </c>
    </row>
    <row r="111" spans="1:12" x14ac:dyDescent="0.25">
      <c r="A111" s="31"/>
      <c r="B111" s="32"/>
      <c r="C111" s="93"/>
      <c r="D111" s="9"/>
      <c r="L111" s="96">
        <f>SUM(L4:L110)</f>
        <v>6189748.1970000006</v>
      </c>
    </row>
    <row r="112" spans="1:12" ht="15.75" thickBot="1" x14ac:dyDescent="0.3">
      <c r="A112" s="33"/>
      <c r="B112" s="34"/>
      <c r="C112" s="14"/>
      <c r="D112" s="15"/>
    </row>
    <row r="113" spans="1:4" ht="16.5" thickTop="1" thickBot="1" x14ac:dyDescent="0.3">
      <c r="A113" s="12"/>
      <c r="B113" s="91">
        <f>SUM(B4:B112)</f>
        <v>6179576.1970000006</v>
      </c>
      <c r="C113" s="13"/>
      <c r="D113" s="92">
        <f>SUM(D4:D112)</f>
        <v>2700474.7980889999</v>
      </c>
    </row>
  </sheetData>
  <hyperlinks>
    <hyperlink ref="D1"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737"/>
  <sheetViews>
    <sheetView workbookViewId="0">
      <pane ySplit="1" topLeftCell="A709" activePane="bottomLeft" state="frozen"/>
      <selection pane="bottomLeft" activeCell="B741" sqref="B741"/>
    </sheetView>
  </sheetViews>
  <sheetFormatPr defaultColWidth="9.140625" defaultRowHeight="15" x14ac:dyDescent="0.25"/>
  <cols>
    <col min="1" max="1" width="9.140625" style="552"/>
    <col min="2" max="2" width="47.5703125" style="552" customWidth="1"/>
    <col min="3" max="3" width="13.140625" style="553" customWidth="1"/>
    <col min="4" max="4" width="12.5703125" style="553" customWidth="1"/>
    <col min="5" max="5" width="15" style="552" customWidth="1"/>
    <col min="6" max="7" width="16.85546875" style="552" customWidth="1"/>
    <col min="8" max="8" width="9.7109375" style="187" customWidth="1"/>
    <col min="9" max="16384" width="9.140625" style="187"/>
  </cols>
  <sheetData>
    <row r="1" spans="1:7" x14ac:dyDescent="0.25">
      <c r="A1" s="552" t="s">
        <v>466</v>
      </c>
      <c r="B1" s="552" t="s">
        <v>0</v>
      </c>
      <c r="C1" s="553" t="s">
        <v>31</v>
      </c>
      <c r="D1" s="553" t="s">
        <v>551</v>
      </c>
      <c r="E1" s="552" t="s">
        <v>424</v>
      </c>
      <c r="F1" s="552" t="s">
        <v>425</v>
      </c>
      <c r="G1" s="552" t="s">
        <v>472</v>
      </c>
    </row>
    <row r="2" spans="1:7" x14ac:dyDescent="0.25">
      <c r="A2" s="552">
        <v>2009</v>
      </c>
      <c r="B2" s="554" t="str">
        <f>'2009 Known'!A4</f>
        <v>Electron</v>
      </c>
      <c r="C2" s="555">
        <f>'2009 Known'!B4</f>
        <v>90893.71</v>
      </c>
      <c r="D2" s="555">
        <f>'2009 Known'!C4</f>
        <v>0</v>
      </c>
      <c r="E2" s="554" t="str">
        <f>'2009 Known'!D4</f>
        <v>Own</v>
      </c>
      <c r="F2" s="554" t="str">
        <f>'2009 Known'!E4</f>
        <v>Hydro</v>
      </c>
      <c r="G2" s="554" t="str">
        <f>'2009 Known'!F4</f>
        <v>Renew</v>
      </c>
    </row>
    <row r="3" spans="1:7" x14ac:dyDescent="0.25">
      <c r="A3" s="552">
        <v>2009</v>
      </c>
      <c r="B3" s="554" t="str">
        <f>'2009 Known'!A5</f>
        <v>Lower Baker</v>
      </c>
      <c r="C3" s="555">
        <f>'2009 Known'!B5</f>
        <v>344847.47200000001</v>
      </c>
      <c r="D3" s="555">
        <f>'2009 Known'!C5</f>
        <v>0</v>
      </c>
      <c r="E3" s="554" t="str">
        <f>'2009 Known'!D5</f>
        <v>Own</v>
      </c>
      <c r="F3" s="554" t="str">
        <f>'2009 Known'!E5</f>
        <v>Hydro</v>
      </c>
      <c r="G3" s="554" t="str">
        <f>'2009 Known'!F5</f>
        <v>Renew</v>
      </c>
    </row>
    <row r="4" spans="1:7" x14ac:dyDescent="0.25">
      <c r="A4" s="552">
        <v>2009</v>
      </c>
      <c r="B4" s="554" t="str">
        <f>'2009 Known'!A6</f>
        <v>Snoqualmie Falls #1</v>
      </c>
      <c r="C4" s="555">
        <f>'2009 Known'!B6</f>
        <v>62769</v>
      </c>
      <c r="D4" s="555">
        <f>'2009 Known'!C6</f>
        <v>0</v>
      </c>
      <c r="E4" s="554" t="str">
        <f>'2009 Known'!D6</f>
        <v>Own</v>
      </c>
      <c r="F4" s="554" t="str">
        <f>'2009 Known'!E6</f>
        <v>Hydro</v>
      </c>
      <c r="G4" s="554" t="str">
        <f>'2009 Known'!F6</f>
        <v>Renew</v>
      </c>
    </row>
    <row r="5" spans="1:7" x14ac:dyDescent="0.25">
      <c r="A5" s="552">
        <v>2009</v>
      </c>
      <c r="B5" s="554" t="str">
        <f>'2009 Known'!A7</f>
        <v>Snoqualmie Falls #2</v>
      </c>
      <c r="C5" s="555">
        <f>'2009 Known'!B7</f>
        <v>151915.20000000001</v>
      </c>
      <c r="D5" s="555">
        <f>'2009 Known'!C7</f>
        <v>0</v>
      </c>
      <c r="E5" s="554" t="str">
        <f>'2009 Known'!D7</f>
        <v>Own</v>
      </c>
      <c r="F5" s="554" t="str">
        <f>'2009 Known'!E7</f>
        <v>Hydro</v>
      </c>
      <c r="G5" s="554" t="str">
        <f>'2009 Known'!F7</f>
        <v>Renew</v>
      </c>
    </row>
    <row r="6" spans="1:7" x14ac:dyDescent="0.25">
      <c r="A6" s="552">
        <v>2009</v>
      </c>
      <c r="B6" s="554" t="str">
        <f>'2009 Known'!A8</f>
        <v>Upper Baker</v>
      </c>
      <c r="C6" s="555">
        <f>'2009 Known'!B8</f>
        <v>337353.652</v>
      </c>
      <c r="D6" s="555">
        <f>'2009 Known'!C8</f>
        <v>0</v>
      </c>
      <c r="E6" s="554" t="str">
        <f>'2009 Known'!D8</f>
        <v>Own</v>
      </c>
      <c r="F6" s="554" t="str">
        <f>'2009 Known'!E8</f>
        <v>Hydro</v>
      </c>
      <c r="G6" s="554" t="str">
        <f>'2009 Known'!F8</f>
        <v>Renew</v>
      </c>
    </row>
    <row r="7" spans="1:7" x14ac:dyDescent="0.25">
      <c r="A7" s="552">
        <v>2009</v>
      </c>
      <c r="B7" s="554" t="str">
        <f>'2009 Known'!A9</f>
        <v>Colstrip 1 &amp; 2</v>
      </c>
      <c r="C7" s="555">
        <f>'2009 Known'!B9</f>
        <v>2310597</v>
      </c>
      <c r="D7" s="555">
        <f>'2009 Known'!C9</f>
        <v>3066301.4849397005</v>
      </c>
      <c r="E7" s="554" t="str">
        <f>'2009 Known'!D9</f>
        <v>Own</v>
      </c>
      <c r="F7" s="554" t="str">
        <f>'2009 Known'!E9</f>
        <v>Coal</v>
      </c>
      <c r="G7" s="554" t="str">
        <f>'2009 Known'!F9</f>
        <v>Coal</v>
      </c>
    </row>
    <row r="8" spans="1:7" x14ac:dyDescent="0.25">
      <c r="A8" s="552">
        <v>2009</v>
      </c>
      <c r="B8" s="554" t="str">
        <f>'2009 Known'!A10</f>
        <v>Colstrip 3 &amp; 4</v>
      </c>
      <c r="C8" s="555">
        <f>'2009 Known'!B10</f>
        <v>2140507</v>
      </c>
      <c r="D8" s="555">
        <f>'2009 Known'!C10</f>
        <v>2730519.614228175</v>
      </c>
      <c r="E8" s="554" t="str">
        <f>'2009 Known'!D10</f>
        <v>Own</v>
      </c>
      <c r="F8" s="554" t="str">
        <f>'2009 Known'!E10</f>
        <v>Coal</v>
      </c>
      <c r="G8" s="554" t="str">
        <f>'2009 Known'!F10</f>
        <v>Coal</v>
      </c>
    </row>
    <row r="9" spans="1:7" x14ac:dyDescent="0.25">
      <c r="A9" s="552">
        <v>2009</v>
      </c>
      <c r="B9" s="554" t="str">
        <f>'2009 Known'!A11</f>
        <v>Encogen</v>
      </c>
      <c r="C9" s="555">
        <f>'2009 Known'!B11</f>
        <v>384510</v>
      </c>
      <c r="D9" s="555">
        <f>'2009 Known'!C11</f>
        <v>213080.79485070001</v>
      </c>
      <c r="E9" s="554" t="str">
        <f>'2009 Known'!D11</f>
        <v>Own</v>
      </c>
      <c r="F9" s="554" t="str">
        <f>'2009 Known'!E11</f>
        <v>Gas</v>
      </c>
      <c r="G9" s="554" t="str">
        <f>'2009 Known'!F11</f>
        <v>Gas</v>
      </c>
    </row>
    <row r="10" spans="1:7" x14ac:dyDescent="0.25">
      <c r="A10" s="552">
        <v>2009</v>
      </c>
      <c r="B10" s="554" t="str">
        <f>'2009 Known'!A12</f>
        <v>Goldendale</v>
      </c>
      <c r="C10" s="555">
        <f>'2009 Known'!B12</f>
        <v>1368799</v>
      </c>
      <c r="D10" s="555">
        <f>'2009 Known'!C12</f>
        <v>607905.2260575</v>
      </c>
      <c r="E10" s="554" t="str">
        <f>'2009 Known'!D12</f>
        <v>Own</v>
      </c>
      <c r="F10" s="554" t="str">
        <f>'2009 Known'!E12</f>
        <v>Gas</v>
      </c>
      <c r="G10" s="554" t="str">
        <f>'2009 Known'!F12</f>
        <v>Gas</v>
      </c>
    </row>
    <row r="11" spans="1:7" x14ac:dyDescent="0.25">
      <c r="A11" s="552">
        <v>2009</v>
      </c>
      <c r="B11" s="554" t="str">
        <f>'2009 Known'!A13</f>
        <v>Mint Farm</v>
      </c>
      <c r="C11" s="555">
        <f>'2009 Known'!B13</f>
        <v>1426827.5</v>
      </c>
      <c r="D11" s="555">
        <f>'2009 Known'!C13</f>
        <v>651926.34653580002</v>
      </c>
      <c r="E11" s="554" t="str">
        <f>'2009 Known'!D13</f>
        <v>Own</v>
      </c>
      <c r="F11" s="554" t="str">
        <f>'2009 Known'!E13</f>
        <v>Gas</v>
      </c>
      <c r="G11" s="554" t="str">
        <f>'2009 Known'!F13</f>
        <v>Gas</v>
      </c>
    </row>
    <row r="12" spans="1:7" x14ac:dyDescent="0.25">
      <c r="A12" s="552">
        <v>2009</v>
      </c>
      <c r="B12" s="554" t="str">
        <f>'2009 Known'!A14</f>
        <v>Sumas</v>
      </c>
      <c r="C12" s="555">
        <f>'2009 Known'!B14</f>
        <v>539532.19999999995</v>
      </c>
      <c r="D12" s="555">
        <f>'2009 Known'!C14</f>
        <v>291288.65798970003</v>
      </c>
      <c r="E12" s="554" t="str">
        <f>'2009 Known'!D14</f>
        <v>Own</v>
      </c>
      <c r="F12" s="554" t="str">
        <f>'2009 Known'!E14</f>
        <v>Gas</v>
      </c>
      <c r="G12" s="554" t="str">
        <f>'2009 Known'!F14</f>
        <v>Gas</v>
      </c>
    </row>
    <row r="13" spans="1:7" x14ac:dyDescent="0.25">
      <c r="A13" s="552">
        <v>2009</v>
      </c>
      <c r="B13" s="554" t="str">
        <f>'2009 Known'!A15</f>
        <v>Crystal Mountain</v>
      </c>
      <c r="C13" s="555">
        <f>'2009 Known'!B15</f>
        <v>419.45</v>
      </c>
      <c r="D13" s="555">
        <f>'2009 Known'!C15</f>
        <v>382.60538600584221</v>
      </c>
      <c r="E13" s="554" t="str">
        <f>'2009 Known'!D15</f>
        <v>Own</v>
      </c>
      <c r="F13" s="554" t="str">
        <f>'2009 Known'!E15</f>
        <v>Diesel</v>
      </c>
      <c r="G13" s="554" t="str">
        <f>'2009 Known'!F15</f>
        <v>Gas</v>
      </c>
    </row>
    <row r="14" spans="1:7" x14ac:dyDescent="0.25">
      <c r="A14" s="552">
        <v>2009</v>
      </c>
      <c r="B14" s="554" t="str">
        <f>'2009 Known'!A16</f>
        <v>Freddie #1</v>
      </c>
      <c r="C14" s="555">
        <f>'2009 Known'!B16</f>
        <v>454203</v>
      </c>
      <c r="D14" s="555">
        <f>'2009 Known'!C16</f>
        <v>213103.97716753217</v>
      </c>
      <c r="E14" s="554" t="str">
        <f>'2009 Known'!D16</f>
        <v>Own</v>
      </c>
      <c r="F14" s="554" t="str">
        <f>'2009 Known'!E16</f>
        <v>Gas</v>
      </c>
      <c r="G14" s="554" t="str">
        <f>'2009 Known'!F16</f>
        <v>Gas</v>
      </c>
    </row>
    <row r="15" spans="1:7" x14ac:dyDescent="0.25">
      <c r="A15" s="552">
        <v>2009</v>
      </c>
      <c r="B15" s="554" t="str">
        <f>'2009 Known'!A17</f>
        <v>Fredonia</v>
      </c>
      <c r="C15" s="555">
        <f>'2009 Known'!B17</f>
        <v>64044.5</v>
      </c>
      <c r="D15" s="555">
        <f>'2009 Known'!C17</f>
        <v>50257.141377935855</v>
      </c>
      <c r="E15" s="554" t="str">
        <f>'2009 Known'!D17</f>
        <v>Own</v>
      </c>
      <c r="F15" s="554" t="str">
        <f>'2009 Known'!E17</f>
        <v>Gas</v>
      </c>
      <c r="G15" s="554" t="str">
        <f>'2009 Known'!F17</f>
        <v>Gas</v>
      </c>
    </row>
    <row r="16" spans="1:7" x14ac:dyDescent="0.25">
      <c r="A16" s="552">
        <v>2009</v>
      </c>
      <c r="B16" s="554" t="str">
        <f>'2009 Known'!A18</f>
        <v>Fredonia 3 &amp; 4</v>
      </c>
      <c r="C16" s="555">
        <f>'2009 Known'!B18</f>
        <v>89229</v>
      </c>
      <c r="D16" s="555">
        <f>'2009 Known'!C18</f>
        <v>62316.506838600006</v>
      </c>
      <c r="E16" s="554" t="str">
        <f>'2009 Known'!D18</f>
        <v>Own</v>
      </c>
      <c r="F16" s="554" t="str">
        <f>'2009 Known'!E18</f>
        <v>Gas</v>
      </c>
      <c r="G16" s="554" t="str">
        <f>'2009 Known'!F18</f>
        <v>Gas</v>
      </c>
    </row>
    <row r="17" spans="1:7" x14ac:dyDescent="0.25">
      <c r="A17" s="552">
        <v>2009</v>
      </c>
      <c r="B17" s="554" t="str">
        <f>'2009 Known'!A19</f>
        <v>Fredrickson 1 &amp; 2</v>
      </c>
      <c r="C17" s="555">
        <f>'2009 Known'!B19</f>
        <v>18586.099999999999</v>
      </c>
      <c r="D17" s="555">
        <f>'2009 Known'!C19</f>
        <v>16448.683668299996</v>
      </c>
      <c r="E17" s="554" t="str">
        <f>'2009 Known'!D19</f>
        <v>Own</v>
      </c>
      <c r="F17" s="554" t="str">
        <f>'2009 Known'!E19</f>
        <v>Gas</v>
      </c>
      <c r="G17" s="554" t="str">
        <f>'2009 Known'!F19</f>
        <v>Gas</v>
      </c>
    </row>
    <row r="18" spans="1:7" x14ac:dyDescent="0.25">
      <c r="A18" s="552">
        <v>2009</v>
      </c>
      <c r="B18" s="554" t="str">
        <f>'2009 Known'!A20</f>
        <v>Hopkins Ridge (W184)</v>
      </c>
      <c r="C18" s="555">
        <f>'2009 Known'!B20</f>
        <v>381219.26400000002</v>
      </c>
      <c r="D18" s="555">
        <f>'2009 Known'!C20</f>
        <v>0</v>
      </c>
      <c r="E18" s="554" t="str">
        <f>'2009 Known'!D20</f>
        <v>Own</v>
      </c>
      <c r="F18" s="554" t="str">
        <f>'2009 Known'!E20</f>
        <v>Wind</v>
      </c>
      <c r="G18" s="554" t="str">
        <f>'2009 Known'!F20</f>
        <v>Renew</v>
      </c>
    </row>
    <row r="19" spans="1:7" x14ac:dyDescent="0.25">
      <c r="A19" s="552">
        <v>2009</v>
      </c>
      <c r="B19" s="554" t="str">
        <f>'2009 Known'!A21</f>
        <v>Whitehorn 2&amp;3</v>
      </c>
      <c r="C19" s="555">
        <f>'2009 Known'!B21</f>
        <v>16995.3</v>
      </c>
      <c r="D19" s="555">
        <f>'2009 Known'!C21</f>
        <v>14777.467701368285</v>
      </c>
      <c r="E19" s="554" t="str">
        <f>'2009 Known'!D21</f>
        <v>Own</v>
      </c>
      <c r="F19" s="554" t="str">
        <f>'2009 Known'!E21</f>
        <v>Gas</v>
      </c>
      <c r="G19" s="554" t="str">
        <f>'2009 Known'!F21</f>
        <v>Gas</v>
      </c>
    </row>
    <row r="20" spans="1:7" x14ac:dyDescent="0.25">
      <c r="A20" s="552">
        <v>2009</v>
      </c>
      <c r="B20" s="554" t="str">
        <f>'2009 Known'!A22</f>
        <v>Wild Horse (W183)</v>
      </c>
      <c r="C20" s="555">
        <f>'2009 Known'!B22</f>
        <v>565274.87399999995</v>
      </c>
      <c r="D20" s="555">
        <f>'2009 Known'!C22</f>
        <v>0</v>
      </c>
      <c r="E20" s="554" t="str">
        <f>'2009 Known'!D22</f>
        <v>Own</v>
      </c>
      <c r="F20" s="554" t="str">
        <f>'2009 Known'!E22</f>
        <v>Wind</v>
      </c>
      <c r="G20" s="554" t="str">
        <f>'2009 Known'!F22</f>
        <v>Renew</v>
      </c>
    </row>
    <row r="21" spans="1:7" x14ac:dyDescent="0.25">
      <c r="A21" s="552">
        <v>2009</v>
      </c>
      <c r="B21" s="554" t="str">
        <f>'2009 Known'!A23</f>
        <v>BC Hydro (Point Roberts)</v>
      </c>
      <c r="C21" s="555">
        <f>'2009 Known'!B23</f>
        <v>22270.57</v>
      </c>
      <c r="D21" s="555">
        <f>'2009 Known'!C23</f>
        <v>9122.1134407515001</v>
      </c>
      <c r="E21" s="554" t="str">
        <f>'2009 Known'!D23</f>
        <v>Firm</v>
      </c>
      <c r="F21" s="554" t="str">
        <f>'2009 Known'!E23</f>
        <v>System</v>
      </c>
      <c r="G21" s="554" t="str">
        <f>'2009 Known'!F23</f>
        <v>System</v>
      </c>
    </row>
    <row r="22" spans="1:7" x14ac:dyDescent="0.25">
      <c r="A22" s="552">
        <v>2009</v>
      </c>
      <c r="B22" s="554" t="str">
        <f>'2009 Known'!A24</f>
        <v>BPA</v>
      </c>
      <c r="C22" s="555">
        <f>'2009 Known'!B24</f>
        <v>7014</v>
      </c>
      <c r="D22" s="555">
        <f>'2009 Known'!C24</f>
        <v>0</v>
      </c>
      <c r="E22" s="554" t="str">
        <f>'2009 Known'!D24</f>
        <v>Firm</v>
      </c>
      <c r="F22" s="554" t="str">
        <f>'2009 Known'!E24</f>
        <v>Hydro</v>
      </c>
      <c r="G22" s="554" t="str">
        <f>'2009 Known'!F24</f>
        <v>Renew</v>
      </c>
    </row>
    <row r="23" spans="1:7" x14ac:dyDescent="0.25">
      <c r="A23" s="552">
        <v>2009</v>
      </c>
      <c r="B23" s="554" t="str">
        <f>'2009 Known'!A25</f>
        <v>BPA Firm - WNP#3 Exchange</v>
      </c>
      <c r="C23" s="555">
        <f>'2009 Known'!B25</f>
        <v>393717</v>
      </c>
      <c r="D23" s="555">
        <f>'2009 Known'!C25</f>
        <v>161268.03838215</v>
      </c>
      <c r="E23" s="554" t="str">
        <f>'2009 Known'!D25</f>
        <v>Firm</v>
      </c>
      <c r="F23" s="554" t="str">
        <f>'2009 Known'!E25</f>
        <v>System</v>
      </c>
      <c r="G23" s="554" t="str">
        <f>'2009 Known'!F25</f>
        <v>System</v>
      </c>
    </row>
    <row r="24" spans="1:7" x14ac:dyDescent="0.25">
      <c r="A24" s="552">
        <v>2009</v>
      </c>
      <c r="B24" s="554" t="str">
        <f>'2009 Known'!A26</f>
        <v>Chelan PUD - Rock Island Syst #2</v>
      </c>
      <c r="C24" s="555">
        <f>'2009 Known'!B26</f>
        <v>1263318</v>
      </c>
      <c r="D24" s="555">
        <f>'2009 Known'!C26</f>
        <v>0</v>
      </c>
      <c r="E24" s="554" t="str">
        <f>'2009 Known'!D26</f>
        <v>Firm</v>
      </c>
      <c r="F24" s="554" t="str">
        <f>'2009 Known'!E26</f>
        <v>Hydro</v>
      </c>
      <c r="G24" s="554" t="str">
        <f>'2009 Known'!F26</f>
        <v>Renew</v>
      </c>
    </row>
    <row r="25" spans="1:7" x14ac:dyDescent="0.25">
      <c r="A25" s="552">
        <v>2009</v>
      </c>
      <c r="B25" s="554" t="str">
        <f>'2009 Known'!A27</f>
        <v>Chelan PUD - Rocky Reach</v>
      </c>
      <c r="C25" s="555">
        <f>'2009 Known'!B27</f>
        <v>2007333</v>
      </c>
      <c r="D25" s="555">
        <f>'2009 Known'!C27</f>
        <v>0</v>
      </c>
      <c r="E25" s="554" t="str">
        <f>'2009 Known'!D27</f>
        <v>Firm</v>
      </c>
      <c r="F25" s="554" t="str">
        <f>'2009 Known'!E27</f>
        <v>Hydro</v>
      </c>
      <c r="G25" s="554" t="str">
        <f>'2009 Known'!F27</f>
        <v>Renew</v>
      </c>
    </row>
    <row r="26" spans="1:7" x14ac:dyDescent="0.25">
      <c r="A26" s="552">
        <v>2009</v>
      </c>
      <c r="B26" s="554" t="str">
        <f>'2009 Known'!A28</f>
        <v>Douglas PUD - Wells Project</v>
      </c>
      <c r="C26" s="555">
        <f>'2009 Known'!B28</f>
        <v>959848</v>
      </c>
      <c r="D26" s="555">
        <f>'2009 Known'!C28</f>
        <v>0</v>
      </c>
      <c r="E26" s="554" t="str">
        <f>'2009 Known'!D28</f>
        <v>Firm</v>
      </c>
      <c r="F26" s="554" t="str">
        <f>'2009 Known'!E28</f>
        <v>Hydro</v>
      </c>
      <c r="G26" s="554" t="str">
        <f>'2009 Known'!F28</f>
        <v>Renew</v>
      </c>
    </row>
    <row r="27" spans="1:7" x14ac:dyDescent="0.25">
      <c r="A27" s="552">
        <v>2009</v>
      </c>
      <c r="B27" s="554" t="str">
        <f>'2009 Known'!A29</f>
        <v>Farm Power Rexville LLC</v>
      </c>
      <c r="C27" s="555">
        <f>'2009 Known'!B29</f>
        <v>1523.01</v>
      </c>
      <c r="D27" s="555">
        <f>'2009 Known'!C29</f>
        <v>0</v>
      </c>
      <c r="E27" s="554" t="str">
        <f>'2009 Known'!D29</f>
        <v>Firm</v>
      </c>
      <c r="F27" s="554" t="str">
        <f>'2009 Known'!E29</f>
        <v>Biogas</v>
      </c>
      <c r="G27" s="554" t="str">
        <f>'2009 Known'!F29</f>
        <v>Renew</v>
      </c>
    </row>
    <row r="28" spans="1:7" x14ac:dyDescent="0.25">
      <c r="A28" s="552">
        <v>2009</v>
      </c>
      <c r="B28" s="554" t="str">
        <f>'2009 Known'!A30</f>
        <v>Grant PUD - Priest Rapids</v>
      </c>
      <c r="C28" s="555">
        <f>'2009 Known'!B30</f>
        <v>234580</v>
      </c>
      <c r="D28" s="555">
        <f>'2009 Known'!C30</f>
        <v>0</v>
      </c>
      <c r="E28" s="554" t="str">
        <f>'2009 Known'!D30</f>
        <v>Firm</v>
      </c>
      <c r="F28" s="554" t="str">
        <f>'2009 Known'!E30</f>
        <v>Hydro</v>
      </c>
      <c r="G28" s="554" t="str">
        <f>'2009 Known'!F30</f>
        <v>Renew</v>
      </c>
    </row>
    <row r="29" spans="1:7" x14ac:dyDescent="0.25">
      <c r="A29" s="552">
        <v>2009</v>
      </c>
      <c r="B29" s="554" t="str">
        <f>'2009 Known'!A31</f>
        <v>Grant PUD - Priest Rapids Project</v>
      </c>
      <c r="C29" s="555">
        <f>'2009 Known'!B31</f>
        <v>82584</v>
      </c>
      <c r="D29" s="555">
        <f>'2009 Known'!C31</f>
        <v>0</v>
      </c>
      <c r="E29" s="554" t="str">
        <f>'2009 Known'!D31</f>
        <v>Firm</v>
      </c>
      <c r="F29" s="554" t="str">
        <f>'2009 Known'!E31</f>
        <v>Hydro</v>
      </c>
      <c r="G29" s="554" t="str">
        <f>'2009 Known'!F31</f>
        <v>Renew</v>
      </c>
    </row>
    <row r="30" spans="1:7" x14ac:dyDescent="0.25">
      <c r="A30" s="552">
        <v>2009</v>
      </c>
      <c r="B30" s="554" t="str">
        <f>'2009 Known'!A32</f>
        <v>Grant PUD - Wanapum</v>
      </c>
      <c r="C30" s="555">
        <f>'2009 Known'!B32</f>
        <v>313799</v>
      </c>
      <c r="D30" s="555">
        <f>'2009 Known'!C32</f>
        <v>0</v>
      </c>
      <c r="E30" s="554" t="str">
        <f>'2009 Known'!D32</f>
        <v>Firm</v>
      </c>
      <c r="F30" s="554" t="str">
        <f>'2009 Known'!E32</f>
        <v>Hydro</v>
      </c>
      <c r="G30" s="554" t="str">
        <f>'2009 Known'!F32</f>
        <v>Renew</v>
      </c>
    </row>
    <row r="31" spans="1:7" x14ac:dyDescent="0.25">
      <c r="A31" s="552">
        <v>2009</v>
      </c>
      <c r="B31" s="554" t="str">
        <f>'2009 Known'!A33</f>
        <v>Klondike Wind Power III</v>
      </c>
      <c r="C31" s="555">
        <f>'2009 Known'!B33</f>
        <v>132569</v>
      </c>
      <c r="D31" s="555">
        <f>'2009 Known'!C33</f>
        <v>0</v>
      </c>
      <c r="E31" s="554" t="str">
        <f>'2009 Known'!D33</f>
        <v>Firm</v>
      </c>
      <c r="F31" s="554" t="str">
        <f>'2009 Known'!E33</f>
        <v>Wind</v>
      </c>
      <c r="G31" s="554" t="str">
        <f>'2009 Known'!F33</f>
        <v>Renew</v>
      </c>
    </row>
    <row r="32" spans="1:7" x14ac:dyDescent="0.25">
      <c r="A32" s="552">
        <v>2009</v>
      </c>
      <c r="B32" s="554" t="str">
        <f>'2009 Known'!A34</f>
        <v>NWestern Energy(MPC) Firm Contract</v>
      </c>
      <c r="C32" s="555">
        <f>'2009 Known'!B34</f>
        <v>591921</v>
      </c>
      <c r="D32" s="555">
        <f>'2009 Known'!C34</f>
        <v>716565.09146554756</v>
      </c>
      <c r="E32" s="554" t="str">
        <f>'2009 Known'!D34</f>
        <v>Firm</v>
      </c>
      <c r="F32" s="554" t="str">
        <f>'2009 Known'!E34</f>
        <v>Coal</v>
      </c>
      <c r="G32" s="554" t="str">
        <f>'2009 Known'!F34</f>
        <v>Coal</v>
      </c>
    </row>
    <row r="33" spans="1:7" x14ac:dyDescent="0.25">
      <c r="A33" s="552">
        <v>2009</v>
      </c>
      <c r="B33" s="554" t="str">
        <f>'2009 Known'!A35</f>
        <v>Qualco Energy</v>
      </c>
      <c r="C33" s="555">
        <f>'2009 Known'!B35</f>
        <v>3036</v>
      </c>
      <c r="D33" s="555">
        <f>'2009 Known'!C35</f>
        <v>0</v>
      </c>
      <c r="E33" s="554" t="str">
        <f>'2009 Known'!D35</f>
        <v>Firm</v>
      </c>
      <c r="F33" s="554" t="str">
        <f>'2009 Known'!E35</f>
        <v>Biogas</v>
      </c>
      <c r="G33" s="554" t="str">
        <f>'2009 Known'!F35</f>
        <v>Renew</v>
      </c>
    </row>
    <row r="34" spans="1:7" x14ac:dyDescent="0.25">
      <c r="A34" s="552">
        <v>2009</v>
      </c>
      <c r="B34" s="554" t="str">
        <f>'2009 Known'!A36</f>
        <v>Snohomish PUD Conservation</v>
      </c>
      <c r="C34" s="555">
        <f>'2009 Known'!B36</f>
        <v>89728</v>
      </c>
      <c r="D34" s="555">
        <f>'2009 Known'!C36</f>
        <v>36752.9432256</v>
      </c>
      <c r="E34" s="554" t="str">
        <f>'2009 Known'!D36</f>
        <v>Firm</v>
      </c>
      <c r="F34" s="554" t="str">
        <f>'2009 Known'!E36</f>
        <v>System</v>
      </c>
      <c r="G34" s="554" t="str">
        <f>'2009 Known'!F36</f>
        <v>System</v>
      </c>
    </row>
    <row r="35" spans="1:7" x14ac:dyDescent="0.25">
      <c r="A35" s="552">
        <v>2009</v>
      </c>
      <c r="B35" s="554" t="str">
        <f>'2009 Known'!A37</f>
        <v>VanderHaak Dairy Digester</v>
      </c>
      <c r="C35" s="555">
        <f>'2009 Known'!B37</f>
        <v>2345.92</v>
      </c>
      <c r="D35" s="555">
        <f>'2009 Known'!C37</f>
        <v>0</v>
      </c>
      <c r="E35" s="554" t="str">
        <f>'2009 Known'!D37</f>
        <v>Firm</v>
      </c>
      <c r="F35" s="554" t="str">
        <f>'2009 Known'!E37</f>
        <v>Biogas</v>
      </c>
      <c r="G35" s="554" t="str">
        <f>'2009 Known'!F37</f>
        <v>Renew</v>
      </c>
    </row>
    <row r="36" spans="1:7" x14ac:dyDescent="0.25">
      <c r="A36" s="552">
        <v>2009</v>
      </c>
      <c r="B36" s="554" t="str">
        <f>'2009 Known'!A38</f>
        <v>WASCO Hydro</v>
      </c>
      <c r="C36" s="555">
        <f>'2009 Known'!B38</f>
        <v>39992</v>
      </c>
      <c r="D36" s="555">
        <f>'2009 Known'!C38</f>
        <v>0</v>
      </c>
      <c r="E36" s="554" t="str">
        <f>'2009 Known'!D38</f>
        <v>Firm</v>
      </c>
      <c r="F36" s="554" t="str">
        <f>'2009 Known'!E38</f>
        <v>Hydro</v>
      </c>
      <c r="G36" s="554" t="str">
        <f>'2009 Known'!F38</f>
        <v>Renew</v>
      </c>
    </row>
    <row r="37" spans="1:7" x14ac:dyDescent="0.25">
      <c r="A37" s="552">
        <v>2009</v>
      </c>
      <c r="B37" s="554" t="str">
        <f>'2009 Known'!A39</f>
        <v>Koma Kulshan Associates</v>
      </c>
      <c r="C37" s="555">
        <f>'2009 Known'!B39</f>
        <v>36065.160000000003</v>
      </c>
      <c r="D37" s="555">
        <f>'2009 Known'!C39</f>
        <v>0</v>
      </c>
      <c r="E37" s="554" t="str">
        <f>'2009 Known'!D39</f>
        <v>Firm</v>
      </c>
      <c r="F37" s="554" t="str">
        <f>'2009 Known'!E39</f>
        <v>Hydro</v>
      </c>
      <c r="G37" s="554" t="str">
        <f>'2009 Known'!F39</f>
        <v>Renew</v>
      </c>
    </row>
    <row r="38" spans="1:7" x14ac:dyDescent="0.25">
      <c r="A38" s="552">
        <v>2009</v>
      </c>
      <c r="B38" s="554" t="str">
        <f>'2009 Known'!A40</f>
        <v>March Point Cogen. - 1 &amp; 2</v>
      </c>
      <c r="C38" s="555">
        <f>'2009 Known'!B40</f>
        <v>995857.89</v>
      </c>
      <c r="D38" s="555">
        <f>'2009 Known'!C40</f>
        <v>354047.70626803505</v>
      </c>
      <c r="E38" s="554" t="str">
        <f>'2009 Known'!D40</f>
        <v>Firm</v>
      </c>
      <c r="F38" s="554" t="str">
        <f>'2009 Known'!E40</f>
        <v>Gas</v>
      </c>
      <c r="G38" s="554" t="str">
        <f>'2009 Known'!F40</f>
        <v>Gas</v>
      </c>
    </row>
    <row r="39" spans="1:7" x14ac:dyDescent="0.25">
      <c r="A39" s="552">
        <v>2009</v>
      </c>
      <c r="B39" s="554" t="str">
        <f>'2009 Known'!A41</f>
        <v>Nooksack</v>
      </c>
      <c r="C39" s="555">
        <f>'2009 Known'!B41</f>
        <v>23209.795999999998</v>
      </c>
      <c r="D39" s="555">
        <f>'2009 Known'!C41</f>
        <v>0</v>
      </c>
      <c r="E39" s="554" t="str">
        <f>'2009 Known'!D41</f>
        <v>Firm</v>
      </c>
      <c r="F39" s="554" t="str">
        <f>'2009 Known'!E41</f>
        <v>Hydro</v>
      </c>
      <c r="G39" s="554" t="str">
        <f>'2009 Known'!F41</f>
        <v>Renew</v>
      </c>
    </row>
    <row r="40" spans="1:7" x14ac:dyDescent="0.25">
      <c r="A40" s="552">
        <v>2009</v>
      </c>
      <c r="B40" s="554" t="str">
        <f>'2009 Known'!A42</f>
        <v>Port Townsend Paper Co.</v>
      </c>
      <c r="C40" s="555">
        <f>'2009 Known'!B42</f>
        <v>1816.9169999999999</v>
      </c>
      <c r="D40" s="555">
        <f>'2009 Known'!C42</f>
        <v>907.40749162907605</v>
      </c>
      <c r="E40" s="554" t="str">
        <f>'2009 Known'!D42</f>
        <v>Firm</v>
      </c>
      <c r="F40" s="554" t="str">
        <f>'2009 Known'!E42</f>
        <v>Gas</v>
      </c>
      <c r="G40" s="554" t="str">
        <f>'2009 Known'!F42</f>
        <v>Gas</v>
      </c>
    </row>
    <row r="41" spans="1:7" x14ac:dyDescent="0.25">
      <c r="A41" s="552">
        <v>2009</v>
      </c>
      <c r="B41" s="554" t="str">
        <f>'2009 Known'!A43</f>
        <v>Puyallup Energy Recovery Company</v>
      </c>
      <c r="C41" s="555">
        <f>'2009 Known'!B43</f>
        <v>343.577</v>
      </c>
      <c r="D41" s="555">
        <f>'2009 Known'!C43</f>
        <v>0</v>
      </c>
      <c r="E41" s="554" t="str">
        <f>'2009 Known'!D43</f>
        <v>Firm</v>
      </c>
      <c r="F41" s="554" t="str">
        <f>'2009 Known'!E43</f>
        <v>Biogas</v>
      </c>
      <c r="G41" s="554" t="str">
        <f>'2009 Known'!F43</f>
        <v>Renew</v>
      </c>
    </row>
    <row r="42" spans="1:7" x14ac:dyDescent="0.25">
      <c r="A42" s="552">
        <v>2009</v>
      </c>
      <c r="B42" s="554" t="str">
        <f>'2009 Known'!A44</f>
        <v>Spokane MSW</v>
      </c>
      <c r="C42" s="555">
        <f>'2009 Known'!B44</f>
        <v>133987</v>
      </c>
      <c r="D42" s="555">
        <f>'2009 Known'!C44</f>
        <v>113963.07081369704</v>
      </c>
      <c r="E42" s="554" t="str">
        <f>'2009 Known'!D44</f>
        <v>Firm</v>
      </c>
      <c r="F42" s="554" t="str">
        <f>'2009 Known'!E44</f>
        <v>Gas</v>
      </c>
      <c r="G42" s="554" t="str">
        <f>'2009 Known'!F44</f>
        <v>Gas</v>
      </c>
    </row>
    <row r="43" spans="1:7" x14ac:dyDescent="0.25">
      <c r="A43" s="552">
        <v>2009</v>
      </c>
      <c r="B43" s="554" t="str">
        <f>'2009 Known'!A45</f>
        <v>Sygitowicz Creek</v>
      </c>
      <c r="C43" s="555">
        <f>'2009 Known'!B45</f>
        <v>1018.08</v>
      </c>
      <c r="D43" s="555">
        <f>'2009 Known'!C45</f>
        <v>0</v>
      </c>
      <c r="E43" s="554" t="str">
        <f>'2009 Known'!D45</f>
        <v>Firm</v>
      </c>
      <c r="F43" s="554" t="str">
        <f>'2009 Known'!E45</f>
        <v>Hydro</v>
      </c>
      <c r="G43" s="554" t="str">
        <f>'2009 Known'!F45</f>
        <v>Renew</v>
      </c>
    </row>
    <row r="44" spans="1:7" x14ac:dyDescent="0.25">
      <c r="A44" s="552">
        <v>2009</v>
      </c>
      <c r="B44" s="554" t="str">
        <f>'2009 Known'!A46</f>
        <v>Tenaska</v>
      </c>
      <c r="C44" s="555">
        <f>'2009 Known'!B46</f>
        <v>866454.6</v>
      </c>
      <c r="D44" s="555">
        <f>'2009 Known'!C46</f>
        <v>383620.8195353552</v>
      </c>
      <c r="E44" s="554" t="str">
        <f>'2009 Known'!D46</f>
        <v>Firm</v>
      </c>
      <c r="F44" s="554" t="str">
        <f>'2009 Known'!E46</f>
        <v>Gas</v>
      </c>
      <c r="G44" s="554" t="str">
        <f>'2009 Known'!F46</f>
        <v>Gas</v>
      </c>
    </row>
    <row r="45" spans="1:7" x14ac:dyDescent="0.25">
      <c r="A45" s="552">
        <v>2009</v>
      </c>
      <c r="B45" s="554" t="str">
        <f>'2009 Known'!A47</f>
        <v>Twin Falls Hydro</v>
      </c>
      <c r="C45" s="555">
        <f>'2009 Known'!B47</f>
        <v>69081.600000000006</v>
      </c>
      <c r="D45" s="555">
        <f>'2009 Known'!C47</f>
        <v>0</v>
      </c>
      <c r="E45" s="554" t="str">
        <f>'2009 Known'!D47</f>
        <v>Firm</v>
      </c>
      <c r="F45" s="554" t="str">
        <f>'2009 Known'!E47</f>
        <v>Hydro</v>
      </c>
      <c r="G45" s="554" t="str">
        <f>'2009 Known'!F47</f>
        <v>Renew</v>
      </c>
    </row>
    <row r="46" spans="1:7" x14ac:dyDescent="0.25">
      <c r="A46" s="552">
        <v>2009</v>
      </c>
      <c r="B46" s="554" t="str">
        <f>'2009 Known'!A48</f>
        <v>Weeks Falls</v>
      </c>
      <c r="C46" s="555">
        <f>'2009 Known'!B48</f>
        <v>12348</v>
      </c>
      <c r="D46" s="555">
        <f>'2009 Known'!C48</f>
        <v>0</v>
      </c>
      <c r="E46" s="554" t="str">
        <f>'2009 Known'!D48</f>
        <v>Firm</v>
      </c>
      <c r="F46" s="554" t="str">
        <f>'2009 Known'!E48</f>
        <v>Hydro</v>
      </c>
      <c r="G46" s="554" t="str">
        <f>'2009 Known'!F48</f>
        <v>Renew</v>
      </c>
    </row>
    <row r="47" spans="1:7" x14ac:dyDescent="0.25">
      <c r="A47" s="552">
        <v>2009</v>
      </c>
      <c r="B47" s="554" t="s">
        <v>462</v>
      </c>
      <c r="C47" s="556">
        <f>'2009 Unknown'!B148</f>
        <v>4408167.4979999997</v>
      </c>
      <c r="D47" s="556">
        <f>'2009 Unknown'!D148</f>
        <v>2465915.6877966262</v>
      </c>
      <c r="E47" s="557" t="s">
        <v>473</v>
      </c>
      <c r="F47" s="552" t="s">
        <v>432</v>
      </c>
      <c r="G47" s="552" t="s">
        <v>432</v>
      </c>
    </row>
    <row r="48" spans="1:7" x14ac:dyDescent="0.25">
      <c r="A48" s="552">
        <v>2010</v>
      </c>
      <c r="B48" s="552" t="str">
        <f>'2010 Known'!A4</f>
        <v>Electron</v>
      </c>
      <c r="C48" s="553">
        <f>'2010 Known'!B4</f>
        <v>88025.31</v>
      </c>
      <c r="D48" s="553">
        <f>'2010 Known'!C4</f>
        <v>0</v>
      </c>
      <c r="E48" s="552" t="str">
        <f>'2010 Known'!D4</f>
        <v>Own</v>
      </c>
      <c r="F48" s="552" t="str">
        <f>'2010 Known'!E4</f>
        <v>Hydro</v>
      </c>
      <c r="G48" s="552" t="str">
        <f>'2010 Known'!F4</f>
        <v>Renew</v>
      </c>
    </row>
    <row r="49" spans="1:7" x14ac:dyDescent="0.25">
      <c r="A49" s="552">
        <v>2010</v>
      </c>
      <c r="B49" s="552" t="str">
        <f>'2010 Known'!A5</f>
        <v>Lower Baker</v>
      </c>
      <c r="C49" s="553">
        <f>'2010 Known'!B5</f>
        <v>366338.20400000003</v>
      </c>
      <c r="D49" s="553">
        <f>'2010 Known'!C5</f>
        <v>0</v>
      </c>
      <c r="E49" s="552" t="str">
        <f>'2010 Known'!D5</f>
        <v>Own</v>
      </c>
      <c r="F49" s="552" t="str">
        <f>'2010 Known'!E5</f>
        <v>Hydro</v>
      </c>
      <c r="G49" s="552" t="str">
        <f>'2010 Known'!F5</f>
        <v>Renew</v>
      </c>
    </row>
    <row r="50" spans="1:7" x14ac:dyDescent="0.25">
      <c r="A50" s="552">
        <v>2010</v>
      </c>
      <c r="B50" s="552" t="str">
        <f>'2010 Known'!A6</f>
        <v>Snoqualmie Falls #1</v>
      </c>
      <c r="C50" s="553">
        <f>'2010 Known'!B6</f>
        <v>13051.4</v>
      </c>
      <c r="D50" s="553">
        <f>'2010 Known'!C6</f>
        <v>0</v>
      </c>
      <c r="E50" s="552" t="str">
        <f>'2010 Known'!D6</f>
        <v>Own</v>
      </c>
      <c r="F50" s="552" t="str">
        <f>'2010 Known'!E6</f>
        <v>Hydro</v>
      </c>
      <c r="G50" s="552" t="str">
        <f>'2010 Known'!F6</f>
        <v>Renew</v>
      </c>
    </row>
    <row r="51" spans="1:7" x14ac:dyDescent="0.25">
      <c r="A51" s="552">
        <v>2010</v>
      </c>
      <c r="B51" s="552" t="str">
        <f>'2010 Known'!A7</f>
        <v>Snoqualmie Falls #2</v>
      </c>
      <c r="C51" s="553">
        <f>'2010 Known'!B7</f>
        <v>101676.9</v>
      </c>
      <c r="D51" s="553">
        <f>'2010 Known'!C7</f>
        <v>0</v>
      </c>
      <c r="E51" s="552" t="str">
        <f>'2010 Known'!D7</f>
        <v>Own</v>
      </c>
      <c r="F51" s="552" t="str">
        <f>'2010 Known'!E7</f>
        <v>Hydro</v>
      </c>
      <c r="G51" s="552" t="str">
        <f>'2010 Known'!F7</f>
        <v>Renew</v>
      </c>
    </row>
    <row r="52" spans="1:7" x14ac:dyDescent="0.25">
      <c r="A52" s="552">
        <v>2010</v>
      </c>
      <c r="B52" s="552" t="str">
        <f>'2010 Known'!A8</f>
        <v>Upper Baker</v>
      </c>
      <c r="C52" s="553">
        <f>'2010 Known'!B8</f>
        <v>360504.88400000002</v>
      </c>
      <c r="D52" s="553">
        <f>'2010 Known'!C8</f>
        <v>0</v>
      </c>
      <c r="E52" s="552" t="str">
        <f>'2010 Known'!D8</f>
        <v>Own</v>
      </c>
      <c r="F52" s="552" t="str">
        <f>'2010 Known'!E8</f>
        <v>Hydro</v>
      </c>
      <c r="G52" s="552" t="str">
        <f>'2010 Known'!F8</f>
        <v>Renew</v>
      </c>
    </row>
    <row r="53" spans="1:7" x14ac:dyDescent="0.25">
      <c r="A53" s="552">
        <v>2010</v>
      </c>
      <c r="B53" s="552" t="str">
        <f>'2010 Known'!A9</f>
        <v>Colstrip 1 &amp; 2</v>
      </c>
      <c r="C53" s="553">
        <f>'2010 Known'!B9</f>
        <v>2293375</v>
      </c>
      <c r="D53" s="553">
        <f>'2010 Known'!C9</f>
        <v>2820139.3193508377</v>
      </c>
      <c r="E53" s="552" t="str">
        <f>'2010 Known'!D9</f>
        <v>Own</v>
      </c>
      <c r="F53" s="552" t="str">
        <f>'2010 Known'!E9</f>
        <v>Coal</v>
      </c>
      <c r="G53" s="552" t="str">
        <f>'2010 Known'!F9</f>
        <v>Coal</v>
      </c>
    </row>
    <row r="54" spans="1:7" x14ac:dyDescent="0.25">
      <c r="A54" s="552">
        <v>2010</v>
      </c>
      <c r="B54" s="552" t="str">
        <f>'2010 Known'!A10</f>
        <v>Colstrip 3 &amp; 4</v>
      </c>
      <c r="C54" s="553">
        <f>'2010 Known'!B10</f>
        <v>2904730</v>
      </c>
      <c r="D54" s="553">
        <f>'2010 Known'!C10</f>
        <v>3273215.424237926</v>
      </c>
      <c r="E54" s="552" t="str">
        <f>'2010 Known'!D10</f>
        <v>Own</v>
      </c>
      <c r="F54" s="552" t="str">
        <f>'2010 Known'!E10</f>
        <v>Coal</v>
      </c>
      <c r="G54" s="552" t="str">
        <f>'2010 Known'!F10</f>
        <v>Coal</v>
      </c>
    </row>
    <row r="55" spans="1:7" x14ac:dyDescent="0.25">
      <c r="A55" s="552">
        <v>2010</v>
      </c>
      <c r="B55" s="552" t="str">
        <f>'2010 Known'!A11</f>
        <v>Encogen</v>
      </c>
      <c r="C55" s="553">
        <f>'2010 Known'!B11</f>
        <v>197771.9</v>
      </c>
      <c r="D55" s="553">
        <f>'2010 Known'!C11</f>
        <v>103636.42926896828</v>
      </c>
      <c r="E55" s="552" t="str">
        <f>'2010 Known'!D11</f>
        <v>Own</v>
      </c>
      <c r="F55" s="552" t="str">
        <f>'2010 Known'!E11</f>
        <v>Gas</v>
      </c>
      <c r="G55" s="552" t="str">
        <f>'2010 Known'!F11</f>
        <v>Gas</v>
      </c>
    </row>
    <row r="56" spans="1:7" x14ac:dyDescent="0.25">
      <c r="A56" s="552">
        <v>2010</v>
      </c>
      <c r="B56" s="552" t="str">
        <f>'2010 Known'!A12</f>
        <v>Freddie #1</v>
      </c>
      <c r="C56" s="553">
        <f>'2010 Known'!B12</f>
        <v>418445.701</v>
      </c>
      <c r="D56" s="553">
        <f>'2010 Known'!C12</f>
        <v>178267.05492435681</v>
      </c>
      <c r="E56" s="552" t="str">
        <f>'2010 Known'!D12</f>
        <v>Own</v>
      </c>
      <c r="F56" s="552" t="str">
        <f>'2010 Known'!E12</f>
        <v>Gas</v>
      </c>
      <c r="G56" s="552" t="str">
        <f>'2010 Known'!F12</f>
        <v>Gas</v>
      </c>
    </row>
    <row r="57" spans="1:7" x14ac:dyDescent="0.25">
      <c r="A57" s="552">
        <v>2010</v>
      </c>
      <c r="B57" s="552" t="str">
        <f>'2010 Known'!A13</f>
        <v>Goldendale</v>
      </c>
      <c r="C57" s="553">
        <f>'2010 Known'!B13</f>
        <v>1541236</v>
      </c>
      <c r="D57" s="553">
        <f>'2010 Known'!C13</f>
        <v>618131.79591709084</v>
      </c>
      <c r="E57" s="552" t="str">
        <f>'2010 Known'!D13</f>
        <v>Own</v>
      </c>
      <c r="F57" s="552" t="str">
        <f>'2010 Known'!E13</f>
        <v>Gas</v>
      </c>
      <c r="G57" s="552" t="str">
        <f>'2010 Known'!F13</f>
        <v>Gas</v>
      </c>
    </row>
    <row r="58" spans="1:7" x14ac:dyDescent="0.25">
      <c r="A58" s="552">
        <v>2010</v>
      </c>
      <c r="B58" s="552" t="str">
        <f>'2010 Known'!A14</f>
        <v>Mint Farm</v>
      </c>
      <c r="C58" s="553">
        <f>'2010 Known'!B14</f>
        <v>1441302.4</v>
      </c>
      <c r="D58" s="553">
        <f>'2010 Known'!C14</f>
        <v>614818.61416294961</v>
      </c>
      <c r="E58" s="552" t="str">
        <f>'2010 Known'!D14</f>
        <v>Own</v>
      </c>
      <c r="F58" s="552" t="str">
        <f>'2010 Known'!E14</f>
        <v>Gas</v>
      </c>
      <c r="G58" s="552" t="str">
        <f>'2010 Known'!F14</f>
        <v>Gas</v>
      </c>
    </row>
    <row r="59" spans="1:7" x14ac:dyDescent="0.25">
      <c r="A59" s="552">
        <v>2010</v>
      </c>
      <c r="B59" s="552" t="str">
        <f>'2010 Known'!A15</f>
        <v>Sumas</v>
      </c>
      <c r="C59" s="553">
        <f>'2010 Known'!B15</f>
        <v>410625.5</v>
      </c>
      <c r="D59" s="553">
        <f>'2010 Known'!C15</f>
        <v>206118.36489579111</v>
      </c>
      <c r="E59" s="552" t="str">
        <f>'2010 Known'!D15</f>
        <v>Own</v>
      </c>
      <c r="F59" s="552" t="str">
        <f>'2010 Known'!E15</f>
        <v>Gas</v>
      </c>
      <c r="G59" s="552" t="str">
        <f>'2010 Known'!F15</f>
        <v>Gas</v>
      </c>
    </row>
    <row r="60" spans="1:7" x14ac:dyDescent="0.25">
      <c r="A60" s="552">
        <v>2010</v>
      </c>
      <c r="B60" s="552" t="str">
        <f>'2010 Known'!A16</f>
        <v>Crystal Mountain</v>
      </c>
      <c r="C60" s="553">
        <f>'2010 Known'!B16</f>
        <v>113.77</v>
      </c>
      <c r="D60" s="553">
        <f>'2010 Known'!C16</f>
        <v>119.08045835423978</v>
      </c>
      <c r="E60" s="552" t="str">
        <f>'2010 Known'!D16</f>
        <v>Own</v>
      </c>
      <c r="F60" s="552" t="str">
        <f>'2010 Known'!E16</f>
        <v>Diesel</v>
      </c>
      <c r="G60" s="552" t="str">
        <f>'2010 Known'!F16</f>
        <v>Gas</v>
      </c>
    </row>
    <row r="61" spans="1:7" x14ac:dyDescent="0.25">
      <c r="A61" s="552">
        <v>2010</v>
      </c>
      <c r="B61" s="552" t="str">
        <f>'2010 Known'!A17</f>
        <v>Fredonia</v>
      </c>
      <c r="C61" s="553">
        <f>'2010 Known'!B17</f>
        <v>11884.6</v>
      </c>
      <c r="D61" s="553">
        <f>'2010 Known'!C17</f>
        <v>10571.052163108727</v>
      </c>
      <c r="E61" s="552" t="str">
        <f>'2010 Known'!D17</f>
        <v>Own</v>
      </c>
      <c r="F61" s="552" t="str">
        <f>'2010 Known'!E17</f>
        <v>Gas</v>
      </c>
      <c r="G61" s="552" t="str">
        <f>'2010 Known'!F17</f>
        <v>Gas</v>
      </c>
    </row>
    <row r="62" spans="1:7" x14ac:dyDescent="0.25">
      <c r="A62" s="552">
        <v>2010</v>
      </c>
      <c r="B62" s="552" t="str">
        <f>'2010 Known'!A18</f>
        <v>Fredonia 3 &amp; 4</v>
      </c>
      <c r="C62" s="553">
        <f>'2010 Known'!B18</f>
        <v>62288.3</v>
      </c>
      <c r="D62" s="553">
        <f>'2010 Known'!C18</f>
        <v>38956.285465775371</v>
      </c>
      <c r="E62" s="552" t="str">
        <f>'2010 Known'!D18</f>
        <v>Own</v>
      </c>
      <c r="F62" s="552" t="str">
        <f>'2010 Known'!E18</f>
        <v>Gas</v>
      </c>
      <c r="G62" s="552" t="str">
        <f>'2010 Known'!F18</f>
        <v>Gas</v>
      </c>
    </row>
    <row r="63" spans="1:7" x14ac:dyDescent="0.25">
      <c r="A63" s="552">
        <v>2010</v>
      </c>
      <c r="B63" s="552" t="str">
        <f>'2010 Known'!A19</f>
        <v>Fredrickson 1 &amp; 2</v>
      </c>
      <c r="C63" s="553">
        <f>'2010 Known'!B19</f>
        <v>10272.1</v>
      </c>
      <c r="D63" s="553">
        <f>'2010 Known'!C19</f>
        <v>10337.000704363212</v>
      </c>
      <c r="E63" s="552" t="str">
        <f>'2010 Known'!D19</f>
        <v>Own</v>
      </c>
      <c r="F63" s="552" t="str">
        <f>'2010 Known'!E19</f>
        <v>Gas</v>
      </c>
      <c r="G63" s="552" t="str">
        <f>'2010 Known'!F19</f>
        <v>Gas</v>
      </c>
    </row>
    <row r="64" spans="1:7" x14ac:dyDescent="0.25">
      <c r="A64" s="552">
        <v>2010</v>
      </c>
      <c r="B64" s="552" t="str">
        <f>'2010 Known'!A20</f>
        <v>Hopkins Ridge (W184)</v>
      </c>
      <c r="C64" s="553">
        <f>'2010 Known'!B20</f>
        <v>381270.98800000001</v>
      </c>
      <c r="D64" s="553">
        <f>'2010 Known'!C20</f>
        <v>0</v>
      </c>
      <c r="E64" s="552" t="str">
        <f>'2010 Known'!D20</f>
        <v>Own</v>
      </c>
      <c r="F64" s="552" t="str">
        <f>'2010 Known'!E20</f>
        <v>Wind</v>
      </c>
      <c r="G64" s="552" t="str">
        <f>'2010 Known'!F20</f>
        <v>Renew</v>
      </c>
    </row>
    <row r="65" spans="1:7" x14ac:dyDescent="0.25">
      <c r="A65" s="552">
        <v>2010</v>
      </c>
      <c r="B65" s="552" t="str">
        <f>'2010 Known'!A21</f>
        <v>Whitehorn 2&amp;3</v>
      </c>
      <c r="C65" s="553">
        <f>'2010 Known'!B21</f>
        <v>8366.7000000000007</v>
      </c>
      <c r="D65" s="553">
        <f>'2010 Known'!C21</f>
        <v>7824.3471549072965</v>
      </c>
      <c r="E65" s="552" t="str">
        <f>'2010 Known'!D21</f>
        <v>Own</v>
      </c>
      <c r="F65" s="552" t="str">
        <f>'2010 Known'!E21</f>
        <v>Gas</v>
      </c>
      <c r="G65" s="552" t="str">
        <f>'2010 Known'!F21</f>
        <v>Gas</v>
      </c>
    </row>
    <row r="66" spans="1:7" x14ac:dyDescent="0.25">
      <c r="A66" s="552">
        <v>2010</v>
      </c>
      <c r="B66" s="552" t="str">
        <f>'2010 Known'!A22</f>
        <v>Wild Horse (W183)</v>
      </c>
      <c r="C66" s="553">
        <f>'2010 Known'!B22</f>
        <v>609654.95499999996</v>
      </c>
      <c r="D66" s="553">
        <f>'2010 Known'!C22</f>
        <v>0</v>
      </c>
      <c r="E66" s="552" t="str">
        <f>'2010 Known'!D22</f>
        <v>Own</v>
      </c>
      <c r="F66" s="552" t="str">
        <f>'2010 Known'!E22</f>
        <v>Wind</v>
      </c>
      <c r="G66" s="552" t="str">
        <f>'2010 Known'!F22</f>
        <v>Renew</v>
      </c>
    </row>
    <row r="67" spans="1:7" x14ac:dyDescent="0.25">
      <c r="A67" s="552">
        <v>2010</v>
      </c>
      <c r="B67" s="552" t="str">
        <f>'2010 Known'!A23</f>
        <v>BC Hydro (Point Roberts)</v>
      </c>
      <c r="C67" s="553">
        <f>'2010 Known'!B23</f>
        <v>20921</v>
      </c>
      <c r="D67" s="553">
        <f>'2010 Known'!C23</f>
        <v>8813.8007676500001</v>
      </c>
      <c r="E67" s="552" t="str">
        <f>'2010 Known'!D23</f>
        <v>Firm</v>
      </c>
      <c r="F67" s="552" t="str">
        <f>'2010 Known'!E23</f>
        <v>System</v>
      </c>
      <c r="G67" s="552" t="str">
        <f>'2010 Known'!F23</f>
        <v>System</v>
      </c>
    </row>
    <row r="68" spans="1:7" x14ac:dyDescent="0.25">
      <c r="A68" s="552">
        <v>2010</v>
      </c>
      <c r="B68" s="552" t="str">
        <f>'2010 Known'!A24</f>
        <v>Book Outs - EITF 03-11</v>
      </c>
      <c r="C68" s="553">
        <f>'2010 Known'!B24</f>
        <v>-753803</v>
      </c>
      <c r="D68" s="553">
        <f>'2010 Known'!C24</f>
        <v>0</v>
      </c>
      <c r="E68" s="552" t="str">
        <f>'2010 Known'!D24</f>
        <v>Firm</v>
      </c>
      <c r="F68" s="552" t="str">
        <f>'2010 Known'!E24</f>
        <v>System</v>
      </c>
      <c r="G68" s="552" t="str">
        <f>'2010 Known'!F24</f>
        <v>System</v>
      </c>
    </row>
    <row r="69" spans="1:7" x14ac:dyDescent="0.25">
      <c r="A69" s="552">
        <v>2010</v>
      </c>
      <c r="B69" s="552" t="str">
        <f>'2010 Known'!A25</f>
        <v>BPA</v>
      </c>
      <c r="C69" s="553">
        <f>'2010 Known'!B25</f>
        <v>7000</v>
      </c>
      <c r="D69" s="553">
        <f>'2010 Known'!C25</f>
        <v>0</v>
      </c>
      <c r="E69" s="552" t="str">
        <f>'2010 Known'!D25</f>
        <v>Firm</v>
      </c>
      <c r="F69" s="552" t="str">
        <f>'2010 Known'!E25</f>
        <v>Hydro</v>
      </c>
      <c r="G69" s="552" t="str">
        <f>'2010 Known'!F25</f>
        <v>Renew</v>
      </c>
    </row>
    <row r="70" spans="1:7" x14ac:dyDescent="0.25">
      <c r="A70" s="552">
        <v>2010</v>
      </c>
      <c r="B70" s="552" t="str">
        <f>'2010 Known'!A26</f>
        <v>BPA Firm - WNP#3 Exchange</v>
      </c>
      <c r="C70" s="553">
        <f>'2010 Known'!B26</f>
        <v>406710</v>
      </c>
      <c r="D70" s="553">
        <f>'2010 Known'!C26</f>
        <v>171342.7135515</v>
      </c>
      <c r="E70" s="552" t="str">
        <f>'2010 Known'!D26</f>
        <v>Firm</v>
      </c>
      <c r="F70" s="552" t="str">
        <f>'2010 Known'!E26</f>
        <v>System</v>
      </c>
      <c r="G70" s="552" t="str">
        <f>'2010 Known'!F26</f>
        <v>System</v>
      </c>
    </row>
    <row r="71" spans="1:7" x14ac:dyDescent="0.25">
      <c r="A71" s="552">
        <v>2010</v>
      </c>
      <c r="B71" s="552" t="str">
        <f>'2010 Known'!A27</f>
        <v>Chelan PUD - Rock Island Syst #2</v>
      </c>
      <c r="C71" s="553">
        <f>'2010 Known'!B27</f>
        <v>1213235</v>
      </c>
      <c r="D71" s="553">
        <f>'2010 Known'!C27</f>
        <v>0</v>
      </c>
      <c r="E71" s="552" t="str">
        <f>'2010 Known'!D27</f>
        <v>Firm</v>
      </c>
      <c r="F71" s="552" t="str">
        <f>'2010 Known'!E27</f>
        <v>Hydro</v>
      </c>
      <c r="G71" s="552" t="str">
        <f>'2010 Known'!F27</f>
        <v>Renew</v>
      </c>
    </row>
    <row r="72" spans="1:7" x14ac:dyDescent="0.25">
      <c r="A72" s="552">
        <v>2010</v>
      </c>
      <c r="B72" s="552" t="str">
        <f>'2010 Known'!A28</f>
        <v>Chelan PUD - Rocky Reach</v>
      </c>
      <c r="C72" s="553">
        <f>'2010 Known'!B28</f>
        <v>1914094</v>
      </c>
      <c r="D72" s="553">
        <f>'2010 Known'!C28</f>
        <v>0</v>
      </c>
      <c r="E72" s="552" t="str">
        <f>'2010 Known'!D28</f>
        <v>Firm</v>
      </c>
      <c r="F72" s="552" t="str">
        <f>'2010 Known'!E28</f>
        <v>Hydro</v>
      </c>
      <c r="G72" s="552" t="str">
        <f>'2010 Known'!F28</f>
        <v>Renew</v>
      </c>
    </row>
    <row r="73" spans="1:7" x14ac:dyDescent="0.25">
      <c r="A73" s="552">
        <v>2010</v>
      </c>
      <c r="B73" s="552" t="str">
        <f>'2010 Known'!A29</f>
        <v>Credit Suisse Energy, LLC</v>
      </c>
      <c r="C73" s="553">
        <f>'2010 Known'!B29</f>
        <v>107950</v>
      </c>
      <c r="D73" s="553">
        <f>'2010 Known'!C29</f>
        <v>45478.217717500003</v>
      </c>
      <c r="E73" s="552" t="str">
        <f>'2010 Known'!D29</f>
        <v>Firm</v>
      </c>
      <c r="F73" s="552" t="str">
        <f>'2010 Known'!E29</f>
        <v>System</v>
      </c>
      <c r="G73" s="552" t="str">
        <f>'2010 Known'!F29</f>
        <v>System</v>
      </c>
    </row>
    <row r="74" spans="1:7" x14ac:dyDescent="0.25">
      <c r="A74" s="552">
        <v>2010</v>
      </c>
      <c r="B74" s="552" t="str">
        <f>'2010 Known'!A30</f>
        <v>Douglas PUD - Wells Project</v>
      </c>
      <c r="C74" s="553">
        <f>'2010 Known'!B30</f>
        <v>871104</v>
      </c>
      <c r="D74" s="553">
        <f>'2010 Known'!C30</f>
        <v>0</v>
      </c>
      <c r="E74" s="552" t="str">
        <f>'2010 Known'!D30</f>
        <v>Firm</v>
      </c>
      <c r="F74" s="552" t="str">
        <f>'2010 Known'!E30</f>
        <v>Hydro</v>
      </c>
      <c r="G74" s="552" t="str">
        <f>'2010 Known'!F30</f>
        <v>Renew</v>
      </c>
    </row>
    <row r="75" spans="1:7" x14ac:dyDescent="0.25">
      <c r="A75" s="552">
        <v>2010</v>
      </c>
      <c r="B75" s="552" t="str">
        <f>'2010 Known'!A31</f>
        <v>Farm Power Lynden LLC</v>
      </c>
      <c r="C75" s="553">
        <f>'2010 Known'!B31</f>
        <v>204.023</v>
      </c>
      <c r="D75" s="553">
        <f>'2010 Known'!C31</f>
        <v>0</v>
      </c>
      <c r="E75" s="552" t="str">
        <f>'2010 Known'!D31</f>
        <v>Firm</v>
      </c>
      <c r="F75" s="552" t="str">
        <f>'2010 Known'!E31</f>
        <v>Biogas</v>
      </c>
      <c r="G75" s="552" t="str">
        <f>'2010 Known'!F31</f>
        <v>Renew</v>
      </c>
    </row>
    <row r="76" spans="1:7" x14ac:dyDescent="0.25">
      <c r="A76" s="552">
        <v>2010</v>
      </c>
      <c r="B76" s="552" t="str">
        <f>'2010 Known'!A32</f>
        <v>Farm Power Rexville LLC</v>
      </c>
      <c r="C76" s="553">
        <f>'2010 Known'!B32</f>
        <v>4873.87</v>
      </c>
      <c r="D76" s="553">
        <f>'2010 Known'!C32</f>
        <v>0</v>
      </c>
      <c r="E76" s="552" t="str">
        <f>'2010 Known'!D32</f>
        <v>Firm</v>
      </c>
      <c r="F76" s="552" t="str">
        <f>'2010 Known'!E32</f>
        <v>Biogas</v>
      </c>
      <c r="G76" s="552" t="str">
        <f>'2010 Known'!F32</f>
        <v>Renew</v>
      </c>
    </row>
    <row r="77" spans="1:7" x14ac:dyDescent="0.25">
      <c r="A77" s="552">
        <v>2010</v>
      </c>
      <c r="B77" s="552" t="str">
        <f>'2010 Known'!A33</f>
        <v>Grant PUD - Priest Rapids Project</v>
      </c>
      <c r="C77" s="553">
        <f>'2010 Known'!B33</f>
        <v>331731</v>
      </c>
      <c r="D77" s="553">
        <f>'2010 Known'!C33</f>
        <v>0</v>
      </c>
      <c r="E77" s="552" t="str">
        <f>'2010 Known'!D33</f>
        <v>Firm</v>
      </c>
      <c r="F77" s="552" t="str">
        <f>'2010 Known'!E33</f>
        <v>Hydro</v>
      </c>
      <c r="G77" s="552" t="str">
        <f>'2010 Known'!F33</f>
        <v>Renew</v>
      </c>
    </row>
    <row r="78" spans="1:7" x14ac:dyDescent="0.25">
      <c r="A78" s="552">
        <v>2010</v>
      </c>
      <c r="B78" s="552" t="str">
        <f>'2010 Known'!A34</f>
        <v>Klondike Wind Power III</v>
      </c>
      <c r="C78" s="553">
        <f>'2010 Known'!B34</f>
        <v>120632</v>
      </c>
      <c r="D78" s="553">
        <f>'2010 Known'!C34</f>
        <v>0</v>
      </c>
      <c r="E78" s="552" t="str">
        <f>'2010 Known'!D34</f>
        <v>Firm</v>
      </c>
      <c r="F78" s="552" t="str">
        <f>'2010 Known'!E34</f>
        <v>Wind</v>
      </c>
      <c r="G78" s="552" t="str">
        <f>'2010 Known'!F34</f>
        <v>Renew</v>
      </c>
    </row>
    <row r="79" spans="1:7" x14ac:dyDescent="0.25">
      <c r="A79" s="552">
        <v>2010</v>
      </c>
      <c r="B79" s="552" t="str">
        <f>'2010 Known'!A35</f>
        <v>NWestern Energy(MPC) Firm Contract</v>
      </c>
      <c r="C79" s="553">
        <f>'2010 Known'!B35</f>
        <v>788313</v>
      </c>
      <c r="D79" s="553">
        <f>'2010 Known'!C35</f>
        <v>850105.93071991508</v>
      </c>
      <c r="E79" s="552" t="str">
        <f>'2010 Known'!D35</f>
        <v>Firm</v>
      </c>
      <c r="F79" s="552" t="str">
        <f>'2010 Known'!E35</f>
        <v>Coal</v>
      </c>
      <c r="G79" s="552" t="str">
        <f>'2010 Known'!F35</f>
        <v>Coal</v>
      </c>
    </row>
    <row r="80" spans="1:7" x14ac:dyDescent="0.25">
      <c r="A80" s="552">
        <v>2010</v>
      </c>
      <c r="B80" s="552" t="str">
        <f>'2010 Known'!A36</f>
        <v>Powerex Corp.</v>
      </c>
      <c r="C80" s="553">
        <f>'2010 Known'!B36</f>
        <v>179999</v>
      </c>
      <c r="D80" s="553">
        <f>'2010 Known'!C36</f>
        <v>75831.715710349992</v>
      </c>
      <c r="E80" s="552" t="str">
        <f>'2010 Known'!D36</f>
        <v>Firm</v>
      </c>
      <c r="F80" s="552" t="str">
        <f>'2010 Known'!E36</f>
        <v>System</v>
      </c>
      <c r="G80" s="552" t="str">
        <f>'2010 Known'!F36</f>
        <v>System</v>
      </c>
    </row>
    <row r="81" spans="1:7" x14ac:dyDescent="0.25">
      <c r="A81" s="552">
        <v>2010</v>
      </c>
      <c r="B81" s="552" t="str">
        <f>'2010 Known'!A37</f>
        <v>Qualco Energy</v>
      </c>
      <c r="C81" s="553">
        <f>'2010 Known'!B37</f>
        <v>3520</v>
      </c>
      <c r="D81" s="553">
        <f>'2010 Known'!C37</f>
        <v>0</v>
      </c>
      <c r="E81" s="552" t="str">
        <f>'2010 Known'!D37</f>
        <v>Firm</v>
      </c>
      <c r="F81" s="552" t="str">
        <f>'2010 Known'!E37</f>
        <v>Biogas</v>
      </c>
      <c r="G81" s="552" t="str">
        <f>'2010 Known'!F37</f>
        <v>Renew</v>
      </c>
    </row>
    <row r="82" spans="1:7" x14ac:dyDescent="0.25">
      <c r="A82" s="552">
        <v>2010</v>
      </c>
      <c r="B82" s="552" t="str">
        <f>'2010 Known'!A38</f>
        <v>Sempra Energy Trading</v>
      </c>
      <c r="C82" s="553">
        <f>'2010 Known'!B38</f>
        <v>547795</v>
      </c>
      <c r="D82" s="553">
        <f>'2010 Known'!C38</f>
        <v>230780.36382174998</v>
      </c>
      <c r="E82" s="552" t="str">
        <f>'2010 Known'!D38</f>
        <v>Firm</v>
      </c>
      <c r="F82" s="552" t="str">
        <f>'2010 Known'!E38</f>
        <v>System</v>
      </c>
      <c r="G82" s="552" t="str">
        <f>'2010 Known'!F38</f>
        <v>System</v>
      </c>
    </row>
    <row r="83" spans="1:7" x14ac:dyDescent="0.25">
      <c r="A83" s="552">
        <v>2010</v>
      </c>
      <c r="B83" s="552" t="str">
        <f>'2010 Known'!A39</f>
        <v>Shell Energy (Coral Pwr)</v>
      </c>
      <c r="C83" s="553">
        <f>'2010 Known'!B39</f>
        <v>330050</v>
      </c>
      <c r="D83" s="553">
        <f>'2010 Known'!C39</f>
        <v>139046.64898249999</v>
      </c>
      <c r="E83" s="552" t="str">
        <f>'2010 Known'!D39</f>
        <v>Firm</v>
      </c>
      <c r="F83" s="552" t="str">
        <f>'2010 Known'!E39</f>
        <v>System</v>
      </c>
      <c r="G83" s="552" t="str">
        <f>'2010 Known'!F39</f>
        <v>System</v>
      </c>
    </row>
    <row r="84" spans="1:7" x14ac:dyDescent="0.25">
      <c r="A84" s="552">
        <v>2010</v>
      </c>
      <c r="B84" s="552" t="str">
        <f>'2010 Known'!A40</f>
        <v>Snohomish PUD Conservation</v>
      </c>
      <c r="C84" s="553">
        <f>'2010 Known'!B40</f>
        <v>14464</v>
      </c>
      <c r="D84" s="553">
        <f>'2010 Known'!C40</f>
        <v>6093.5334976000004</v>
      </c>
      <c r="E84" s="552" t="str">
        <f>'2010 Known'!D40</f>
        <v>Firm</v>
      </c>
      <c r="F84" s="552" t="str">
        <f>'2010 Known'!E40</f>
        <v>System</v>
      </c>
      <c r="G84" s="552" t="str">
        <f>'2010 Known'!F40</f>
        <v>System</v>
      </c>
    </row>
    <row r="85" spans="1:7" x14ac:dyDescent="0.25">
      <c r="A85" s="552">
        <v>2010</v>
      </c>
      <c r="B85" s="552" t="str">
        <f>'2010 Known'!A41</f>
        <v>VanderHaak Dairy Digester</v>
      </c>
      <c r="C85" s="553">
        <f>'2010 Known'!B41</f>
        <v>2551.8000000000002</v>
      </c>
      <c r="D85" s="553">
        <f>'2010 Known'!C41</f>
        <v>0</v>
      </c>
      <c r="E85" s="552" t="str">
        <f>'2010 Known'!D41</f>
        <v>Firm</v>
      </c>
      <c r="F85" s="552" t="str">
        <f>'2010 Known'!E41</f>
        <v>Biogas</v>
      </c>
      <c r="G85" s="552" t="str">
        <f>'2010 Known'!F41</f>
        <v>Renew</v>
      </c>
    </row>
    <row r="86" spans="1:7" x14ac:dyDescent="0.25">
      <c r="A86" s="552">
        <v>2010</v>
      </c>
      <c r="B86" s="552" t="str">
        <f>'2010 Known'!A42</f>
        <v>WASCO Hydro</v>
      </c>
      <c r="C86" s="553">
        <f>'2010 Known'!B42</f>
        <v>40782</v>
      </c>
      <c r="D86" s="553">
        <f>'2010 Known'!C42</f>
        <v>0</v>
      </c>
      <c r="E86" s="552" t="str">
        <f>'2010 Known'!D42</f>
        <v>Firm</v>
      </c>
      <c r="F86" s="552" t="str">
        <f>'2010 Known'!E42</f>
        <v>Hydro</v>
      </c>
      <c r="G86" s="552" t="str">
        <f>'2010 Known'!F42</f>
        <v>Renew</v>
      </c>
    </row>
    <row r="87" spans="1:7" x14ac:dyDescent="0.25">
      <c r="A87" s="552">
        <v>2010</v>
      </c>
      <c r="B87" s="552" t="str">
        <f>'2010 Known'!A43</f>
        <v>Hutchinson Creek</v>
      </c>
      <c r="C87" s="553">
        <f>'2010 Known'!B43</f>
        <v>1106.72</v>
      </c>
      <c r="D87" s="553">
        <f>'2010 Known'!C43</f>
        <v>0</v>
      </c>
      <c r="E87" s="552" t="str">
        <f>'2010 Known'!D43</f>
        <v>Firm</v>
      </c>
      <c r="F87" s="552" t="str">
        <f>'2010 Known'!E43</f>
        <v>Hydro</v>
      </c>
      <c r="G87" s="552" t="str">
        <f>'2010 Known'!F43</f>
        <v>Renew</v>
      </c>
    </row>
    <row r="88" spans="1:7" x14ac:dyDescent="0.25">
      <c r="A88" s="552">
        <v>2010</v>
      </c>
      <c r="B88" s="552" t="str">
        <f>'2010 Known'!A44</f>
        <v>Koma Kulshan Associates</v>
      </c>
      <c r="C88" s="553">
        <f>'2010 Known'!B44</f>
        <v>42708.480000000003</v>
      </c>
      <c r="D88" s="553">
        <f>'2010 Known'!C44</f>
        <v>0</v>
      </c>
      <c r="E88" s="552" t="str">
        <f>'2010 Known'!D44</f>
        <v>Firm</v>
      </c>
      <c r="F88" s="552" t="str">
        <f>'2010 Known'!E44</f>
        <v>Hydro</v>
      </c>
      <c r="G88" s="552" t="str">
        <f>'2010 Known'!F44</f>
        <v>Renew</v>
      </c>
    </row>
    <row r="89" spans="1:7" x14ac:dyDescent="0.25">
      <c r="A89" s="552">
        <v>2010</v>
      </c>
      <c r="B89" s="552" t="str">
        <f>'2010 Known'!A45</f>
        <v>March Point Cogen. - 1 &amp; 2</v>
      </c>
      <c r="C89" s="553">
        <f>'2010 Known'!B45</f>
        <v>1081243.416</v>
      </c>
      <c r="D89" s="553">
        <f>'2010 Known'!C45</f>
        <v>385210.69772601721</v>
      </c>
      <c r="E89" s="552" t="str">
        <f>'2010 Known'!D45</f>
        <v>Firm</v>
      </c>
      <c r="F89" s="552" t="str">
        <f>'2010 Known'!E45</f>
        <v>Gas</v>
      </c>
      <c r="G89" s="552" t="str">
        <f>'2010 Known'!F45</f>
        <v>Gas</v>
      </c>
    </row>
    <row r="90" spans="1:7" x14ac:dyDescent="0.25">
      <c r="A90" s="552">
        <v>2010</v>
      </c>
      <c r="B90" s="552" t="str">
        <f>'2010 Known'!A46</f>
        <v>Nooksack</v>
      </c>
      <c r="C90" s="553">
        <f>'2010 Known'!B46</f>
        <v>25921.554</v>
      </c>
      <c r="D90" s="553">
        <f>'2010 Known'!C46</f>
        <v>0</v>
      </c>
      <c r="E90" s="552" t="str">
        <f>'2010 Known'!D46</f>
        <v>Firm</v>
      </c>
      <c r="F90" s="552" t="str">
        <f>'2010 Known'!E46</f>
        <v>Hydro</v>
      </c>
      <c r="G90" s="552" t="str">
        <f>'2010 Known'!F46</f>
        <v>Renew</v>
      </c>
    </row>
    <row r="91" spans="1:7" x14ac:dyDescent="0.25">
      <c r="A91" s="552">
        <v>2010</v>
      </c>
      <c r="B91" s="552" t="str">
        <f>'2010 Known'!A47</f>
        <v>Port Townsend Paper Co.</v>
      </c>
      <c r="C91" s="553">
        <f>'2010 Known'!B47</f>
        <v>2886.24</v>
      </c>
      <c r="D91" s="553">
        <f>'2010 Known'!C47</f>
        <v>1492.4700177178058</v>
      </c>
      <c r="E91" s="552" t="str">
        <f>'2010 Known'!D47</f>
        <v>Firm</v>
      </c>
      <c r="F91" s="552" t="str">
        <f>'2010 Known'!E47</f>
        <v>Gas</v>
      </c>
      <c r="G91" s="552" t="str">
        <f>'2010 Known'!F47</f>
        <v>Gas</v>
      </c>
    </row>
    <row r="92" spans="1:7" x14ac:dyDescent="0.25">
      <c r="A92" s="552">
        <v>2010</v>
      </c>
      <c r="B92" s="552" t="str">
        <f>'2010 Known'!A48</f>
        <v>Spokane MSW</v>
      </c>
      <c r="C92" s="553">
        <f>'2010 Known'!B48</f>
        <v>141480</v>
      </c>
      <c r="D92" s="553">
        <f>'2010 Known'!C48</f>
        <v>326048.28221025318</v>
      </c>
      <c r="E92" s="552" t="str">
        <f>'2010 Known'!D48</f>
        <v>Firm</v>
      </c>
      <c r="F92" s="552" t="str">
        <f>'2010 Known'!E48</f>
        <v>Gas</v>
      </c>
      <c r="G92" s="552" t="str">
        <f>'2010 Known'!F48</f>
        <v>Gas</v>
      </c>
    </row>
    <row r="93" spans="1:7" x14ac:dyDescent="0.25">
      <c r="A93" s="552">
        <v>2010</v>
      </c>
      <c r="B93" s="552" t="str">
        <f>'2010 Known'!A49</f>
        <v>Sygitowicz Creek</v>
      </c>
      <c r="C93" s="553">
        <f>'2010 Known'!B49</f>
        <v>1227.8399999999999</v>
      </c>
      <c r="D93" s="553">
        <f>'2010 Known'!C49</f>
        <v>0</v>
      </c>
      <c r="E93" s="552" t="str">
        <f>'2010 Known'!D49</f>
        <v>Firm</v>
      </c>
      <c r="F93" s="552" t="str">
        <f>'2010 Known'!E49</f>
        <v>Hydro</v>
      </c>
      <c r="G93" s="552" t="str">
        <f>'2010 Known'!F49</f>
        <v>Renew</v>
      </c>
    </row>
    <row r="94" spans="1:7" x14ac:dyDescent="0.25">
      <c r="A94" s="552">
        <v>2010</v>
      </c>
      <c r="B94" s="552" t="str">
        <f>'2010 Known'!A50</f>
        <v>Tenaska</v>
      </c>
      <c r="C94" s="553">
        <f>'2010 Known'!B50</f>
        <v>652723.43999999994</v>
      </c>
      <c r="D94" s="553">
        <f>'2010 Known'!C50</f>
        <v>288991.90421620279</v>
      </c>
      <c r="E94" s="552" t="str">
        <f>'2010 Known'!D50</f>
        <v>Firm</v>
      </c>
      <c r="F94" s="552" t="str">
        <f>'2010 Known'!E50</f>
        <v>Gas</v>
      </c>
      <c r="G94" s="552" t="str">
        <f>'2010 Known'!F50</f>
        <v>Gas</v>
      </c>
    </row>
    <row r="95" spans="1:7" x14ac:dyDescent="0.25">
      <c r="A95" s="552">
        <v>2010</v>
      </c>
      <c r="B95" s="552" t="str">
        <f>'2010 Known'!A51</f>
        <v>Twin Falls Hydro</v>
      </c>
      <c r="C95" s="553">
        <f>'2010 Known'!B51</f>
        <v>73497.600000000006</v>
      </c>
      <c r="D95" s="553">
        <f>'2010 Known'!C51</f>
        <v>0</v>
      </c>
      <c r="E95" s="552" t="str">
        <f>'2010 Known'!D51</f>
        <v>Firm</v>
      </c>
      <c r="F95" s="552" t="str">
        <f>'2010 Known'!E51</f>
        <v>Hydro</v>
      </c>
      <c r="G95" s="552" t="str">
        <f>'2010 Known'!F51</f>
        <v>Renew</v>
      </c>
    </row>
    <row r="96" spans="1:7" x14ac:dyDescent="0.25">
      <c r="A96" s="552">
        <v>2010</v>
      </c>
      <c r="B96" s="552" t="str">
        <f>'2010 Known'!A52</f>
        <v>Weeks Falls</v>
      </c>
      <c r="C96" s="553">
        <f>'2010 Known'!B52</f>
        <v>13234.2</v>
      </c>
      <c r="D96" s="553">
        <f>'2010 Known'!C52</f>
        <v>0</v>
      </c>
      <c r="E96" s="552" t="str">
        <f>'2010 Known'!D52</f>
        <v>Firm</v>
      </c>
      <c r="F96" s="552" t="str">
        <f>'2010 Known'!E52</f>
        <v>Solar</v>
      </c>
      <c r="G96" s="552" t="str">
        <f>'2010 Known'!F52</f>
        <v>Renew</v>
      </c>
    </row>
    <row r="97" spans="1:7" x14ac:dyDescent="0.25">
      <c r="A97" s="552">
        <v>2010</v>
      </c>
      <c r="B97" s="554" t="s">
        <v>462</v>
      </c>
      <c r="C97" s="556">
        <f>'2010 Unknown'!B136</f>
        <v>3185182.9120000005</v>
      </c>
      <c r="D97" s="556">
        <f>'2010 Unknown'!D136</f>
        <v>1897917.4716903227</v>
      </c>
      <c r="E97" s="557" t="s">
        <v>473</v>
      </c>
      <c r="F97" s="552" t="s">
        <v>432</v>
      </c>
      <c r="G97" s="552" t="s">
        <v>432</v>
      </c>
    </row>
    <row r="98" spans="1:7" x14ac:dyDescent="0.25">
      <c r="A98" s="552">
        <v>2011</v>
      </c>
      <c r="B98" s="552" t="str">
        <f>'2011 Known'!A4</f>
        <v>Electron</v>
      </c>
      <c r="C98" s="553">
        <f>'2011 Known'!B4</f>
        <v>50340.805</v>
      </c>
      <c r="D98" s="553">
        <f>'2011 Known'!C4</f>
        <v>0</v>
      </c>
      <c r="E98" s="552" t="str">
        <f>'2011 Known'!D4</f>
        <v>Own</v>
      </c>
      <c r="F98" s="552" t="str">
        <f>'2011 Known'!E4</f>
        <v>Hydro</v>
      </c>
      <c r="G98" s="552" t="str">
        <f>'2011 Known'!F4</f>
        <v>Renew</v>
      </c>
    </row>
    <row r="99" spans="1:7" x14ac:dyDescent="0.25">
      <c r="A99" s="552">
        <v>2011</v>
      </c>
      <c r="B99" s="552" t="str">
        <f>'2011 Known'!A5</f>
        <v>Lower Baker</v>
      </c>
      <c r="C99" s="553">
        <f>'2011 Known'!B5</f>
        <v>332792.353</v>
      </c>
      <c r="D99" s="553">
        <f>'2011 Known'!C5</f>
        <v>0</v>
      </c>
      <c r="E99" s="552" t="str">
        <f>'2011 Known'!D5</f>
        <v>Own</v>
      </c>
      <c r="F99" s="552" t="str">
        <f>'2011 Known'!E5</f>
        <v>Hydro</v>
      </c>
      <c r="G99" s="552" t="str">
        <f>'2011 Known'!F5</f>
        <v>Renew</v>
      </c>
    </row>
    <row r="100" spans="1:7" x14ac:dyDescent="0.25">
      <c r="A100" s="552">
        <v>2011</v>
      </c>
      <c r="B100" s="552" t="str">
        <f>'2011 Known'!A6</f>
        <v>Snoqualmie Falls #1</v>
      </c>
      <c r="C100" s="553">
        <f>'2011 Known'!B6</f>
        <v>-290.36</v>
      </c>
      <c r="D100" s="553">
        <f>'2011 Known'!C6</f>
        <v>0</v>
      </c>
      <c r="E100" s="552" t="str">
        <f>'2011 Known'!D6</f>
        <v>Own</v>
      </c>
      <c r="F100" s="552" t="str">
        <f>'2011 Known'!E6</f>
        <v>Hydro</v>
      </c>
      <c r="G100" s="552" t="str">
        <f>'2011 Known'!F6</f>
        <v>Renew</v>
      </c>
    </row>
    <row r="101" spans="1:7" x14ac:dyDescent="0.25">
      <c r="A101" s="552">
        <v>2011</v>
      </c>
      <c r="B101" s="552" t="str">
        <f>'2011 Known'!A7</f>
        <v>Snoqualmie Falls #2</v>
      </c>
      <c r="C101" s="553">
        <f>'2011 Known'!B7</f>
        <v>-174.56</v>
      </c>
      <c r="D101" s="553">
        <f>'2011 Known'!C7</f>
        <v>0</v>
      </c>
      <c r="E101" s="552" t="str">
        <f>'2011 Known'!D7</f>
        <v>Own</v>
      </c>
      <c r="F101" s="552" t="str">
        <f>'2011 Known'!E7</f>
        <v>Hydro</v>
      </c>
      <c r="G101" s="552" t="str">
        <f>'2011 Known'!F7</f>
        <v>Renew</v>
      </c>
    </row>
    <row r="102" spans="1:7" x14ac:dyDescent="0.25">
      <c r="A102" s="552">
        <v>2011</v>
      </c>
      <c r="B102" s="552" t="str">
        <f>'2011 Known'!A8</f>
        <v>Upper Baker</v>
      </c>
      <c r="C102" s="553">
        <f>'2011 Known'!B8</f>
        <v>301309.36599999998</v>
      </c>
      <c r="D102" s="553">
        <f>'2011 Known'!C8</f>
        <v>0</v>
      </c>
      <c r="E102" s="552" t="str">
        <f>'2011 Known'!D8</f>
        <v>Own</v>
      </c>
      <c r="F102" s="552" t="str">
        <f>'2011 Known'!E8</f>
        <v>Hydro</v>
      </c>
      <c r="G102" s="552" t="str">
        <f>'2011 Known'!F8</f>
        <v>Renew</v>
      </c>
    </row>
    <row r="103" spans="1:7" x14ac:dyDescent="0.25">
      <c r="A103" s="552">
        <v>2011</v>
      </c>
      <c r="B103" s="552" t="str">
        <f>'2011 Known'!A9</f>
        <v>Colstrip 1 &amp; 2</v>
      </c>
      <c r="C103" s="553">
        <f>'2011 Known'!B9</f>
        <v>1897910</v>
      </c>
      <c r="D103" s="553">
        <f>'2011 Known'!C9</f>
        <v>2019144.0927105008</v>
      </c>
      <c r="E103" s="552" t="str">
        <f>'2011 Known'!D9</f>
        <v>Own</v>
      </c>
      <c r="F103" s="552" t="str">
        <f>'2011 Known'!E9</f>
        <v>Coal</v>
      </c>
      <c r="G103" s="552" t="str">
        <f>'2011 Known'!F9</f>
        <v>Coal</v>
      </c>
    </row>
    <row r="104" spans="1:7" x14ac:dyDescent="0.25">
      <c r="A104" s="552">
        <v>2011</v>
      </c>
      <c r="B104" s="552" t="str">
        <f>'2011 Known'!A10</f>
        <v>Colstrip 3 &amp; 4</v>
      </c>
      <c r="C104" s="553">
        <f>'2011 Known'!B10</f>
        <v>2312673</v>
      </c>
      <c r="D104" s="553">
        <f>'2011 Known'!C10</f>
        <v>2515865.6759153572</v>
      </c>
      <c r="E104" s="552" t="str">
        <f>'2011 Known'!D10</f>
        <v>Own</v>
      </c>
      <c r="F104" s="552" t="str">
        <f>'2011 Known'!E10</f>
        <v>Coal</v>
      </c>
      <c r="G104" s="552" t="str">
        <f>'2011 Known'!F10</f>
        <v>Coal</v>
      </c>
    </row>
    <row r="105" spans="1:7" x14ac:dyDescent="0.25">
      <c r="A105" s="552">
        <v>2011</v>
      </c>
      <c r="B105" s="552" t="str">
        <f>'2011 Known'!A11</f>
        <v>Encogen</v>
      </c>
      <c r="C105" s="553">
        <f>'2011 Known'!B11</f>
        <v>88887.6</v>
      </c>
      <c r="D105" s="553">
        <f>'2011 Known'!C11</f>
        <v>44185.358821524802</v>
      </c>
      <c r="E105" s="552" t="str">
        <f>'2011 Known'!D11</f>
        <v>Own</v>
      </c>
      <c r="F105" s="552" t="str">
        <f>'2011 Known'!E11</f>
        <v>Gas</v>
      </c>
      <c r="G105" s="552" t="str">
        <f>'2011 Known'!F11</f>
        <v>Gas</v>
      </c>
    </row>
    <row r="106" spans="1:7" x14ac:dyDescent="0.25">
      <c r="A106" s="552">
        <v>2011</v>
      </c>
      <c r="B106" s="552" t="str">
        <f>'2011 Known'!A12</f>
        <v>Freddie #1</v>
      </c>
      <c r="C106" s="553">
        <f>'2011 Known'!B12</f>
        <v>135217.96400000001</v>
      </c>
      <c r="D106" s="553">
        <f>'2011 Known'!C12</f>
        <v>53298.601875271677</v>
      </c>
      <c r="E106" s="552" t="str">
        <f>'2011 Known'!D12</f>
        <v>Own</v>
      </c>
      <c r="F106" s="552" t="str">
        <f>'2011 Known'!E12</f>
        <v>Gas</v>
      </c>
      <c r="G106" s="552" t="str">
        <f>'2011 Known'!F12</f>
        <v>Gas</v>
      </c>
    </row>
    <row r="107" spans="1:7" x14ac:dyDescent="0.25">
      <c r="A107" s="552">
        <v>2011</v>
      </c>
      <c r="B107" s="552" t="str">
        <f>'2011 Known'!A13</f>
        <v>Goldendale</v>
      </c>
      <c r="C107" s="553">
        <f>'2011 Known'!B13</f>
        <v>609012.73499999999</v>
      </c>
      <c r="D107" s="553">
        <f>'2011 Known'!C13</f>
        <v>219762.3197806252</v>
      </c>
      <c r="E107" s="552" t="str">
        <f>'2011 Known'!D13</f>
        <v>Own</v>
      </c>
      <c r="F107" s="552" t="str">
        <f>'2011 Known'!E13</f>
        <v>Gas</v>
      </c>
      <c r="G107" s="552" t="str">
        <f>'2011 Known'!F13</f>
        <v>Gas</v>
      </c>
    </row>
    <row r="108" spans="1:7" x14ac:dyDescent="0.25">
      <c r="A108" s="552">
        <v>2011</v>
      </c>
      <c r="B108" s="552" t="str">
        <f>'2011 Known'!A14</f>
        <v>Mint Farm</v>
      </c>
      <c r="C108" s="553">
        <f>'2011 Known'!B14</f>
        <v>702080.6</v>
      </c>
      <c r="D108" s="553">
        <f>'2011 Known'!C14</f>
        <v>277602.12535356474</v>
      </c>
      <c r="E108" s="552" t="str">
        <f>'2011 Known'!D14</f>
        <v>Own</v>
      </c>
      <c r="F108" s="552" t="str">
        <f>'2011 Known'!E14</f>
        <v>Gas</v>
      </c>
      <c r="G108" s="552" t="str">
        <f>'2011 Known'!F14</f>
        <v>Gas</v>
      </c>
    </row>
    <row r="109" spans="1:7" x14ac:dyDescent="0.25">
      <c r="A109" s="552">
        <v>2011</v>
      </c>
      <c r="B109" s="552" t="str">
        <f>'2011 Known'!A15</f>
        <v>Sumas</v>
      </c>
      <c r="C109" s="553">
        <f>'2011 Known'!B15</f>
        <v>178397.424</v>
      </c>
      <c r="D109" s="553">
        <f>'2011 Known'!C15</f>
        <v>82301.293085886398</v>
      </c>
      <c r="E109" s="552" t="str">
        <f>'2011 Known'!D15</f>
        <v>Own</v>
      </c>
      <c r="F109" s="552" t="str">
        <f>'2011 Known'!E15</f>
        <v>Gas</v>
      </c>
      <c r="G109" s="552" t="str">
        <f>'2011 Known'!F15</f>
        <v>Gas</v>
      </c>
    </row>
    <row r="110" spans="1:7" x14ac:dyDescent="0.25">
      <c r="A110" s="552">
        <v>2011</v>
      </c>
      <c r="B110" s="552" t="str">
        <f>'2011 Known'!A16</f>
        <v>Crystal Mountain</v>
      </c>
      <c r="C110" s="553">
        <f>'2011 Known'!B16</f>
        <v>273.13</v>
      </c>
      <c r="D110" s="553">
        <f>'2011 Known'!C16</f>
        <v>228.08619878713793</v>
      </c>
      <c r="E110" s="552" t="str">
        <f>'2011 Known'!D16</f>
        <v>Own</v>
      </c>
      <c r="F110" s="552" t="str">
        <f>'2011 Known'!E16</f>
        <v>Diesel</v>
      </c>
      <c r="G110" s="552" t="str">
        <f>'2011 Known'!F16</f>
        <v>Gas</v>
      </c>
    </row>
    <row r="111" spans="1:7" x14ac:dyDescent="0.25">
      <c r="A111" s="552">
        <v>2011</v>
      </c>
      <c r="B111" s="552" t="str">
        <f>'2011 Known'!A17</f>
        <v>Fredonia</v>
      </c>
      <c r="C111" s="553">
        <f>'2011 Known'!B17</f>
        <v>27939.9</v>
      </c>
      <c r="D111" s="553">
        <f>'2011 Known'!C17</f>
        <v>20714.039085969845</v>
      </c>
      <c r="E111" s="552" t="str">
        <f>'2011 Known'!D17</f>
        <v>Own</v>
      </c>
      <c r="F111" s="552" t="str">
        <f>'2011 Known'!E17</f>
        <v>Gas</v>
      </c>
      <c r="G111" s="552" t="str">
        <f>'2011 Known'!F17</f>
        <v>Gas</v>
      </c>
    </row>
    <row r="112" spans="1:7" x14ac:dyDescent="0.25">
      <c r="A112" s="552">
        <v>2011</v>
      </c>
      <c r="B112" s="552" t="str">
        <f>'2011 Known'!A18</f>
        <v>Fredonia 3 &amp; 4</v>
      </c>
      <c r="C112" s="553">
        <f>'2011 Known'!B18</f>
        <v>48850.400000000001</v>
      </c>
      <c r="D112" s="553">
        <f>'2011 Known'!C18</f>
        <v>27316.736393205199</v>
      </c>
      <c r="E112" s="552" t="str">
        <f>'2011 Known'!D18</f>
        <v>Own</v>
      </c>
      <c r="F112" s="552" t="str">
        <f>'2011 Known'!E18</f>
        <v>Gas</v>
      </c>
      <c r="G112" s="552" t="str">
        <f>'2011 Known'!F18</f>
        <v>Gas</v>
      </c>
    </row>
    <row r="113" spans="1:7" x14ac:dyDescent="0.25">
      <c r="A113" s="552">
        <v>2011</v>
      </c>
      <c r="B113" s="552" t="str">
        <f>'2011 Known'!A19</f>
        <v>Fredrickson 1 &amp; 2</v>
      </c>
      <c r="C113" s="553">
        <f>'2011 Known'!B19</f>
        <v>9975.6</v>
      </c>
      <c r="D113" s="553">
        <f>'2011 Known'!C19</f>
        <v>10982.81701751447</v>
      </c>
      <c r="E113" s="552" t="str">
        <f>'2011 Known'!D19</f>
        <v>Own</v>
      </c>
      <c r="F113" s="552" t="str">
        <f>'2011 Known'!E19</f>
        <v>Gas</v>
      </c>
      <c r="G113" s="552" t="str">
        <f>'2011 Known'!F19</f>
        <v>Gas</v>
      </c>
    </row>
    <row r="114" spans="1:7" x14ac:dyDescent="0.25">
      <c r="A114" s="552">
        <v>2011</v>
      </c>
      <c r="B114" s="552" t="str">
        <f>'2011 Known'!A20</f>
        <v>Hopkins Ridge (W184)</v>
      </c>
      <c r="C114" s="553">
        <f>'2011 Known'!B20</f>
        <v>433218.60800000001</v>
      </c>
      <c r="D114" s="553">
        <f>'2011 Known'!C20</f>
        <v>0</v>
      </c>
      <c r="E114" s="552" t="str">
        <f>'2011 Known'!D20</f>
        <v>Own</v>
      </c>
      <c r="F114" s="552" t="str">
        <f>'2011 Known'!E20</f>
        <v>Wind</v>
      </c>
      <c r="G114" s="552" t="str">
        <f>'2011 Known'!F20</f>
        <v>Renew</v>
      </c>
    </row>
    <row r="115" spans="1:7" x14ac:dyDescent="0.25">
      <c r="A115" s="552">
        <v>2011</v>
      </c>
      <c r="B115" s="552" t="str">
        <f>'2011 Known'!A21</f>
        <v>Whitehorn 2 &amp; 3</v>
      </c>
      <c r="C115" s="553">
        <f>'2011 Known'!B21</f>
        <v>22501</v>
      </c>
      <c r="D115" s="553">
        <f>'2011 Known'!C21</f>
        <v>19420.510083079684</v>
      </c>
      <c r="E115" s="552" t="str">
        <f>'2011 Known'!D21</f>
        <v>Own</v>
      </c>
      <c r="F115" s="552" t="str">
        <f>'2011 Known'!E21</f>
        <v>Gas</v>
      </c>
      <c r="G115" s="552" t="str">
        <f>'2011 Known'!F21</f>
        <v>Gas</v>
      </c>
    </row>
    <row r="116" spans="1:7" x14ac:dyDescent="0.25">
      <c r="A116" s="552">
        <v>2011</v>
      </c>
      <c r="B116" s="552" t="str">
        <f>'2011 Known'!A22</f>
        <v>Wild Horse (W183)</v>
      </c>
      <c r="C116" s="553">
        <f>'2011 Known'!B22</f>
        <v>730658.80599999998</v>
      </c>
      <c r="D116" s="553">
        <f>'2011 Known'!C22</f>
        <v>0</v>
      </c>
      <c r="E116" s="552" t="str">
        <f>'2011 Known'!D22</f>
        <v>Own</v>
      </c>
      <c r="F116" s="552" t="str">
        <f>'2011 Known'!E22</f>
        <v>Wind</v>
      </c>
      <c r="G116" s="552" t="str">
        <f>'2011 Known'!F22</f>
        <v>Renew</v>
      </c>
    </row>
    <row r="117" spans="1:7" x14ac:dyDescent="0.25">
      <c r="A117" s="552">
        <v>2011</v>
      </c>
      <c r="B117" s="552" t="str">
        <f>'2011 Known'!A23</f>
        <v>3 Bar G Wind Turbine #3 LLC</v>
      </c>
      <c r="C117" s="553">
        <f>'2011 Known'!B23</f>
        <v>105.014</v>
      </c>
      <c r="D117" s="553">
        <f>'2011 Known'!C23</f>
        <v>0</v>
      </c>
      <c r="E117" s="552" t="str">
        <f>'2011 Known'!D23</f>
        <v>Firm</v>
      </c>
      <c r="F117" s="552" t="str">
        <f>'2011 Known'!E23</f>
        <v>Wind</v>
      </c>
      <c r="G117" s="552" t="str">
        <f>'2011 Known'!F23</f>
        <v>Renew</v>
      </c>
    </row>
    <row r="118" spans="1:7" x14ac:dyDescent="0.25">
      <c r="A118" s="552">
        <v>2011</v>
      </c>
      <c r="B118" s="552" t="str">
        <f>'2011 Known'!A24</f>
        <v>Black Creek Hydro Inc</v>
      </c>
      <c r="C118" s="553">
        <f>'2011 Known'!B24</f>
        <v>9716.4599999999991</v>
      </c>
      <c r="D118" s="553">
        <f>'2011 Known'!C24</f>
        <v>0</v>
      </c>
      <c r="E118" s="552" t="str">
        <f>'2011 Known'!D24</f>
        <v>Firm</v>
      </c>
      <c r="F118" s="552" t="str">
        <f>'2011 Known'!E24</f>
        <v>Hydro</v>
      </c>
      <c r="G118" s="552" t="str">
        <f>'2011 Known'!F24</f>
        <v>Renew</v>
      </c>
    </row>
    <row r="119" spans="1:7" x14ac:dyDescent="0.25">
      <c r="A119" s="552">
        <v>2011</v>
      </c>
      <c r="B119" s="552" t="str">
        <f>'2011 Known'!A25</f>
        <v>Chelan PUD - RI &amp; RR</v>
      </c>
      <c r="C119" s="553">
        <f>'2011 Known'!B25</f>
        <v>129926</v>
      </c>
      <c r="D119" s="553">
        <f>'2011 Known'!C25</f>
        <v>0</v>
      </c>
      <c r="E119" s="552" t="str">
        <f>'2011 Known'!D25</f>
        <v>Firm</v>
      </c>
      <c r="F119" s="552" t="str">
        <f>'2011 Known'!E25</f>
        <v>Hydro</v>
      </c>
      <c r="G119" s="552" t="str">
        <f>'2011 Known'!F25</f>
        <v>Renew</v>
      </c>
    </row>
    <row r="120" spans="1:7" x14ac:dyDescent="0.25">
      <c r="A120" s="552">
        <v>2011</v>
      </c>
      <c r="B120" s="552" t="str">
        <f>'2011 Known'!A26</f>
        <v>Chelan PUD - Rock Island Syst #2</v>
      </c>
      <c r="C120" s="553">
        <f>'2011 Known'!B26</f>
        <v>1647786</v>
      </c>
      <c r="D120" s="553">
        <f>'2011 Known'!C26</f>
        <v>0</v>
      </c>
      <c r="E120" s="552" t="str">
        <f>'2011 Known'!D26</f>
        <v>Firm</v>
      </c>
      <c r="F120" s="552" t="str">
        <f>'2011 Known'!E26</f>
        <v>Hydro</v>
      </c>
      <c r="G120" s="552" t="str">
        <f>'2011 Known'!F26</f>
        <v>Renew</v>
      </c>
    </row>
    <row r="121" spans="1:7" x14ac:dyDescent="0.25">
      <c r="A121" s="552">
        <v>2011</v>
      </c>
      <c r="B121" s="552" t="str">
        <f>'2011 Known'!A27</f>
        <v>Chelan PUD - Rocky Reach</v>
      </c>
      <c r="C121" s="553">
        <f>'2011 Known'!B27</f>
        <v>2517798</v>
      </c>
      <c r="D121" s="553">
        <f>'2011 Known'!C27</f>
        <v>0</v>
      </c>
      <c r="E121" s="552" t="str">
        <f>'2011 Known'!D27</f>
        <v>Firm</v>
      </c>
      <c r="F121" s="552" t="str">
        <f>'2011 Known'!E27</f>
        <v>Hydro</v>
      </c>
      <c r="G121" s="552" t="str">
        <f>'2011 Known'!F27</f>
        <v>Renew</v>
      </c>
    </row>
    <row r="122" spans="1:7" x14ac:dyDescent="0.25">
      <c r="A122" s="552">
        <v>2011</v>
      </c>
      <c r="B122" s="552" t="str">
        <f>'2011 Known'!A28</f>
        <v>Douglas PUD - Wells Project</v>
      </c>
      <c r="C122" s="553">
        <f>'2011 Known'!B28</f>
        <v>1061183</v>
      </c>
      <c r="D122" s="553">
        <f>'2011 Known'!C28</f>
        <v>0</v>
      </c>
      <c r="E122" s="552" t="str">
        <f>'2011 Known'!D28</f>
        <v>Firm</v>
      </c>
      <c r="F122" s="552" t="str">
        <f>'2011 Known'!E28</f>
        <v>Hydro</v>
      </c>
      <c r="G122" s="552" t="str">
        <f>'2011 Known'!F28</f>
        <v>Renew</v>
      </c>
    </row>
    <row r="123" spans="1:7" x14ac:dyDescent="0.25">
      <c r="A123" s="552">
        <v>2011</v>
      </c>
      <c r="B123" s="552" t="str">
        <f>'2011 Known'!A29</f>
        <v>Farm Power Lynden LLC</v>
      </c>
      <c r="C123" s="553">
        <f>'2011 Known'!B29</f>
        <v>3412.36</v>
      </c>
      <c r="D123" s="553">
        <f>'2011 Known'!C29</f>
        <v>0</v>
      </c>
      <c r="E123" s="552" t="str">
        <f>'2011 Known'!D29</f>
        <v>Firm</v>
      </c>
      <c r="F123" s="552" t="str">
        <f>'2011 Known'!E29</f>
        <v>Biogas</v>
      </c>
      <c r="G123" s="552" t="str">
        <f>'2011 Known'!F29</f>
        <v>Renew</v>
      </c>
    </row>
    <row r="124" spans="1:7" x14ac:dyDescent="0.25">
      <c r="A124" s="552">
        <v>2011</v>
      </c>
      <c r="B124" s="552" t="str">
        <f>'2011 Known'!A30</f>
        <v>Farm Power Rexville LLC</v>
      </c>
      <c r="C124" s="553">
        <f>'2011 Known'!B30</f>
        <v>4903.5690000000004</v>
      </c>
      <c r="D124" s="553">
        <f>'2011 Known'!C30</f>
        <v>0</v>
      </c>
      <c r="E124" s="552" t="str">
        <f>'2011 Known'!D30</f>
        <v>Firm</v>
      </c>
      <c r="F124" s="552" t="str">
        <f>'2011 Known'!E30</f>
        <v>Biogas</v>
      </c>
      <c r="G124" s="552" t="str">
        <f>'2011 Known'!F30</f>
        <v>Renew</v>
      </c>
    </row>
    <row r="125" spans="1:7" x14ac:dyDescent="0.25">
      <c r="A125" s="552">
        <v>2011</v>
      </c>
      <c r="B125" s="552" t="str">
        <f>'2011 Known'!A31</f>
        <v>Grant PUD - Priest Rapids Project</v>
      </c>
      <c r="C125" s="553">
        <f>'2011 Known'!B31</f>
        <v>253731</v>
      </c>
      <c r="D125" s="553">
        <f>'2011 Known'!C31</f>
        <v>0</v>
      </c>
      <c r="E125" s="552" t="str">
        <f>'2011 Known'!D31</f>
        <v>Firm</v>
      </c>
      <c r="F125" s="552" t="str">
        <f>'2011 Known'!E31</f>
        <v>Hydro</v>
      </c>
      <c r="G125" s="552" t="str">
        <f>'2011 Known'!F31</f>
        <v>Renew</v>
      </c>
    </row>
    <row r="126" spans="1:7" x14ac:dyDescent="0.25">
      <c r="A126" s="552">
        <v>2011</v>
      </c>
      <c r="B126" s="552" t="str">
        <f>'2011 Known'!A32</f>
        <v>Island Community Solar LLC</v>
      </c>
      <c r="C126" s="553">
        <f>'2011 Known'!B32</f>
        <v>15.23</v>
      </c>
      <c r="D126" s="553">
        <f>'2011 Known'!C32</f>
        <v>0</v>
      </c>
      <c r="E126" s="552" t="str">
        <f>'2011 Known'!D32</f>
        <v>Firm</v>
      </c>
      <c r="F126" s="552" t="str">
        <f>'2011 Known'!E32</f>
        <v>Solar</v>
      </c>
      <c r="G126" s="552" t="str">
        <f>'2011 Known'!F32</f>
        <v>Renew</v>
      </c>
    </row>
    <row r="127" spans="1:7" x14ac:dyDescent="0.25">
      <c r="A127" s="552">
        <v>2011</v>
      </c>
      <c r="B127" s="552" t="str">
        <f>'2011 Known'!A33</f>
        <v>Klondike Wind Power III</v>
      </c>
      <c r="C127" s="553">
        <f>'2011 Known'!B33</f>
        <v>132950</v>
      </c>
      <c r="D127" s="553">
        <f>'2011 Known'!C33</f>
        <v>0</v>
      </c>
      <c r="E127" s="552" t="str">
        <f>'2011 Known'!D33</f>
        <v>Firm</v>
      </c>
      <c r="F127" s="552" t="str">
        <f>'2011 Known'!E33</f>
        <v>Wind</v>
      </c>
      <c r="G127" s="552" t="str">
        <f>'2011 Known'!F33</f>
        <v>Renew</v>
      </c>
    </row>
    <row r="128" spans="1:7" x14ac:dyDescent="0.25">
      <c r="A128" s="552">
        <v>2011</v>
      </c>
      <c r="B128" s="552" t="str">
        <f>'2011 Known'!A34</f>
        <v>Knudsen Wind Turbine #1</v>
      </c>
      <c r="C128" s="553">
        <f>'2011 Known'!B34</f>
        <v>85.938000000000002</v>
      </c>
      <c r="D128" s="553">
        <f>'2011 Known'!C34</f>
        <v>0</v>
      </c>
      <c r="E128" s="552" t="str">
        <f>'2011 Known'!D34</f>
        <v>Firm</v>
      </c>
      <c r="F128" s="552" t="str">
        <f>'2011 Known'!E34</f>
        <v>Wind</v>
      </c>
      <c r="G128" s="552" t="str">
        <f>'2011 Known'!F34</f>
        <v>Renew</v>
      </c>
    </row>
    <row r="129" spans="1:7" x14ac:dyDescent="0.25">
      <c r="A129" s="552">
        <v>2011</v>
      </c>
      <c r="B129" s="552" t="str">
        <f>'2011 Known'!A35</f>
        <v>Qualco Energy</v>
      </c>
      <c r="C129" s="553">
        <f>'2011 Known'!B35</f>
        <v>3315</v>
      </c>
      <c r="D129" s="553">
        <f>'2011 Known'!C35</f>
        <v>0</v>
      </c>
      <c r="E129" s="552" t="str">
        <f>'2011 Known'!D35</f>
        <v>Firm</v>
      </c>
      <c r="F129" s="552" t="str">
        <f>'2011 Known'!E35</f>
        <v>Biogas</v>
      </c>
      <c r="G129" s="552" t="str">
        <f>'2011 Known'!F35</f>
        <v>Renew</v>
      </c>
    </row>
    <row r="130" spans="1:7" x14ac:dyDescent="0.25">
      <c r="A130" s="552">
        <v>2011</v>
      </c>
      <c r="B130" s="552" t="str">
        <f>'2011 Known'!A36</f>
        <v>Skookumchuck Hydro</v>
      </c>
      <c r="C130" s="553">
        <f>'2011 Known'!B36</f>
        <v>5017.3999999999996</v>
      </c>
      <c r="D130" s="553">
        <f>'2011 Known'!C36</f>
        <v>0</v>
      </c>
      <c r="E130" s="552" t="str">
        <f>'2011 Known'!D36</f>
        <v>Firm</v>
      </c>
      <c r="F130" s="552" t="str">
        <f>'2011 Known'!E36</f>
        <v>Hydro</v>
      </c>
      <c r="G130" s="552" t="str">
        <f>'2011 Known'!F36</f>
        <v>Renew</v>
      </c>
    </row>
    <row r="131" spans="1:7" x14ac:dyDescent="0.25">
      <c r="A131" s="552">
        <v>2011</v>
      </c>
      <c r="B131" s="552" t="str">
        <f>'2011 Known'!A37</f>
        <v>Smith Creek Hydro</v>
      </c>
      <c r="C131" s="553">
        <f>'2011 Known'!B37</f>
        <v>169.59399999999999</v>
      </c>
      <c r="D131" s="553">
        <f>'2011 Known'!C37</f>
        <v>0</v>
      </c>
      <c r="E131" s="552" t="str">
        <f>'2011 Known'!D37</f>
        <v>Firm</v>
      </c>
      <c r="F131" s="552" t="str">
        <f>'2011 Known'!E37</f>
        <v>Hydro</v>
      </c>
      <c r="G131" s="552" t="str">
        <f>'2011 Known'!F37</f>
        <v>Renew</v>
      </c>
    </row>
    <row r="132" spans="1:7" x14ac:dyDescent="0.25">
      <c r="A132" s="552">
        <v>2011</v>
      </c>
      <c r="B132" s="552" t="str">
        <f>'2011 Known'!A38</f>
        <v>Van Dyk - S Holsteins</v>
      </c>
      <c r="C132" s="553">
        <f>'2011 Known'!B38</f>
        <v>749.88199999999995</v>
      </c>
      <c r="D132" s="553">
        <f>'2011 Known'!C38</f>
        <v>0</v>
      </c>
      <c r="E132" s="552" t="str">
        <f>'2011 Known'!D38</f>
        <v>Firm</v>
      </c>
      <c r="F132" s="552" t="str">
        <f>'2011 Known'!E38</f>
        <v>Biogas</v>
      </c>
      <c r="G132" s="552" t="str">
        <f>'2011 Known'!F38</f>
        <v>Renew</v>
      </c>
    </row>
    <row r="133" spans="1:7" x14ac:dyDescent="0.25">
      <c r="A133" s="552">
        <v>2011</v>
      </c>
      <c r="B133" s="552" t="str">
        <f>'2011 Known'!A39</f>
        <v>VanderHaak Dairy Digester</v>
      </c>
      <c r="C133" s="553">
        <f>'2011 Known'!B39</f>
        <v>3919</v>
      </c>
      <c r="D133" s="553">
        <f>'2011 Known'!C39</f>
        <v>0</v>
      </c>
      <c r="E133" s="552" t="str">
        <f>'2011 Known'!D39</f>
        <v>Firm</v>
      </c>
      <c r="F133" s="552" t="str">
        <f>'2011 Known'!E39</f>
        <v>Biogas</v>
      </c>
      <c r="G133" s="552" t="str">
        <f>'2011 Known'!F39</f>
        <v>Renew</v>
      </c>
    </row>
    <row r="134" spans="1:7" x14ac:dyDescent="0.25">
      <c r="A134" s="552">
        <v>2011</v>
      </c>
      <c r="B134" s="552" t="str">
        <f>'2011 Known'!A40</f>
        <v>WASCO Hydro</v>
      </c>
      <c r="C134" s="553">
        <f>'2011 Known'!B40</f>
        <v>38437</v>
      </c>
      <c r="D134" s="553">
        <f>'2011 Known'!C40</f>
        <v>0</v>
      </c>
      <c r="E134" s="552" t="str">
        <f>'2011 Known'!D40</f>
        <v>Firm</v>
      </c>
      <c r="F134" s="552" t="str">
        <f>'2011 Known'!E40</f>
        <v>Hydro</v>
      </c>
      <c r="G134" s="552" t="str">
        <f>'2011 Known'!F40</f>
        <v>Renew</v>
      </c>
    </row>
    <row r="135" spans="1:7" x14ac:dyDescent="0.25">
      <c r="A135" s="552">
        <v>2011</v>
      </c>
      <c r="B135" s="552" t="str">
        <f>'2011 Known'!A41</f>
        <v>Hutchinson Creek</v>
      </c>
      <c r="C135" s="553">
        <f>'2011 Known'!B41</f>
        <v>1180.2</v>
      </c>
      <c r="D135" s="553">
        <f>'2011 Known'!C41</f>
        <v>0</v>
      </c>
      <c r="E135" s="552" t="str">
        <f>'2011 Known'!D41</f>
        <v>Firm</v>
      </c>
      <c r="F135" s="552" t="str">
        <f>'2011 Known'!E41</f>
        <v>Hydro</v>
      </c>
      <c r="G135" s="552" t="str">
        <f>'2011 Known'!F41</f>
        <v>Renew</v>
      </c>
    </row>
    <row r="136" spans="1:7" x14ac:dyDescent="0.25">
      <c r="A136" s="552">
        <v>2011</v>
      </c>
      <c r="B136" s="552" t="str">
        <f>'2011 Known'!A42</f>
        <v>Koma Kulshan Associates</v>
      </c>
      <c r="C136" s="553">
        <f>'2011 Known'!B42</f>
        <v>41094.68</v>
      </c>
      <c r="D136" s="553">
        <f>'2011 Known'!C42</f>
        <v>0</v>
      </c>
      <c r="E136" s="552" t="str">
        <f>'2011 Known'!D42</f>
        <v>Firm</v>
      </c>
      <c r="F136" s="552" t="str">
        <f>'2011 Known'!E42</f>
        <v>Hydro</v>
      </c>
      <c r="G136" s="552" t="str">
        <f>'2011 Known'!F42</f>
        <v>Renew</v>
      </c>
    </row>
    <row r="137" spans="1:7" x14ac:dyDescent="0.25">
      <c r="A137" s="552">
        <v>2011</v>
      </c>
      <c r="B137" s="552" t="str">
        <f>'2011 Known'!A43</f>
        <v>March Point Cogen. - 1 &amp; 2</v>
      </c>
      <c r="C137" s="553">
        <f>'2011 Known'!B43</f>
        <v>769775.10599999991</v>
      </c>
      <c r="D137" s="553">
        <f>'2011 Known'!C43</f>
        <v>211301.4807120715</v>
      </c>
      <c r="E137" s="552" t="str">
        <f>'2011 Known'!D43</f>
        <v>Firm</v>
      </c>
      <c r="F137" s="552" t="str">
        <f>'2011 Known'!E43</f>
        <v>Gas</v>
      </c>
      <c r="G137" s="552" t="str">
        <f>'2011 Known'!F43</f>
        <v>Gas</v>
      </c>
    </row>
    <row r="138" spans="1:7" x14ac:dyDescent="0.25">
      <c r="A138" s="552">
        <v>2011</v>
      </c>
      <c r="B138" s="552" t="str">
        <f>'2011 Known'!A44</f>
        <v>Nooksack</v>
      </c>
      <c r="C138" s="553">
        <f>'2011 Known'!B44</f>
        <v>24528.506000000001</v>
      </c>
      <c r="D138" s="553">
        <f>'2011 Known'!C44</f>
        <v>0</v>
      </c>
      <c r="E138" s="552" t="str">
        <f>'2011 Known'!D44</f>
        <v>Firm</v>
      </c>
      <c r="F138" s="552" t="str">
        <f>'2011 Known'!E44</f>
        <v>Hydro</v>
      </c>
      <c r="G138" s="552" t="str">
        <f>'2011 Known'!F44</f>
        <v>Renew</v>
      </c>
    </row>
    <row r="139" spans="1:7" x14ac:dyDescent="0.25">
      <c r="A139" s="552">
        <v>2011</v>
      </c>
      <c r="B139" s="552" t="str">
        <f>'2011 Known'!A45</f>
        <v>Port Townsend Paper Co.</v>
      </c>
      <c r="C139" s="553">
        <f>'2011 Known'!B45</f>
        <v>2962.03</v>
      </c>
      <c r="D139" s="553">
        <f>'2011 Known'!C45</f>
        <v>0</v>
      </c>
      <c r="E139" s="552" t="str">
        <f>'2011 Known'!D45</f>
        <v>Firm</v>
      </c>
      <c r="F139" s="552" t="str">
        <f>'2011 Known'!E45</f>
        <v>Biogas</v>
      </c>
      <c r="G139" s="552" t="str">
        <f>'2011 Known'!F45</f>
        <v>Renew</v>
      </c>
    </row>
    <row r="140" spans="1:7" x14ac:dyDescent="0.25">
      <c r="A140" s="552">
        <v>2011</v>
      </c>
      <c r="B140" s="552" t="str">
        <f>'2011 Known'!A46</f>
        <v>Spokane MSW</v>
      </c>
      <c r="C140" s="553">
        <f>'2011 Known'!B46</f>
        <v>143386</v>
      </c>
      <c r="D140" s="553">
        <f>'2011 Known'!C46</f>
        <v>100855.06414459176</v>
      </c>
      <c r="E140" s="552" t="str">
        <f>'2011 Known'!D46</f>
        <v>Firm</v>
      </c>
      <c r="F140" s="552" t="str">
        <f>'2011 Known'!E46</f>
        <v>Gas</v>
      </c>
      <c r="G140" s="552" t="str">
        <f>'2011 Known'!F46</f>
        <v>Gas</v>
      </c>
    </row>
    <row r="141" spans="1:7" x14ac:dyDescent="0.25">
      <c r="A141" s="552">
        <v>2011</v>
      </c>
      <c r="B141" s="552" t="str">
        <f>'2011 Known'!A47</f>
        <v>Sygitowicz Creek</v>
      </c>
      <c r="C141" s="553">
        <f>'2011 Known'!B47</f>
        <v>1153.68</v>
      </c>
      <c r="D141" s="553">
        <f>'2011 Known'!C47</f>
        <v>0</v>
      </c>
      <c r="E141" s="552" t="str">
        <f>'2011 Known'!D47</f>
        <v>Firm</v>
      </c>
      <c r="F141" s="552" t="str">
        <f>'2011 Known'!E47</f>
        <v>Hydro</v>
      </c>
      <c r="G141" s="552" t="str">
        <f>'2011 Known'!F47</f>
        <v>Renew</v>
      </c>
    </row>
    <row r="142" spans="1:7" x14ac:dyDescent="0.25">
      <c r="A142" s="552">
        <v>2011</v>
      </c>
      <c r="B142" s="552" t="str">
        <f>'2011 Known'!A48</f>
        <v>Tenaska</v>
      </c>
      <c r="C142" s="553">
        <f>'2011 Known'!B48</f>
        <v>81307.08</v>
      </c>
      <c r="D142" s="553">
        <f>'2011 Known'!C48</f>
        <v>33410.014472329705</v>
      </c>
      <c r="E142" s="552" t="str">
        <f>'2011 Known'!D48</f>
        <v>Firm</v>
      </c>
      <c r="F142" s="552" t="str">
        <f>'2011 Known'!E48</f>
        <v>Gas</v>
      </c>
      <c r="G142" s="552" t="str">
        <f>'2011 Known'!F48</f>
        <v>Gas</v>
      </c>
    </row>
    <row r="143" spans="1:7" x14ac:dyDescent="0.25">
      <c r="A143" s="552">
        <v>2011</v>
      </c>
      <c r="B143" s="552" t="str">
        <f>'2011 Known'!A49</f>
        <v>Twin Falls Hydro</v>
      </c>
      <c r="C143" s="553">
        <f>'2011 Known'!B49</f>
        <v>90259.6</v>
      </c>
      <c r="D143" s="553">
        <f>'2011 Known'!C49</f>
        <v>0</v>
      </c>
      <c r="E143" s="552" t="str">
        <f>'2011 Known'!D49</f>
        <v>Firm</v>
      </c>
      <c r="F143" s="552" t="str">
        <f>'2011 Known'!E49</f>
        <v>Hydro</v>
      </c>
      <c r="G143" s="552" t="str">
        <f>'2011 Known'!F49</f>
        <v>Renew</v>
      </c>
    </row>
    <row r="144" spans="1:7" x14ac:dyDescent="0.25">
      <c r="A144" s="552">
        <v>2011</v>
      </c>
      <c r="B144" s="552" t="str">
        <f>'2011 Known'!A50</f>
        <v>Weeks Falls</v>
      </c>
      <c r="C144" s="553">
        <f>'2011 Known'!B50</f>
        <v>15834</v>
      </c>
      <c r="D144" s="553">
        <f>'2011 Known'!C50</f>
        <v>0</v>
      </c>
      <c r="E144" s="552" t="str">
        <f>'2011 Known'!D50</f>
        <v>Firm</v>
      </c>
      <c r="F144" s="552" t="str">
        <f>'2011 Known'!E50</f>
        <v>Hydro</v>
      </c>
      <c r="G144" s="552" t="str">
        <f>'2011 Known'!F50</f>
        <v>Renew</v>
      </c>
    </row>
    <row r="145" spans="1:7" x14ac:dyDescent="0.25">
      <c r="A145" s="552">
        <v>2011</v>
      </c>
      <c r="B145" s="552" t="str">
        <f>'2011 Known'!A51</f>
        <v>Barclays Bank Plc</v>
      </c>
      <c r="C145" s="553">
        <f>'2011 Known'!B51</f>
        <v>109875</v>
      </c>
      <c r="D145" s="553">
        <f>'2011 Known'!C51</f>
        <v>48015.374999999993</v>
      </c>
      <c r="E145" s="552" t="str">
        <f>'2011 Known'!D51</f>
        <v>Firm</v>
      </c>
      <c r="F145" s="552" t="str">
        <f>'2011 Known'!E51</f>
        <v>System</v>
      </c>
      <c r="G145" s="552" t="str">
        <f>'2011 Known'!F51</f>
        <v>System</v>
      </c>
    </row>
    <row r="146" spans="1:7" x14ac:dyDescent="0.25">
      <c r="A146" s="552">
        <v>2011</v>
      </c>
      <c r="B146" s="552" t="str">
        <f>'2011 Known'!A52</f>
        <v>BC Hydro (Point Roberts)</v>
      </c>
      <c r="C146" s="553">
        <f>'2011 Known'!B52</f>
        <v>22073.61</v>
      </c>
      <c r="D146" s="553">
        <f>'2011 Known'!C52</f>
        <v>9646.1675699999996</v>
      </c>
      <c r="E146" s="552" t="str">
        <f>'2011 Known'!D52</f>
        <v>Firm</v>
      </c>
      <c r="F146" s="552" t="str">
        <f>'2011 Known'!E52</f>
        <v>System</v>
      </c>
      <c r="G146" s="552" t="str">
        <f>'2011 Known'!F52</f>
        <v>System</v>
      </c>
    </row>
    <row r="147" spans="1:7" x14ac:dyDescent="0.25">
      <c r="A147" s="552">
        <v>2011</v>
      </c>
      <c r="B147" s="552" t="str">
        <f>'2011 Known'!A53</f>
        <v>Book Outs - EITF 03-11</v>
      </c>
      <c r="C147" s="553">
        <f>'2011 Known'!B53</f>
        <v>-509390</v>
      </c>
      <c r="D147" s="553">
        <f>'2011 Known'!C53</f>
        <v>-222603.43</v>
      </c>
      <c r="E147" s="552" t="str">
        <f>'2011 Known'!D53</f>
        <v>Firm</v>
      </c>
      <c r="F147" s="552" t="str">
        <f>'2011 Known'!E53</f>
        <v>System</v>
      </c>
      <c r="G147" s="552" t="str">
        <f>'2011 Known'!F53</f>
        <v>System</v>
      </c>
    </row>
    <row r="148" spans="1:7" x14ac:dyDescent="0.25">
      <c r="A148" s="552">
        <v>2011</v>
      </c>
      <c r="B148" s="552" t="str">
        <f>'2011 Known'!A54</f>
        <v>BPA Firm - WNP#3 Exchange</v>
      </c>
      <c r="C148" s="553">
        <f>'2011 Known'!B54</f>
        <v>413808</v>
      </c>
      <c r="D148" s="553">
        <f>'2011 Known'!C54</f>
        <v>180834.09600000002</v>
      </c>
      <c r="E148" s="552" t="str">
        <f>'2011 Known'!D54</f>
        <v>Firm</v>
      </c>
      <c r="F148" s="552" t="str">
        <f>'2011 Known'!E54</f>
        <v>System</v>
      </c>
      <c r="G148" s="552" t="str">
        <f>'2011 Known'!F54</f>
        <v>System</v>
      </c>
    </row>
    <row r="149" spans="1:7" x14ac:dyDescent="0.25">
      <c r="A149" s="552">
        <v>2011</v>
      </c>
      <c r="B149" s="552" t="str">
        <f>'2011 Known'!A55</f>
        <v>JP Morgan Ventures Energy</v>
      </c>
      <c r="C149" s="553">
        <f>'2011 Known'!B55</f>
        <v>385873</v>
      </c>
      <c r="D149" s="553">
        <f>'2011 Known'!C55</f>
        <v>168626.50100000002</v>
      </c>
      <c r="E149" s="552" t="str">
        <f>'2011 Known'!D55</f>
        <v>Firm</v>
      </c>
      <c r="F149" s="552" t="str">
        <f>'2011 Known'!E55</f>
        <v>System</v>
      </c>
      <c r="G149" s="552" t="str">
        <f>'2011 Known'!F55</f>
        <v>System</v>
      </c>
    </row>
    <row r="150" spans="1:7" x14ac:dyDescent="0.25">
      <c r="A150" s="552">
        <v>2011</v>
      </c>
      <c r="B150" s="552" t="str">
        <f>'2011 Known'!A56</f>
        <v>Powerex Corp.</v>
      </c>
      <c r="C150" s="553">
        <f>'2011 Known'!B56</f>
        <v>180000</v>
      </c>
      <c r="D150" s="553">
        <f>'2011 Known'!C56</f>
        <v>78660</v>
      </c>
      <c r="E150" s="552" t="str">
        <f>'2011 Known'!D56</f>
        <v>Firm</v>
      </c>
      <c r="F150" s="552" t="str">
        <f>'2011 Known'!E56</f>
        <v>System</v>
      </c>
      <c r="G150" s="552" t="str">
        <f>'2011 Known'!F56</f>
        <v>System</v>
      </c>
    </row>
    <row r="151" spans="1:7" x14ac:dyDescent="0.25">
      <c r="A151" s="552">
        <v>2011</v>
      </c>
      <c r="B151" s="552" t="str">
        <f>'2011 Known'!A57</f>
        <v>Sempra Energy Trading</v>
      </c>
      <c r="C151" s="553">
        <f>'2011 Known'!B57</f>
        <v>161925</v>
      </c>
      <c r="D151" s="553">
        <f>'2011 Known'!C57</f>
        <v>70761.225000000006</v>
      </c>
      <c r="E151" s="552" t="str">
        <f>'2011 Known'!D57</f>
        <v>Firm</v>
      </c>
      <c r="F151" s="552" t="str">
        <f>'2011 Known'!E57</f>
        <v>System</v>
      </c>
      <c r="G151" s="552" t="str">
        <f>'2011 Known'!F57</f>
        <v>System</v>
      </c>
    </row>
    <row r="152" spans="1:7" x14ac:dyDescent="0.25">
      <c r="A152" s="552">
        <v>2011</v>
      </c>
      <c r="B152" s="552" t="str">
        <f>'2011 Known'!A58</f>
        <v>Shell Energy (Coral Pwr)</v>
      </c>
      <c r="C152" s="553">
        <f>'2011 Known'!B58</f>
        <v>437989</v>
      </c>
      <c r="D152" s="553">
        <f>'2011 Known'!C58</f>
        <v>191401.193</v>
      </c>
      <c r="E152" s="552" t="str">
        <f>'2011 Known'!D58</f>
        <v>Firm</v>
      </c>
      <c r="F152" s="552" t="str">
        <f>'2011 Known'!E58</f>
        <v>System</v>
      </c>
      <c r="G152" s="552" t="str">
        <f>'2011 Known'!F58</f>
        <v>System</v>
      </c>
    </row>
    <row r="153" spans="1:7" x14ac:dyDescent="0.25">
      <c r="A153" s="552">
        <v>2011</v>
      </c>
      <c r="B153" s="552" t="str">
        <f>'2011 Known'!A59</f>
        <v>BPA</v>
      </c>
      <c r="C153" s="553">
        <f>'2011 Known'!B59</f>
        <v>7000</v>
      </c>
      <c r="D153" s="553">
        <f>'2011 Known'!C59</f>
        <v>3059</v>
      </c>
      <c r="E153" s="552" t="str">
        <f>'2011 Known'!D59</f>
        <v>Firm</v>
      </c>
      <c r="F153" s="552" t="str">
        <f>'2011 Known'!E59</f>
        <v>System</v>
      </c>
      <c r="G153" s="552" t="str">
        <f>'2011 Known'!F59</f>
        <v>System</v>
      </c>
    </row>
    <row r="154" spans="1:7" x14ac:dyDescent="0.25">
      <c r="A154" s="552">
        <v>2011</v>
      </c>
      <c r="B154" s="554" t="s">
        <v>462</v>
      </c>
      <c r="C154" s="556">
        <f>'2011 Unknown'!B146</f>
        <v>6265347.6720000021</v>
      </c>
      <c r="D154" s="556">
        <f>'2011 Unknown'!D146</f>
        <v>2737956.932663999</v>
      </c>
      <c r="E154" s="557" t="s">
        <v>473</v>
      </c>
      <c r="F154" s="552" t="s">
        <v>432</v>
      </c>
      <c r="G154" s="552" t="s">
        <v>432</v>
      </c>
    </row>
    <row r="155" spans="1:7" x14ac:dyDescent="0.25">
      <c r="A155" s="552">
        <v>2012</v>
      </c>
      <c r="B155" s="552" t="str">
        <f>'2012 Known'!A4</f>
        <v>Electron</v>
      </c>
      <c r="C155" s="552">
        <f>'2012 Known'!B4</f>
        <v>49582.500999999997</v>
      </c>
      <c r="D155" s="552">
        <f>'2012 Known'!C4</f>
        <v>0</v>
      </c>
      <c r="E155" s="552" t="str">
        <f>'2012 Known'!D4</f>
        <v>Own</v>
      </c>
      <c r="F155" s="552" t="str">
        <f>'2012 Known'!E4</f>
        <v>Hydro</v>
      </c>
      <c r="G155" s="552" t="str">
        <f>'2012 Known'!F4</f>
        <v>Renew</v>
      </c>
    </row>
    <row r="156" spans="1:7" x14ac:dyDescent="0.25">
      <c r="A156" s="552">
        <v>2012</v>
      </c>
      <c r="B156" s="552" t="str">
        <f>'2012 Known'!A5</f>
        <v>Lower Baker</v>
      </c>
      <c r="C156" s="552">
        <f>'2012 Known'!B5</f>
        <v>349273.41600000003</v>
      </c>
      <c r="D156" s="552">
        <f>'2012 Known'!C5</f>
        <v>0</v>
      </c>
      <c r="E156" s="552" t="str">
        <f>'2012 Known'!D5</f>
        <v>Own</v>
      </c>
      <c r="F156" s="552" t="str">
        <f>'2012 Known'!E5</f>
        <v>Hydro</v>
      </c>
      <c r="G156" s="552" t="str">
        <f>'2012 Known'!F5</f>
        <v>Renew</v>
      </c>
    </row>
    <row r="157" spans="1:7" x14ac:dyDescent="0.25">
      <c r="A157" s="552">
        <v>2012</v>
      </c>
      <c r="B157" s="552" t="str">
        <f>'2012 Known'!A6</f>
        <v>Snoqualmie Falls #1</v>
      </c>
      <c r="C157" s="552">
        <f>'2012 Known'!B6</f>
        <v>-1203.3699999999999</v>
      </c>
      <c r="D157" s="552">
        <f>'2012 Known'!C6</f>
        <v>0</v>
      </c>
      <c r="E157" s="552" t="str">
        <f>'2012 Known'!D6</f>
        <v>Own</v>
      </c>
      <c r="F157" s="552" t="str">
        <f>'2012 Known'!E6</f>
        <v>Hydro</v>
      </c>
      <c r="G157" s="552" t="str">
        <f>'2012 Known'!F6</f>
        <v>Renew</v>
      </c>
    </row>
    <row r="158" spans="1:7" x14ac:dyDescent="0.25">
      <c r="A158" s="552">
        <v>2012</v>
      </c>
      <c r="B158" s="552" t="str">
        <f>'2012 Known'!A7</f>
        <v>Snoqualmie Falls #2</v>
      </c>
      <c r="C158" s="552">
        <f>'2012 Known'!B7</f>
        <v>-636.02</v>
      </c>
      <c r="D158" s="552">
        <f>'2012 Known'!C7</f>
        <v>0</v>
      </c>
      <c r="E158" s="552" t="str">
        <f>'2012 Known'!D7</f>
        <v>Own</v>
      </c>
      <c r="F158" s="552" t="str">
        <f>'2012 Known'!E7</f>
        <v>Hydro</v>
      </c>
      <c r="G158" s="552" t="str">
        <f>'2012 Known'!F7</f>
        <v>Renew</v>
      </c>
    </row>
    <row r="159" spans="1:7" x14ac:dyDescent="0.25">
      <c r="A159" s="552">
        <v>2012</v>
      </c>
      <c r="B159" s="552" t="str">
        <f>'2012 Known'!A8</f>
        <v>Upper Baker</v>
      </c>
      <c r="C159" s="552">
        <f>'2012 Known'!B8</f>
        <v>349723.13699999999</v>
      </c>
      <c r="D159" s="552">
        <f>'2012 Known'!C8</f>
        <v>0</v>
      </c>
      <c r="E159" s="552" t="str">
        <f>'2012 Known'!D8</f>
        <v>Own</v>
      </c>
      <c r="F159" s="552" t="str">
        <f>'2012 Known'!E8</f>
        <v>Hydro</v>
      </c>
      <c r="G159" s="552" t="str">
        <f>'2012 Known'!F8</f>
        <v>Renew</v>
      </c>
    </row>
    <row r="160" spans="1:7" x14ac:dyDescent="0.25">
      <c r="A160" s="552">
        <v>2012</v>
      </c>
      <c r="B160" s="552" t="str">
        <f>'2012 Known'!A9</f>
        <v>Colstrip</v>
      </c>
      <c r="C160" s="552">
        <f>'2012 Known'!B9</f>
        <v>3809524.0120000001</v>
      </c>
      <c r="D160" s="552">
        <f>'2012 Known'!C9</f>
        <v>4135425.0249789529</v>
      </c>
      <c r="E160" s="552" t="str">
        <f>'2012 Known'!D9</f>
        <v>Own</v>
      </c>
      <c r="F160" s="552" t="str">
        <f>'2012 Known'!E9</f>
        <v>Coal</v>
      </c>
      <c r="G160" s="552" t="str">
        <f>'2012 Known'!F9</f>
        <v>Coal</v>
      </c>
    </row>
    <row r="161" spans="1:7" x14ac:dyDescent="0.25">
      <c r="A161" s="552">
        <v>2012</v>
      </c>
      <c r="B161" s="552" t="str">
        <f>'2012 Known'!A10</f>
        <v>Encogen</v>
      </c>
      <c r="C161" s="552">
        <f>'2012 Known'!B10</f>
        <v>108457.06999999999</v>
      </c>
      <c r="D161" s="552">
        <f>'2012 Known'!C10</f>
        <v>51680.103999999999</v>
      </c>
      <c r="E161" s="552" t="str">
        <f>'2012 Known'!D10</f>
        <v>Own</v>
      </c>
      <c r="F161" s="552" t="str">
        <f>'2012 Known'!E10</f>
        <v>Gas</v>
      </c>
      <c r="G161" s="552" t="str">
        <f>'2012 Known'!F10</f>
        <v>Gas</v>
      </c>
    </row>
    <row r="162" spans="1:7" x14ac:dyDescent="0.25">
      <c r="A162" s="552">
        <v>2012</v>
      </c>
      <c r="B162" s="552" t="str">
        <f>'2012 Known'!A11</f>
        <v>Ferndale Co-Generation</v>
      </c>
      <c r="C162" s="552">
        <f>'2012 Known'!B11</f>
        <v>1607.07</v>
      </c>
      <c r="D162" s="552">
        <f>'2012 Known'!C11</f>
        <v>14719.108</v>
      </c>
      <c r="E162" s="552" t="str">
        <f>'2012 Known'!D11</f>
        <v>Own</v>
      </c>
      <c r="F162" s="552" t="str">
        <f>'2012 Known'!E11</f>
        <v>Gas</v>
      </c>
      <c r="G162" s="552" t="str">
        <f>'2012 Known'!F11</f>
        <v>Gas</v>
      </c>
    </row>
    <row r="163" spans="1:7" x14ac:dyDescent="0.25">
      <c r="A163" s="552">
        <v>2012</v>
      </c>
      <c r="B163" s="552" t="str">
        <f>'2012 Known'!A12</f>
        <v>Freddie #1</v>
      </c>
      <c r="C163" s="552">
        <f>'2012 Known'!B12</f>
        <v>175177.486</v>
      </c>
      <c r="D163" s="552">
        <f>'2012 Known'!C12</f>
        <v>69361.531273999994</v>
      </c>
      <c r="E163" s="552" t="str">
        <f>'2012 Known'!D12</f>
        <v>Own</v>
      </c>
      <c r="F163" s="552" t="str">
        <f>'2012 Known'!E12</f>
        <v>Gas</v>
      </c>
      <c r="G163" s="552" t="str">
        <f>'2012 Known'!F12</f>
        <v>Gas</v>
      </c>
    </row>
    <row r="164" spans="1:7" x14ac:dyDescent="0.25">
      <c r="A164" s="552">
        <v>2012</v>
      </c>
      <c r="B164" s="552" t="str">
        <f>'2012 Known'!A13</f>
        <v>Goldendale</v>
      </c>
      <c r="C164" s="552">
        <f>'2012 Known'!B13</f>
        <v>909496.56500000006</v>
      </c>
      <c r="D164" s="552">
        <f>'2012 Known'!C13</f>
        <v>325690.44400000002</v>
      </c>
      <c r="E164" s="552" t="str">
        <f>'2012 Known'!D13</f>
        <v>Own</v>
      </c>
      <c r="F164" s="552" t="str">
        <f>'2012 Known'!E13</f>
        <v>Gas</v>
      </c>
      <c r="G164" s="552" t="str">
        <f>'2012 Known'!F13</f>
        <v>Gas</v>
      </c>
    </row>
    <row r="165" spans="1:7" x14ac:dyDescent="0.25">
      <c r="A165" s="552">
        <v>2012</v>
      </c>
      <c r="B165" s="552" t="str">
        <f>'2012 Known'!A14</f>
        <v>Mint Farm</v>
      </c>
      <c r="C165" s="552">
        <f>'2012 Known'!B14</f>
        <v>1098069.3709999998</v>
      </c>
      <c r="D165" s="552">
        <f>'2012 Known'!C14</f>
        <v>433875.39199999999</v>
      </c>
      <c r="E165" s="552" t="str">
        <f>'2012 Known'!D14</f>
        <v>Own</v>
      </c>
      <c r="F165" s="552" t="str">
        <f>'2012 Known'!E14</f>
        <v>Gas</v>
      </c>
      <c r="G165" s="552" t="str">
        <f>'2012 Known'!F14</f>
        <v>Gas</v>
      </c>
    </row>
    <row r="166" spans="1:7" x14ac:dyDescent="0.25">
      <c r="A166" s="552">
        <v>2012</v>
      </c>
      <c r="B166" s="552" t="str">
        <f>'2012 Known'!A15</f>
        <v>Sumas</v>
      </c>
      <c r="C166" s="552">
        <f>'2012 Known'!B15</f>
        <v>223749.87400000001</v>
      </c>
      <c r="D166" s="552">
        <f>'2012 Known'!C15</f>
        <v>106647.40399999999</v>
      </c>
      <c r="E166" s="552" t="str">
        <f>'2012 Known'!D15</f>
        <v>Own</v>
      </c>
      <c r="F166" s="552" t="str">
        <f>'2012 Known'!E15</f>
        <v>Gas</v>
      </c>
      <c r="G166" s="552" t="str">
        <f>'2012 Known'!F15</f>
        <v>Gas</v>
      </c>
    </row>
    <row r="167" spans="1:7" x14ac:dyDescent="0.25">
      <c r="A167" s="552">
        <v>2012</v>
      </c>
      <c r="B167" s="552" t="str">
        <f>'2012 Known'!A16</f>
        <v>Crystal Mountain</v>
      </c>
      <c r="C167" s="552">
        <f>'2012 Known'!B16</f>
        <v>298.26</v>
      </c>
      <c r="D167" s="552">
        <f>'2012 Known'!C16</f>
        <v>9852.490904160908</v>
      </c>
      <c r="E167" s="552" t="str">
        <f>'2012 Known'!D16</f>
        <v>Own</v>
      </c>
      <c r="F167" s="552" t="str">
        <f>'2012 Known'!E16</f>
        <v>Diesel</v>
      </c>
      <c r="G167" s="552" t="str">
        <f>'2012 Known'!F16</f>
        <v>Gas</v>
      </c>
    </row>
    <row r="168" spans="1:7" x14ac:dyDescent="0.25">
      <c r="A168" s="552">
        <v>2012</v>
      </c>
      <c r="B168" s="552" t="str">
        <f>'2012 Known'!A17</f>
        <v>Fredonia</v>
      </c>
      <c r="C168" s="552">
        <f>'2012 Known'!B17</f>
        <v>42552.718000000001</v>
      </c>
      <c r="D168" s="552">
        <f>'2012 Known'!C17</f>
        <v>28513.758000000002</v>
      </c>
      <c r="E168" s="552" t="str">
        <f>'2012 Known'!D17</f>
        <v>Own</v>
      </c>
      <c r="F168" s="552" t="str">
        <f>'2012 Known'!E17</f>
        <v>Gas</v>
      </c>
      <c r="G168" s="552" t="str">
        <f>'2012 Known'!F17</f>
        <v>Gas</v>
      </c>
    </row>
    <row r="169" spans="1:7" x14ac:dyDescent="0.25">
      <c r="A169" s="552">
        <v>2012</v>
      </c>
      <c r="B169" s="552" t="str">
        <f>'2012 Known'!A18</f>
        <v>Fredrickson 1 &amp; 2</v>
      </c>
      <c r="C169" s="552">
        <f>'2012 Known'!B18</f>
        <v>31650.31</v>
      </c>
      <c r="D169" s="552">
        <f>'2012 Known'!C18</f>
        <v>30729.124</v>
      </c>
      <c r="E169" s="552" t="str">
        <f>'2012 Known'!D18</f>
        <v>Own</v>
      </c>
      <c r="F169" s="552" t="str">
        <f>'2012 Known'!E18</f>
        <v>Gas</v>
      </c>
      <c r="G169" s="552" t="str">
        <f>'2012 Known'!F18</f>
        <v>Gas</v>
      </c>
    </row>
    <row r="170" spans="1:7" x14ac:dyDescent="0.25">
      <c r="A170" s="552">
        <v>2012</v>
      </c>
      <c r="B170" s="552" t="str">
        <f>'2012 Known'!A19</f>
        <v>Hopkins Ridge (W184)</v>
      </c>
      <c r="C170" s="552">
        <f>'2012 Known'!B19</f>
        <v>430639.962</v>
      </c>
      <c r="D170" s="552">
        <f>'2012 Known'!C19</f>
        <v>0</v>
      </c>
      <c r="E170" s="552" t="str">
        <f>'2012 Known'!D19</f>
        <v>Own</v>
      </c>
      <c r="F170" s="552" t="str">
        <f>'2012 Known'!E19</f>
        <v>Wind</v>
      </c>
      <c r="G170" s="552" t="str">
        <f>'2012 Known'!F19</f>
        <v>Renew</v>
      </c>
    </row>
    <row r="171" spans="1:7" x14ac:dyDescent="0.25">
      <c r="A171" s="552">
        <v>2012</v>
      </c>
      <c r="B171" s="552" t="str">
        <f>'2012 Known'!A20</f>
        <v>Lower Snake River</v>
      </c>
      <c r="C171" s="552">
        <f>'2012 Known'!B20</f>
        <v>714783.17700000003</v>
      </c>
      <c r="D171" s="552">
        <f>'2012 Known'!C20</f>
        <v>0</v>
      </c>
      <c r="E171" s="552" t="str">
        <f>'2012 Known'!D20</f>
        <v>Own</v>
      </c>
      <c r="F171" s="552" t="str">
        <f>'2012 Known'!E20</f>
        <v>Wind</v>
      </c>
      <c r="G171" s="552" t="str">
        <f>'2012 Known'!F20</f>
        <v>Renew</v>
      </c>
    </row>
    <row r="172" spans="1:7" x14ac:dyDescent="0.25">
      <c r="A172" s="552">
        <v>2012</v>
      </c>
      <c r="B172" s="552" t="str">
        <f>'2012 Known'!A21</f>
        <v>Whitehorn 2&amp;3</v>
      </c>
      <c r="C172" s="552">
        <f>'2012 Known'!B21</f>
        <v>29277.7</v>
      </c>
      <c r="D172" s="552">
        <f>'2012 Known'!C21</f>
        <v>27310.482</v>
      </c>
      <c r="E172" s="552" t="str">
        <f>'2012 Known'!D21</f>
        <v>Own</v>
      </c>
      <c r="F172" s="552" t="str">
        <f>'2012 Known'!E21</f>
        <v>Gas</v>
      </c>
      <c r="G172" s="552" t="str">
        <f>'2012 Known'!F21</f>
        <v>Gas</v>
      </c>
    </row>
    <row r="173" spans="1:7" x14ac:dyDescent="0.25">
      <c r="A173" s="552">
        <v>2012</v>
      </c>
      <c r="B173" s="552" t="str">
        <f>'2012 Known'!A22</f>
        <v>Wild Horse (W183)</v>
      </c>
      <c r="C173" s="552">
        <f>'2012 Known'!B22</f>
        <v>677389.93</v>
      </c>
      <c r="D173" s="552">
        <f>'2012 Known'!C22</f>
        <v>0</v>
      </c>
      <c r="E173" s="552" t="str">
        <f>'2012 Known'!D22</f>
        <v>Own</v>
      </c>
      <c r="F173" s="552" t="str">
        <f>'2012 Known'!E22</f>
        <v>Wind</v>
      </c>
      <c r="G173" s="552" t="str">
        <f>'2012 Known'!F22</f>
        <v>Renew</v>
      </c>
    </row>
    <row r="174" spans="1:7" x14ac:dyDescent="0.25">
      <c r="A174" s="552">
        <v>2012</v>
      </c>
      <c r="B174" s="552" t="str">
        <f>'2012 Known'!A23</f>
        <v>3 Bar G Wind Turbine #3 LLC</v>
      </c>
      <c r="C174" s="552">
        <f>'2012 Known'!B23</f>
        <v>190.13800000000001</v>
      </c>
      <c r="D174" s="552">
        <f>'2012 Known'!C23</f>
        <v>0</v>
      </c>
      <c r="E174" s="552" t="str">
        <f>'2012 Known'!D23</f>
        <v>Firm</v>
      </c>
      <c r="F174" s="552" t="str">
        <f>'2012 Known'!E23</f>
        <v>Wind</v>
      </c>
      <c r="G174" s="552" t="str">
        <f>'2012 Known'!F23</f>
        <v>Renew</v>
      </c>
    </row>
    <row r="175" spans="1:7" x14ac:dyDescent="0.25">
      <c r="A175" s="552">
        <v>2012</v>
      </c>
      <c r="B175" s="552" t="str">
        <f>'2012 Known'!A24</f>
        <v>Barclays Bank Plc</v>
      </c>
      <c r="C175" s="552">
        <f>'2012 Known'!B24</f>
        <v>217875</v>
      </c>
      <c r="D175" s="552">
        <f>'2012 Known'!C24</f>
        <v>95211.375</v>
      </c>
      <c r="E175" s="552" t="str">
        <f>'2012 Known'!D24</f>
        <v>Firm</v>
      </c>
      <c r="F175" s="552" t="str">
        <f>'2012 Known'!E24</f>
        <v>System</v>
      </c>
      <c r="G175" s="552" t="str">
        <f>'2012 Known'!F24</f>
        <v>System</v>
      </c>
    </row>
    <row r="176" spans="1:7" x14ac:dyDescent="0.25">
      <c r="A176" s="552">
        <v>2012</v>
      </c>
      <c r="B176" s="552" t="str">
        <f>'2012 Known'!A25</f>
        <v>BC Hydro (Point Roberts)</v>
      </c>
      <c r="C176" s="552">
        <f>'2012 Known'!B25</f>
        <v>21416.769</v>
      </c>
      <c r="D176" s="552">
        <f>'2012 Known'!C25</f>
        <v>9359.1280530000004</v>
      </c>
      <c r="E176" s="552" t="str">
        <f>'2012 Known'!D25</f>
        <v>Firm</v>
      </c>
      <c r="F176" s="552" t="str">
        <f>'2012 Known'!E25</f>
        <v>System</v>
      </c>
      <c r="G176" s="552" t="str">
        <f>'2012 Known'!F25</f>
        <v>System</v>
      </c>
    </row>
    <row r="177" spans="1:7" x14ac:dyDescent="0.25">
      <c r="A177" s="552">
        <v>2012</v>
      </c>
      <c r="B177" s="552" t="str">
        <f>'2012 Known'!A26</f>
        <v>Black Creek Hydro Inc</v>
      </c>
      <c r="C177" s="552">
        <f>'2012 Known'!B26</f>
        <v>11481.12</v>
      </c>
      <c r="D177" s="552">
        <f>'2012 Known'!C26</f>
        <v>0</v>
      </c>
      <c r="E177" s="552" t="str">
        <f>'2012 Known'!D26</f>
        <v>Firm</v>
      </c>
      <c r="F177" s="552" t="str">
        <f>'2012 Known'!E26</f>
        <v>Hydro</v>
      </c>
      <c r="G177" s="552" t="str">
        <f>'2012 Known'!F26</f>
        <v>Renew</v>
      </c>
    </row>
    <row r="178" spans="1:7" x14ac:dyDescent="0.25">
      <c r="A178" s="552">
        <v>2012</v>
      </c>
      <c r="B178" s="552" t="str">
        <f>'2012 Known'!A27</f>
        <v>Book Outs - EITF 03-11</v>
      </c>
      <c r="C178" s="552">
        <f>'2012 Known'!B27</f>
        <v>-449210</v>
      </c>
      <c r="D178" s="552">
        <f>'2012 Known'!C27</f>
        <v>-196304.77</v>
      </c>
      <c r="E178" s="552" t="str">
        <f>'2012 Known'!D27</f>
        <v>Firm</v>
      </c>
      <c r="F178" s="552" t="str">
        <f>'2012 Known'!E27</f>
        <v>System</v>
      </c>
      <c r="G178" s="552" t="str">
        <f>'2012 Known'!F27</f>
        <v>System</v>
      </c>
    </row>
    <row r="179" spans="1:7" x14ac:dyDescent="0.25">
      <c r="A179" s="552">
        <v>2012</v>
      </c>
      <c r="B179" s="552" t="str">
        <f>'2012 Known'!A28</f>
        <v>BPA</v>
      </c>
      <c r="C179" s="552">
        <f>'2012 Known'!B28</f>
        <v>6832</v>
      </c>
      <c r="D179" s="552">
        <f>'2012 Known'!C28</f>
        <v>0</v>
      </c>
      <c r="E179" s="552" t="str">
        <f>'2012 Known'!D28</f>
        <v>Firm</v>
      </c>
      <c r="F179" s="552" t="str">
        <f>'2012 Known'!E28</f>
        <v>Hydro</v>
      </c>
      <c r="G179" s="552" t="str">
        <f>'2012 Known'!F28</f>
        <v>Renew</v>
      </c>
    </row>
    <row r="180" spans="1:7" x14ac:dyDescent="0.25">
      <c r="A180" s="552">
        <v>2012</v>
      </c>
      <c r="B180" s="552" t="str">
        <f>'2012 Known'!A29</f>
        <v>BPA Firm - WNP#3 Exchange</v>
      </c>
      <c r="C180" s="552">
        <f>'2012 Known'!B29</f>
        <v>400153</v>
      </c>
      <c r="D180" s="552">
        <f>'2012 Known'!C29</f>
        <v>174866.861</v>
      </c>
      <c r="E180" s="552" t="str">
        <f>'2012 Known'!D29</f>
        <v>Firm</v>
      </c>
      <c r="F180" s="552" t="str">
        <f>'2012 Known'!E29</f>
        <v>System</v>
      </c>
      <c r="G180" s="552" t="str">
        <f>'2012 Known'!F29</f>
        <v>System</v>
      </c>
    </row>
    <row r="181" spans="1:7" x14ac:dyDescent="0.25">
      <c r="A181" s="552">
        <v>2012</v>
      </c>
      <c r="B181" s="552" t="str">
        <f>'2012 Known'!A30</f>
        <v>CC Solar 1 and CC Solar 2</v>
      </c>
      <c r="C181" s="552">
        <f>'2012 Known'!B30</f>
        <v>3.48</v>
      </c>
      <c r="D181" s="552">
        <f>'2012 Known'!C30</f>
        <v>0</v>
      </c>
      <c r="E181" s="552" t="str">
        <f>'2012 Known'!D30</f>
        <v>Firm</v>
      </c>
      <c r="F181" s="552" t="str">
        <f>'2012 Known'!E30</f>
        <v>Solar</v>
      </c>
      <c r="G181" s="552" t="str">
        <f>'2012 Known'!F30</f>
        <v>Renew</v>
      </c>
    </row>
    <row r="182" spans="1:7" x14ac:dyDescent="0.25">
      <c r="A182" s="552">
        <v>2012</v>
      </c>
      <c r="B182" s="552" t="str">
        <f>'2012 Known'!A31</f>
        <v>Chelan PUD - RI &amp; RR</v>
      </c>
      <c r="C182" s="552">
        <f>'2012 Known'!B31</f>
        <v>2300840</v>
      </c>
      <c r="D182" s="552">
        <f>'2012 Known'!C31</f>
        <v>0</v>
      </c>
      <c r="E182" s="552" t="str">
        <f>'2012 Known'!D31</f>
        <v>Firm</v>
      </c>
      <c r="F182" s="552" t="str">
        <f>'2012 Known'!E31</f>
        <v>Hydro</v>
      </c>
      <c r="G182" s="552" t="str">
        <f>'2012 Known'!F31</f>
        <v>Renew</v>
      </c>
    </row>
    <row r="183" spans="1:7" x14ac:dyDescent="0.25">
      <c r="A183" s="552">
        <v>2012</v>
      </c>
      <c r="B183" s="552" t="str">
        <f>'2012 Known'!A32</f>
        <v>Chelan PUD - Rock Island Syst #2</v>
      </c>
      <c r="C183" s="552">
        <f>'2012 Known'!B32</f>
        <v>716417</v>
      </c>
      <c r="D183" s="552">
        <f>'2012 Known'!C32</f>
        <v>0</v>
      </c>
      <c r="E183" s="552" t="str">
        <f>'2012 Known'!D32</f>
        <v>Firm</v>
      </c>
      <c r="F183" s="552" t="str">
        <f>'2012 Known'!E32</f>
        <v>Hydro</v>
      </c>
      <c r="G183" s="552" t="str">
        <f>'2012 Known'!F32</f>
        <v>Renew</v>
      </c>
    </row>
    <row r="184" spans="1:7" x14ac:dyDescent="0.25">
      <c r="A184" s="552">
        <v>2012</v>
      </c>
      <c r="B184" s="552" t="str">
        <f>'2012 Known'!A33</f>
        <v>Chelan PUD - Rocky Reach</v>
      </c>
      <c r="C184" s="552">
        <f>'2012 Known'!B33</f>
        <v>-80276</v>
      </c>
      <c r="D184" s="552">
        <f>'2012 Known'!C33</f>
        <v>0</v>
      </c>
      <c r="E184" s="552" t="str">
        <f>'2012 Known'!D33</f>
        <v>Firm</v>
      </c>
      <c r="F184" s="552" t="str">
        <f>'2012 Known'!E33</f>
        <v>Hydro</v>
      </c>
      <c r="G184" s="552" t="str">
        <f>'2012 Known'!F33</f>
        <v>Renew</v>
      </c>
    </row>
    <row r="185" spans="1:7" x14ac:dyDescent="0.25">
      <c r="A185" s="552">
        <v>2012</v>
      </c>
      <c r="B185" s="552" t="str">
        <f>'2012 Known'!A34</f>
        <v>Douglas PUD - Wells Project</v>
      </c>
      <c r="C185" s="552">
        <f>'2012 Known'!B34</f>
        <v>979910</v>
      </c>
      <c r="D185" s="552">
        <f>'2012 Known'!C34</f>
        <v>0</v>
      </c>
      <c r="E185" s="552" t="str">
        <f>'2012 Known'!D34</f>
        <v>Firm</v>
      </c>
      <c r="F185" s="552" t="str">
        <f>'2012 Known'!E34</f>
        <v>Hydro</v>
      </c>
      <c r="G185" s="552" t="str">
        <f>'2012 Known'!F34</f>
        <v>Renew</v>
      </c>
    </row>
    <row r="186" spans="1:7" x14ac:dyDescent="0.25">
      <c r="A186" s="552">
        <v>2012</v>
      </c>
      <c r="B186" s="552" t="str">
        <f>'2012 Known'!A35</f>
        <v>Edaleen Dairy LLC</v>
      </c>
      <c r="C186" s="552">
        <f>'2012 Known'!B35</f>
        <v>1390.963</v>
      </c>
      <c r="D186" s="552">
        <f>'2012 Known'!C35</f>
        <v>0</v>
      </c>
      <c r="E186" s="552" t="str">
        <f>'2012 Known'!D35</f>
        <v>Firm</v>
      </c>
      <c r="F186" s="552" t="str">
        <f>'2012 Known'!E35</f>
        <v>Biogas</v>
      </c>
      <c r="G186" s="552" t="str">
        <f>'2012 Known'!F35</f>
        <v>Renew</v>
      </c>
    </row>
    <row r="187" spans="1:7" x14ac:dyDescent="0.25">
      <c r="A187" s="552">
        <v>2012</v>
      </c>
      <c r="B187" s="552" t="str">
        <f>'2012 Known'!A36</f>
        <v>Farm Power Lynden LLC</v>
      </c>
      <c r="C187" s="552">
        <f>'2012 Known'!B36</f>
        <v>4187.8609999999999</v>
      </c>
      <c r="D187" s="552">
        <f>'2012 Known'!C36</f>
        <v>0</v>
      </c>
      <c r="E187" s="552" t="str">
        <f>'2012 Known'!D36</f>
        <v>Firm</v>
      </c>
      <c r="F187" s="552" t="str">
        <f>'2012 Known'!E36</f>
        <v>Biogas</v>
      </c>
      <c r="G187" s="552" t="str">
        <f>'2012 Known'!F36</f>
        <v>Renew</v>
      </c>
    </row>
    <row r="188" spans="1:7" x14ac:dyDescent="0.25">
      <c r="A188" s="552">
        <v>2012</v>
      </c>
      <c r="B188" s="552" t="str">
        <f>'2012 Known'!A37</f>
        <v>Farm Power Rexville LLC</v>
      </c>
      <c r="C188" s="552">
        <f>'2012 Known'!B37</f>
        <v>5803.0730000000003</v>
      </c>
      <c r="D188" s="552">
        <f>'2012 Known'!C37</f>
        <v>0</v>
      </c>
      <c r="E188" s="552" t="str">
        <f>'2012 Known'!D37</f>
        <v>Firm</v>
      </c>
      <c r="F188" s="552" t="str">
        <f>'2012 Known'!E37</f>
        <v>Biogas</v>
      </c>
      <c r="G188" s="552" t="str">
        <f>'2012 Known'!F37</f>
        <v>Renew</v>
      </c>
    </row>
    <row r="189" spans="1:7" x14ac:dyDescent="0.25">
      <c r="A189" s="552">
        <v>2012</v>
      </c>
      <c r="B189" s="552" t="str">
        <f>'2012 Known'!A38</f>
        <v>Grant PUD - Priest Rapids Project</v>
      </c>
      <c r="C189" s="552">
        <f>'2012 Known'!B38</f>
        <v>75568</v>
      </c>
      <c r="D189" s="552">
        <f>'2012 Known'!C38</f>
        <v>0</v>
      </c>
      <c r="E189" s="552" t="str">
        <f>'2012 Known'!D38</f>
        <v>Firm</v>
      </c>
      <c r="F189" s="552" t="str">
        <f>'2012 Known'!E38</f>
        <v>Hydro</v>
      </c>
      <c r="G189" s="552" t="str">
        <f>'2012 Known'!F38</f>
        <v>Renew</v>
      </c>
    </row>
    <row r="190" spans="1:7" x14ac:dyDescent="0.25">
      <c r="A190" s="552">
        <v>2012</v>
      </c>
      <c r="B190" s="552" t="str">
        <f>'2012 Known'!A39</f>
        <v>Island Community Solar LLC</v>
      </c>
      <c r="C190" s="552">
        <f>'2012 Known'!B39</f>
        <v>57.93</v>
      </c>
      <c r="D190" s="552">
        <f>'2012 Known'!C39</f>
        <v>0</v>
      </c>
      <c r="E190" s="552" t="str">
        <f>'2012 Known'!D39</f>
        <v>Firm</v>
      </c>
      <c r="F190" s="552" t="str">
        <f>'2012 Known'!E39</f>
        <v>Solar</v>
      </c>
      <c r="G190" s="552" t="str">
        <f>'2012 Known'!F39</f>
        <v>Renew</v>
      </c>
    </row>
    <row r="191" spans="1:7" x14ac:dyDescent="0.25">
      <c r="A191" s="552">
        <v>2012</v>
      </c>
      <c r="B191" s="552" t="str">
        <f>'2012 Known'!A40</f>
        <v>JP Morgan Ventures Energy</v>
      </c>
      <c r="C191" s="552">
        <f>'2012 Known'!B40</f>
        <v>549589</v>
      </c>
      <c r="D191" s="552">
        <f>'2012 Known'!C40</f>
        <v>240170.39300000001</v>
      </c>
      <c r="E191" s="552" t="str">
        <f>'2012 Known'!D40</f>
        <v>Firm</v>
      </c>
      <c r="F191" s="552" t="str">
        <f>'2012 Known'!E40</f>
        <v>System</v>
      </c>
      <c r="G191" s="552" t="str">
        <f>'2012 Known'!F40</f>
        <v>System</v>
      </c>
    </row>
    <row r="192" spans="1:7" x14ac:dyDescent="0.25">
      <c r="A192" s="552">
        <v>2012</v>
      </c>
      <c r="B192" s="552" t="str">
        <f>'2012 Known'!A41</f>
        <v>Klamath Falls (Iberdrola)</v>
      </c>
      <c r="C192" s="552">
        <f>'2012 Known'!B41</f>
        <v>500</v>
      </c>
      <c r="D192" s="552">
        <f>'2012 Known'!C41</f>
        <v>200.65128985758764</v>
      </c>
      <c r="E192" s="552" t="str">
        <f>'2012 Known'!D41</f>
        <v>Firm</v>
      </c>
      <c r="F192" s="552" t="str">
        <f>'2012 Known'!E41</f>
        <v>Gas</v>
      </c>
      <c r="G192" s="552" t="str">
        <f>'2012 Known'!F41</f>
        <v>Gas</v>
      </c>
    </row>
    <row r="193" spans="1:7" x14ac:dyDescent="0.25">
      <c r="A193" s="552">
        <v>2012</v>
      </c>
      <c r="B193" s="552" t="str">
        <f>'2012 Known'!A42</f>
        <v>Klondike Wind Power III</v>
      </c>
      <c r="C193" s="552">
        <f>'2012 Known'!B42</f>
        <v>124794</v>
      </c>
      <c r="D193" s="552">
        <f>'2012 Known'!C42</f>
        <v>0</v>
      </c>
      <c r="E193" s="552" t="str">
        <f>'2012 Known'!D42</f>
        <v>Firm</v>
      </c>
      <c r="F193" s="552" t="str">
        <f>'2012 Known'!E42</f>
        <v>Wind</v>
      </c>
      <c r="G193" s="552" t="str">
        <f>'2012 Known'!F42</f>
        <v>Renew</v>
      </c>
    </row>
    <row r="194" spans="1:7" x14ac:dyDescent="0.25">
      <c r="A194" s="552">
        <v>2012</v>
      </c>
      <c r="B194" s="552" t="str">
        <f>'2012 Known'!A43</f>
        <v>Knudsen Wind Turbine #1</v>
      </c>
      <c r="C194" s="552">
        <f>'2012 Known'!B43</f>
        <v>134.72900000000001</v>
      </c>
      <c r="D194" s="552">
        <f>'2012 Known'!C43</f>
        <v>0</v>
      </c>
      <c r="E194" s="552" t="str">
        <f>'2012 Known'!D43</f>
        <v>Firm</v>
      </c>
      <c r="F194" s="552" t="str">
        <f>'2012 Known'!E43</f>
        <v>Wind</v>
      </c>
      <c r="G194" s="552" t="str">
        <f>'2012 Known'!F43</f>
        <v>Renew</v>
      </c>
    </row>
    <row r="195" spans="1:7" x14ac:dyDescent="0.25">
      <c r="A195" s="552">
        <v>2012</v>
      </c>
      <c r="B195" s="552" t="str">
        <f>'2012 Known'!A44</f>
        <v>Powerex Corp.</v>
      </c>
      <c r="C195" s="552">
        <f>'2012 Known'!B44</f>
        <v>120000</v>
      </c>
      <c r="D195" s="552">
        <f>'2012 Known'!C44</f>
        <v>52440</v>
      </c>
      <c r="E195" s="552" t="str">
        <f>'2012 Known'!D44</f>
        <v>Firm</v>
      </c>
      <c r="F195" s="552" t="str">
        <f>'2012 Known'!E44</f>
        <v>System</v>
      </c>
      <c r="G195" s="552" t="str">
        <f>'2012 Known'!F44</f>
        <v>System</v>
      </c>
    </row>
    <row r="196" spans="1:7" x14ac:dyDescent="0.25">
      <c r="A196" s="552">
        <v>2012</v>
      </c>
      <c r="B196" s="552" t="str">
        <f>'2012 Known'!A45</f>
        <v>Qualco Energy</v>
      </c>
      <c r="C196" s="552">
        <f>'2012 Known'!B45</f>
        <v>3402</v>
      </c>
      <c r="D196" s="552">
        <f>'2012 Known'!C45</f>
        <v>0</v>
      </c>
      <c r="E196" s="552" t="str">
        <f>'2012 Known'!D45</f>
        <v>Firm</v>
      </c>
      <c r="F196" s="552" t="str">
        <f>'2012 Known'!E45</f>
        <v>Biogas</v>
      </c>
      <c r="G196" s="552" t="str">
        <f>'2012 Known'!F45</f>
        <v>Renew</v>
      </c>
    </row>
    <row r="197" spans="1:7" x14ac:dyDescent="0.25">
      <c r="A197" s="552">
        <v>2012</v>
      </c>
      <c r="B197" s="552" t="str">
        <f>'2012 Known'!A46</f>
        <v>Rainier Bio Gas</v>
      </c>
      <c r="C197" s="552">
        <f>'2012 Known'!B46</f>
        <v>58.277000000000001</v>
      </c>
      <c r="D197" s="552">
        <f>'2012 Known'!C46</f>
        <v>0</v>
      </c>
      <c r="E197" s="552" t="str">
        <f>'2012 Known'!D46</f>
        <v>Firm</v>
      </c>
      <c r="F197" s="552" t="str">
        <f>'2012 Known'!E46</f>
        <v>Biogas</v>
      </c>
      <c r="G197" s="552" t="str">
        <f>'2012 Known'!F46</f>
        <v>Renew</v>
      </c>
    </row>
    <row r="198" spans="1:7" x14ac:dyDescent="0.25">
      <c r="A198" s="552">
        <v>2012</v>
      </c>
      <c r="B198" s="552" t="str">
        <f>'2012 Known'!A47</f>
        <v>Shell Energy (Coral Pwr)</v>
      </c>
      <c r="C198" s="552">
        <f>'2012 Known'!B47</f>
        <v>439124</v>
      </c>
      <c r="D198" s="552">
        <f>'2012 Known'!C47</f>
        <v>191897.18799999999</v>
      </c>
      <c r="E198" s="552" t="str">
        <f>'2012 Known'!D47</f>
        <v>Firm</v>
      </c>
      <c r="F198" s="552" t="str">
        <f>'2012 Known'!E47</f>
        <v>System</v>
      </c>
      <c r="G198" s="552" t="str">
        <f>'2012 Known'!F47</f>
        <v>System</v>
      </c>
    </row>
    <row r="199" spans="1:7" x14ac:dyDescent="0.25">
      <c r="A199" s="552">
        <v>2012</v>
      </c>
      <c r="B199" s="552" t="str">
        <f>'2012 Known'!A48</f>
        <v>Skookumchuck Hydro</v>
      </c>
      <c r="C199" s="552">
        <f>'2012 Known'!B48</f>
        <v>6421.8</v>
      </c>
      <c r="D199" s="552">
        <f>'2012 Known'!C48</f>
        <v>0</v>
      </c>
      <c r="E199" s="552" t="str">
        <f>'2012 Known'!D48</f>
        <v>Firm</v>
      </c>
      <c r="F199" s="552" t="str">
        <f>'2012 Known'!E48</f>
        <v>Hydro</v>
      </c>
      <c r="G199" s="552" t="str">
        <f>'2012 Known'!F48</f>
        <v>Renew</v>
      </c>
    </row>
    <row r="200" spans="1:7" x14ac:dyDescent="0.25">
      <c r="A200" s="552">
        <v>2012</v>
      </c>
      <c r="B200" s="552" t="str">
        <f>'2012 Known'!A49</f>
        <v>Smith Creek Hydro</v>
      </c>
      <c r="C200" s="552">
        <f>'2012 Known'!B49</f>
        <v>215.179</v>
      </c>
      <c r="D200" s="552">
        <f>'2012 Known'!C49</f>
        <v>0</v>
      </c>
      <c r="E200" s="552" t="str">
        <f>'2012 Known'!D49</f>
        <v>Firm</v>
      </c>
      <c r="F200" s="552" t="str">
        <f>'2012 Known'!E49</f>
        <v>Hydro</v>
      </c>
      <c r="G200" s="552" t="str">
        <f>'2012 Known'!F49</f>
        <v>Renew</v>
      </c>
    </row>
    <row r="201" spans="1:7" x14ac:dyDescent="0.25">
      <c r="A201" s="552">
        <v>2012</v>
      </c>
      <c r="B201" s="552" t="str">
        <f>'2012 Known'!A50</f>
        <v>Swauk Wind</v>
      </c>
      <c r="C201" s="552">
        <f>'2012 Known'!B50</f>
        <v>29.4</v>
      </c>
      <c r="D201" s="552">
        <f>'2012 Known'!C50</f>
        <v>0</v>
      </c>
      <c r="E201" s="552" t="str">
        <f>'2012 Known'!D50</f>
        <v>Firm</v>
      </c>
      <c r="F201" s="552" t="str">
        <f>'2012 Known'!E50</f>
        <v>Wind</v>
      </c>
      <c r="G201" s="552" t="str">
        <f>'2012 Known'!F50</f>
        <v>Renew</v>
      </c>
    </row>
    <row r="202" spans="1:7" x14ac:dyDescent="0.25">
      <c r="A202" s="552">
        <v>2012</v>
      </c>
      <c r="B202" s="552" t="str">
        <f>'2012 Known'!A51</f>
        <v>Van Dyk - S Holsteins</v>
      </c>
      <c r="C202" s="552">
        <f>'2012 Known'!B51</f>
        <v>2762.123</v>
      </c>
      <c r="D202" s="552">
        <f>'2012 Known'!C51</f>
        <v>0</v>
      </c>
      <c r="E202" s="552" t="str">
        <f>'2012 Known'!D51</f>
        <v>Firm</v>
      </c>
      <c r="F202" s="552" t="str">
        <f>'2012 Known'!E51</f>
        <v>Biogas</v>
      </c>
      <c r="G202" s="552" t="str">
        <f>'2012 Known'!F51</f>
        <v>Renew</v>
      </c>
    </row>
    <row r="203" spans="1:7" x14ac:dyDescent="0.25">
      <c r="A203" s="552">
        <v>2012</v>
      </c>
      <c r="B203" s="552" t="str">
        <f>'2012 Known'!A52</f>
        <v>VanderHaak Dairy Digester</v>
      </c>
      <c r="C203" s="552">
        <f>'2012 Known'!B52</f>
        <v>3538.12</v>
      </c>
      <c r="D203" s="552">
        <f>'2012 Known'!C52</f>
        <v>0</v>
      </c>
      <c r="E203" s="552" t="str">
        <f>'2012 Known'!D52</f>
        <v>Firm</v>
      </c>
      <c r="F203" s="552" t="str">
        <f>'2012 Known'!E52</f>
        <v>Biogas</v>
      </c>
      <c r="G203" s="552" t="str">
        <f>'2012 Known'!F52</f>
        <v>Renew</v>
      </c>
    </row>
    <row r="204" spans="1:7" x14ac:dyDescent="0.25">
      <c r="A204" s="552">
        <v>2012</v>
      </c>
      <c r="B204" s="552" t="str">
        <f>'2012 Known'!A53</f>
        <v>WASCO Hydro</v>
      </c>
      <c r="C204" s="552">
        <f>'2012 Known'!B53</f>
        <v>38227</v>
      </c>
      <c r="D204" s="552">
        <f>'2012 Known'!C53</f>
        <v>0</v>
      </c>
      <c r="E204" s="552" t="str">
        <f>'2012 Known'!D53</f>
        <v>Firm</v>
      </c>
      <c r="F204" s="552" t="str">
        <f>'2012 Known'!E53</f>
        <v>Hydro</v>
      </c>
      <c r="G204" s="552" t="str">
        <f>'2012 Known'!F53</f>
        <v>Renew</v>
      </c>
    </row>
    <row r="205" spans="1:7" x14ac:dyDescent="0.25">
      <c r="A205" s="552">
        <v>2012</v>
      </c>
      <c r="B205" s="552" t="str">
        <f>'2012 Known'!A54</f>
        <v>Bio Energy Washington (BEW)</v>
      </c>
      <c r="C205" s="552">
        <f>'2012 Known'!B54</f>
        <v>2787.3119999999999</v>
      </c>
      <c r="D205" s="552">
        <f>'2012 Known'!C54</f>
        <v>0</v>
      </c>
      <c r="E205" s="552" t="str">
        <f>'2012 Known'!D54</f>
        <v>Firm</v>
      </c>
      <c r="F205" s="552" t="str">
        <f>'2012 Known'!E54</f>
        <v>Biogas</v>
      </c>
      <c r="G205" s="552" t="str">
        <f>'2012 Known'!F54</f>
        <v>Renew</v>
      </c>
    </row>
    <row r="206" spans="1:7" x14ac:dyDescent="0.25">
      <c r="A206" s="552">
        <v>2012</v>
      </c>
      <c r="B206" s="552" t="str">
        <f>'2012 Known'!A55</f>
        <v>Hutchinson Creek</v>
      </c>
      <c r="C206" s="552">
        <f>'2012 Known'!B55</f>
        <v>1243.96</v>
      </c>
      <c r="D206" s="552">
        <f>'2012 Known'!C55</f>
        <v>0</v>
      </c>
      <c r="E206" s="552" t="str">
        <f>'2012 Known'!D55</f>
        <v>Firm</v>
      </c>
      <c r="F206" s="552" t="str">
        <f>'2012 Known'!E55</f>
        <v>Hydro</v>
      </c>
      <c r="G206" s="552" t="str">
        <f>'2012 Known'!F55</f>
        <v>Renew</v>
      </c>
    </row>
    <row r="207" spans="1:7" x14ac:dyDescent="0.25">
      <c r="A207" s="552">
        <v>2012</v>
      </c>
      <c r="B207" s="552" t="str">
        <f>'2012 Known'!A56</f>
        <v>Koma Kulshan Associates</v>
      </c>
      <c r="C207" s="552">
        <f>'2012 Known'!B56</f>
        <v>42519.24</v>
      </c>
      <c r="D207" s="552">
        <f>'2012 Known'!C56</f>
        <v>0</v>
      </c>
      <c r="E207" s="552" t="str">
        <f>'2012 Known'!D56</f>
        <v>Firm</v>
      </c>
      <c r="F207" s="552" t="str">
        <f>'2012 Known'!E56</f>
        <v>Hydro</v>
      </c>
      <c r="G207" s="552" t="str">
        <f>'2012 Known'!F56</f>
        <v>Renew</v>
      </c>
    </row>
    <row r="208" spans="1:7" x14ac:dyDescent="0.25">
      <c r="A208" s="552">
        <v>2012</v>
      </c>
      <c r="B208" s="552" t="str">
        <f>'2012 Known'!A57</f>
        <v>Lake Washington -- Finn Hill</v>
      </c>
      <c r="C208" s="552">
        <f>'2012 Known'!B57</f>
        <v>95.68</v>
      </c>
      <c r="D208" s="552">
        <f>'2012 Known'!C57</f>
        <v>0</v>
      </c>
      <c r="E208" s="552" t="str">
        <f>'2012 Known'!D57</f>
        <v>Firm</v>
      </c>
      <c r="F208" s="552" t="str">
        <f>'2012 Known'!E57</f>
        <v>Biogas</v>
      </c>
      <c r="G208" s="552" t="str">
        <f>'2012 Known'!F57</f>
        <v>Renew</v>
      </c>
    </row>
    <row r="209" spans="1:7" x14ac:dyDescent="0.25">
      <c r="A209" s="552">
        <v>2012</v>
      </c>
      <c r="B209" s="552" t="str">
        <f>'2012 Known'!A58</f>
        <v>Nooksack</v>
      </c>
      <c r="C209" s="552">
        <f>'2012 Known'!B58</f>
        <v>25294.784</v>
      </c>
      <c r="D209" s="552">
        <f>'2012 Known'!C58</f>
        <v>0</v>
      </c>
      <c r="E209" s="552" t="str">
        <f>'2012 Known'!D58</f>
        <v>Firm</v>
      </c>
      <c r="F209" s="552" t="str">
        <f>'2012 Known'!E58</f>
        <v>Hydro</v>
      </c>
      <c r="G209" s="552" t="str">
        <f>'2012 Known'!F58</f>
        <v>Renew</v>
      </c>
    </row>
    <row r="210" spans="1:7" x14ac:dyDescent="0.25">
      <c r="A210" s="552">
        <v>2012</v>
      </c>
      <c r="B210" s="552" t="str">
        <f>'2012 Known'!A59</f>
        <v>Port Townsend Paper Co.</v>
      </c>
      <c r="C210" s="552">
        <f>'2012 Known'!B59</f>
        <v>1475.0070000000001</v>
      </c>
      <c r="D210" s="552">
        <f>'2012 Known'!C59</f>
        <v>0</v>
      </c>
      <c r="E210" s="552" t="str">
        <f>'2012 Known'!D59</f>
        <v>Firm</v>
      </c>
      <c r="F210" s="552" t="str">
        <f>'2012 Known'!E59</f>
        <v>Biogas</v>
      </c>
      <c r="G210" s="552" t="str">
        <f>'2012 Known'!F59</f>
        <v>Renew</v>
      </c>
    </row>
    <row r="211" spans="1:7" x14ac:dyDescent="0.25">
      <c r="A211" s="552">
        <v>2012</v>
      </c>
      <c r="B211" s="552" t="str">
        <f>'2012 Known'!A60</f>
        <v>Sygitowicz Creek</v>
      </c>
      <c r="C211" s="552">
        <f>'2012 Known'!B60</f>
        <v>1478.24</v>
      </c>
      <c r="D211" s="552">
        <f>'2012 Known'!C60</f>
        <v>0</v>
      </c>
      <c r="E211" s="552" t="str">
        <f>'2012 Known'!D60</f>
        <v>Firm</v>
      </c>
      <c r="F211" s="552" t="str">
        <f>'2012 Known'!E60</f>
        <v>Hydro</v>
      </c>
      <c r="G211" s="552" t="str">
        <f>'2012 Known'!F60</f>
        <v>Renew</v>
      </c>
    </row>
    <row r="212" spans="1:7" x14ac:dyDescent="0.25">
      <c r="A212" s="552">
        <v>2012</v>
      </c>
      <c r="B212" s="552" t="str">
        <f>'2012 Known'!A61</f>
        <v>Twin Falls Hydro</v>
      </c>
      <c r="C212" s="552">
        <f>'2012 Known'!B61</f>
        <v>95827.199999999997</v>
      </c>
      <c r="D212" s="552">
        <f>'2012 Known'!C61</f>
        <v>0</v>
      </c>
      <c r="E212" s="552" t="str">
        <f>'2012 Known'!D61</f>
        <v>Firm</v>
      </c>
      <c r="F212" s="552" t="str">
        <f>'2012 Known'!E61</f>
        <v>Hydro</v>
      </c>
      <c r="G212" s="552" t="str">
        <f>'2012 Known'!F61</f>
        <v>Renew</v>
      </c>
    </row>
    <row r="213" spans="1:7" x14ac:dyDescent="0.25">
      <c r="A213" s="552">
        <v>2012</v>
      </c>
      <c r="B213" s="552" t="str">
        <f>'2012 Known'!A62</f>
        <v>Weeks Falls</v>
      </c>
      <c r="C213" s="552">
        <f>'2012 Known'!B62</f>
        <v>17113.599999999999</v>
      </c>
      <c r="D213" s="552">
        <f>'2012 Known'!C62</f>
        <v>0</v>
      </c>
      <c r="E213" s="552" t="str">
        <f>'2012 Known'!D62</f>
        <v>Firm</v>
      </c>
      <c r="F213" s="552" t="str">
        <f>'2012 Known'!E62</f>
        <v>Hydro</v>
      </c>
      <c r="G213" s="552" t="str">
        <f>'2012 Known'!F62</f>
        <v>Renew</v>
      </c>
    </row>
    <row r="214" spans="1:7" x14ac:dyDescent="0.25">
      <c r="A214" s="552">
        <v>2012</v>
      </c>
      <c r="B214" s="554" t="s">
        <v>462</v>
      </c>
      <c r="C214" s="556">
        <f>'2012 Unknown'!B127</f>
        <v>7277950.4249999989</v>
      </c>
      <c r="D214" s="556">
        <f>'2012 Unknown'!D127</f>
        <v>3180464.3357250034</v>
      </c>
      <c r="E214" s="557" t="s">
        <v>473</v>
      </c>
      <c r="F214" s="552" t="s">
        <v>432</v>
      </c>
      <c r="G214" s="552" t="s">
        <v>432</v>
      </c>
    </row>
    <row r="215" spans="1:7" x14ac:dyDescent="0.25">
      <c r="A215" s="552">
        <v>2013</v>
      </c>
      <c r="B215" s="552" t="str">
        <f>'2013 Known'!A4</f>
        <v>Electron</v>
      </c>
      <c r="C215" s="552">
        <f>'2013 Known'!B4</f>
        <v>57768.31</v>
      </c>
      <c r="D215" s="552">
        <f>'2013 Known'!C4</f>
        <v>0</v>
      </c>
      <c r="E215" s="552" t="str">
        <f>'2013 Known'!D4</f>
        <v>Own</v>
      </c>
      <c r="F215" s="552" t="str">
        <f>'2013 Known'!E4</f>
        <v>Hydro</v>
      </c>
      <c r="G215" s="552" t="str">
        <f>'2013 Known'!F4</f>
        <v>Renew</v>
      </c>
    </row>
    <row r="216" spans="1:7" x14ac:dyDescent="0.25">
      <c r="A216" s="552">
        <v>2013</v>
      </c>
      <c r="B216" s="552" t="str">
        <f>'2013 Known'!A5</f>
        <v>Lower Baker</v>
      </c>
      <c r="C216" s="552">
        <f>'2013 Known'!B5</f>
        <v>350427.55599999998</v>
      </c>
      <c r="D216" s="552">
        <f>'2013 Known'!C5</f>
        <v>0</v>
      </c>
      <c r="E216" s="552" t="str">
        <f>'2013 Known'!D5</f>
        <v>Own</v>
      </c>
      <c r="F216" s="552" t="str">
        <f>'2013 Known'!E5</f>
        <v>Hydro</v>
      </c>
      <c r="G216" s="552" t="str">
        <f>'2013 Known'!F5</f>
        <v>Renew</v>
      </c>
    </row>
    <row r="217" spans="1:7" x14ac:dyDescent="0.25">
      <c r="A217" s="552">
        <v>2013</v>
      </c>
      <c r="B217" s="552" t="str">
        <f>'2013 Known'!A6</f>
        <v>Snoqualmie Falls #1</v>
      </c>
      <c r="C217" s="552">
        <f>'2013 Known'!B6</f>
        <v>-173.11</v>
      </c>
      <c r="D217" s="552">
        <f>'2013 Known'!C6</f>
        <v>0</v>
      </c>
      <c r="E217" s="552" t="str">
        <f>'2013 Known'!D6</f>
        <v>Own</v>
      </c>
      <c r="F217" s="552" t="str">
        <f>'2013 Known'!E6</f>
        <v>Hydro</v>
      </c>
      <c r="G217" s="552" t="str">
        <f>'2013 Known'!F6</f>
        <v>Renew</v>
      </c>
    </row>
    <row r="218" spans="1:7" x14ac:dyDescent="0.25">
      <c r="A218" s="552">
        <v>2013</v>
      </c>
      <c r="B218" s="552" t="str">
        <f>'2013 Known'!A7</f>
        <v>Snoqualmie Falls #2</v>
      </c>
      <c r="C218" s="552">
        <f>'2013 Known'!B7</f>
        <v>76306.592999999993</v>
      </c>
      <c r="D218" s="552">
        <f>'2013 Known'!C7</f>
        <v>0</v>
      </c>
      <c r="E218" s="552" t="str">
        <f>'2013 Known'!D7</f>
        <v>Own</v>
      </c>
      <c r="F218" s="552" t="str">
        <f>'2013 Known'!E7</f>
        <v>Hydro</v>
      </c>
      <c r="G218" s="552" t="str">
        <f>'2013 Known'!F7</f>
        <v>Renew</v>
      </c>
    </row>
    <row r="219" spans="1:7" x14ac:dyDescent="0.25">
      <c r="A219" s="552">
        <v>2013</v>
      </c>
      <c r="B219" s="552" t="str">
        <f>'2013 Known'!A8</f>
        <v>Upper Baker</v>
      </c>
      <c r="C219" s="552">
        <f>'2013 Known'!B8</f>
        <v>353239.95299999998</v>
      </c>
      <c r="D219" s="552">
        <f>'2013 Known'!C8</f>
        <v>0</v>
      </c>
      <c r="E219" s="552" t="str">
        <f>'2013 Known'!D8</f>
        <v>Own</v>
      </c>
      <c r="F219" s="552" t="str">
        <f>'2013 Known'!E8</f>
        <v>Hydro</v>
      </c>
      <c r="G219" s="552" t="str">
        <f>'2013 Known'!F8</f>
        <v>Renew</v>
      </c>
    </row>
    <row r="220" spans="1:7" x14ac:dyDescent="0.25">
      <c r="A220" s="552">
        <v>2013</v>
      </c>
      <c r="B220" s="552" t="str">
        <f>'2013 Known'!A9</f>
        <v>Colstrip</v>
      </c>
      <c r="C220" s="552">
        <f>'2013 Known'!B9</f>
        <v>4346208</v>
      </c>
      <c r="D220" s="552">
        <f>'2013 Known'!C9</f>
        <v>4704400.4330650484</v>
      </c>
      <c r="E220" s="552" t="str">
        <f>'2013 Known'!D9</f>
        <v>Own</v>
      </c>
      <c r="F220" s="552" t="str">
        <f>'2013 Known'!E9</f>
        <v>Coal</v>
      </c>
      <c r="G220" s="552" t="str">
        <f>'2013 Known'!F9</f>
        <v>Coal</v>
      </c>
    </row>
    <row r="221" spans="1:7" x14ac:dyDescent="0.25">
      <c r="A221" s="552">
        <v>2013</v>
      </c>
      <c r="B221" s="552" t="str">
        <f>'2013 Known'!A10</f>
        <v>Encogen</v>
      </c>
      <c r="C221" s="552">
        <f>'2013 Known'!B10</f>
        <v>268267.32500000001</v>
      </c>
      <c r="D221" s="552">
        <f>'2013 Known'!C10</f>
        <v>132778.29199999999</v>
      </c>
      <c r="E221" s="552" t="str">
        <f>'2013 Known'!D10</f>
        <v>Own</v>
      </c>
      <c r="F221" s="552" t="str">
        <f>'2013 Known'!E10</f>
        <v>Gas</v>
      </c>
      <c r="G221" s="552" t="str">
        <f>'2013 Known'!F10</f>
        <v>Gas</v>
      </c>
    </row>
    <row r="222" spans="1:7" x14ac:dyDescent="0.25">
      <c r="A222" s="552">
        <v>2013</v>
      </c>
      <c r="B222" s="552" t="str">
        <f>'2013 Known'!A11</f>
        <v>Ferndale Co-Generation</v>
      </c>
      <c r="C222" s="552">
        <f>'2013 Known'!B11</f>
        <v>869393.88599999994</v>
      </c>
      <c r="D222" s="552">
        <f>'2013 Known'!C11</f>
        <v>395314.78399999999</v>
      </c>
      <c r="E222" s="552" t="str">
        <f>'2013 Known'!D11</f>
        <v>Own</v>
      </c>
      <c r="F222" s="552" t="str">
        <f>'2013 Known'!E11</f>
        <v>Gas</v>
      </c>
      <c r="G222" s="552" t="str">
        <f>'2013 Known'!F11</f>
        <v>Gas</v>
      </c>
    </row>
    <row r="223" spans="1:7" x14ac:dyDescent="0.25">
      <c r="A223" s="552">
        <v>2013</v>
      </c>
      <c r="B223" s="552" t="str">
        <f>'2013 Known'!A12</f>
        <v>Freddie #1</v>
      </c>
      <c r="C223" s="552">
        <f>'2013 Known'!B12</f>
        <v>416396.53899999999</v>
      </c>
      <c r="D223" s="552">
        <f>'2013 Known'!C12</f>
        <v>163542.03957399999</v>
      </c>
      <c r="E223" s="552" t="str">
        <f>'2013 Known'!D12</f>
        <v>Own</v>
      </c>
      <c r="F223" s="552" t="str">
        <f>'2013 Known'!E12</f>
        <v>Gas</v>
      </c>
      <c r="G223" s="552" t="str">
        <f>'2013 Known'!F12</f>
        <v>Gas</v>
      </c>
    </row>
    <row r="224" spans="1:7" x14ac:dyDescent="0.25">
      <c r="A224" s="552">
        <v>2013</v>
      </c>
      <c r="B224" s="552" t="str">
        <f>'2013 Known'!A13</f>
        <v>Goldendale</v>
      </c>
      <c r="C224" s="552">
        <f>'2013 Known'!B13</f>
        <v>1469093.6269999999</v>
      </c>
      <c r="D224" s="552">
        <f>'2013 Known'!C13</f>
        <v>544865.78</v>
      </c>
      <c r="E224" s="552" t="str">
        <f>'2013 Known'!D13</f>
        <v>Own</v>
      </c>
      <c r="F224" s="552" t="str">
        <f>'2013 Known'!E13</f>
        <v>Gas</v>
      </c>
      <c r="G224" s="552" t="str">
        <f>'2013 Known'!F13</f>
        <v>Gas</v>
      </c>
    </row>
    <row r="225" spans="1:7" x14ac:dyDescent="0.25">
      <c r="A225" s="552">
        <v>2013</v>
      </c>
      <c r="B225" s="552" t="str">
        <f>'2013 Known'!A14</f>
        <v>Mint Farm</v>
      </c>
      <c r="C225" s="552">
        <f>'2013 Known'!B14</f>
        <v>1614347.7590000001</v>
      </c>
      <c r="D225" s="552">
        <f>'2013 Known'!C14</f>
        <v>633492.55200000003</v>
      </c>
      <c r="E225" s="552" t="str">
        <f>'2013 Known'!D14</f>
        <v>Own</v>
      </c>
      <c r="F225" s="552" t="str">
        <f>'2013 Known'!E14</f>
        <v>Gas</v>
      </c>
      <c r="G225" s="552" t="str">
        <f>'2013 Known'!F14</f>
        <v>Gas</v>
      </c>
    </row>
    <row r="226" spans="1:7" x14ac:dyDescent="0.25">
      <c r="A226" s="552">
        <v>2013</v>
      </c>
      <c r="B226" s="552" t="str">
        <f>'2013 Known'!A15</f>
        <v>Sumas</v>
      </c>
      <c r="C226" s="552">
        <f>'2013 Known'!B15</f>
        <v>536584.62</v>
      </c>
      <c r="D226" s="552">
        <f>'2013 Known'!C15</f>
        <v>250237.89600000001</v>
      </c>
      <c r="E226" s="552" t="str">
        <f>'2013 Known'!D15</f>
        <v>Own</v>
      </c>
      <c r="F226" s="552" t="str">
        <f>'2013 Known'!E15</f>
        <v>Gas</v>
      </c>
      <c r="G226" s="552" t="str">
        <f>'2013 Known'!F15</f>
        <v>Gas</v>
      </c>
    </row>
    <row r="227" spans="1:7" x14ac:dyDescent="0.25">
      <c r="A227" s="552">
        <v>2013</v>
      </c>
      <c r="B227" s="552" t="str">
        <f>'2013 Known'!A16</f>
        <v>Crystal Mountain</v>
      </c>
      <c r="C227" s="552">
        <f>'2013 Known'!B16</f>
        <v>48.722000000000001</v>
      </c>
      <c r="D227" s="552">
        <f>'2013 Known'!C16</f>
        <v>58.302268160976595</v>
      </c>
      <c r="E227" s="552" t="str">
        <f>'2013 Known'!D16</f>
        <v>Own</v>
      </c>
      <c r="F227" s="552" t="str">
        <f>'2013 Known'!E16</f>
        <v>Diesel</v>
      </c>
      <c r="G227" s="552" t="str">
        <f>'2013 Known'!F16</f>
        <v>Gas</v>
      </c>
    </row>
    <row r="228" spans="1:7" x14ac:dyDescent="0.25">
      <c r="A228" s="552">
        <v>2013</v>
      </c>
      <c r="B228" s="552" t="str">
        <f>'2013 Known'!A17</f>
        <v>Fredonia</v>
      </c>
      <c r="C228" s="552">
        <f>'2013 Known'!B17</f>
        <v>125414.90699999999</v>
      </c>
      <c r="D228" s="552">
        <f>'2013 Known'!C17</f>
        <v>82399.173999999999</v>
      </c>
      <c r="E228" s="552" t="str">
        <f>'2013 Known'!D17</f>
        <v>Own</v>
      </c>
      <c r="F228" s="552" t="str">
        <f>'2013 Known'!E17</f>
        <v>Gas</v>
      </c>
      <c r="G228" s="552" t="str">
        <f>'2013 Known'!F17</f>
        <v>Gas</v>
      </c>
    </row>
    <row r="229" spans="1:7" x14ac:dyDescent="0.25">
      <c r="A229" s="552">
        <v>2013</v>
      </c>
      <c r="B229" s="552" t="str">
        <f>'2013 Known'!A18</f>
        <v>Fredrickson 1 &amp; 2</v>
      </c>
      <c r="C229" s="552">
        <f>'2013 Known'!B18</f>
        <v>27905.3</v>
      </c>
      <c r="D229" s="552">
        <f>'2013 Known'!C18</f>
        <v>34538.230000000003</v>
      </c>
      <c r="E229" s="552" t="str">
        <f>'2013 Known'!D18</f>
        <v>Own</v>
      </c>
      <c r="F229" s="552" t="str">
        <f>'2013 Known'!E18</f>
        <v>Gas</v>
      </c>
      <c r="G229" s="552" t="str">
        <f>'2013 Known'!F18</f>
        <v>Gas</v>
      </c>
    </row>
    <row r="230" spans="1:7" x14ac:dyDescent="0.25">
      <c r="A230" s="552">
        <v>2013</v>
      </c>
      <c r="B230" s="552" t="str">
        <f>'2013 Known'!A19</f>
        <v>Hopkins Ridge (W184)</v>
      </c>
      <c r="C230" s="552">
        <f>'2013 Known'!B19</f>
        <v>406599.78</v>
      </c>
      <c r="D230" s="552">
        <f>'2013 Known'!C19</f>
        <v>0</v>
      </c>
      <c r="E230" s="552" t="str">
        <f>'2013 Known'!D19</f>
        <v>Own</v>
      </c>
      <c r="F230" s="552" t="str">
        <f>'2013 Known'!E19</f>
        <v>Wind</v>
      </c>
      <c r="G230" s="552" t="str">
        <f>'2013 Known'!F19</f>
        <v>Renew</v>
      </c>
    </row>
    <row r="231" spans="1:7" x14ac:dyDescent="0.25">
      <c r="A231" s="552">
        <v>2013</v>
      </c>
      <c r="B231" s="552" t="str">
        <f>'2013 Known'!A20</f>
        <v>Lower Snake River</v>
      </c>
      <c r="C231" s="552">
        <f>'2013 Known'!B20</f>
        <v>816895.07</v>
      </c>
      <c r="D231" s="552">
        <f>'2013 Known'!C20</f>
        <v>0</v>
      </c>
      <c r="E231" s="552" t="str">
        <f>'2013 Known'!D20</f>
        <v>Own</v>
      </c>
      <c r="F231" s="552" t="str">
        <f>'2013 Known'!E20</f>
        <v>Wind</v>
      </c>
      <c r="G231" s="552" t="str">
        <f>'2013 Known'!F20</f>
        <v>Renew</v>
      </c>
    </row>
    <row r="232" spans="1:7" x14ac:dyDescent="0.25">
      <c r="A232" s="552">
        <v>2013</v>
      </c>
      <c r="B232" s="552" t="str">
        <f>'2013 Known'!A21</f>
        <v>Whitehorn 2&amp;3</v>
      </c>
      <c r="C232" s="552">
        <f>'2013 Known'!B21</f>
        <v>27795.7</v>
      </c>
      <c r="D232" s="552">
        <f>'2013 Known'!C21</f>
        <v>28668.85</v>
      </c>
      <c r="E232" s="552" t="str">
        <f>'2013 Known'!D21</f>
        <v>Own</v>
      </c>
      <c r="F232" s="552" t="str">
        <f>'2013 Known'!E21</f>
        <v>Gas</v>
      </c>
      <c r="G232" s="552" t="str">
        <f>'2013 Known'!F21</f>
        <v>Gas</v>
      </c>
    </row>
    <row r="233" spans="1:7" x14ac:dyDescent="0.25">
      <c r="A233" s="552">
        <v>2013</v>
      </c>
      <c r="B233" s="552" t="str">
        <f>'2013 Known'!A22</f>
        <v>Wild Horse (W183)</v>
      </c>
      <c r="C233" s="552">
        <f>'2013 Known'!B22</f>
        <v>659105.34199999995</v>
      </c>
      <c r="D233" s="552">
        <f>'2013 Known'!C22</f>
        <v>0</v>
      </c>
      <c r="E233" s="552" t="str">
        <f>'2013 Known'!D22</f>
        <v>Own</v>
      </c>
      <c r="F233" s="552" t="str">
        <f>'2013 Known'!E22</f>
        <v>Wind</v>
      </c>
      <c r="G233" s="552" t="str">
        <f>'2013 Known'!F22</f>
        <v>Renew</v>
      </c>
    </row>
    <row r="234" spans="1:7" x14ac:dyDescent="0.25">
      <c r="A234" s="552">
        <v>2013</v>
      </c>
      <c r="B234" s="552" t="str">
        <f>'2013 Known'!A23</f>
        <v>3 Bar G Wind Turbine #3 LLC</v>
      </c>
      <c r="C234" s="552">
        <f>'2013 Known'!B23</f>
        <v>202.654</v>
      </c>
      <c r="D234" s="552">
        <f>'2013 Known'!C23</f>
        <v>0</v>
      </c>
      <c r="E234" s="552" t="str">
        <f>'2013 Known'!D23</f>
        <v>Firm</v>
      </c>
      <c r="F234" s="552" t="str">
        <f>'2013 Known'!E23</f>
        <v>Wind</v>
      </c>
      <c r="G234" s="552" t="str">
        <f>'2013 Known'!F23</f>
        <v>Renew</v>
      </c>
    </row>
    <row r="235" spans="1:7" x14ac:dyDescent="0.25">
      <c r="A235" s="552">
        <v>2013</v>
      </c>
      <c r="B235" s="552" t="str">
        <f>'2013 Known'!A24</f>
        <v>Barclays Bank Plc</v>
      </c>
      <c r="C235" s="552">
        <f>'2013 Known'!B24</f>
        <v>216075</v>
      </c>
      <c r="D235" s="552">
        <f>'2013 Known'!C24</f>
        <v>94424.775000000009</v>
      </c>
      <c r="E235" s="552" t="str">
        <f>'2013 Known'!D24</f>
        <v>Firm</v>
      </c>
      <c r="F235" s="552" t="str">
        <f>'2013 Known'!E24</f>
        <v>System</v>
      </c>
      <c r="G235" s="552" t="str">
        <f>'2013 Known'!F24</f>
        <v>System</v>
      </c>
    </row>
    <row r="236" spans="1:7" x14ac:dyDescent="0.25">
      <c r="A236" s="552">
        <v>2013</v>
      </c>
      <c r="B236" s="552" t="str">
        <f>'2013 Known'!A25</f>
        <v>BC Hydro (Point Roberts)</v>
      </c>
      <c r="C236" s="552">
        <f>'2013 Known'!B25</f>
        <v>21366.07</v>
      </c>
      <c r="D236" s="552">
        <f>'2013 Known'!C25</f>
        <v>9336.9725899999994</v>
      </c>
      <c r="E236" s="552" t="str">
        <f>'2013 Known'!D25</f>
        <v>Firm</v>
      </c>
      <c r="F236" s="552" t="str">
        <f>'2013 Known'!E25</f>
        <v>System</v>
      </c>
      <c r="G236" s="552" t="str">
        <f>'2013 Known'!F25</f>
        <v>System</v>
      </c>
    </row>
    <row r="237" spans="1:7" x14ac:dyDescent="0.25">
      <c r="A237" s="552">
        <v>2013</v>
      </c>
      <c r="B237" s="552" t="str">
        <f>'2013 Known'!A26</f>
        <v>Bio Energy Washington (BEW)</v>
      </c>
      <c r="C237" s="552">
        <f>'2013 Known'!B26</f>
        <v>0.89400000000000002</v>
      </c>
      <c r="D237" s="552">
        <f>'2013 Known'!C26</f>
        <v>0</v>
      </c>
      <c r="E237" s="552" t="str">
        <f>'2013 Known'!D26</f>
        <v>Firm</v>
      </c>
      <c r="F237" s="552" t="str">
        <f>'2013 Known'!E26</f>
        <v>Biogas</v>
      </c>
      <c r="G237" s="552" t="str">
        <f>'2013 Known'!F26</f>
        <v>Renew</v>
      </c>
    </row>
    <row r="238" spans="1:7" x14ac:dyDescent="0.25">
      <c r="A238" s="552">
        <v>2013</v>
      </c>
      <c r="B238" s="552" t="str">
        <f>'2013 Known'!A27</f>
        <v>Black Creek Hydro Inc</v>
      </c>
      <c r="C238" s="552">
        <f>'2013 Known'!B27</f>
        <v>12819.279</v>
      </c>
      <c r="D238" s="552">
        <f>'2013 Known'!C27</f>
        <v>0</v>
      </c>
      <c r="E238" s="552" t="str">
        <f>'2013 Known'!D27</f>
        <v>Firm</v>
      </c>
      <c r="F238" s="552" t="str">
        <f>'2013 Known'!E27</f>
        <v>Hydro</v>
      </c>
      <c r="G238" s="552" t="str">
        <f>'2013 Known'!F27</f>
        <v>Renew</v>
      </c>
    </row>
    <row r="239" spans="1:7" x14ac:dyDescent="0.25">
      <c r="A239" s="552">
        <v>2013</v>
      </c>
      <c r="B239" s="552" t="str">
        <f>'2013 Known'!A28</f>
        <v>Book Outs - EITF 03-11</v>
      </c>
      <c r="C239" s="552">
        <f>'2013 Known'!B28</f>
        <v>-204155</v>
      </c>
      <c r="D239" s="552">
        <f>'2013 Known'!C28</f>
        <v>-89215.735000000001</v>
      </c>
      <c r="E239" s="552" t="str">
        <f>'2013 Known'!D28</f>
        <v>Firm</v>
      </c>
      <c r="F239" s="552" t="str">
        <f>'2013 Known'!E28</f>
        <v>System</v>
      </c>
      <c r="G239" s="552" t="str">
        <f>'2013 Known'!F28</f>
        <v>System</v>
      </c>
    </row>
    <row r="240" spans="1:7" x14ac:dyDescent="0.25">
      <c r="A240" s="552">
        <v>2013</v>
      </c>
      <c r="B240" s="552" t="str">
        <f>'2013 Known'!A29</f>
        <v>BPA</v>
      </c>
      <c r="C240" s="552">
        <f>'2013 Known'!B29</f>
        <v>7000</v>
      </c>
      <c r="D240" s="552">
        <f>'2013 Known'!C29</f>
        <v>0</v>
      </c>
      <c r="E240" s="552" t="str">
        <f>'2013 Known'!D29</f>
        <v>Firm</v>
      </c>
      <c r="F240" s="552" t="str">
        <f>'2013 Known'!E29</f>
        <v>Hydro</v>
      </c>
      <c r="G240" s="552" t="str">
        <f>'2013 Known'!F29</f>
        <v>Renew</v>
      </c>
    </row>
    <row r="241" spans="1:7" x14ac:dyDescent="0.25">
      <c r="A241" s="552">
        <v>2013</v>
      </c>
      <c r="B241" s="552" t="str">
        <f>'2013 Known'!A30</f>
        <v>BPA Firm - WNP#3 Exchange</v>
      </c>
      <c r="C241" s="552">
        <f>'2013 Known'!B30</f>
        <v>374969</v>
      </c>
      <c r="D241" s="552">
        <f>'2013 Known'!C30</f>
        <v>163861.45299999998</v>
      </c>
      <c r="E241" s="552" t="str">
        <f>'2013 Known'!D30</f>
        <v>Firm</v>
      </c>
      <c r="F241" s="552" t="str">
        <f>'2013 Known'!E30</f>
        <v>System</v>
      </c>
      <c r="G241" s="552" t="str">
        <f>'2013 Known'!F30</f>
        <v>System</v>
      </c>
    </row>
    <row r="242" spans="1:7" x14ac:dyDescent="0.25">
      <c r="A242" s="552">
        <v>2013</v>
      </c>
      <c r="B242" s="552" t="str">
        <f>'2013 Known'!A31</f>
        <v>CC Solar 1 and CC Solar 2</v>
      </c>
      <c r="C242" s="552">
        <f>'2013 Known'!B31</f>
        <v>28.17</v>
      </c>
      <c r="D242" s="552">
        <f>'2013 Known'!C31</f>
        <v>0</v>
      </c>
      <c r="E242" s="552" t="str">
        <f>'2013 Known'!D31</f>
        <v>Firm</v>
      </c>
      <c r="F242" s="552" t="str">
        <f>'2013 Known'!E31</f>
        <v>Solar</v>
      </c>
      <c r="G242" s="552" t="str">
        <f>'2013 Known'!F31</f>
        <v>Renew</v>
      </c>
    </row>
    <row r="243" spans="1:7" x14ac:dyDescent="0.25">
      <c r="A243" s="552">
        <v>2013</v>
      </c>
      <c r="B243" s="552" t="str">
        <f>'2013 Known'!A32</f>
        <v>Chelan PUD - RI &amp; RR</v>
      </c>
      <c r="C243" s="552">
        <f>'2013 Known'!B32</f>
        <v>2436603</v>
      </c>
      <c r="D243" s="552">
        <f>'2013 Known'!C32</f>
        <v>0</v>
      </c>
      <c r="E243" s="552" t="str">
        <f>'2013 Known'!D32</f>
        <v>Firm</v>
      </c>
      <c r="F243" s="552" t="str">
        <f>'2013 Known'!E32</f>
        <v>Hydro</v>
      </c>
      <c r="G243" s="552" t="str">
        <f>'2013 Known'!F32</f>
        <v>Renew</v>
      </c>
    </row>
    <row r="244" spans="1:7" x14ac:dyDescent="0.25">
      <c r="A244" s="552">
        <v>2013</v>
      </c>
      <c r="B244" s="552" t="str">
        <f>'2013 Known'!A33</f>
        <v>Chelan PUD - Rock Island Syst #2</v>
      </c>
      <c r="C244" s="552">
        <f>'2013 Known'!B33</f>
        <v>-43063</v>
      </c>
      <c r="D244" s="552">
        <f>'2013 Known'!C33</f>
        <v>0</v>
      </c>
      <c r="E244" s="552" t="str">
        <f>'2013 Known'!D33</f>
        <v>Firm</v>
      </c>
      <c r="F244" s="552" t="str">
        <f>'2013 Known'!E33</f>
        <v>Hydro</v>
      </c>
      <c r="G244" s="552" t="str">
        <f>'2013 Known'!F33</f>
        <v>Renew</v>
      </c>
    </row>
    <row r="245" spans="1:7" x14ac:dyDescent="0.25">
      <c r="A245" s="552">
        <v>2013</v>
      </c>
      <c r="B245" s="552" t="str">
        <f>'2013 Known'!A34</f>
        <v>Chelan PUD - Rocky Reach</v>
      </c>
      <c r="C245" s="552">
        <f>'2013 Known'!B34</f>
        <v>-78804</v>
      </c>
      <c r="D245" s="552">
        <f>'2013 Known'!C34</f>
        <v>0</v>
      </c>
      <c r="E245" s="552" t="str">
        <f>'2013 Known'!D34</f>
        <v>Firm</v>
      </c>
      <c r="F245" s="552" t="str">
        <f>'2013 Known'!E34</f>
        <v>Hydro</v>
      </c>
      <c r="G245" s="552" t="str">
        <f>'2013 Known'!F34</f>
        <v>Renew</v>
      </c>
    </row>
    <row r="246" spans="1:7" x14ac:dyDescent="0.25">
      <c r="A246" s="552">
        <v>2013</v>
      </c>
      <c r="B246" s="552" t="str">
        <f>'2013 Known'!A35</f>
        <v>Douglas PUD - Wells Project</v>
      </c>
      <c r="C246" s="552">
        <f>'2013 Known'!B35</f>
        <v>1064303</v>
      </c>
      <c r="D246" s="552">
        <f>'2013 Known'!C35</f>
        <v>0</v>
      </c>
      <c r="E246" s="552" t="str">
        <f>'2013 Known'!D35</f>
        <v>Firm</v>
      </c>
      <c r="F246" s="552" t="str">
        <f>'2013 Known'!E35</f>
        <v>Hydro</v>
      </c>
      <c r="G246" s="552" t="str">
        <f>'2013 Known'!F35</f>
        <v>Renew</v>
      </c>
    </row>
    <row r="247" spans="1:7" x14ac:dyDescent="0.25">
      <c r="A247" s="552">
        <v>2013</v>
      </c>
      <c r="B247" s="552" t="str">
        <f>'2013 Known'!A36</f>
        <v>Edaleen Dairy LLC</v>
      </c>
      <c r="C247" s="552">
        <f>'2013 Known'!B36</f>
        <v>3924.8539999999998</v>
      </c>
      <c r="D247" s="552">
        <f>'2013 Known'!C36</f>
        <v>0</v>
      </c>
      <c r="E247" s="552" t="str">
        <f>'2013 Known'!D36</f>
        <v>Firm</v>
      </c>
      <c r="F247" s="552" t="str">
        <f>'2013 Known'!E36</f>
        <v>Biogas</v>
      </c>
      <c r="G247" s="552" t="str">
        <f>'2013 Known'!F36</f>
        <v>Renew</v>
      </c>
    </row>
    <row r="248" spans="1:7" x14ac:dyDescent="0.25">
      <c r="A248" s="552">
        <v>2013</v>
      </c>
      <c r="B248" s="552" t="str">
        <f>'2013 Known'!A37</f>
        <v>Farm Power Lynden LLC</v>
      </c>
      <c r="C248" s="552">
        <f>'2013 Known'!B37</f>
        <v>4128.7299999999996</v>
      </c>
      <c r="D248" s="552">
        <f>'2013 Known'!C37</f>
        <v>0</v>
      </c>
      <c r="E248" s="552" t="str">
        <f>'2013 Known'!D37</f>
        <v>Firm</v>
      </c>
      <c r="F248" s="552" t="str">
        <f>'2013 Known'!E37</f>
        <v>Biogas</v>
      </c>
      <c r="G248" s="552" t="str">
        <f>'2013 Known'!F37</f>
        <v>Renew</v>
      </c>
    </row>
    <row r="249" spans="1:7" x14ac:dyDescent="0.25">
      <c r="A249" s="552">
        <v>2013</v>
      </c>
      <c r="B249" s="552" t="str">
        <f>'2013 Known'!A38</f>
        <v>Farm Power Rexville LLC</v>
      </c>
      <c r="C249" s="552">
        <f>'2013 Known'!B38</f>
        <v>5448.1419999999998</v>
      </c>
      <c r="D249" s="552">
        <f>'2013 Known'!C38</f>
        <v>0</v>
      </c>
      <c r="E249" s="552" t="str">
        <f>'2013 Known'!D38</f>
        <v>Firm</v>
      </c>
      <c r="F249" s="552" t="str">
        <f>'2013 Known'!E38</f>
        <v>Biogas</v>
      </c>
      <c r="G249" s="552" t="str">
        <f>'2013 Known'!F38</f>
        <v>Renew</v>
      </c>
    </row>
    <row r="250" spans="1:7" x14ac:dyDescent="0.25">
      <c r="A250" s="552">
        <v>2013</v>
      </c>
      <c r="B250" s="552" t="str">
        <f>'2013 Known'!A39</f>
        <v>Grant PUD - Priest Rapids Project</v>
      </c>
      <c r="C250" s="552">
        <f>'2013 Known'!B39</f>
        <v>72986</v>
      </c>
      <c r="D250" s="552">
        <f>'2013 Known'!C39</f>
        <v>0</v>
      </c>
      <c r="E250" s="552" t="str">
        <f>'2013 Known'!D39</f>
        <v>Firm</v>
      </c>
      <c r="F250" s="552" t="str">
        <f>'2013 Known'!E39</f>
        <v>Hydro</v>
      </c>
      <c r="G250" s="552" t="str">
        <f>'2013 Known'!F39</f>
        <v>Renew</v>
      </c>
    </row>
    <row r="251" spans="1:7" x14ac:dyDescent="0.25">
      <c r="A251" s="552">
        <v>2013</v>
      </c>
      <c r="B251" s="552" t="str">
        <f>'2013 Known'!A40</f>
        <v>Island Community Solar LLC</v>
      </c>
      <c r="C251" s="552">
        <f>'2013 Known'!B40</f>
        <v>59.14</v>
      </c>
      <c r="D251" s="552">
        <f>'2013 Known'!C40</f>
        <v>0</v>
      </c>
      <c r="E251" s="552" t="str">
        <f>'2013 Known'!D40</f>
        <v>Firm</v>
      </c>
      <c r="F251" s="552" t="str">
        <f>'2013 Known'!E40</f>
        <v>Solar</v>
      </c>
      <c r="G251" s="552" t="str">
        <f>'2013 Known'!F40</f>
        <v>Renew</v>
      </c>
    </row>
    <row r="252" spans="1:7" x14ac:dyDescent="0.25">
      <c r="A252" s="552">
        <v>2013</v>
      </c>
      <c r="B252" s="552" t="str">
        <f>'2013 Known'!A41</f>
        <v>JP Morgan Ventures Energy</v>
      </c>
      <c r="C252" s="552">
        <f>'2013 Known'!B41</f>
        <v>161925</v>
      </c>
      <c r="D252" s="552">
        <f>'2013 Known'!C41</f>
        <v>70761.225000000006</v>
      </c>
      <c r="E252" s="552" t="str">
        <f>'2013 Known'!D41</f>
        <v>Firm</v>
      </c>
      <c r="F252" s="552" t="str">
        <f>'2013 Known'!E41</f>
        <v>System</v>
      </c>
      <c r="G252" s="552" t="str">
        <f>'2013 Known'!F41</f>
        <v>System</v>
      </c>
    </row>
    <row r="253" spans="1:7" x14ac:dyDescent="0.25">
      <c r="A253" s="552">
        <v>2013</v>
      </c>
      <c r="B253" s="552" t="str">
        <f>'2013 Known'!A42</f>
        <v>Klamath Falls (Iberdrola)</v>
      </c>
      <c r="C253" s="552">
        <f>'2013 Known'!B42</f>
        <v>8450</v>
      </c>
      <c r="D253" s="552">
        <f>'2013 Known'!C42</f>
        <v>3332.3110876300752</v>
      </c>
      <c r="E253" s="552" t="str">
        <f>'2013 Known'!D42</f>
        <v>Firm</v>
      </c>
      <c r="F253" s="552" t="str">
        <f>'2013 Known'!E42</f>
        <v>Gas</v>
      </c>
      <c r="G253" s="552" t="str">
        <f>'2013 Known'!F42</f>
        <v>Gas</v>
      </c>
    </row>
    <row r="254" spans="1:7" x14ac:dyDescent="0.25">
      <c r="A254" s="552">
        <v>2013</v>
      </c>
      <c r="B254" s="552" t="str">
        <f>'2013 Known'!A43</f>
        <v>Klondike Wind Power III</v>
      </c>
      <c r="C254" s="552">
        <f>'2013 Known'!B43</f>
        <v>134050</v>
      </c>
      <c r="D254" s="552">
        <f>'2013 Known'!C43</f>
        <v>0</v>
      </c>
      <c r="E254" s="552" t="str">
        <f>'2013 Known'!D43</f>
        <v>Firm</v>
      </c>
      <c r="F254" s="552" t="str">
        <f>'2013 Known'!E43</f>
        <v>Wind</v>
      </c>
      <c r="G254" s="552" t="str">
        <f>'2013 Known'!F43</f>
        <v>Renew</v>
      </c>
    </row>
    <row r="255" spans="1:7" x14ac:dyDescent="0.25">
      <c r="A255" s="552">
        <v>2013</v>
      </c>
      <c r="B255" s="552" t="str">
        <f>'2013 Known'!A44</f>
        <v>Knudsen Wind Turbine #1</v>
      </c>
      <c r="C255" s="552">
        <f>'2013 Known'!B44</f>
        <v>127.961</v>
      </c>
      <c r="D255" s="552">
        <f>'2013 Known'!C44</f>
        <v>0</v>
      </c>
      <c r="E255" s="552" t="str">
        <f>'2013 Known'!D44</f>
        <v>Firm</v>
      </c>
      <c r="F255" s="552" t="str">
        <f>'2013 Known'!E44</f>
        <v>Wind</v>
      </c>
      <c r="G255" s="552" t="str">
        <f>'2013 Known'!F44</f>
        <v>Renew</v>
      </c>
    </row>
    <row r="256" spans="1:7" x14ac:dyDescent="0.25">
      <c r="A256" s="552">
        <v>2013</v>
      </c>
      <c r="B256" s="552" t="str">
        <f>'2013 Known'!A45</f>
        <v>Qualco Energy</v>
      </c>
      <c r="C256" s="552">
        <f>'2013 Known'!B45</f>
        <v>3381</v>
      </c>
      <c r="D256" s="552">
        <f>'2013 Known'!C45</f>
        <v>0</v>
      </c>
      <c r="E256" s="552" t="str">
        <f>'2013 Known'!D45</f>
        <v>Firm</v>
      </c>
      <c r="F256" s="552" t="str">
        <f>'2013 Known'!E45</f>
        <v>Biogas</v>
      </c>
      <c r="G256" s="552" t="str">
        <f>'2013 Known'!F45</f>
        <v>Renew</v>
      </c>
    </row>
    <row r="257" spans="1:7" x14ac:dyDescent="0.25">
      <c r="A257" s="552">
        <v>2013</v>
      </c>
      <c r="B257" s="552" t="str">
        <f>'2013 Known'!A46</f>
        <v>Rainier Bio Gas</v>
      </c>
      <c r="C257" s="552">
        <f>'2013 Known'!B46</f>
        <v>5794.9889999999996</v>
      </c>
      <c r="D257" s="552">
        <f>'2013 Known'!C46</f>
        <v>0</v>
      </c>
      <c r="E257" s="552" t="str">
        <f>'2013 Known'!D46</f>
        <v>Firm</v>
      </c>
      <c r="F257" s="552" t="str">
        <f>'2013 Known'!E46</f>
        <v>Biogas</v>
      </c>
      <c r="G257" s="552" t="str">
        <f>'2013 Known'!F46</f>
        <v>Renew</v>
      </c>
    </row>
    <row r="258" spans="1:7" x14ac:dyDescent="0.25">
      <c r="A258" s="552">
        <v>2013</v>
      </c>
      <c r="B258" s="552" t="str">
        <f>'2013 Known'!A47</f>
        <v>Shell Energy (Coral Pwr)</v>
      </c>
      <c r="C258" s="552">
        <f>'2013 Known'!B47</f>
        <v>107950</v>
      </c>
      <c r="D258" s="552">
        <f>'2013 Known'!C47</f>
        <v>47174.15</v>
      </c>
      <c r="E258" s="552" t="str">
        <f>'2013 Known'!D47</f>
        <v>Firm</v>
      </c>
      <c r="F258" s="552" t="str">
        <f>'2013 Known'!E47</f>
        <v>System</v>
      </c>
      <c r="G258" s="552" t="str">
        <f>'2013 Known'!F47</f>
        <v>System</v>
      </c>
    </row>
    <row r="259" spans="1:7" x14ac:dyDescent="0.25">
      <c r="A259" s="552">
        <v>2013</v>
      </c>
      <c r="B259" s="552" t="str">
        <f>'2013 Known'!A48</f>
        <v>Skookumchuck Hydro</v>
      </c>
      <c r="C259" s="552">
        <f>'2013 Known'!B48</f>
        <v>6742.4620000000004</v>
      </c>
      <c r="D259" s="552">
        <f>'2013 Known'!C48</f>
        <v>0</v>
      </c>
      <c r="E259" s="552" t="str">
        <f>'2013 Known'!D48</f>
        <v>Firm</v>
      </c>
      <c r="F259" s="552" t="str">
        <f>'2013 Known'!E48</f>
        <v>Hydro</v>
      </c>
      <c r="G259" s="552" t="str">
        <f>'2013 Known'!F48</f>
        <v>Renew</v>
      </c>
    </row>
    <row r="260" spans="1:7" x14ac:dyDescent="0.25">
      <c r="A260" s="552">
        <v>2013</v>
      </c>
      <c r="B260" s="552" t="str">
        <f>'2013 Known'!A49</f>
        <v>Smith Creek Hydro</v>
      </c>
      <c r="C260" s="552">
        <f>'2013 Known'!B49</f>
        <v>147.297</v>
      </c>
      <c r="D260" s="552">
        <f>'2013 Known'!C49</f>
        <v>0</v>
      </c>
      <c r="E260" s="552" t="str">
        <f>'2013 Known'!D49</f>
        <v>Firm</v>
      </c>
      <c r="F260" s="552" t="str">
        <f>'2013 Known'!E49</f>
        <v>Hydro</v>
      </c>
      <c r="G260" s="552" t="str">
        <f>'2013 Known'!F49</f>
        <v>Renew</v>
      </c>
    </row>
    <row r="261" spans="1:7" x14ac:dyDescent="0.25">
      <c r="A261" s="552">
        <v>2013</v>
      </c>
      <c r="B261" s="552" t="str">
        <f>'2013 Known'!A50</f>
        <v>Swauk Wind</v>
      </c>
      <c r="C261" s="552">
        <f>'2013 Known'!B50</f>
        <v>10571.721</v>
      </c>
      <c r="D261" s="552">
        <f>'2013 Known'!C50</f>
        <v>0</v>
      </c>
      <c r="E261" s="552" t="str">
        <f>'2013 Known'!D50</f>
        <v>Firm</v>
      </c>
      <c r="F261" s="552" t="str">
        <f>'2013 Known'!E50</f>
        <v>Wind</v>
      </c>
      <c r="G261" s="552" t="str">
        <f>'2013 Known'!F50</f>
        <v>Renew</v>
      </c>
    </row>
    <row r="262" spans="1:7" x14ac:dyDescent="0.25">
      <c r="A262" s="552">
        <v>2013</v>
      </c>
      <c r="B262" s="552" t="str">
        <f>'2013 Known'!A51</f>
        <v>Van Dyk - S Holsteins</v>
      </c>
      <c r="C262" s="552">
        <f>'2013 Known'!B51</f>
        <v>2314.8589999999999</v>
      </c>
      <c r="D262" s="552">
        <f>'2013 Known'!C51</f>
        <v>0</v>
      </c>
      <c r="E262" s="552" t="str">
        <f>'2013 Known'!D51</f>
        <v>Firm</v>
      </c>
      <c r="F262" s="552" t="str">
        <f>'2013 Known'!E51</f>
        <v>Biogas</v>
      </c>
      <c r="G262" s="552" t="str">
        <f>'2013 Known'!F51</f>
        <v>Renew</v>
      </c>
    </row>
    <row r="263" spans="1:7" x14ac:dyDescent="0.25">
      <c r="A263" s="552">
        <v>2013</v>
      </c>
      <c r="B263" s="552" t="str">
        <f>'2013 Known'!A52</f>
        <v>VanderHaak Dairy Digester</v>
      </c>
      <c r="C263" s="552">
        <f>'2013 Known'!B52</f>
        <v>2969.8710000000001</v>
      </c>
      <c r="D263" s="552">
        <f>'2013 Known'!C52</f>
        <v>0</v>
      </c>
      <c r="E263" s="552" t="str">
        <f>'2013 Known'!D52</f>
        <v>Firm</v>
      </c>
      <c r="F263" s="552" t="str">
        <f>'2013 Known'!E52</f>
        <v>Biogas</v>
      </c>
      <c r="G263" s="552" t="str">
        <f>'2013 Known'!F52</f>
        <v>Renew</v>
      </c>
    </row>
    <row r="264" spans="1:7" x14ac:dyDescent="0.25">
      <c r="A264" s="552">
        <v>2013</v>
      </c>
      <c r="B264" s="552" t="str">
        <f>'2013 Known'!A53</f>
        <v>Bio Energy Washington (BEW)</v>
      </c>
      <c r="C264" s="552">
        <f>'2013 Known'!B53</f>
        <v>27.050999999999998</v>
      </c>
      <c r="D264" s="552">
        <f>'2013 Known'!C53</f>
        <v>0</v>
      </c>
      <c r="E264" s="552" t="str">
        <f>'2013 Known'!D53</f>
        <v>Firm</v>
      </c>
      <c r="F264" s="552" t="str">
        <f>'2013 Known'!E53</f>
        <v>Biogas</v>
      </c>
      <c r="G264" s="552" t="str">
        <f>'2013 Known'!F53</f>
        <v>Renew</v>
      </c>
    </row>
    <row r="265" spans="1:7" x14ac:dyDescent="0.25">
      <c r="A265" s="552">
        <v>2013</v>
      </c>
      <c r="B265" s="552" t="str">
        <f>'2013 Known'!A54</f>
        <v>BIO FUEL WA</v>
      </c>
      <c r="C265" s="552">
        <f>'2013 Known'!B54</f>
        <v>1564.5119999999999</v>
      </c>
      <c r="D265" s="552">
        <f>'2013 Known'!C54</f>
        <v>0</v>
      </c>
      <c r="E265" s="552" t="str">
        <f>'2013 Known'!D54</f>
        <v>Firm</v>
      </c>
      <c r="F265" s="552" t="str">
        <f>'2013 Known'!E54</f>
        <v>Biogas</v>
      </c>
      <c r="G265" s="552" t="str">
        <f>'2013 Known'!F54</f>
        <v>Renew</v>
      </c>
    </row>
    <row r="266" spans="1:7" x14ac:dyDescent="0.25">
      <c r="A266" s="552">
        <v>2013</v>
      </c>
      <c r="B266" s="552" t="str">
        <f>'2013 Known'!A55</f>
        <v>Hutchinson Creek</v>
      </c>
      <c r="C266" s="552">
        <f>'2013 Known'!B55</f>
        <v>814.8</v>
      </c>
      <c r="D266" s="552">
        <f>'2013 Known'!C55</f>
        <v>0</v>
      </c>
      <c r="E266" s="552" t="str">
        <f>'2013 Known'!D55</f>
        <v>Firm</v>
      </c>
      <c r="F266" s="552" t="str">
        <f>'2013 Known'!E55</f>
        <v>Hydro</v>
      </c>
      <c r="G266" s="552" t="str">
        <f>'2013 Known'!F55</f>
        <v>Renew</v>
      </c>
    </row>
    <row r="267" spans="1:7" x14ac:dyDescent="0.25">
      <c r="A267" s="552">
        <v>2013</v>
      </c>
      <c r="B267" s="552" t="str">
        <f>'2013 Known'!A56</f>
        <v>Koma Kulshan Associates</v>
      </c>
      <c r="C267" s="552">
        <f>'2013 Known'!B56</f>
        <v>40135.911999999997</v>
      </c>
      <c r="D267" s="552">
        <f>'2013 Known'!C56</f>
        <v>0</v>
      </c>
      <c r="E267" s="552" t="str">
        <f>'2013 Known'!D56</f>
        <v>Firm</v>
      </c>
      <c r="F267" s="552" t="str">
        <f>'2013 Known'!E56</f>
        <v>Hydro</v>
      </c>
      <c r="G267" s="552" t="str">
        <f>'2013 Known'!F56</f>
        <v>Renew</v>
      </c>
    </row>
    <row r="268" spans="1:7" x14ac:dyDescent="0.25">
      <c r="A268" s="552">
        <v>2013</v>
      </c>
      <c r="B268" s="552" t="str">
        <f>'2013 Known'!A57</f>
        <v>Lake Washington -- Finn Hill</v>
      </c>
      <c r="C268" s="552">
        <f>'2013 Known'!B57</f>
        <v>288.08</v>
      </c>
      <c r="D268" s="552">
        <f>'2013 Known'!C57</f>
        <v>0</v>
      </c>
      <c r="E268" s="552" t="str">
        <f>'2013 Known'!D57</f>
        <v>Firm</v>
      </c>
      <c r="F268" s="552" t="str">
        <f>'2013 Known'!E57</f>
        <v>Biogas</v>
      </c>
      <c r="G268" s="552" t="str">
        <f>'2013 Known'!F57</f>
        <v>Renew</v>
      </c>
    </row>
    <row r="269" spans="1:7" x14ac:dyDescent="0.25">
      <c r="A269" s="552">
        <v>2013</v>
      </c>
      <c r="B269" s="552" t="str">
        <f>'2013 Known'!A58</f>
        <v>Nooksack</v>
      </c>
      <c r="C269" s="552">
        <f>'2013 Known'!B58</f>
        <v>23771.706999999999</v>
      </c>
      <c r="D269" s="552">
        <f>'2013 Known'!C58</f>
        <v>0</v>
      </c>
      <c r="E269" s="552" t="str">
        <f>'2013 Known'!D58</f>
        <v>Firm</v>
      </c>
      <c r="F269" s="552" t="str">
        <f>'2013 Known'!E58</f>
        <v>Hydro</v>
      </c>
      <c r="G269" s="552" t="str">
        <f>'2013 Known'!F58</f>
        <v>Renew</v>
      </c>
    </row>
    <row r="270" spans="1:7" x14ac:dyDescent="0.25">
      <c r="A270" s="552">
        <v>2013</v>
      </c>
      <c r="B270" s="552" t="str">
        <f>'2013 Known'!A59</f>
        <v>Sygitowicz Creek</v>
      </c>
      <c r="C270" s="552">
        <f>'2013 Known'!B59</f>
        <v>1170.0820000000001</v>
      </c>
      <c r="D270" s="552">
        <f>'2013 Known'!C59</f>
        <v>0</v>
      </c>
      <c r="E270" s="552" t="str">
        <f>'2013 Known'!D59</f>
        <v>Firm</v>
      </c>
      <c r="F270" s="552" t="str">
        <f>'2013 Known'!E59</f>
        <v>Hydro</v>
      </c>
      <c r="G270" s="552" t="str">
        <f>'2013 Known'!F59</f>
        <v>Renew</v>
      </c>
    </row>
    <row r="271" spans="1:7" x14ac:dyDescent="0.25">
      <c r="A271" s="552">
        <v>2013</v>
      </c>
      <c r="B271" s="552" t="str">
        <f>'2013 Known'!A60</f>
        <v>Twin Falls Hydro</v>
      </c>
      <c r="C271" s="552">
        <f>'2013 Known'!B60</f>
        <v>83478.721999999994</v>
      </c>
      <c r="D271" s="552">
        <f>'2013 Known'!C60</f>
        <v>0</v>
      </c>
      <c r="E271" s="552" t="str">
        <f>'2013 Known'!D60</f>
        <v>Firm</v>
      </c>
      <c r="F271" s="552" t="str">
        <f>'2013 Known'!E60</f>
        <v>Hydro</v>
      </c>
      <c r="G271" s="552" t="str">
        <f>'2013 Known'!F60</f>
        <v>Renew</v>
      </c>
    </row>
    <row r="272" spans="1:7" x14ac:dyDescent="0.25">
      <c r="A272" s="552">
        <v>2013</v>
      </c>
      <c r="B272" s="552" t="str">
        <f>'2013 Known'!A61</f>
        <v>Weeks Falls</v>
      </c>
      <c r="C272" s="552">
        <f>'2013 Known'!B61</f>
        <v>14706.681</v>
      </c>
      <c r="D272" s="552">
        <f>'2013 Known'!C61</f>
        <v>0</v>
      </c>
      <c r="E272" s="552" t="str">
        <f>'2013 Known'!D61</f>
        <v>Firm</v>
      </c>
      <c r="F272" s="552" t="str">
        <f>'2013 Known'!E61</f>
        <v>Hydro</v>
      </c>
      <c r="G272" s="552" t="str">
        <f>'2013 Known'!F61</f>
        <v>Renew</v>
      </c>
    </row>
    <row r="273" spans="1:7" x14ac:dyDescent="0.25">
      <c r="A273" s="552">
        <v>2013</v>
      </c>
      <c r="B273" s="554" t="s">
        <v>462</v>
      </c>
      <c r="C273" s="556">
        <f>'2013 Unknown'!B117</f>
        <v>5673077.977</v>
      </c>
      <c r="D273" s="556">
        <f>'2013 Unknown'!D117</f>
        <v>2479135.0759489988</v>
      </c>
      <c r="E273" s="557" t="s">
        <v>473</v>
      </c>
      <c r="F273" s="552" t="s">
        <v>432</v>
      </c>
      <c r="G273" s="552" t="s">
        <v>432</v>
      </c>
    </row>
    <row r="274" spans="1:7" x14ac:dyDescent="0.25">
      <c r="A274" s="552">
        <v>2014</v>
      </c>
      <c r="B274" s="552" t="str">
        <f>'2014 Known'!A4</f>
        <v>Electron</v>
      </c>
      <c r="C274" s="552">
        <f>'2014 Known'!B4</f>
        <v>42364.24</v>
      </c>
      <c r="D274" s="552">
        <f>'2014 Known'!C4</f>
        <v>0</v>
      </c>
      <c r="E274" s="552" t="str">
        <f>'2014 Known'!D4</f>
        <v>Own</v>
      </c>
      <c r="F274" s="552" t="str">
        <f>'2014 Known'!E4</f>
        <v>Hydro</v>
      </c>
      <c r="G274" s="552" t="str">
        <f>'2014 Known'!F4</f>
        <v>Renew</v>
      </c>
    </row>
    <row r="275" spans="1:7" x14ac:dyDescent="0.25">
      <c r="A275" s="552">
        <v>2014</v>
      </c>
      <c r="B275" s="552" t="str">
        <f>'2014 Known'!A5</f>
        <v>Lower Baker</v>
      </c>
      <c r="C275" s="552">
        <f>'2014 Known'!B5</f>
        <v>429609.103</v>
      </c>
      <c r="D275" s="552">
        <f>'2014 Known'!C5</f>
        <v>0</v>
      </c>
      <c r="E275" s="552" t="str">
        <f>'2014 Known'!D5</f>
        <v>Own</v>
      </c>
      <c r="F275" s="552" t="str">
        <f>'2014 Known'!E5</f>
        <v>Hydro</v>
      </c>
      <c r="G275" s="552" t="str">
        <f>'2014 Known'!F5</f>
        <v>Renew</v>
      </c>
    </row>
    <row r="276" spans="1:7" x14ac:dyDescent="0.25">
      <c r="A276" s="552">
        <v>2014</v>
      </c>
      <c r="B276" s="552" t="str">
        <f>'2014 Known'!A6</f>
        <v>Snoqualmie Falls #1</v>
      </c>
      <c r="C276" s="552">
        <f>'2014 Known'!B6</f>
        <v>40375.218000000001</v>
      </c>
      <c r="D276" s="552">
        <f>'2014 Known'!C6</f>
        <v>0</v>
      </c>
      <c r="E276" s="552" t="str">
        <f>'2014 Known'!D6</f>
        <v>Own</v>
      </c>
      <c r="F276" s="552" t="str">
        <f>'2014 Known'!E6</f>
        <v>Hydro</v>
      </c>
      <c r="G276" s="552" t="str">
        <f>'2014 Known'!F6</f>
        <v>Renew</v>
      </c>
    </row>
    <row r="277" spans="1:7" x14ac:dyDescent="0.25">
      <c r="A277" s="552">
        <v>2014</v>
      </c>
      <c r="B277" s="552" t="str">
        <f>'2014 Known'!A7</f>
        <v>Snoqualmie Falls #2</v>
      </c>
      <c r="C277" s="552">
        <f>'2014 Known'!B7</f>
        <v>147766.71299999999</v>
      </c>
      <c r="D277" s="552">
        <f>'2014 Known'!C7</f>
        <v>0</v>
      </c>
      <c r="E277" s="552" t="str">
        <f>'2014 Known'!D7</f>
        <v>Own</v>
      </c>
      <c r="F277" s="552" t="str">
        <f>'2014 Known'!E7</f>
        <v>Hydro</v>
      </c>
      <c r="G277" s="552" t="str">
        <f>'2014 Known'!F7</f>
        <v>Renew</v>
      </c>
    </row>
    <row r="278" spans="1:7" x14ac:dyDescent="0.25">
      <c r="A278" s="552">
        <v>2014</v>
      </c>
      <c r="B278" s="552" t="str">
        <f>'2014 Known'!A8</f>
        <v>Upper Baker</v>
      </c>
      <c r="C278" s="552">
        <f>'2014 Known'!B8</f>
        <v>340085.38099999999</v>
      </c>
      <c r="D278" s="552">
        <f>'2014 Known'!C8</f>
        <v>0</v>
      </c>
      <c r="E278" s="552" t="str">
        <f>'2014 Known'!D8</f>
        <v>Own</v>
      </c>
      <c r="F278" s="552" t="str">
        <f>'2014 Known'!E8</f>
        <v>Hydro</v>
      </c>
      <c r="G278" s="552" t="str">
        <f>'2014 Known'!F8</f>
        <v>Renew</v>
      </c>
    </row>
    <row r="279" spans="1:7" x14ac:dyDescent="0.25">
      <c r="A279" s="552">
        <v>2014</v>
      </c>
      <c r="B279" s="552" t="str">
        <f>'2014 Known'!A9</f>
        <v>Colstrip</v>
      </c>
      <c r="C279" s="552">
        <f>'2014 Known'!B9</f>
        <v>4509567</v>
      </c>
      <c r="D279" s="552">
        <f>'2014 Known'!C9</f>
        <v>4890063.0296316901</v>
      </c>
      <c r="E279" s="552" t="str">
        <f>'2014 Known'!D9</f>
        <v>Own</v>
      </c>
      <c r="F279" s="552" t="str">
        <f>'2014 Known'!E9</f>
        <v>Coal</v>
      </c>
      <c r="G279" s="552" t="str">
        <f>'2014 Known'!F9</f>
        <v>Coal</v>
      </c>
    </row>
    <row r="280" spans="1:7" x14ac:dyDescent="0.25">
      <c r="A280" s="552">
        <v>2014</v>
      </c>
      <c r="B280" s="552" t="str">
        <f>'2014 Known'!A10</f>
        <v>Encogen</v>
      </c>
      <c r="C280" s="552">
        <f>'2014 Known'!B10</f>
        <v>218068.82899999997</v>
      </c>
      <c r="D280" s="552">
        <f>'2014 Known'!C10</f>
        <v>105650.308</v>
      </c>
      <c r="E280" s="552" t="str">
        <f>'2014 Known'!D10</f>
        <v>Own</v>
      </c>
      <c r="F280" s="552" t="str">
        <f>'2014 Known'!E10</f>
        <v>Gas</v>
      </c>
      <c r="G280" s="552" t="str">
        <f>'2014 Known'!F10</f>
        <v>Gas</v>
      </c>
    </row>
    <row r="281" spans="1:7" x14ac:dyDescent="0.25">
      <c r="A281" s="552">
        <v>2014</v>
      </c>
      <c r="B281" s="552" t="str">
        <f>'2014 Known'!A11</f>
        <v>Ferndale Co-Generation</v>
      </c>
      <c r="C281" s="552">
        <f>'2014 Known'!B11</f>
        <v>722557.11800000002</v>
      </c>
      <c r="D281" s="552">
        <f>'2014 Known'!C11</f>
        <v>333193.56400000001</v>
      </c>
      <c r="E281" s="552" t="str">
        <f>'2014 Known'!D11</f>
        <v>Own</v>
      </c>
      <c r="F281" s="552" t="str">
        <f>'2014 Known'!E11</f>
        <v>Gas</v>
      </c>
      <c r="G281" s="552" t="str">
        <f>'2014 Known'!F11</f>
        <v>Gas</v>
      </c>
    </row>
    <row r="282" spans="1:7" x14ac:dyDescent="0.25">
      <c r="A282" s="552">
        <v>2014</v>
      </c>
      <c r="B282" s="552" t="str">
        <f>'2014 Known'!A12</f>
        <v>Freddie #1</v>
      </c>
      <c r="C282" s="552">
        <f>'2014 Known'!B12</f>
        <v>346742.94699999999</v>
      </c>
      <c r="D282" s="552">
        <f>'2014 Known'!C12</f>
        <v>135411.96373399999</v>
      </c>
      <c r="E282" s="552" t="str">
        <f>'2014 Known'!D12</f>
        <v>Own</v>
      </c>
      <c r="F282" s="552" t="str">
        <f>'2014 Known'!E12</f>
        <v>Gas</v>
      </c>
      <c r="G282" s="552" t="str">
        <f>'2014 Known'!F12</f>
        <v>Gas</v>
      </c>
    </row>
    <row r="283" spans="1:7" x14ac:dyDescent="0.25">
      <c r="A283" s="552">
        <v>2014</v>
      </c>
      <c r="B283" s="552" t="str">
        <f>'2014 Known'!A13</f>
        <v>Goldendale</v>
      </c>
      <c r="C283" s="552">
        <f>'2014 Known'!B13</f>
        <v>1029457.112</v>
      </c>
      <c r="D283" s="552">
        <f>'2014 Known'!C13</f>
        <v>387311.76400000002</v>
      </c>
      <c r="E283" s="552" t="str">
        <f>'2014 Known'!D13</f>
        <v>Own</v>
      </c>
      <c r="F283" s="552" t="str">
        <f>'2014 Known'!E13</f>
        <v>Gas</v>
      </c>
      <c r="G283" s="552" t="str">
        <f>'2014 Known'!F13</f>
        <v>Gas</v>
      </c>
    </row>
    <row r="284" spans="1:7" x14ac:dyDescent="0.25">
      <c r="A284" s="552">
        <v>2014</v>
      </c>
      <c r="B284" s="552" t="str">
        <f>'2014 Known'!A14</f>
        <v>Mint Farm</v>
      </c>
      <c r="C284" s="552">
        <f>'2014 Known'!B14</f>
        <v>1284786.4339999999</v>
      </c>
      <c r="D284" s="552">
        <f>'2014 Known'!C14</f>
        <v>508640.11599999998</v>
      </c>
      <c r="E284" s="552" t="str">
        <f>'2014 Known'!D14</f>
        <v>Own</v>
      </c>
      <c r="F284" s="552" t="str">
        <f>'2014 Known'!E14</f>
        <v>Gas</v>
      </c>
      <c r="G284" s="552" t="str">
        <f>'2014 Known'!F14</f>
        <v>Gas</v>
      </c>
    </row>
    <row r="285" spans="1:7" x14ac:dyDescent="0.25">
      <c r="A285" s="552">
        <v>2014</v>
      </c>
      <c r="B285" s="552" t="str">
        <f>'2014 Known'!A15</f>
        <v>Sumas</v>
      </c>
      <c r="C285" s="552">
        <f>'2014 Known'!B15</f>
        <v>446064.98</v>
      </c>
      <c r="D285" s="552">
        <f>'2014 Known'!C15</f>
        <v>209202.024</v>
      </c>
      <c r="E285" s="552" t="str">
        <f>'2014 Known'!D15</f>
        <v>Own</v>
      </c>
      <c r="F285" s="552" t="str">
        <f>'2014 Known'!E15</f>
        <v>Gas</v>
      </c>
      <c r="G285" s="552" t="str">
        <f>'2014 Known'!F15</f>
        <v>Gas</v>
      </c>
    </row>
    <row r="286" spans="1:7" x14ac:dyDescent="0.25">
      <c r="A286" s="552">
        <v>2014</v>
      </c>
      <c r="B286" s="552" t="str">
        <f>'2014 Known'!A16</f>
        <v>Crystal Mountain</v>
      </c>
      <c r="C286" s="552">
        <f>'2014 Known'!B16</f>
        <v>357.8</v>
      </c>
      <c r="D286" s="552">
        <f>'2014 Known'!C16</f>
        <v>296.86870338496021</v>
      </c>
      <c r="E286" s="552" t="str">
        <f>'2014 Known'!D16</f>
        <v>Own</v>
      </c>
      <c r="F286" s="552" t="str">
        <f>'2014 Known'!E16</f>
        <v>Diesel</v>
      </c>
      <c r="G286" s="552" t="str">
        <f>'2014 Known'!F16</f>
        <v>Gas</v>
      </c>
    </row>
    <row r="287" spans="1:7" x14ac:dyDescent="0.25">
      <c r="A287" s="552">
        <v>2014</v>
      </c>
      <c r="B287" s="552" t="str">
        <f>'2014 Known'!A17</f>
        <v>Fredonia</v>
      </c>
      <c r="C287" s="552">
        <f>'2014 Known'!B17</f>
        <v>68142.5</v>
      </c>
      <c r="D287" s="552">
        <f>'2014 Known'!C17</f>
        <v>52554.582000000002</v>
      </c>
      <c r="E287" s="552" t="str">
        <f>'2014 Known'!D17</f>
        <v>Own</v>
      </c>
      <c r="F287" s="552" t="str">
        <f>'2014 Known'!E17</f>
        <v>Gas</v>
      </c>
      <c r="G287" s="552" t="str">
        <f>'2014 Known'!F17</f>
        <v>Gas</v>
      </c>
    </row>
    <row r="288" spans="1:7" x14ac:dyDescent="0.25">
      <c r="A288" s="552">
        <v>2014</v>
      </c>
      <c r="B288" s="552" t="str">
        <f>'2014 Known'!A18</f>
        <v>Fredrickson 1 &amp; 2</v>
      </c>
      <c r="C288" s="552">
        <f>'2014 Known'!B18</f>
        <v>14347.32</v>
      </c>
      <c r="D288" s="552">
        <f>'2014 Known'!C18</f>
        <v>24412.653999999999</v>
      </c>
      <c r="E288" s="552" t="str">
        <f>'2014 Known'!D18</f>
        <v>Own</v>
      </c>
      <c r="F288" s="552" t="str">
        <f>'2014 Known'!E18</f>
        <v>Gas</v>
      </c>
      <c r="G288" s="552" t="str">
        <f>'2014 Known'!F18</f>
        <v>Gas</v>
      </c>
    </row>
    <row r="289" spans="1:7" x14ac:dyDescent="0.25">
      <c r="A289" s="552">
        <v>2014</v>
      </c>
      <c r="B289" s="552" t="str">
        <f>'2014 Known'!A19</f>
        <v>Hopkins Ridge (W184)</v>
      </c>
      <c r="C289" s="552">
        <f>'2014 Known'!B19</f>
        <v>442302.62199999997</v>
      </c>
      <c r="D289" s="552">
        <f>'2014 Known'!C19</f>
        <v>0</v>
      </c>
      <c r="E289" s="552" t="str">
        <f>'2014 Known'!D19</f>
        <v>Own</v>
      </c>
      <c r="F289" s="552" t="str">
        <f>'2014 Known'!E19</f>
        <v>Wind</v>
      </c>
      <c r="G289" s="552" t="str">
        <f>'2014 Known'!F19</f>
        <v>Renew</v>
      </c>
    </row>
    <row r="290" spans="1:7" x14ac:dyDescent="0.25">
      <c r="A290" s="552">
        <v>2014</v>
      </c>
      <c r="B290" s="552" t="str">
        <f>'2014 Known'!A20</f>
        <v>Lower Snake River</v>
      </c>
      <c r="C290" s="552">
        <f>'2014 Known'!B20</f>
        <v>883474.77099999995</v>
      </c>
      <c r="D290" s="552">
        <f>'2014 Known'!C20</f>
        <v>0</v>
      </c>
      <c r="E290" s="552" t="str">
        <f>'2014 Known'!D20</f>
        <v>Own</v>
      </c>
      <c r="F290" s="552" t="str">
        <f>'2014 Known'!E20</f>
        <v>Wind</v>
      </c>
      <c r="G290" s="552" t="str">
        <f>'2014 Known'!F20</f>
        <v>Renew</v>
      </c>
    </row>
    <row r="291" spans="1:7" x14ac:dyDescent="0.25">
      <c r="A291" s="552">
        <v>2014</v>
      </c>
      <c r="B291" s="552" t="str">
        <f>'2014 Known'!A21</f>
        <v>Whitehorn 2&amp;3</v>
      </c>
      <c r="C291" s="552">
        <f>'2014 Known'!B21</f>
        <v>24458.1</v>
      </c>
      <c r="D291" s="552">
        <f>'2014 Known'!C21</f>
        <v>29472.331999999999</v>
      </c>
      <c r="E291" s="552" t="str">
        <f>'2014 Known'!D21</f>
        <v>Own</v>
      </c>
      <c r="F291" s="552" t="str">
        <f>'2014 Known'!E21</f>
        <v>Gas</v>
      </c>
      <c r="G291" s="552" t="str">
        <f>'2014 Known'!F21</f>
        <v>Gas</v>
      </c>
    </row>
    <row r="292" spans="1:7" x14ac:dyDescent="0.25">
      <c r="A292" s="552">
        <v>2014</v>
      </c>
      <c r="B292" s="552" t="str">
        <f>'2014 Known'!A22</f>
        <v>Wild Horse (W183)</v>
      </c>
      <c r="C292" s="552">
        <f>'2014 Known'!B22</f>
        <v>649976.24100000004</v>
      </c>
      <c r="D292" s="552">
        <f>'2014 Known'!C22</f>
        <v>0</v>
      </c>
      <c r="E292" s="552" t="str">
        <f>'2014 Known'!D22</f>
        <v>Own</v>
      </c>
      <c r="F292" s="552" t="str">
        <f>'2014 Known'!E22</f>
        <v>Wind</v>
      </c>
      <c r="G292" s="552" t="str">
        <f>'2014 Known'!F22</f>
        <v>Renew</v>
      </c>
    </row>
    <row r="293" spans="1:7" x14ac:dyDescent="0.25">
      <c r="A293" s="552">
        <v>2014</v>
      </c>
      <c r="B293" s="552" t="str">
        <f>'2014 Known'!A23</f>
        <v>3 Bar G Wind Turbine #3 LLC</v>
      </c>
      <c r="C293" s="552">
        <f>'2014 Known'!B23</f>
        <v>143.74799999999999</v>
      </c>
      <c r="D293" s="552">
        <f>'2014 Known'!C23</f>
        <v>0</v>
      </c>
      <c r="E293" s="552" t="str">
        <f>'2014 Known'!D23</f>
        <v>Firm</v>
      </c>
      <c r="F293" s="552" t="str">
        <f>'2014 Known'!E23</f>
        <v>Wind</v>
      </c>
      <c r="G293" s="552" t="str">
        <f>'2014 Known'!F23</f>
        <v>Renew</v>
      </c>
    </row>
    <row r="294" spans="1:7" x14ac:dyDescent="0.25">
      <c r="A294" s="552">
        <v>2014</v>
      </c>
      <c r="B294" s="552" t="str">
        <f>'2014 Known'!A24</f>
        <v>Barclays Bank Plc</v>
      </c>
      <c r="C294" s="552">
        <f>'2014 Known'!B24</f>
        <v>216079</v>
      </c>
      <c r="D294" s="552">
        <f>'2014 Known'!C24</f>
        <v>94426.523000000001</v>
      </c>
      <c r="E294" s="552" t="str">
        <f>'2014 Known'!D24</f>
        <v>Firm</v>
      </c>
      <c r="F294" s="552" t="str">
        <f>'2014 Known'!E24</f>
        <v>System</v>
      </c>
      <c r="G294" s="552" t="str">
        <f>'2014 Known'!F24</f>
        <v>System</v>
      </c>
    </row>
    <row r="295" spans="1:7" x14ac:dyDescent="0.25">
      <c r="A295" s="552">
        <v>2014</v>
      </c>
      <c r="B295" s="552" t="str">
        <f>'2014 Known'!A25</f>
        <v>BC Hydro (Point Roberts)</v>
      </c>
      <c r="C295" s="552">
        <f>'2014 Known'!B25</f>
        <v>20696.929</v>
      </c>
      <c r="D295" s="552">
        <f>'2014 Known'!C25</f>
        <v>9044.557972999999</v>
      </c>
      <c r="E295" s="552" t="str">
        <f>'2014 Known'!D25</f>
        <v>Firm</v>
      </c>
      <c r="F295" s="552" t="str">
        <f>'2014 Known'!E25</f>
        <v>System</v>
      </c>
      <c r="G295" s="552" t="str">
        <f>'2014 Known'!F25</f>
        <v>System</v>
      </c>
    </row>
    <row r="296" spans="1:7" x14ac:dyDescent="0.25">
      <c r="A296" s="552">
        <v>2014</v>
      </c>
      <c r="B296" s="552" t="str">
        <f>'2014 Known'!A26</f>
        <v>Bio Energy Washington (BEW)</v>
      </c>
      <c r="C296" s="552">
        <f>'2014 Known'!B26</f>
        <v>13.750999999999999</v>
      </c>
      <c r="D296" s="552">
        <f>'2014 Known'!C26</f>
        <v>0</v>
      </c>
      <c r="E296" s="552" t="str">
        <f>'2014 Known'!D26</f>
        <v>Firm</v>
      </c>
      <c r="F296" s="552" t="str">
        <f>'2014 Known'!E26</f>
        <v>Biogas</v>
      </c>
      <c r="G296" s="552" t="str">
        <f>'2014 Known'!F26</f>
        <v>Renew</v>
      </c>
    </row>
    <row r="297" spans="1:7" x14ac:dyDescent="0.25">
      <c r="A297" s="552">
        <v>2014</v>
      </c>
      <c r="B297" s="552" t="str">
        <f>'2014 Known'!A27</f>
        <v>Black Creek Hydro Inc</v>
      </c>
      <c r="C297" s="552">
        <f>'2014 Known'!B27</f>
        <v>14182.659</v>
      </c>
      <c r="D297" s="552">
        <f>'2014 Known'!C27</f>
        <v>0</v>
      </c>
      <c r="E297" s="552" t="str">
        <f>'2014 Known'!D27</f>
        <v>Firm</v>
      </c>
      <c r="F297" s="552" t="str">
        <f>'2014 Known'!E27</f>
        <v>Hydro</v>
      </c>
      <c r="G297" s="552" t="str">
        <f>'2014 Known'!F27</f>
        <v>Renew</v>
      </c>
    </row>
    <row r="298" spans="1:7" x14ac:dyDescent="0.25">
      <c r="A298" s="552">
        <v>2014</v>
      </c>
      <c r="B298" s="552" t="str">
        <f>'2014 Known'!A28</f>
        <v>Book Outs - EITF 03-11</v>
      </c>
      <c r="C298" s="552">
        <f>'2014 Known'!B28</f>
        <v>-10172</v>
      </c>
      <c r="D298" s="552">
        <f>'2014 Known'!C28</f>
        <v>-4445.1639999999998</v>
      </c>
      <c r="E298" s="552" t="str">
        <f>'2014 Known'!D28</f>
        <v>Firm</v>
      </c>
      <c r="F298" s="552" t="str">
        <f>'2014 Known'!E28</f>
        <v>System</v>
      </c>
      <c r="G298" s="552" t="str">
        <f>'2014 Known'!F28</f>
        <v>System</v>
      </c>
    </row>
    <row r="299" spans="1:7" x14ac:dyDescent="0.25">
      <c r="A299" s="552">
        <v>2014</v>
      </c>
      <c r="B299" s="552" t="str">
        <f>'2014 Known'!A29</f>
        <v>BPA</v>
      </c>
      <c r="C299" s="552">
        <f>'2014 Known'!B29</f>
        <v>7000</v>
      </c>
      <c r="D299" s="552">
        <f>'2014 Known'!C29</f>
        <v>0</v>
      </c>
      <c r="E299" s="552" t="str">
        <f>'2014 Known'!D29</f>
        <v>Firm</v>
      </c>
      <c r="F299" s="552" t="str">
        <f>'2014 Known'!E29</f>
        <v>Hydro</v>
      </c>
      <c r="G299" s="552" t="str">
        <f>'2014 Known'!F29</f>
        <v>Renew</v>
      </c>
    </row>
    <row r="300" spans="1:7" x14ac:dyDescent="0.25">
      <c r="A300" s="552">
        <v>2014</v>
      </c>
      <c r="B300" s="552" t="str">
        <f>'2014 Known'!A30</f>
        <v>BPA Firm - WNP#3 Exchange</v>
      </c>
      <c r="C300" s="552">
        <f>'2014 Known'!B30</f>
        <v>360022</v>
      </c>
      <c r="D300" s="552">
        <f>'2014 Known'!C30</f>
        <v>157329.61399999997</v>
      </c>
      <c r="E300" s="552" t="str">
        <f>'2014 Known'!D30</f>
        <v>Firm</v>
      </c>
      <c r="F300" s="552" t="str">
        <f>'2014 Known'!E30</f>
        <v>System</v>
      </c>
      <c r="G300" s="552" t="str">
        <f>'2014 Known'!F30</f>
        <v>System</v>
      </c>
    </row>
    <row r="301" spans="1:7" x14ac:dyDescent="0.25">
      <c r="A301" s="552">
        <v>2014</v>
      </c>
      <c r="B301" s="552" t="str">
        <f>'2014 Known'!A31</f>
        <v>CC Solar 1 and CC Solar 2</v>
      </c>
      <c r="C301" s="552">
        <f>'2014 Known'!B31</f>
        <v>28.02</v>
      </c>
      <c r="D301" s="552">
        <f>'2014 Known'!C31</f>
        <v>0</v>
      </c>
      <c r="E301" s="552" t="str">
        <f>'2014 Known'!D31</f>
        <v>Firm</v>
      </c>
      <c r="F301" s="552" t="str">
        <f>'2014 Known'!E31</f>
        <v>Solar</v>
      </c>
      <c r="G301" s="552" t="str">
        <f>'2014 Known'!F31</f>
        <v>Renew</v>
      </c>
    </row>
    <row r="302" spans="1:7" x14ac:dyDescent="0.25">
      <c r="A302" s="552">
        <v>2014</v>
      </c>
      <c r="B302" s="552" t="str">
        <f>'2014 Known'!A32</f>
        <v>Chelan PUD - RI &amp; RR</v>
      </c>
      <c r="C302" s="552">
        <f>'2014 Known'!B32</f>
        <v>2323845</v>
      </c>
      <c r="D302" s="552">
        <f>'2014 Known'!C32</f>
        <v>0</v>
      </c>
      <c r="E302" s="552" t="str">
        <f>'2014 Known'!D32</f>
        <v>Firm</v>
      </c>
      <c r="F302" s="552" t="str">
        <f>'2014 Known'!E32</f>
        <v>Hydro</v>
      </c>
      <c r="G302" s="552" t="str">
        <f>'2014 Known'!F32</f>
        <v>Renew</v>
      </c>
    </row>
    <row r="303" spans="1:7" x14ac:dyDescent="0.25">
      <c r="A303" s="552">
        <v>2014</v>
      </c>
      <c r="B303" s="552" t="str">
        <f>'2014 Known'!A33</f>
        <v>Chelan PUD - Rock Island Syst #2</v>
      </c>
      <c r="C303" s="552">
        <f>'2014 Known'!B33</f>
        <v>-38431</v>
      </c>
      <c r="D303" s="552">
        <f>'2014 Known'!C33</f>
        <v>0</v>
      </c>
      <c r="E303" s="552" t="str">
        <f>'2014 Known'!D33</f>
        <v>Firm</v>
      </c>
      <c r="F303" s="552" t="str">
        <f>'2014 Known'!E33</f>
        <v>Hydro</v>
      </c>
      <c r="G303" s="552" t="str">
        <f>'2014 Known'!F33</f>
        <v>Renew</v>
      </c>
    </row>
    <row r="304" spans="1:7" x14ac:dyDescent="0.25">
      <c r="A304" s="552">
        <v>2014</v>
      </c>
      <c r="B304" s="552" t="str">
        <f>'2014 Known'!A34</f>
        <v>Chelan PUD - Rocky Reach</v>
      </c>
      <c r="C304" s="552">
        <f>'2014 Known'!B34</f>
        <v>-81380</v>
      </c>
      <c r="D304" s="552">
        <f>'2014 Known'!C34</f>
        <v>0</v>
      </c>
      <c r="E304" s="552" t="str">
        <f>'2014 Known'!D34</f>
        <v>Firm</v>
      </c>
      <c r="F304" s="552" t="str">
        <f>'2014 Known'!E34</f>
        <v>Hydro</v>
      </c>
      <c r="G304" s="552" t="str">
        <f>'2014 Known'!F34</f>
        <v>Renew</v>
      </c>
    </row>
    <row r="305" spans="1:7" x14ac:dyDescent="0.25">
      <c r="A305" s="552">
        <v>2014</v>
      </c>
      <c r="B305" s="552" t="str">
        <f>'2014 Known'!A35</f>
        <v>Douglas PUD - Wells Project</v>
      </c>
      <c r="C305" s="552">
        <f>'2014 Known'!B35</f>
        <v>1048857</v>
      </c>
      <c r="D305" s="552">
        <f>'2014 Known'!C35</f>
        <v>0</v>
      </c>
      <c r="E305" s="552" t="str">
        <f>'2014 Known'!D35</f>
        <v>Firm</v>
      </c>
      <c r="F305" s="552" t="str">
        <f>'2014 Known'!E35</f>
        <v>Hydro</v>
      </c>
      <c r="G305" s="552" t="str">
        <f>'2014 Known'!F35</f>
        <v>Renew</v>
      </c>
    </row>
    <row r="306" spans="1:7" x14ac:dyDescent="0.25">
      <c r="A306" s="552">
        <v>2014</v>
      </c>
      <c r="B306" s="552" t="str">
        <f>'2014 Known'!A36</f>
        <v>Edaleen Dairy LLC</v>
      </c>
      <c r="C306" s="552">
        <f>'2014 Known'!B36</f>
        <v>3733.9949999999999</v>
      </c>
      <c r="D306" s="552">
        <f>'2014 Known'!C36</f>
        <v>0</v>
      </c>
      <c r="E306" s="552" t="str">
        <f>'2014 Known'!D36</f>
        <v>Firm</v>
      </c>
      <c r="F306" s="552" t="str">
        <f>'2014 Known'!E36</f>
        <v>Biogas</v>
      </c>
      <c r="G306" s="552" t="str">
        <f>'2014 Known'!F36</f>
        <v>Renew</v>
      </c>
    </row>
    <row r="307" spans="1:7" x14ac:dyDescent="0.25">
      <c r="A307" s="552">
        <v>2014</v>
      </c>
      <c r="B307" s="552" t="str">
        <f>'2014 Known'!A37</f>
        <v>Farm Power Lynden LLC</v>
      </c>
      <c r="C307" s="552">
        <f>'2014 Known'!B37</f>
        <v>4946.95</v>
      </c>
      <c r="D307" s="552">
        <f>'2014 Known'!C37</f>
        <v>0</v>
      </c>
      <c r="E307" s="552" t="str">
        <f>'2014 Known'!D37</f>
        <v>Firm</v>
      </c>
      <c r="F307" s="552" t="str">
        <f>'2014 Known'!E37</f>
        <v>Biogas</v>
      </c>
      <c r="G307" s="552" t="str">
        <f>'2014 Known'!F37</f>
        <v>Renew</v>
      </c>
    </row>
    <row r="308" spans="1:7" x14ac:dyDescent="0.25">
      <c r="A308" s="552">
        <v>2014</v>
      </c>
      <c r="B308" s="552" t="str">
        <f>'2014 Known'!A38</f>
        <v>Farm Power Rexville LLC</v>
      </c>
      <c r="C308" s="552">
        <f>'2014 Known'!B38</f>
        <v>5241.9309999999996</v>
      </c>
      <c r="D308" s="552">
        <f>'2014 Known'!C38</f>
        <v>0</v>
      </c>
      <c r="E308" s="552" t="str">
        <f>'2014 Known'!D38</f>
        <v>Firm</v>
      </c>
      <c r="F308" s="552" t="str">
        <f>'2014 Known'!E38</f>
        <v>Biogas</v>
      </c>
      <c r="G308" s="552" t="str">
        <f>'2014 Known'!F38</f>
        <v>Renew</v>
      </c>
    </row>
    <row r="309" spans="1:7" x14ac:dyDescent="0.25">
      <c r="A309" s="552">
        <v>2014</v>
      </c>
      <c r="B309" s="552" t="str">
        <f>'2014 Known'!A39</f>
        <v>Grant PUD - Priest Rapids Project</v>
      </c>
      <c r="C309" s="552">
        <f>'2014 Known'!B39</f>
        <v>50317</v>
      </c>
      <c r="D309" s="552">
        <f>'2014 Known'!C39</f>
        <v>0</v>
      </c>
      <c r="E309" s="552" t="str">
        <f>'2014 Known'!D39</f>
        <v>Firm</v>
      </c>
      <c r="F309" s="552" t="str">
        <f>'2014 Known'!E39</f>
        <v>Hydro</v>
      </c>
      <c r="G309" s="552" t="str">
        <f>'2014 Known'!F39</f>
        <v>Renew</v>
      </c>
    </row>
    <row r="310" spans="1:7" x14ac:dyDescent="0.25">
      <c r="A310" s="552">
        <v>2014</v>
      </c>
      <c r="B310" s="552" t="str">
        <f>'2014 Known'!A40</f>
        <v>Island Community Solar LLC</v>
      </c>
      <c r="C310" s="552">
        <f>'2014 Known'!B40</f>
        <v>59.67</v>
      </c>
      <c r="D310" s="552">
        <f>'2014 Known'!C40</f>
        <v>0</v>
      </c>
      <c r="E310" s="552" t="str">
        <f>'2014 Known'!D40</f>
        <v>Firm</v>
      </c>
      <c r="F310" s="552" t="str">
        <f>'2014 Known'!E40</f>
        <v>Solar</v>
      </c>
      <c r="G310" s="552" t="str">
        <f>'2014 Known'!F40</f>
        <v>Renew</v>
      </c>
    </row>
    <row r="311" spans="1:7" x14ac:dyDescent="0.25">
      <c r="A311" s="552">
        <v>2014</v>
      </c>
      <c r="B311" s="552" t="str">
        <f>'2014 Known'!A41</f>
        <v>Klamath Falls (Iberdrola)</v>
      </c>
      <c r="C311" s="552">
        <f>'2014 Known'!B41</f>
        <v>1200</v>
      </c>
      <c r="D311" s="552">
        <f>'2014 Known'!C41</f>
        <v>489.07460504942117</v>
      </c>
      <c r="E311" s="552" t="str">
        <f>'2014 Known'!D41</f>
        <v>Firm</v>
      </c>
      <c r="F311" s="552" t="str">
        <f>'2014 Known'!E41</f>
        <v>Gas</v>
      </c>
      <c r="G311" s="552" t="str">
        <f>'2014 Known'!F41</f>
        <v>Gas</v>
      </c>
    </row>
    <row r="312" spans="1:7" x14ac:dyDescent="0.25">
      <c r="A312" s="552">
        <v>2014</v>
      </c>
      <c r="B312" s="552" t="str">
        <f>'2014 Known'!A42</f>
        <v>Klondike Wind Power III</v>
      </c>
      <c r="C312" s="552">
        <f>'2014 Known'!B42</f>
        <v>129205</v>
      </c>
      <c r="D312" s="552">
        <f>'2014 Known'!C42</f>
        <v>0</v>
      </c>
      <c r="E312" s="552" t="str">
        <f>'2014 Known'!D42</f>
        <v>Firm</v>
      </c>
      <c r="F312" s="552" t="str">
        <f>'2014 Known'!E42</f>
        <v>Wind</v>
      </c>
      <c r="G312" s="552" t="str">
        <f>'2014 Known'!F42</f>
        <v>Renew</v>
      </c>
    </row>
    <row r="313" spans="1:7" x14ac:dyDescent="0.25">
      <c r="A313" s="552">
        <v>2014</v>
      </c>
      <c r="B313" s="552" t="str">
        <f>'2014 Known'!A43</f>
        <v>Knudsen Wind Turbine #1</v>
      </c>
      <c r="C313" s="552">
        <f>'2014 Known'!B43</f>
        <v>151.547</v>
      </c>
      <c r="D313" s="552">
        <f>'2014 Known'!C43</f>
        <v>0</v>
      </c>
      <c r="E313" s="552" t="str">
        <f>'2014 Known'!D43</f>
        <v>Firm</v>
      </c>
      <c r="F313" s="552" t="str">
        <f>'2014 Known'!E43</f>
        <v>Wind</v>
      </c>
      <c r="G313" s="552" t="str">
        <f>'2014 Known'!F43</f>
        <v>Renew</v>
      </c>
    </row>
    <row r="314" spans="1:7" x14ac:dyDescent="0.25">
      <c r="A314" s="552">
        <v>2014</v>
      </c>
      <c r="B314" s="552" t="str">
        <f>'2014 Known'!A44</f>
        <v>Qualco Energy</v>
      </c>
      <c r="C314" s="552">
        <f>'2014 Known'!B44</f>
        <v>290</v>
      </c>
      <c r="D314" s="552">
        <f>'2014 Known'!C44</f>
        <v>0</v>
      </c>
      <c r="E314" s="552" t="str">
        <f>'2014 Known'!D44</f>
        <v>Firm</v>
      </c>
      <c r="F314" s="552" t="str">
        <f>'2014 Known'!E44</f>
        <v>Biogas</v>
      </c>
      <c r="G314" s="552" t="str">
        <f>'2014 Known'!F44</f>
        <v>Renew</v>
      </c>
    </row>
    <row r="315" spans="1:7" x14ac:dyDescent="0.25">
      <c r="A315" s="552">
        <v>2014</v>
      </c>
      <c r="B315" s="552" t="str">
        <f>'2014 Known'!A45</f>
        <v>Rainier Bio Gas</v>
      </c>
      <c r="C315" s="552">
        <f>'2014 Known'!B45</f>
        <v>5027.634</v>
      </c>
      <c r="D315" s="552">
        <f>'2014 Known'!C45</f>
        <v>0</v>
      </c>
      <c r="E315" s="552" t="str">
        <f>'2014 Known'!D45</f>
        <v>Firm</v>
      </c>
      <c r="F315" s="552" t="str">
        <f>'2014 Known'!E45</f>
        <v>Biogas</v>
      </c>
      <c r="G315" s="552" t="str">
        <f>'2014 Known'!F45</f>
        <v>Renew</v>
      </c>
    </row>
    <row r="316" spans="1:7" x14ac:dyDescent="0.25">
      <c r="A316" s="552">
        <v>2014</v>
      </c>
      <c r="B316" s="552" t="str">
        <f>'2014 Known'!A46</f>
        <v>Skookumchuck Hydro</v>
      </c>
      <c r="C316" s="552">
        <f>'2014 Known'!B46</f>
        <v>6471.0950000000003</v>
      </c>
      <c r="D316" s="552">
        <f>'2014 Known'!C46</f>
        <v>0</v>
      </c>
      <c r="E316" s="552" t="str">
        <f>'2014 Known'!D46</f>
        <v>Firm</v>
      </c>
      <c r="F316" s="552" t="str">
        <f>'2014 Known'!E46</f>
        <v>Hydro</v>
      </c>
      <c r="G316" s="552" t="str">
        <f>'2014 Known'!F46</f>
        <v>Renew</v>
      </c>
    </row>
    <row r="317" spans="1:7" x14ac:dyDescent="0.25">
      <c r="A317" s="552">
        <v>2014</v>
      </c>
      <c r="B317" s="552" t="str">
        <f>'2014 Known'!A47</f>
        <v>Smith Creek Hydro</v>
      </c>
      <c r="C317" s="552">
        <f>'2014 Known'!B47</f>
        <v>174.334</v>
      </c>
      <c r="D317" s="552">
        <f>'2014 Known'!C47</f>
        <v>0</v>
      </c>
      <c r="E317" s="552" t="str">
        <f>'2014 Known'!D47</f>
        <v>Firm</v>
      </c>
      <c r="F317" s="552" t="str">
        <f>'2014 Known'!E47</f>
        <v>Hydro</v>
      </c>
      <c r="G317" s="552" t="str">
        <f>'2014 Known'!F47</f>
        <v>Renew</v>
      </c>
    </row>
    <row r="318" spans="1:7" x14ac:dyDescent="0.25">
      <c r="A318" s="552">
        <v>2014</v>
      </c>
      <c r="B318" s="552" t="str">
        <f>'2014 Known'!A48</f>
        <v>Swauk Wind</v>
      </c>
      <c r="C318" s="552">
        <f>'2014 Known'!B48</f>
        <v>11215.539000000001</v>
      </c>
      <c r="D318" s="552">
        <f>'2014 Known'!C48</f>
        <v>0</v>
      </c>
      <c r="E318" s="552" t="str">
        <f>'2014 Known'!D48</f>
        <v>Firm</v>
      </c>
      <c r="F318" s="552" t="str">
        <f>'2014 Known'!E48</f>
        <v>Wind</v>
      </c>
      <c r="G318" s="552" t="str">
        <f>'2014 Known'!F48</f>
        <v>Renew</v>
      </c>
    </row>
    <row r="319" spans="1:7" x14ac:dyDescent="0.25">
      <c r="A319" s="552">
        <v>2014</v>
      </c>
      <c r="B319" s="552" t="str">
        <f>'2014 Known'!A49</f>
        <v>Transalta Centralia Generation LLC</v>
      </c>
      <c r="C319" s="552">
        <f>'2014 Known'!B49</f>
        <v>133020</v>
      </c>
      <c r="D319" s="552">
        <f>'2014 Known'!C49</f>
        <v>148214.00602028202</v>
      </c>
      <c r="E319" s="552" t="str">
        <f>'2014 Known'!D49</f>
        <v>Firm</v>
      </c>
      <c r="F319" s="552" t="str">
        <f>'2014 Known'!E49</f>
        <v>Coal</v>
      </c>
      <c r="G319" s="552" t="str">
        <f>'2014 Known'!F49</f>
        <v>Coal</v>
      </c>
    </row>
    <row r="320" spans="1:7" x14ac:dyDescent="0.25">
      <c r="A320" s="552">
        <v>2014</v>
      </c>
      <c r="B320" s="552" t="str">
        <f>'2014 Known'!A50</f>
        <v>Van Dyk - S Holsteins</v>
      </c>
      <c r="C320" s="552">
        <f>'2014 Known'!B50</f>
        <v>2188.8200000000002</v>
      </c>
      <c r="D320" s="552">
        <f>'2014 Known'!C50</f>
        <v>0</v>
      </c>
      <c r="E320" s="552" t="str">
        <f>'2014 Known'!D50</f>
        <v>Firm</v>
      </c>
      <c r="F320" s="552" t="str">
        <f>'2014 Known'!E50</f>
        <v>Biogas</v>
      </c>
      <c r="G320" s="552" t="str">
        <f>'2014 Known'!F50</f>
        <v>Renew</v>
      </c>
    </row>
    <row r="321" spans="1:7" x14ac:dyDescent="0.25">
      <c r="A321" s="552">
        <v>2014</v>
      </c>
      <c r="B321" s="552" t="str">
        <f>'2014 Known'!A51</f>
        <v>VanderHaak Dairy Digester</v>
      </c>
      <c r="C321" s="552">
        <f>'2014 Known'!B51</f>
        <v>3510.7820000000002</v>
      </c>
      <c r="D321" s="552">
        <f>'2014 Known'!C51</f>
        <v>0</v>
      </c>
      <c r="E321" s="552" t="str">
        <f>'2014 Known'!D51</f>
        <v>Firm</v>
      </c>
      <c r="F321" s="552" t="str">
        <f>'2014 Known'!E51</f>
        <v>Biogas</v>
      </c>
      <c r="G321" s="552" t="str">
        <f>'2014 Known'!F51</f>
        <v>Renew</v>
      </c>
    </row>
    <row r="322" spans="1:7" x14ac:dyDescent="0.25">
      <c r="A322" s="552">
        <v>2014</v>
      </c>
      <c r="B322" s="552" t="str">
        <f>'2014 Known'!A52</f>
        <v>BIO FUEL WA</v>
      </c>
      <c r="C322" s="552">
        <f>'2014 Known'!B52</f>
        <v>36676.847000000002</v>
      </c>
      <c r="D322" s="552">
        <f>'2014 Known'!C52</f>
        <v>0</v>
      </c>
      <c r="E322" s="552" t="str">
        <f>'2014 Known'!D52</f>
        <v>Firm</v>
      </c>
      <c r="F322" s="552" t="str">
        <f>'2014 Known'!E52</f>
        <v>Biogas</v>
      </c>
      <c r="G322" s="552" t="str">
        <f>'2014 Known'!F52</f>
        <v>Renew</v>
      </c>
    </row>
    <row r="323" spans="1:7" x14ac:dyDescent="0.25">
      <c r="A323" s="552">
        <v>2014</v>
      </c>
      <c r="B323" s="552" t="str">
        <f>'2014 Known'!A53</f>
        <v>Electron Hydro, LLC</v>
      </c>
      <c r="C323" s="552">
        <f>'2014 Known'!B53</f>
        <v>8568.0669999999991</v>
      </c>
      <c r="D323" s="552">
        <f>'2014 Known'!C53</f>
        <v>0</v>
      </c>
      <c r="E323" s="552" t="str">
        <f>'2014 Known'!D53</f>
        <v>Firm</v>
      </c>
      <c r="F323" s="552" t="str">
        <f>'2014 Known'!E53</f>
        <v>Hydro</v>
      </c>
      <c r="G323" s="552" t="str">
        <f>'2014 Known'!F53</f>
        <v>Renew</v>
      </c>
    </row>
    <row r="324" spans="1:7" x14ac:dyDescent="0.25">
      <c r="A324" s="552">
        <v>2014</v>
      </c>
      <c r="B324" s="552" t="str">
        <f>'2014 Known'!A54</f>
        <v>Hutchinson Creek</v>
      </c>
      <c r="C324" s="552">
        <f>'2014 Known'!B54</f>
        <v>233.12</v>
      </c>
      <c r="D324" s="552">
        <f>'2014 Known'!C54</f>
        <v>0</v>
      </c>
      <c r="E324" s="552" t="str">
        <f>'2014 Known'!D54</f>
        <v>Firm</v>
      </c>
      <c r="F324" s="552" t="str">
        <f>'2014 Known'!E54</f>
        <v>Hydro</v>
      </c>
      <c r="G324" s="552" t="str">
        <f>'2014 Known'!F54</f>
        <v>Renew</v>
      </c>
    </row>
    <row r="325" spans="1:7" x14ac:dyDescent="0.25">
      <c r="A325" s="552">
        <v>2014</v>
      </c>
      <c r="B325" s="552" t="str">
        <f>'2014 Known'!A55</f>
        <v>Koma Kulshan Associates</v>
      </c>
      <c r="C325" s="552">
        <f>'2014 Known'!B55</f>
        <v>48522.928999999996</v>
      </c>
      <c r="D325" s="552">
        <f>'2014 Known'!C55</f>
        <v>0</v>
      </c>
      <c r="E325" s="552" t="str">
        <f>'2014 Known'!D55</f>
        <v>Firm</v>
      </c>
      <c r="F325" s="552" t="str">
        <f>'2014 Known'!E55</f>
        <v>Hydro</v>
      </c>
      <c r="G325" s="552" t="str">
        <f>'2014 Known'!F55</f>
        <v>Renew</v>
      </c>
    </row>
    <row r="326" spans="1:7" x14ac:dyDescent="0.25">
      <c r="A326" s="552">
        <v>2014</v>
      </c>
      <c r="B326" s="552" t="str">
        <f>'2014 Known'!A56</f>
        <v>Lake Washington -- Finn Hill</v>
      </c>
      <c r="C326" s="552">
        <f>'2014 Known'!B56</f>
        <v>271.08</v>
      </c>
      <c r="D326" s="552">
        <f>'2014 Known'!C56</f>
        <v>0</v>
      </c>
      <c r="E326" s="552" t="str">
        <f>'2014 Known'!D56</f>
        <v>Firm</v>
      </c>
      <c r="F326" s="552" t="str">
        <f>'2014 Known'!E56</f>
        <v>Biogas</v>
      </c>
      <c r="G326" s="552" t="str">
        <f>'2014 Known'!F56</f>
        <v>Renew</v>
      </c>
    </row>
    <row r="327" spans="1:7" x14ac:dyDescent="0.25">
      <c r="A327" s="552">
        <v>2014</v>
      </c>
      <c r="B327" s="552" t="str">
        <f>'2014 Known'!A57</f>
        <v>Nooksack</v>
      </c>
      <c r="C327" s="552">
        <f>'2014 Known'!B57</f>
        <v>25212.421999999999</v>
      </c>
      <c r="D327" s="552">
        <f>'2014 Known'!C57</f>
        <v>0</v>
      </c>
      <c r="E327" s="552" t="str">
        <f>'2014 Known'!D57</f>
        <v>Firm</v>
      </c>
      <c r="F327" s="552" t="str">
        <f>'2014 Known'!E57</f>
        <v>Hydro</v>
      </c>
      <c r="G327" s="552" t="str">
        <f>'2014 Known'!F57</f>
        <v>Renew</v>
      </c>
    </row>
    <row r="328" spans="1:7" x14ac:dyDescent="0.25">
      <c r="A328" s="552">
        <v>2014</v>
      </c>
      <c r="B328" s="552" t="str">
        <f>'2014 Known'!A58</f>
        <v>Sygitowicz Creek</v>
      </c>
      <c r="C328" s="552">
        <f>'2014 Known'!B58</f>
        <v>1168.2139999999999</v>
      </c>
      <c r="D328" s="552">
        <f>'2014 Known'!C58</f>
        <v>0</v>
      </c>
      <c r="E328" s="552" t="str">
        <f>'2014 Known'!D58</f>
        <v>Firm</v>
      </c>
      <c r="F328" s="552" t="str">
        <f>'2014 Known'!E58</f>
        <v>Hydro</v>
      </c>
      <c r="G328" s="552" t="str">
        <f>'2014 Known'!F58</f>
        <v>Renew</v>
      </c>
    </row>
    <row r="329" spans="1:7" x14ac:dyDescent="0.25">
      <c r="A329" s="552">
        <v>2014</v>
      </c>
      <c r="B329" s="552" t="str">
        <f>'2014 Known'!A59</f>
        <v>Twin Falls Hydro</v>
      </c>
      <c r="C329" s="552">
        <f>'2014 Known'!B59</f>
        <v>92557.659</v>
      </c>
      <c r="D329" s="552">
        <f>'2014 Known'!C59</f>
        <v>0</v>
      </c>
      <c r="E329" s="552" t="str">
        <f>'2014 Known'!D59</f>
        <v>Firm</v>
      </c>
      <c r="F329" s="552" t="str">
        <f>'2014 Known'!E59</f>
        <v>Hydro</v>
      </c>
      <c r="G329" s="552" t="str">
        <f>'2014 Known'!F59</f>
        <v>Renew</v>
      </c>
    </row>
    <row r="330" spans="1:7" x14ac:dyDescent="0.25">
      <c r="A330" s="552">
        <v>2014</v>
      </c>
      <c r="B330" s="552" t="str">
        <f>'2014 Known'!A60</f>
        <v>Weeks Falls</v>
      </c>
      <c r="C330" s="552">
        <f>'2014 Known'!B60</f>
        <v>16407.221000000001</v>
      </c>
      <c r="D330" s="552">
        <f>'2014 Known'!C60</f>
        <v>0</v>
      </c>
      <c r="E330" s="552" t="str">
        <f>'2014 Known'!D60</f>
        <v>Firm</v>
      </c>
      <c r="F330" s="552" t="str">
        <f>'2014 Known'!E60</f>
        <v>Hydro</v>
      </c>
      <c r="G330" s="552" t="str">
        <f>'2014 Known'!F60</f>
        <v>Renew</v>
      </c>
    </row>
    <row r="331" spans="1:7" x14ac:dyDescent="0.25">
      <c r="A331" s="552">
        <v>2014</v>
      </c>
      <c r="B331" s="554" t="s">
        <v>462</v>
      </c>
      <c r="C331" s="556">
        <f>'2014 Unknown'!B113</f>
        <v>6179576.1970000006</v>
      </c>
      <c r="D331" s="556">
        <f>'2014 Unknown'!D113</f>
        <v>2700474.7980889999</v>
      </c>
      <c r="E331" s="557" t="s">
        <v>473</v>
      </c>
      <c r="F331" s="552" t="s">
        <v>432</v>
      </c>
      <c r="G331" s="552" t="s">
        <v>432</v>
      </c>
    </row>
    <row r="332" spans="1:7" x14ac:dyDescent="0.25">
      <c r="A332" s="552">
        <v>2015</v>
      </c>
      <c r="B332" s="552" t="str">
        <f>'2015 Known'!A4</f>
        <v>Lower Baker</v>
      </c>
      <c r="C332" s="552">
        <f>'2015 Known'!B4</f>
        <v>308611.20000000001</v>
      </c>
      <c r="D332" s="552">
        <f>'2015 Known'!C4</f>
        <v>0</v>
      </c>
      <c r="E332" s="552" t="str">
        <f>'2015 Known'!D4</f>
        <v>Own</v>
      </c>
      <c r="F332" s="552" t="str">
        <f>'2015 Known'!E4</f>
        <v>Hydro</v>
      </c>
      <c r="G332" s="552" t="str">
        <f>'2015 Known'!F4</f>
        <v>Renew</v>
      </c>
    </row>
    <row r="333" spans="1:7" x14ac:dyDescent="0.25">
      <c r="A333" s="552">
        <v>2015</v>
      </c>
      <c r="B333" s="552" t="str">
        <f>'2015 Known'!A5</f>
        <v>Snoqualmie Falls #1</v>
      </c>
      <c r="C333" s="552">
        <f>'2015 Known'!B5</f>
        <v>17890.858</v>
      </c>
      <c r="D333" s="552">
        <f>'2015 Known'!C5</f>
        <v>0</v>
      </c>
      <c r="E333" s="552" t="str">
        <f>'2015 Known'!D5</f>
        <v>Own</v>
      </c>
      <c r="F333" s="552" t="str">
        <f>'2015 Known'!E5</f>
        <v>Hydro</v>
      </c>
      <c r="G333" s="552" t="str">
        <f>'2015 Known'!F5</f>
        <v>Renew</v>
      </c>
    </row>
    <row r="334" spans="1:7" x14ac:dyDescent="0.25">
      <c r="A334" s="552">
        <v>2015</v>
      </c>
      <c r="B334" s="552" t="str">
        <f>'2015 Known'!A6</f>
        <v>Snoqualmie Falls #2</v>
      </c>
      <c r="C334" s="552">
        <f>'2015 Known'!B6</f>
        <v>100979.7</v>
      </c>
      <c r="D334" s="552">
        <f>'2015 Known'!C6</f>
        <v>0</v>
      </c>
      <c r="E334" s="552" t="str">
        <f>'2015 Known'!D6</f>
        <v>Own</v>
      </c>
      <c r="F334" s="552" t="str">
        <f>'2015 Known'!E6</f>
        <v>Hydro</v>
      </c>
      <c r="G334" s="552" t="str">
        <f>'2015 Known'!F6</f>
        <v>Renew</v>
      </c>
    </row>
    <row r="335" spans="1:7" x14ac:dyDescent="0.25">
      <c r="A335" s="552">
        <v>2015</v>
      </c>
      <c r="B335" s="552" t="str">
        <f>'2015 Known'!A7</f>
        <v>Upper Baker</v>
      </c>
      <c r="C335" s="552">
        <f>'2015 Known'!B7</f>
        <v>278749.55</v>
      </c>
      <c r="D335" s="552">
        <f>'2015 Known'!C7</f>
        <v>0</v>
      </c>
      <c r="E335" s="552" t="str">
        <f>'2015 Known'!D7</f>
        <v>Own</v>
      </c>
      <c r="F335" s="552" t="str">
        <f>'2015 Known'!E7</f>
        <v>Hydro</v>
      </c>
      <c r="G335" s="552" t="str">
        <f>'2015 Known'!F7</f>
        <v>Renew</v>
      </c>
    </row>
    <row r="336" spans="1:7" x14ac:dyDescent="0.25">
      <c r="A336" s="552">
        <v>2015</v>
      </c>
      <c r="B336" s="552" t="str">
        <f>'2015 Known'!A8</f>
        <v>Colstrip</v>
      </c>
      <c r="C336" s="552">
        <f>'2015 Known'!B8</f>
        <v>4495032</v>
      </c>
      <c r="D336" s="552">
        <f>'2015 Known'!C8</f>
        <v>5034544.2730927812</v>
      </c>
      <c r="E336" s="552" t="str">
        <f>'2015 Known'!D8</f>
        <v>Own</v>
      </c>
      <c r="F336" s="552" t="str">
        <f>'2015 Known'!E8</f>
        <v>Coal</v>
      </c>
      <c r="G336" s="552" t="str">
        <f>'2015 Known'!F8</f>
        <v>Coal</v>
      </c>
    </row>
    <row r="337" spans="1:7" x14ac:dyDescent="0.25">
      <c r="A337" s="552">
        <v>2015</v>
      </c>
      <c r="B337" s="552" t="str">
        <f>'2015 Known'!A9</f>
        <v>Crystal Mountain</v>
      </c>
      <c r="C337" s="552">
        <f>'2015 Known'!B9</f>
        <v>293.68</v>
      </c>
      <c r="D337" s="552">
        <f>'2015 Known'!C9</f>
        <v>252.82224872760236</v>
      </c>
      <c r="E337" s="552" t="str">
        <f>'2015 Known'!D9</f>
        <v>Own</v>
      </c>
      <c r="F337" s="552" t="str">
        <f>'2015 Known'!E9</f>
        <v>Diesel</v>
      </c>
      <c r="G337" s="552" t="str">
        <f>'2015 Known'!F9</f>
        <v>Gas</v>
      </c>
    </row>
    <row r="338" spans="1:7" x14ac:dyDescent="0.25">
      <c r="A338" s="552">
        <v>2015</v>
      </c>
      <c r="B338" s="552" t="str">
        <f>'2015 Known'!A10</f>
        <v>Encogen</v>
      </c>
      <c r="C338" s="552">
        <f>'2015 Known'!B10</f>
        <v>297657.59999999998</v>
      </c>
      <c r="D338" s="552">
        <f>'2015 Known'!C10</f>
        <v>143119.11799999999</v>
      </c>
      <c r="E338" s="552" t="str">
        <f>'2015 Known'!D10</f>
        <v>Own</v>
      </c>
      <c r="F338" s="552" t="str">
        <f>'2015 Known'!E10</f>
        <v>Gas</v>
      </c>
      <c r="G338" s="552" t="str">
        <f>'2015 Known'!F10</f>
        <v>Gas</v>
      </c>
    </row>
    <row r="339" spans="1:7" x14ac:dyDescent="0.25">
      <c r="A339" s="552">
        <v>2015</v>
      </c>
      <c r="B339" s="552" t="str">
        <f>'2015 Known'!A11</f>
        <v>Ferndale Co-Generation</v>
      </c>
      <c r="C339" s="552">
        <f>'2015 Known'!B11</f>
        <v>868466.83199999994</v>
      </c>
      <c r="D339" s="552">
        <f>'2015 Known'!C11</f>
        <v>405725.95199999999</v>
      </c>
      <c r="E339" s="552" t="str">
        <f>'2015 Known'!D11</f>
        <v>Own</v>
      </c>
      <c r="F339" s="552" t="str">
        <f>'2015 Known'!E11</f>
        <v>Gas</v>
      </c>
      <c r="G339" s="552" t="str">
        <f>'2015 Known'!F11</f>
        <v>Gas</v>
      </c>
    </row>
    <row r="340" spans="1:7" x14ac:dyDescent="0.25">
      <c r="A340" s="552">
        <v>2015</v>
      </c>
      <c r="B340" s="552" t="str">
        <f>'2015 Known'!A12</f>
        <v>Freddie #1</v>
      </c>
      <c r="C340" s="552">
        <f>'2015 Known'!B12</f>
        <v>623181.11300000001</v>
      </c>
      <c r="D340" s="552">
        <f>'2015 Known'!C12</f>
        <v>247630.70250999997</v>
      </c>
      <c r="E340" s="552" t="str">
        <f>'2015 Known'!D12</f>
        <v>Own</v>
      </c>
      <c r="F340" s="552" t="str">
        <f>'2015 Known'!E12</f>
        <v>Gas</v>
      </c>
      <c r="G340" s="552" t="str">
        <f>'2015 Known'!F12</f>
        <v>Gas</v>
      </c>
    </row>
    <row r="341" spans="1:7" x14ac:dyDescent="0.25">
      <c r="A341" s="552">
        <v>2015</v>
      </c>
      <c r="B341" s="552" t="str">
        <f>'2015 Known'!A13</f>
        <v>Fredonia</v>
      </c>
      <c r="C341" s="552">
        <f>'2015 Known'!B13</f>
        <v>161294.90000000002</v>
      </c>
      <c r="D341" s="552">
        <f>'2015 Known'!C13</f>
        <v>115726.91</v>
      </c>
      <c r="E341" s="552" t="str">
        <f>'2015 Known'!D13</f>
        <v>Own</v>
      </c>
      <c r="F341" s="552" t="str">
        <f>'2015 Known'!E13</f>
        <v>Gas</v>
      </c>
      <c r="G341" s="552" t="str">
        <f>'2015 Known'!F13</f>
        <v>Gas</v>
      </c>
    </row>
    <row r="342" spans="1:7" x14ac:dyDescent="0.25">
      <c r="A342" s="552">
        <v>2015</v>
      </c>
      <c r="B342" s="552" t="str">
        <f>'2015 Known'!A14</f>
        <v>Fredrickson 1 &amp; 2</v>
      </c>
      <c r="C342" s="552">
        <f>'2015 Known'!B14</f>
        <v>39935.4</v>
      </c>
      <c r="D342" s="552">
        <f>'2015 Known'!C14</f>
        <v>17051.536</v>
      </c>
      <c r="E342" s="552" t="str">
        <f>'2015 Known'!D14</f>
        <v>Own</v>
      </c>
      <c r="F342" s="552" t="str">
        <f>'2015 Known'!E14</f>
        <v>Gas</v>
      </c>
      <c r="G342" s="552" t="str">
        <f>'2015 Known'!F14</f>
        <v>Gas</v>
      </c>
    </row>
    <row r="343" spans="1:7" x14ac:dyDescent="0.25">
      <c r="A343" s="552">
        <v>2015</v>
      </c>
      <c r="B343" s="552" t="str">
        <f>'2015 Known'!A15</f>
        <v>Goldendale</v>
      </c>
      <c r="C343" s="552">
        <f>'2015 Known'!B15</f>
        <v>1498666</v>
      </c>
      <c r="D343" s="552">
        <f>'2015 Known'!C15</f>
        <v>551705.15599999996</v>
      </c>
      <c r="E343" s="552" t="str">
        <f>'2015 Known'!D15</f>
        <v>Own</v>
      </c>
      <c r="F343" s="552" t="str">
        <f>'2015 Known'!E15</f>
        <v>Gas</v>
      </c>
      <c r="G343" s="552" t="str">
        <f>'2015 Known'!F15</f>
        <v>Gas</v>
      </c>
    </row>
    <row r="344" spans="1:7" x14ac:dyDescent="0.25">
      <c r="A344" s="552">
        <v>2015</v>
      </c>
      <c r="B344" s="552" t="str">
        <f>'2015 Known'!A16</f>
        <v>Hopkins Ridge (W184)</v>
      </c>
      <c r="C344" s="552">
        <f>'2015 Known'!B16</f>
        <v>364779.478</v>
      </c>
      <c r="D344" s="552">
        <f>'2015 Known'!C16</f>
        <v>0</v>
      </c>
      <c r="E344" s="552" t="str">
        <f>'2015 Known'!D16</f>
        <v>Own</v>
      </c>
      <c r="F344" s="552" t="str">
        <f>'2015 Known'!E16</f>
        <v>Wind</v>
      </c>
      <c r="G344" s="552" t="str">
        <f>'2015 Known'!F16</f>
        <v>Renew</v>
      </c>
    </row>
    <row r="345" spans="1:7" x14ac:dyDescent="0.25">
      <c r="A345" s="552">
        <v>2015</v>
      </c>
      <c r="B345" s="552" t="str">
        <f>'2015 Known'!A17</f>
        <v>Lower Snake River</v>
      </c>
      <c r="C345" s="552">
        <f>'2015 Known'!B17</f>
        <v>741767.96</v>
      </c>
      <c r="D345" s="552">
        <f>'2015 Known'!C17</f>
        <v>0</v>
      </c>
      <c r="E345" s="552" t="str">
        <f>'2015 Known'!D17</f>
        <v>Own</v>
      </c>
      <c r="F345" s="552" t="str">
        <f>'2015 Known'!E17</f>
        <v>Wind</v>
      </c>
      <c r="G345" s="552" t="str">
        <f>'2015 Known'!F17</f>
        <v>Renew</v>
      </c>
    </row>
    <row r="346" spans="1:7" x14ac:dyDescent="0.25">
      <c r="A346" s="552">
        <v>2015</v>
      </c>
      <c r="B346" s="552" t="str">
        <f>'2015 Known'!A18</f>
        <v>Mint Farm</v>
      </c>
      <c r="C346" s="552">
        <f>'2015 Known'!B18</f>
        <v>1701035.9</v>
      </c>
      <c r="D346" s="552">
        <f>'2015 Known'!C18</f>
        <v>685789.20799999998</v>
      </c>
      <c r="E346" s="552" t="str">
        <f>'2015 Known'!D18</f>
        <v>Own</v>
      </c>
      <c r="F346" s="552" t="str">
        <f>'2015 Known'!E18</f>
        <v>Gas</v>
      </c>
      <c r="G346" s="552" t="str">
        <f>'2015 Known'!F18</f>
        <v>Gas</v>
      </c>
    </row>
    <row r="347" spans="1:7" x14ac:dyDescent="0.25">
      <c r="A347" s="552">
        <v>2015</v>
      </c>
      <c r="B347" s="552" t="str">
        <f>'2015 Known'!A19</f>
        <v>Sumas</v>
      </c>
      <c r="C347" s="552">
        <f>'2015 Known'!B19</f>
        <v>601052.9</v>
      </c>
      <c r="D347" s="552">
        <f>'2015 Known'!C19</f>
        <v>282703.152</v>
      </c>
      <c r="E347" s="552" t="str">
        <f>'2015 Known'!D19</f>
        <v>Own</v>
      </c>
      <c r="F347" s="552" t="str">
        <f>'2015 Known'!E19</f>
        <v>Gas</v>
      </c>
      <c r="G347" s="552" t="str">
        <f>'2015 Known'!F19</f>
        <v>Gas</v>
      </c>
    </row>
    <row r="348" spans="1:7" x14ac:dyDescent="0.25">
      <c r="A348" s="552">
        <v>2015</v>
      </c>
      <c r="B348" s="552" t="str">
        <f>'2015 Known'!A20</f>
        <v>Whitehorn 2&amp;3</v>
      </c>
      <c r="C348" s="552">
        <f>'2015 Known'!B20</f>
        <v>38733.300000000003</v>
      </c>
      <c r="D348" s="552">
        <f>'2015 Known'!C20</f>
        <v>37884.199999999997</v>
      </c>
      <c r="E348" s="552" t="str">
        <f>'2015 Known'!D20</f>
        <v>Own</v>
      </c>
      <c r="F348" s="552" t="str">
        <f>'2015 Known'!E20</f>
        <v>Gas</v>
      </c>
      <c r="G348" s="552" t="str">
        <f>'2015 Known'!F20</f>
        <v>Gas</v>
      </c>
    </row>
    <row r="349" spans="1:7" x14ac:dyDescent="0.25">
      <c r="A349" s="552">
        <v>2015</v>
      </c>
      <c r="B349" s="552" t="str">
        <f>'2015 Known'!A21</f>
        <v>Wild Horse (W183)</v>
      </c>
      <c r="C349" s="552">
        <f>'2015 Known'!B21</f>
        <v>608885.75</v>
      </c>
      <c r="D349" s="552">
        <f>'2015 Known'!C21</f>
        <v>0</v>
      </c>
      <c r="E349" s="552" t="str">
        <f>'2015 Known'!D21</f>
        <v>Own</v>
      </c>
      <c r="F349" s="552" t="str">
        <f>'2015 Known'!E21</f>
        <v>Wind</v>
      </c>
      <c r="G349" s="552" t="str">
        <f>'2015 Known'!F21</f>
        <v>Renew</v>
      </c>
    </row>
    <row r="350" spans="1:7" x14ac:dyDescent="0.25">
      <c r="A350" s="552">
        <v>2015</v>
      </c>
      <c r="B350" s="552" t="str">
        <f>'2015 Known'!A22</f>
        <v>3 Bar G Wind Turbine #3 LLC</v>
      </c>
      <c r="C350" s="552">
        <f>'2015 Known'!B22</f>
        <v>138.036</v>
      </c>
      <c r="D350" s="552">
        <f>'2015 Known'!C22</f>
        <v>0</v>
      </c>
      <c r="E350" s="552" t="str">
        <f>'2015 Known'!D22</f>
        <v>Firm</v>
      </c>
      <c r="F350" s="552" t="str">
        <f>'2015 Known'!E22</f>
        <v>Wind</v>
      </c>
      <c r="G350" s="552" t="str">
        <f>'2015 Known'!F22</f>
        <v>Renew</v>
      </c>
    </row>
    <row r="351" spans="1:7" x14ac:dyDescent="0.25">
      <c r="A351" s="552">
        <v>2015</v>
      </c>
      <c r="B351" s="552" t="str">
        <f>'2015 Known'!A23</f>
        <v>Barclays Bank Plc</v>
      </c>
      <c r="C351" s="552">
        <f>'2015 Known'!B23</f>
        <v>106200</v>
      </c>
      <c r="D351" s="552">
        <f>'2015 Known'!C23</f>
        <v>46409.4</v>
      </c>
      <c r="E351" s="552" t="str">
        <f>'2015 Known'!D23</f>
        <v>Firm</v>
      </c>
      <c r="F351" s="552" t="str">
        <f>'2015 Known'!E23</f>
        <v>System</v>
      </c>
      <c r="G351" s="552" t="str">
        <f>'2015 Known'!F23</f>
        <v>System</v>
      </c>
    </row>
    <row r="352" spans="1:7" x14ac:dyDescent="0.25">
      <c r="A352" s="552">
        <v>2015</v>
      </c>
      <c r="B352" s="552" t="str">
        <f>'2015 Known'!A24</f>
        <v>BC Hydro (Point Roberts)</v>
      </c>
      <c r="C352" s="552">
        <f>'2015 Known'!B24</f>
        <v>19583.703000000001</v>
      </c>
      <c r="D352" s="552">
        <f>'2015 Known'!C24</f>
        <v>8558.078211</v>
      </c>
      <c r="E352" s="552" t="str">
        <f>'2015 Known'!D24</f>
        <v>Firm</v>
      </c>
      <c r="F352" s="552" t="str">
        <f>'2015 Known'!E24</f>
        <v>System</v>
      </c>
      <c r="G352" s="552" t="str">
        <f>'2015 Known'!F24</f>
        <v>System</v>
      </c>
    </row>
    <row r="353" spans="1:7" x14ac:dyDescent="0.25">
      <c r="A353" s="552">
        <v>2015</v>
      </c>
      <c r="B353" s="552" t="str">
        <f>'2015 Known'!A25</f>
        <v>Bio Energy Washington (BEW)</v>
      </c>
      <c r="C353" s="552">
        <f>'2015 Known'!B25</f>
        <v>1.859</v>
      </c>
      <c r="D353" s="552">
        <f>'2015 Known'!C25</f>
        <v>0</v>
      </c>
      <c r="E353" s="552" t="str">
        <f>'2015 Known'!D25</f>
        <v>Firm</v>
      </c>
      <c r="F353" s="552" t="str">
        <f>'2015 Known'!E25</f>
        <v>Biogas</v>
      </c>
      <c r="G353" s="552" t="str">
        <f>'2015 Known'!F25</f>
        <v>Renew</v>
      </c>
    </row>
    <row r="354" spans="1:7" x14ac:dyDescent="0.25">
      <c r="A354" s="552">
        <v>2015</v>
      </c>
      <c r="B354" s="552" t="str">
        <f>'2015 Known'!A26</f>
        <v>Black Creek Hydro Inc</v>
      </c>
      <c r="C354" s="552">
        <f>'2015 Known'!B26</f>
        <v>6365.9970000000003</v>
      </c>
      <c r="D354" s="552">
        <f>'2015 Known'!C26</f>
        <v>0</v>
      </c>
      <c r="E354" s="552" t="str">
        <f>'2015 Known'!D26</f>
        <v>Firm</v>
      </c>
      <c r="F354" s="552" t="str">
        <f>'2015 Known'!E26</f>
        <v>Hydro</v>
      </c>
      <c r="G354" s="552" t="str">
        <f>'2015 Known'!F26</f>
        <v>Renew</v>
      </c>
    </row>
    <row r="355" spans="1:7" x14ac:dyDescent="0.25">
      <c r="A355" s="552">
        <v>2015</v>
      </c>
      <c r="B355" s="552" t="str">
        <f>'2015 Known'!A27</f>
        <v>Book Outs - EITF 03-11</v>
      </c>
      <c r="C355" s="552">
        <f>'2015 Known'!B27</f>
        <v>-2253</v>
      </c>
      <c r="D355" s="552">
        <f>'2015 Known'!C27</f>
        <v>-984.56100000000004</v>
      </c>
      <c r="E355" s="552" t="str">
        <f>'2015 Known'!D27</f>
        <v>Firm</v>
      </c>
      <c r="F355" s="552" t="str">
        <f>'2015 Known'!E27</f>
        <v>System</v>
      </c>
      <c r="G355" s="552" t="str">
        <f>'2015 Known'!F27</f>
        <v>System</v>
      </c>
    </row>
    <row r="356" spans="1:7" x14ac:dyDescent="0.25">
      <c r="A356" s="552">
        <v>2015</v>
      </c>
      <c r="B356" s="552" t="str">
        <f>'2015 Known'!A28</f>
        <v>BPA</v>
      </c>
      <c r="C356" s="552">
        <f>'2015 Known'!B28</f>
        <v>7000</v>
      </c>
      <c r="D356" s="552">
        <f>'2015 Known'!C28</f>
        <v>0</v>
      </c>
      <c r="E356" s="552" t="str">
        <f>'2015 Known'!D28</f>
        <v>Firm</v>
      </c>
      <c r="F356" s="552" t="str">
        <f>'2015 Known'!E28</f>
        <v>Hydro</v>
      </c>
      <c r="G356" s="552" t="str">
        <f>'2015 Known'!F28</f>
        <v>Renew</v>
      </c>
    </row>
    <row r="357" spans="1:7" x14ac:dyDescent="0.25">
      <c r="A357" s="552">
        <v>2015</v>
      </c>
      <c r="B357" s="552" t="str">
        <f>'2015 Known'!A29</f>
        <v>BPA Firm - WNP#3 Exchange</v>
      </c>
      <c r="C357" s="552">
        <f>'2015 Known'!B29</f>
        <v>343584</v>
      </c>
      <c r="D357" s="552">
        <f>'2015 Known'!C29</f>
        <v>150146.20799999998</v>
      </c>
      <c r="E357" s="552" t="str">
        <f>'2015 Known'!D29</f>
        <v>Firm</v>
      </c>
      <c r="F357" s="552" t="str">
        <f>'2015 Known'!E29</f>
        <v>System</v>
      </c>
      <c r="G357" s="552" t="str">
        <f>'2015 Known'!F29</f>
        <v>System</v>
      </c>
    </row>
    <row r="358" spans="1:7" x14ac:dyDescent="0.25">
      <c r="A358" s="552">
        <v>2015</v>
      </c>
      <c r="B358" s="552" t="str">
        <f>'2015 Known'!A30</f>
        <v>CC Solar 1 and CC Solar 2</v>
      </c>
      <c r="C358" s="552">
        <f>'2015 Known'!B30</f>
        <v>22.84</v>
      </c>
      <c r="D358" s="552">
        <f>'2015 Known'!C30</f>
        <v>0</v>
      </c>
      <c r="E358" s="552" t="str">
        <f>'2015 Known'!D30</f>
        <v>Firm</v>
      </c>
      <c r="F358" s="552" t="str">
        <f>'2015 Known'!E30</f>
        <v>Solar</v>
      </c>
      <c r="G358" s="552" t="str">
        <f>'2015 Known'!F30</f>
        <v>Renew</v>
      </c>
    </row>
    <row r="359" spans="1:7" x14ac:dyDescent="0.25">
      <c r="A359" s="552">
        <v>2015</v>
      </c>
      <c r="B359" s="552" t="str">
        <f>'2015 Known'!A31</f>
        <v>Chelan PUD - RI &amp; RR</v>
      </c>
      <c r="C359" s="552">
        <f>'2015 Known'!B31</f>
        <v>2299343</v>
      </c>
      <c r="D359" s="552">
        <f>'2015 Known'!C31</f>
        <v>0</v>
      </c>
      <c r="E359" s="552" t="str">
        <f>'2015 Known'!D31</f>
        <v>Firm</v>
      </c>
      <c r="F359" s="552" t="str">
        <f>'2015 Known'!E31</f>
        <v>Hydro</v>
      </c>
      <c r="G359" s="552" t="str">
        <f>'2015 Known'!F31</f>
        <v>Renew</v>
      </c>
    </row>
    <row r="360" spans="1:7" x14ac:dyDescent="0.25">
      <c r="A360" s="552">
        <v>2015</v>
      </c>
      <c r="B360" s="552" t="str">
        <f>'2015 Known'!A32</f>
        <v>Chelan PUD - Rock Island Syst #2</v>
      </c>
      <c r="C360" s="552">
        <f>'2015 Known'!B32</f>
        <v>-39940</v>
      </c>
      <c r="D360" s="552">
        <f>'2015 Known'!C32</f>
        <v>0</v>
      </c>
      <c r="E360" s="552" t="str">
        <f>'2015 Known'!D32</f>
        <v>Firm</v>
      </c>
      <c r="F360" s="552" t="str">
        <f>'2015 Known'!E32</f>
        <v>Hydro</v>
      </c>
      <c r="G360" s="552" t="str">
        <f>'2015 Known'!F32</f>
        <v>Renew</v>
      </c>
    </row>
    <row r="361" spans="1:7" x14ac:dyDescent="0.25">
      <c r="A361" s="552">
        <v>2015</v>
      </c>
      <c r="B361" s="552" t="str">
        <f>'2015 Known'!A33</f>
        <v>Chelan PUD - Rocky Reach</v>
      </c>
      <c r="C361" s="552">
        <f>'2015 Known'!B33</f>
        <v>-82401</v>
      </c>
      <c r="D361" s="552">
        <f>'2015 Known'!C33</f>
        <v>0</v>
      </c>
      <c r="E361" s="552" t="str">
        <f>'2015 Known'!D33</f>
        <v>Firm</v>
      </c>
      <c r="F361" s="552" t="str">
        <f>'2015 Known'!E33</f>
        <v>Hydro</v>
      </c>
      <c r="G361" s="552" t="str">
        <f>'2015 Known'!F33</f>
        <v>Renew</v>
      </c>
    </row>
    <row r="362" spans="1:7" x14ac:dyDescent="0.25">
      <c r="A362" s="552">
        <v>2015</v>
      </c>
      <c r="B362" s="552" t="str">
        <f>'2015 Known'!A34</f>
        <v>Douglas PUD - Wells Project</v>
      </c>
      <c r="C362" s="552">
        <f>'2015 Known'!B34</f>
        <v>1094705</v>
      </c>
      <c r="D362" s="552">
        <f>'2015 Known'!C34</f>
        <v>0</v>
      </c>
      <c r="E362" s="552" t="str">
        <f>'2015 Known'!D34</f>
        <v>Firm</v>
      </c>
      <c r="F362" s="552" t="str">
        <f>'2015 Known'!E34</f>
        <v>Hydro</v>
      </c>
      <c r="G362" s="552" t="str">
        <f>'2015 Known'!F34</f>
        <v>Renew</v>
      </c>
    </row>
    <row r="363" spans="1:7" x14ac:dyDescent="0.25">
      <c r="A363" s="552">
        <v>2015</v>
      </c>
      <c r="B363" s="552" t="str">
        <f>'2015 Known'!A35</f>
        <v>Edaleen Dairy LLC</v>
      </c>
      <c r="C363" s="552">
        <f>'2015 Known'!B35</f>
        <v>4697.4279999999999</v>
      </c>
      <c r="D363" s="552">
        <f>'2015 Known'!C35</f>
        <v>0</v>
      </c>
      <c r="E363" s="552" t="str">
        <f>'2015 Known'!D35</f>
        <v>Firm</v>
      </c>
      <c r="F363" s="552" t="str">
        <f>'2015 Known'!E35</f>
        <v>Biogas</v>
      </c>
      <c r="G363" s="552" t="str">
        <f>'2015 Known'!F35</f>
        <v>Renew</v>
      </c>
    </row>
    <row r="364" spans="1:7" x14ac:dyDescent="0.25">
      <c r="A364" s="552">
        <v>2015</v>
      </c>
      <c r="B364" s="552" t="str">
        <f>'2015 Known'!A36</f>
        <v>Farm Power Lynden LLC</v>
      </c>
      <c r="C364" s="552">
        <f>'2015 Known'!B36</f>
        <v>4857.8090000000002</v>
      </c>
      <c r="D364" s="552">
        <f>'2015 Known'!C36</f>
        <v>0</v>
      </c>
      <c r="E364" s="552" t="str">
        <f>'2015 Known'!D36</f>
        <v>Firm</v>
      </c>
      <c r="F364" s="552" t="str">
        <f>'2015 Known'!E36</f>
        <v>Biogas</v>
      </c>
      <c r="G364" s="552" t="str">
        <f>'2015 Known'!F36</f>
        <v>Renew</v>
      </c>
    </row>
    <row r="365" spans="1:7" x14ac:dyDescent="0.25">
      <c r="A365" s="552">
        <v>2015</v>
      </c>
      <c r="B365" s="552" t="str">
        <f>'2015 Known'!A37</f>
        <v>Farm Power Rexville LLC</v>
      </c>
      <c r="C365" s="552">
        <f>'2015 Known'!B37</f>
        <v>4485.2</v>
      </c>
      <c r="D365" s="552">
        <f>'2015 Known'!C37</f>
        <v>0</v>
      </c>
      <c r="E365" s="552" t="str">
        <f>'2015 Known'!D37</f>
        <v>Firm</v>
      </c>
      <c r="F365" s="552" t="str">
        <f>'2015 Known'!E37</f>
        <v>Biogas</v>
      </c>
      <c r="G365" s="552" t="str">
        <f>'2015 Known'!F37</f>
        <v>Renew</v>
      </c>
    </row>
    <row r="366" spans="1:7" x14ac:dyDescent="0.25">
      <c r="A366" s="552">
        <v>2015</v>
      </c>
      <c r="B366" s="552" t="str">
        <f>'2015 Known'!A38</f>
        <v>Grant PUD - Priest Rapids Project</v>
      </c>
      <c r="C366" s="552">
        <f>'2015 Known'!B38</f>
        <v>53743</v>
      </c>
      <c r="D366" s="552">
        <f>'2015 Known'!C38</f>
        <v>0</v>
      </c>
      <c r="E366" s="552" t="str">
        <f>'2015 Known'!D38</f>
        <v>Firm</v>
      </c>
      <c r="F366" s="552" t="str">
        <f>'2015 Known'!E38</f>
        <v>Hydro</v>
      </c>
      <c r="G366" s="552" t="str">
        <f>'2015 Known'!F38</f>
        <v>Renew</v>
      </c>
    </row>
    <row r="367" spans="1:7" x14ac:dyDescent="0.25">
      <c r="A367" s="552">
        <v>2015</v>
      </c>
      <c r="B367" s="552" t="str">
        <f>'2015 Known'!A39</f>
        <v>Island Community Solar LLC</v>
      </c>
      <c r="C367" s="552">
        <f>'2015 Known'!B39</f>
        <v>61.71</v>
      </c>
      <c r="D367" s="552">
        <f>'2015 Known'!C39</f>
        <v>0</v>
      </c>
      <c r="E367" s="552" t="str">
        <f>'2015 Known'!D39</f>
        <v>Firm</v>
      </c>
      <c r="F367" s="552" t="str">
        <f>'2015 Known'!E39</f>
        <v>Solar</v>
      </c>
      <c r="G367" s="552" t="str">
        <f>'2015 Known'!F39</f>
        <v>Renew</v>
      </c>
    </row>
    <row r="368" spans="1:7" x14ac:dyDescent="0.25">
      <c r="A368" s="552">
        <v>2015</v>
      </c>
      <c r="B368" s="552" t="str">
        <f>'2015 Known'!A40</f>
        <v>Klamath Falls (Iberdrola)</v>
      </c>
      <c r="C368" s="552">
        <f>'2015 Known'!B40</f>
        <v>400</v>
      </c>
      <c r="D368" s="552">
        <f>'2015 Known'!C40</f>
        <v>167.3206793882141</v>
      </c>
      <c r="E368" s="552" t="str">
        <f>'2015 Known'!D40</f>
        <v>Firm</v>
      </c>
      <c r="F368" s="552" t="str">
        <f>'2015 Known'!E40</f>
        <v>Gas</v>
      </c>
      <c r="G368" s="552" t="str">
        <f>'2015 Known'!F40</f>
        <v>Gas</v>
      </c>
    </row>
    <row r="369" spans="1:7" x14ac:dyDescent="0.25">
      <c r="A369" s="552">
        <v>2015</v>
      </c>
      <c r="B369" s="552" t="str">
        <f>'2015 Known'!A41</f>
        <v>Klondike Wind Power III</v>
      </c>
      <c r="C369" s="552">
        <f>'2015 Known'!B41</f>
        <v>119141</v>
      </c>
      <c r="D369" s="552">
        <f>'2015 Known'!C41</f>
        <v>0</v>
      </c>
      <c r="E369" s="552" t="str">
        <f>'2015 Known'!D41</f>
        <v>Firm</v>
      </c>
      <c r="F369" s="552" t="str">
        <f>'2015 Known'!E41</f>
        <v>Wind</v>
      </c>
      <c r="G369" s="552" t="str">
        <f>'2015 Known'!F41</f>
        <v>Renew</v>
      </c>
    </row>
    <row r="370" spans="1:7" x14ac:dyDescent="0.25">
      <c r="A370" s="552">
        <v>2015</v>
      </c>
      <c r="B370" s="552" t="str">
        <f>'2015 Known'!A42</f>
        <v>Knudsen Wind Turbine #1</v>
      </c>
      <c r="C370" s="552">
        <f>'2015 Known'!B42</f>
        <v>129.62800000000001</v>
      </c>
      <c r="D370" s="552">
        <f>'2015 Known'!C42</f>
        <v>0</v>
      </c>
      <c r="E370" s="552" t="str">
        <f>'2015 Known'!D42</f>
        <v>Firm</v>
      </c>
      <c r="F370" s="552" t="str">
        <f>'2015 Known'!E42</f>
        <v>Wind</v>
      </c>
      <c r="G370" s="552" t="str">
        <f>'2015 Known'!F42</f>
        <v>Renew</v>
      </c>
    </row>
    <row r="371" spans="1:7" x14ac:dyDescent="0.25">
      <c r="A371" s="552">
        <v>2015</v>
      </c>
      <c r="B371" s="552" t="str">
        <f>'2015 Known'!A43</f>
        <v>Rainier Bio Gas</v>
      </c>
      <c r="C371" s="552">
        <f>'2015 Known'!B43</f>
        <v>4950.2660000000005</v>
      </c>
      <c r="D371" s="552">
        <f>'2015 Known'!C43</f>
        <v>0</v>
      </c>
      <c r="E371" s="552" t="str">
        <f>'2015 Known'!D43</f>
        <v>Firm</v>
      </c>
      <c r="F371" s="552" t="str">
        <f>'2015 Known'!E43</f>
        <v>Biogas</v>
      </c>
      <c r="G371" s="552" t="str">
        <f>'2015 Known'!F43</f>
        <v>Renew</v>
      </c>
    </row>
    <row r="372" spans="1:7" x14ac:dyDescent="0.25">
      <c r="A372" s="552">
        <v>2015</v>
      </c>
      <c r="B372" s="552" t="str">
        <f>'2015 Known'!A44</f>
        <v>Skookumchuck Hydro</v>
      </c>
      <c r="C372" s="552">
        <f>'2015 Known'!B44</f>
        <v>4961.1959999999999</v>
      </c>
      <c r="D372" s="552">
        <f>'2015 Known'!C44</f>
        <v>0</v>
      </c>
      <c r="E372" s="552" t="str">
        <f>'2015 Known'!D44</f>
        <v>Firm</v>
      </c>
      <c r="F372" s="552" t="str">
        <f>'2015 Known'!E44</f>
        <v>Hydro</v>
      </c>
      <c r="G372" s="552" t="str">
        <f>'2015 Known'!F44</f>
        <v>Renew</v>
      </c>
    </row>
    <row r="373" spans="1:7" x14ac:dyDescent="0.25">
      <c r="A373" s="552">
        <v>2015</v>
      </c>
      <c r="B373" s="552" t="str">
        <f>'2015 Known'!A45</f>
        <v>Smith Creek Hydro</v>
      </c>
      <c r="C373" s="552">
        <f>'2015 Known'!B45</f>
        <v>162.84899999999999</v>
      </c>
      <c r="D373" s="552">
        <f>'2015 Known'!C45</f>
        <v>0</v>
      </c>
      <c r="E373" s="552" t="str">
        <f>'2015 Known'!D45</f>
        <v>Firm</v>
      </c>
      <c r="F373" s="552" t="str">
        <f>'2015 Known'!E45</f>
        <v>Hydro</v>
      </c>
      <c r="G373" s="552" t="str">
        <f>'2015 Known'!F45</f>
        <v>Renew</v>
      </c>
    </row>
    <row r="374" spans="1:7" x14ac:dyDescent="0.25">
      <c r="A374" s="552">
        <v>2015</v>
      </c>
      <c r="B374" s="552" t="str">
        <f>'2015 Known'!A46</f>
        <v>Swauk Wind</v>
      </c>
      <c r="C374" s="552">
        <f>'2015 Known'!B46</f>
        <v>11368.796</v>
      </c>
      <c r="D374" s="552">
        <f>'2015 Known'!C46</f>
        <v>0</v>
      </c>
      <c r="E374" s="552" t="str">
        <f>'2015 Known'!D46</f>
        <v>Firm</v>
      </c>
      <c r="F374" s="552" t="str">
        <f>'2015 Known'!E46</f>
        <v>Wind</v>
      </c>
      <c r="G374" s="552" t="str">
        <f>'2015 Known'!F46</f>
        <v>Renew</v>
      </c>
    </row>
    <row r="375" spans="1:7" x14ac:dyDescent="0.25">
      <c r="A375" s="552">
        <v>2015</v>
      </c>
      <c r="B375" s="552" t="str">
        <f>'2015 Known'!A47</f>
        <v>Transalta Centralia Generation LLC</v>
      </c>
      <c r="C375" s="552">
        <f>'2015 Known'!B47</f>
        <v>1135396</v>
      </c>
      <c r="D375" s="552">
        <f>'2015 Known'!C47</f>
        <v>1280439.9362013757</v>
      </c>
      <c r="E375" s="552" t="str">
        <f>'2015 Known'!D47</f>
        <v>Firm</v>
      </c>
      <c r="F375" s="552" t="str">
        <f>'2015 Known'!E47</f>
        <v>Coal</v>
      </c>
      <c r="G375" s="552" t="str">
        <f>'2015 Known'!F47</f>
        <v>Coal</v>
      </c>
    </row>
    <row r="376" spans="1:7" x14ac:dyDescent="0.25">
      <c r="A376" s="552">
        <v>2015</v>
      </c>
      <c r="B376" s="552" t="str">
        <f>'2015 Known'!A48</f>
        <v>Van Dyk - S Holsteins</v>
      </c>
      <c r="C376" s="552">
        <f>'2015 Known'!B48</f>
        <v>1619.28</v>
      </c>
      <c r="D376" s="552">
        <f>'2015 Known'!C48</f>
        <v>0</v>
      </c>
      <c r="E376" s="552" t="str">
        <f>'2015 Known'!D48</f>
        <v>Firm</v>
      </c>
      <c r="F376" s="552" t="str">
        <f>'2015 Known'!E48</f>
        <v>Biogas</v>
      </c>
      <c r="G376" s="552" t="str">
        <f>'2015 Known'!F48</f>
        <v>Renew</v>
      </c>
    </row>
    <row r="377" spans="1:7" x14ac:dyDescent="0.25">
      <c r="A377" s="552">
        <v>2015</v>
      </c>
      <c r="B377" s="552" t="str">
        <f>'2015 Known'!A49</f>
        <v>VanderHaak Dairy Digester</v>
      </c>
      <c r="C377" s="552">
        <f>'2015 Known'!B49</f>
        <v>3455.4459999999999</v>
      </c>
      <c r="D377" s="552">
        <f>'2015 Known'!C49</f>
        <v>0</v>
      </c>
      <c r="E377" s="552" t="str">
        <f>'2015 Known'!D49</f>
        <v>Firm</v>
      </c>
      <c r="F377" s="552" t="str">
        <f>'2015 Known'!E49</f>
        <v>Biogas</v>
      </c>
      <c r="G377" s="552" t="str">
        <f>'2015 Known'!F49</f>
        <v>Renew</v>
      </c>
    </row>
    <row r="378" spans="1:7" x14ac:dyDescent="0.25">
      <c r="A378" s="552">
        <v>2015</v>
      </c>
      <c r="B378" s="552" t="str">
        <f>'2015 Known'!A50</f>
        <v>BIO FUEL WA</v>
      </c>
      <c r="C378" s="552">
        <f>'2015 Known'!B50</f>
        <v>32656.922999999999</v>
      </c>
      <c r="D378" s="552">
        <f>'2015 Known'!C50</f>
        <v>0</v>
      </c>
      <c r="E378" s="552" t="str">
        <f>'2015 Known'!D50</f>
        <v>Firm</v>
      </c>
      <c r="F378" s="552" t="str">
        <f>'2015 Known'!E50</f>
        <v>Biogas</v>
      </c>
      <c r="G378" s="552" t="str">
        <f>'2015 Known'!F50</f>
        <v>Renew</v>
      </c>
    </row>
    <row r="379" spans="1:7" x14ac:dyDescent="0.25">
      <c r="A379" s="552">
        <v>2015</v>
      </c>
      <c r="B379" s="552" t="str">
        <f>'2015 Known'!A51</f>
        <v>Electron Hydro, LLC</v>
      </c>
      <c r="C379" s="552">
        <f>'2015 Known'!B51</f>
        <v>62833.254000000001</v>
      </c>
      <c r="D379" s="552">
        <f>'2015 Known'!C51</f>
        <v>0</v>
      </c>
      <c r="E379" s="552" t="str">
        <f>'2015 Known'!D51</f>
        <v>Firm</v>
      </c>
      <c r="F379" s="552" t="str">
        <f>'2015 Known'!E51</f>
        <v>Hydro</v>
      </c>
      <c r="G379" s="552" t="str">
        <f>'2015 Known'!F51</f>
        <v>Renew</v>
      </c>
    </row>
    <row r="380" spans="1:7" x14ac:dyDescent="0.25">
      <c r="A380" s="552">
        <v>2015</v>
      </c>
      <c r="B380" s="552" t="str">
        <f>'2015 Known'!A52</f>
        <v>Emerald City Renewables</v>
      </c>
      <c r="C380" s="552">
        <f>'2015 Known'!B52</f>
        <v>1087.0940000000001</v>
      </c>
      <c r="D380" s="552">
        <f>'2015 Known'!C52</f>
        <v>0</v>
      </c>
      <c r="E380" s="552" t="str">
        <f>'2015 Known'!D52</f>
        <v>Firm</v>
      </c>
      <c r="F380" s="552" t="str">
        <f>'2015 Known'!E52</f>
        <v>Biogas</v>
      </c>
      <c r="G380" s="552" t="str">
        <f>'2015 Known'!F52</f>
        <v>Renew</v>
      </c>
    </row>
    <row r="381" spans="1:7" x14ac:dyDescent="0.25">
      <c r="A381" s="552">
        <v>2015</v>
      </c>
      <c r="B381" s="552" t="str">
        <f>'2015 Known'!A53</f>
        <v>Hutchinson Creek</v>
      </c>
      <c r="C381" s="552">
        <f>'2015 Known'!B53</f>
        <v>744.32</v>
      </c>
      <c r="D381" s="552">
        <f>'2015 Known'!C53</f>
        <v>0</v>
      </c>
      <c r="E381" s="552" t="str">
        <f>'2015 Known'!D53</f>
        <v>Firm</v>
      </c>
      <c r="F381" s="552" t="str">
        <f>'2015 Known'!E53</f>
        <v>Hydro</v>
      </c>
      <c r="G381" s="552" t="str">
        <f>'2015 Known'!F53</f>
        <v>Renew</v>
      </c>
    </row>
    <row r="382" spans="1:7" x14ac:dyDescent="0.25">
      <c r="A382" s="552">
        <v>2015</v>
      </c>
      <c r="B382" s="552" t="str">
        <f>'2015 Known'!A54</f>
        <v>Koma Kulshan Associates</v>
      </c>
      <c r="C382" s="552">
        <f>'2015 Known'!B54</f>
        <v>36094.142</v>
      </c>
      <c r="D382" s="552">
        <f>'2015 Known'!C54</f>
        <v>0</v>
      </c>
      <c r="E382" s="552" t="str">
        <f>'2015 Known'!D54</f>
        <v>Firm</v>
      </c>
      <c r="F382" s="552" t="str">
        <f>'2015 Known'!E54</f>
        <v>Hydro</v>
      </c>
      <c r="G382" s="552" t="str">
        <f>'2015 Known'!F54</f>
        <v>Renew</v>
      </c>
    </row>
    <row r="383" spans="1:7" x14ac:dyDescent="0.25">
      <c r="A383" s="552">
        <v>2015</v>
      </c>
      <c r="B383" s="552" t="str">
        <f>'2015 Known'!A55</f>
        <v>Lake Washington -- Finn Hill</v>
      </c>
      <c r="C383" s="552">
        <f>'2015 Known'!B55</f>
        <v>278.68</v>
      </c>
      <c r="D383" s="552">
        <f>'2015 Known'!C55</f>
        <v>0</v>
      </c>
      <c r="E383" s="552" t="str">
        <f>'2015 Known'!D55</f>
        <v>Firm</v>
      </c>
      <c r="F383" s="552" t="str">
        <f>'2015 Known'!E55</f>
        <v>Biogas</v>
      </c>
      <c r="G383" s="552" t="str">
        <f>'2015 Known'!F55</f>
        <v>Renew</v>
      </c>
    </row>
    <row r="384" spans="1:7" x14ac:dyDescent="0.25">
      <c r="A384" s="552">
        <v>2015</v>
      </c>
      <c r="B384" s="552" t="str">
        <f>'2015 Known'!A56</f>
        <v>Nooksack</v>
      </c>
      <c r="C384" s="552">
        <f>'2015 Known'!B56</f>
        <v>22257.173999999999</v>
      </c>
      <c r="D384" s="552">
        <f>'2015 Known'!C56</f>
        <v>0</v>
      </c>
      <c r="E384" s="552" t="str">
        <f>'2015 Known'!D56</f>
        <v>Firm</v>
      </c>
      <c r="F384" s="552" t="str">
        <f>'2015 Known'!E56</f>
        <v>Hydro</v>
      </c>
      <c r="G384" s="552" t="str">
        <f>'2015 Known'!F56</f>
        <v>Renew</v>
      </c>
    </row>
    <row r="385" spans="1:7" x14ac:dyDescent="0.25">
      <c r="A385" s="552">
        <v>2015</v>
      </c>
      <c r="B385" s="552" t="str">
        <f>'2015 Known'!A57</f>
        <v>Sygitowicz Creek</v>
      </c>
      <c r="C385" s="552">
        <f>'2015 Known'!B57</f>
        <v>738.61900000000003</v>
      </c>
      <c r="D385" s="552">
        <f>'2015 Known'!C57</f>
        <v>0</v>
      </c>
      <c r="E385" s="552" t="str">
        <f>'2015 Known'!D57</f>
        <v>Firm</v>
      </c>
      <c r="F385" s="552" t="str">
        <f>'2015 Known'!E57</f>
        <v>Hydro</v>
      </c>
      <c r="G385" s="552" t="str">
        <f>'2015 Known'!F57</f>
        <v>Renew</v>
      </c>
    </row>
    <row r="386" spans="1:7" x14ac:dyDescent="0.25">
      <c r="A386" s="552">
        <v>2015</v>
      </c>
      <c r="B386" s="552" t="str">
        <f>'2015 Known'!A58</f>
        <v>Twin Falls Hydro</v>
      </c>
      <c r="C386" s="552">
        <f>'2015 Known'!B58</f>
        <v>52604.395000000004</v>
      </c>
      <c r="D386" s="552">
        <f>'2015 Known'!C58</f>
        <v>0</v>
      </c>
      <c r="E386" s="552" t="str">
        <f>'2015 Known'!D58</f>
        <v>Firm</v>
      </c>
      <c r="F386" s="552" t="str">
        <f>'2015 Known'!E58</f>
        <v>Hydro</v>
      </c>
      <c r="G386" s="552" t="str">
        <f>'2015 Known'!F58</f>
        <v>Renew</v>
      </c>
    </row>
    <row r="387" spans="1:7" x14ac:dyDescent="0.25">
      <c r="A387" s="552">
        <v>2015</v>
      </c>
      <c r="B387" s="552" t="str">
        <f>'2015 Known'!A59</f>
        <v>Weeks Falls</v>
      </c>
      <c r="C387" s="552">
        <f>'2015 Known'!B59</f>
        <v>8526.616</v>
      </c>
      <c r="D387" s="552">
        <f>'2015 Known'!C59</f>
        <v>0</v>
      </c>
      <c r="E387" s="552" t="str">
        <f>'2015 Known'!D59</f>
        <v>Firm</v>
      </c>
      <c r="F387" s="552" t="str">
        <f>'2015 Known'!E59</f>
        <v>Hydro</v>
      </c>
      <c r="G387" s="552" t="str">
        <f>'2015 Known'!F59</f>
        <v>Renew</v>
      </c>
    </row>
    <row r="388" spans="1:7" x14ac:dyDescent="0.25">
      <c r="A388" s="552">
        <v>2015</v>
      </c>
      <c r="B388" s="552" t="str">
        <f>'2015 Known'!A60</f>
        <v>Transalta Contract - Source "Other" and Bookouts</v>
      </c>
      <c r="C388" s="552">
        <f>'2015 Known'!B60</f>
        <v>515781</v>
      </c>
      <c r="D388" s="552">
        <f>'2015 Known'!C60</f>
        <v>225396.29699999999</v>
      </c>
      <c r="E388" s="552" t="str">
        <f>'2015 Known'!D60</f>
        <v>Firm</v>
      </c>
      <c r="F388" s="552" t="str">
        <f>'2015 Known'!E60</f>
        <v>System</v>
      </c>
      <c r="G388" s="552" t="str">
        <f>'2015 Known'!F60</f>
        <v>System</v>
      </c>
    </row>
    <row r="389" spans="1:7" x14ac:dyDescent="0.25">
      <c r="A389" s="552">
        <v>2015</v>
      </c>
      <c r="B389" s="554" t="s">
        <v>462</v>
      </c>
      <c r="C389" s="556">
        <f>'2015 Unknown'!B124</f>
        <v>3446198.602</v>
      </c>
      <c r="D389" s="556">
        <f>'2015 Unknown'!D124</f>
        <v>1505988.7890739983</v>
      </c>
      <c r="E389" s="557" t="s">
        <v>473</v>
      </c>
      <c r="F389" s="552" t="s">
        <v>432</v>
      </c>
      <c r="G389" s="552" t="s">
        <v>432</v>
      </c>
    </row>
    <row r="390" spans="1:7" x14ac:dyDescent="0.25">
      <c r="A390" s="552">
        <v>2016</v>
      </c>
      <c r="B390" s="552" t="str">
        <f>'2016 Known'!A4</f>
        <v>Lower Baker</v>
      </c>
      <c r="C390" s="552">
        <f>'2016 Known'!B4</f>
        <v>358832.6</v>
      </c>
      <c r="D390" s="552">
        <f>'2016 Known'!C4</f>
        <v>0</v>
      </c>
      <c r="E390" s="552" t="str">
        <f>'2016 Known'!D4</f>
        <v>Own</v>
      </c>
      <c r="F390" s="552" t="str">
        <f>'2016 Known'!E4</f>
        <v>Hydro</v>
      </c>
      <c r="G390" s="552" t="str">
        <f>'2016 Known'!F4</f>
        <v>Renew</v>
      </c>
    </row>
    <row r="391" spans="1:7" x14ac:dyDescent="0.25">
      <c r="A391" s="552">
        <v>2016</v>
      </c>
      <c r="B391" s="552" t="str">
        <f>'2016 Known'!A5</f>
        <v>Snoqualmie Falls #1</v>
      </c>
      <c r="C391" s="552">
        <f>'2016 Known'!B5</f>
        <v>53046.2</v>
      </c>
      <c r="D391" s="552">
        <f>'2016 Known'!C5</f>
        <v>0</v>
      </c>
      <c r="E391" s="552" t="str">
        <f>'2016 Known'!D5</f>
        <v>Own</v>
      </c>
      <c r="F391" s="552" t="str">
        <f>'2016 Known'!E5</f>
        <v>Hydro</v>
      </c>
      <c r="G391" s="552" t="str">
        <f>'2016 Known'!F5</f>
        <v>Renew</v>
      </c>
    </row>
    <row r="392" spans="1:7" x14ac:dyDescent="0.25">
      <c r="A392" s="552">
        <v>2016</v>
      </c>
      <c r="B392" s="552" t="str">
        <f>'2016 Known'!A6</f>
        <v>Snoqualmie Falls #2</v>
      </c>
      <c r="C392" s="552">
        <f>'2016 Known'!B6</f>
        <v>152538</v>
      </c>
      <c r="D392" s="552">
        <f>'2016 Known'!C6</f>
        <v>0</v>
      </c>
      <c r="E392" s="552" t="str">
        <f>'2016 Known'!D6</f>
        <v>Own</v>
      </c>
      <c r="F392" s="552" t="str">
        <f>'2016 Known'!E6</f>
        <v>Hydro</v>
      </c>
      <c r="G392" s="552" t="str">
        <f>'2016 Known'!F6</f>
        <v>Renew</v>
      </c>
    </row>
    <row r="393" spans="1:7" x14ac:dyDescent="0.25">
      <c r="A393" s="552">
        <v>2016</v>
      </c>
      <c r="B393" s="552" t="str">
        <f>'2016 Known'!A7</f>
        <v>Upper Baker</v>
      </c>
      <c r="C393" s="552">
        <f>'2016 Known'!B7</f>
        <v>369104.94</v>
      </c>
      <c r="D393" s="552">
        <f>'2016 Known'!C7</f>
        <v>0</v>
      </c>
      <c r="E393" s="552" t="str">
        <f>'2016 Known'!D7</f>
        <v>Own</v>
      </c>
      <c r="F393" s="552" t="str">
        <f>'2016 Known'!E7</f>
        <v>Hydro</v>
      </c>
      <c r="G393" s="552" t="str">
        <f>'2016 Known'!F7</f>
        <v>Renew</v>
      </c>
    </row>
    <row r="394" spans="1:7" x14ac:dyDescent="0.25">
      <c r="A394" s="552">
        <v>2016</v>
      </c>
      <c r="B394" s="552" t="str">
        <f>'2016 Known'!A8</f>
        <v>Colstrip</v>
      </c>
      <c r="C394" s="552">
        <f>'2016 Known'!B8</f>
        <v>4529179</v>
      </c>
      <c r="D394" s="552">
        <f>'2016 Known'!C8</f>
        <v>4642920.9501864174</v>
      </c>
      <c r="E394" s="552" t="str">
        <f>'2016 Known'!D8</f>
        <v>Own</v>
      </c>
      <c r="F394" s="552" t="str">
        <f>'2016 Known'!E8</f>
        <v>Coal</v>
      </c>
      <c r="G394" s="552" t="str">
        <f>'2016 Known'!F8</f>
        <v>Coal</v>
      </c>
    </row>
    <row r="395" spans="1:7" x14ac:dyDescent="0.25">
      <c r="A395" s="552">
        <v>2016</v>
      </c>
      <c r="B395" s="552" t="str">
        <f>'2016 Known'!A9</f>
        <v>Encogen</v>
      </c>
      <c r="C395" s="552">
        <f>'2016 Known'!B9</f>
        <v>212390.3</v>
      </c>
      <c r="D395" s="552">
        <f>'2016 Known'!C9</f>
        <v>103712.96400000001</v>
      </c>
      <c r="E395" s="552" t="str">
        <f>'2016 Known'!D9</f>
        <v>Own</v>
      </c>
      <c r="F395" s="552" t="str">
        <f>'2016 Known'!E9</f>
        <v>Gas</v>
      </c>
      <c r="G395" s="552" t="str">
        <f>'2016 Known'!F9</f>
        <v>Gas</v>
      </c>
    </row>
    <row r="396" spans="1:7" x14ac:dyDescent="0.25">
      <c r="A396" s="552">
        <v>2016</v>
      </c>
      <c r="B396" s="552" t="str">
        <f>'2016 Known'!A10</f>
        <v>Ferndale Co-Generation</v>
      </c>
      <c r="C396" s="552">
        <f>'2016 Known'!B10</f>
        <v>741136.76800000004</v>
      </c>
      <c r="D396" s="552">
        <f>'2016 Known'!C10</f>
        <v>354145.48800000001</v>
      </c>
      <c r="E396" s="552" t="str">
        <f>'2016 Known'!D10</f>
        <v>Own</v>
      </c>
      <c r="F396" s="552" t="str">
        <f>'2016 Known'!E10</f>
        <v>Gas</v>
      </c>
      <c r="G396" s="552" t="str">
        <f>'2016 Known'!F10</f>
        <v>Gas</v>
      </c>
    </row>
    <row r="397" spans="1:7" x14ac:dyDescent="0.25">
      <c r="A397" s="552">
        <v>2016</v>
      </c>
      <c r="B397" s="552" t="str">
        <f>'2016 Known'!A11</f>
        <v>Freddie #1</v>
      </c>
      <c r="C397" s="552">
        <f>'2016 Known'!B11</f>
        <v>417524.85800000001</v>
      </c>
      <c r="D397" s="552">
        <f>'2016 Known'!C11</f>
        <v>164696.860686</v>
      </c>
      <c r="E397" s="552" t="str">
        <f>'2016 Known'!D11</f>
        <v>Own</v>
      </c>
      <c r="F397" s="552" t="str">
        <f>'2016 Known'!E11</f>
        <v>Gas</v>
      </c>
      <c r="G397" s="552" t="str">
        <f>'2016 Known'!F11</f>
        <v>Gas</v>
      </c>
    </row>
    <row r="398" spans="1:7" x14ac:dyDescent="0.25">
      <c r="A398" s="552">
        <v>2016</v>
      </c>
      <c r="B398" s="552" t="str">
        <f>'2016 Known'!A12</f>
        <v>Goldendale</v>
      </c>
      <c r="C398" s="552">
        <f>'2016 Known'!B12</f>
        <v>1028475</v>
      </c>
      <c r="D398" s="552">
        <f>'2016 Known'!C12</f>
        <v>385283.97200000001</v>
      </c>
      <c r="E398" s="552" t="str">
        <f>'2016 Known'!D12</f>
        <v>Own</v>
      </c>
      <c r="F398" s="552" t="str">
        <f>'2016 Known'!E12</f>
        <v>Gas</v>
      </c>
      <c r="G398" s="552" t="str">
        <f>'2016 Known'!F12</f>
        <v>Gas</v>
      </c>
    </row>
    <row r="399" spans="1:7" x14ac:dyDescent="0.25">
      <c r="A399" s="552">
        <v>2016</v>
      </c>
      <c r="B399" s="552" t="str">
        <f>'2016 Known'!A13</f>
        <v>Mint Farm</v>
      </c>
      <c r="C399" s="552">
        <f>'2016 Known'!B13</f>
        <v>1057946.8</v>
      </c>
      <c r="D399" s="552">
        <f>'2016 Known'!C13</f>
        <v>433450.74400000001</v>
      </c>
      <c r="E399" s="552" t="str">
        <f>'2016 Known'!D13</f>
        <v>Own</v>
      </c>
      <c r="F399" s="552" t="str">
        <f>'2016 Known'!E13</f>
        <v>Gas</v>
      </c>
      <c r="G399" s="552" t="str">
        <f>'2016 Known'!F13</f>
        <v>Gas</v>
      </c>
    </row>
    <row r="400" spans="1:7" x14ac:dyDescent="0.25">
      <c r="A400" s="552">
        <v>2016</v>
      </c>
      <c r="B400" s="552" t="str">
        <f>'2016 Known'!A14</f>
        <v>Sumas</v>
      </c>
      <c r="C400" s="552">
        <f>'2016 Known'!B14</f>
        <v>394996.2</v>
      </c>
      <c r="D400" s="552">
        <f>'2016 Known'!C14</f>
        <v>192574.03599999999</v>
      </c>
      <c r="E400" s="552" t="str">
        <f>'2016 Known'!D14</f>
        <v>Own</v>
      </c>
      <c r="F400" s="552" t="str">
        <f>'2016 Known'!E14</f>
        <v>Gas</v>
      </c>
      <c r="G400" s="552" t="str">
        <f>'2016 Known'!F14</f>
        <v>Gas</v>
      </c>
    </row>
    <row r="401" spans="1:7" x14ac:dyDescent="0.25">
      <c r="A401" s="552">
        <v>2016</v>
      </c>
      <c r="B401" s="552" t="str">
        <f>'2016 Known'!A15</f>
        <v>Crystal Mountain</v>
      </c>
      <c r="C401" s="552">
        <f>'2016 Known'!B15</f>
        <v>196.41</v>
      </c>
      <c r="D401" s="552">
        <f>'2016 Known'!C15</f>
        <v>154.94372006759997</v>
      </c>
      <c r="E401" s="552" t="str">
        <f>'2016 Known'!D15</f>
        <v>Own</v>
      </c>
      <c r="F401" s="552" t="str">
        <f>'2016 Known'!E15</f>
        <v>Diesel</v>
      </c>
      <c r="G401" s="552" t="str">
        <f>'2016 Known'!F15</f>
        <v>Gas</v>
      </c>
    </row>
    <row r="402" spans="1:7" x14ac:dyDescent="0.25">
      <c r="A402" s="552">
        <v>2016</v>
      </c>
      <c r="B402" s="552" t="str">
        <f>'2016 Known'!A16</f>
        <v>Fredonia</v>
      </c>
      <c r="C402" s="552">
        <f>'2016 Known'!B16</f>
        <v>245813.1</v>
      </c>
      <c r="D402" s="552">
        <f>'2016 Known'!C16</f>
        <v>163716.432</v>
      </c>
      <c r="E402" s="552" t="str">
        <f>'2016 Known'!D16</f>
        <v>Own</v>
      </c>
      <c r="F402" s="552" t="str">
        <f>'2016 Known'!E16</f>
        <v>Gas</v>
      </c>
      <c r="G402" s="552" t="str">
        <f>'2016 Known'!F16</f>
        <v>Gas</v>
      </c>
    </row>
    <row r="403" spans="1:7" x14ac:dyDescent="0.25">
      <c r="A403" s="552">
        <v>2016</v>
      </c>
      <c r="B403" s="552" t="str">
        <f>'2016 Known'!A17</f>
        <v>Fredrickson 1 &amp; 2</v>
      </c>
      <c r="C403" s="552">
        <f>'2016 Known'!B17</f>
        <v>19942.310000000001</v>
      </c>
      <c r="D403" s="552">
        <f>'2016 Known'!C17</f>
        <v>30295.736000000001</v>
      </c>
      <c r="E403" s="552" t="str">
        <f>'2016 Known'!D17</f>
        <v>Own</v>
      </c>
      <c r="F403" s="552" t="str">
        <f>'2016 Known'!E17</f>
        <v>Gas</v>
      </c>
      <c r="G403" s="552" t="str">
        <f>'2016 Known'!F17</f>
        <v>Gas</v>
      </c>
    </row>
    <row r="404" spans="1:7" x14ac:dyDescent="0.25">
      <c r="A404" s="552">
        <v>2016</v>
      </c>
      <c r="B404" s="552" t="str">
        <f>'2016 Known'!A18</f>
        <v>Hopkins Ridge (W184)</v>
      </c>
      <c r="C404" s="552">
        <f>'2016 Known'!B18</f>
        <v>417242.31400000001</v>
      </c>
      <c r="D404" s="552">
        <f>'2016 Known'!C18</f>
        <v>0</v>
      </c>
      <c r="E404" s="552" t="str">
        <f>'2016 Known'!D18</f>
        <v>Own</v>
      </c>
      <c r="F404" s="552" t="str">
        <f>'2016 Known'!E18</f>
        <v>Wind</v>
      </c>
      <c r="G404" s="552" t="str">
        <f>'2016 Known'!F18</f>
        <v>Renew</v>
      </c>
    </row>
    <row r="405" spans="1:7" x14ac:dyDescent="0.25">
      <c r="A405" s="552">
        <v>2016</v>
      </c>
      <c r="B405" s="552" t="str">
        <f>'2016 Known'!A19</f>
        <v>Lower Snake River</v>
      </c>
      <c r="C405" s="552">
        <f>'2016 Known'!B19</f>
        <v>873260.06099999999</v>
      </c>
      <c r="D405" s="552">
        <f>'2016 Known'!C19</f>
        <v>0</v>
      </c>
      <c r="E405" s="552" t="str">
        <f>'2016 Known'!D19</f>
        <v>Own</v>
      </c>
      <c r="F405" s="552" t="str">
        <f>'2016 Known'!E19</f>
        <v>Wind</v>
      </c>
      <c r="G405" s="552" t="str">
        <f>'2016 Known'!F19</f>
        <v>Renew</v>
      </c>
    </row>
    <row r="406" spans="1:7" x14ac:dyDescent="0.25">
      <c r="A406" s="552">
        <v>2016</v>
      </c>
      <c r="B406" s="552" t="str">
        <f>'2016 Known'!A20</f>
        <v>Whitehorn 2&amp;3</v>
      </c>
      <c r="C406" s="552">
        <f>'2016 Known'!B20</f>
        <v>33783.050000000003</v>
      </c>
      <c r="D406" s="552">
        <f>'2016 Known'!C20</f>
        <v>44949.527999999998</v>
      </c>
      <c r="E406" s="552" t="str">
        <f>'2016 Known'!D20</f>
        <v>Own</v>
      </c>
      <c r="F406" s="552" t="str">
        <f>'2016 Known'!E20</f>
        <v>Gas</v>
      </c>
      <c r="G406" s="552" t="str">
        <f>'2016 Known'!F20</f>
        <v>Gas</v>
      </c>
    </row>
    <row r="407" spans="1:7" x14ac:dyDescent="0.25">
      <c r="A407" s="552">
        <v>2016</v>
      </c>
      <c r="B407" s="552" t="str">
        <f>'2016 Known'!A21</f>
        <v>Wild Horse (W183)</v>
      </c>
      <c r="C407" s="552">
        <f>'2016 Known'!B21</f>
        <v>672199.75300000003</v>
      </c>
      <c r="D407" s="552">
        <f>'2016 Known'!C21</f>
        <v>0</v>
      </c>
      <c r="E407" s="552" t="str">
        <f>'2016 Known'!D21</f>
        <v>Own</v>
      </c>
      <c r="F407" s="552" t="str">
        <f>'2016 Known'!E21</f>
        <v>Wind</v>
      </c>
      <c r="G407" s="552" t="str">
        <f>'2016 Known'!F21</f>
        <v>Renew</v>
      </c>
    </row>
    <row r="408" spans="1:7" x14ac:dyDescent="0.25">
      <c r="A408" s="552">
        <v>2016</v>
      </c>
      <c r="B408" s="552" t="str">
        <f>'2016 Known'!A22</f>
        <v>3 Bar G Wind Turbine #3 LLC</v>
      </c>
      <c r="C408" s="552">
        <f>'2016 Known'!B22</f>
        <v>147.732</v>
      </c>
      <c r="D408" s="552">
        <f>'2016 Known'!C22</f>
        <v>0</v>
      </c>
      <c r="E408" s="552" t="str">
        <f>'2016 Known'!D22</f>
        <v>Firm</v>
      </c>
      <c r="F408" s="552" t="str">
        <f>'2016 Known'!E22</f>
        <v>Wind</v>
      </c>
      <c r="G408" s="552" t="str">
        <f>'2016 Known'!F22</f>
        <v>Renew</v>
      </c>
    </row>
    <row r="409" spans="1:7" x14ac:dyDescent="0.25">
      <c r="A409" s="552">
        <v>2016</v>
      </c>
      <c r="B409" s="552" t="str">
        <f>'2016 Known'!A23</f>
        <v>BC Hydro (Point Roberts)</v>
      </c>
      <c r="C409" s="552">
        <f>'2016 Known'!B23</f>
        <v>19758.352999999999</v>
      </c>
      <c r="D409" s="552">
        <f>'2016 Known'!C23</f>
        <v>8634.4002610000007</v>
      </c>
      <c r="E409" s="552" t="str">
        <f>'2016 Known'!D23</f>
        <v>Firm</v>
      </c>
      <c r="F409" s="552" t="str">
        <f>'2016 Known'!E23</f>
        <v>System</v>
      </c>
      <c r="G409" s="552" t="str">
        <f>'2016 Known'!F23</f>
        <v>System</v>
      </c>
    </row>
    <row r="410" spans="1:7" x14ac:dyDescent="0.25">
      <c r="A410" s="552">
        <v>2016</v>
      </c>
      <c r="B410" s="552" t="str">
        <f>'2016 Known'!A24</f>
        <v>Bio Energy Washington (BEW)</v>
      </c>
      <c r="C410" s="552">
        <f>'2016 Known'!B24</f>
        <v>5.2510000000000003</v>
      </c>
      <c r="D410" s="552">
        <f>'2016 Known'!C24</f>
        <v>0</v>
      </c>
      <c r="E410" s="552" t="str">
        <f>'2016 Known'!D24</f>
        <v>Firm</v>
      </c>
      <c r="F410" s="552" t="str">
        <f>'2016 Known'!E24</f>
        <v>Biogas</v>
      </c>
      <c r="G410" s="552" t="str">
        <f>'2016 Known'!F24</f>
        <v>Renew</v>
      </c>
    </row>
    <row r="411" spans="1:7" x14ac:dyDescent="0.25">
      <c r="A411" s="552">
        <v>2016</v>
      </c>
      <c r="B411" s="552" t="str">
        <f>'2016 Known'!A25</f>
        <v>Black Creek Hydro Inc</v>
      </c>
      <c r="C411" s="552">
        <f>'2016 Known'!B25</f>
        <v>12262.769</v>
      </c>
      <c r="D411" s="552">
        <f>'2016 Known'!C25</f>
        <v>0</v>
      </c>
      <c r="E411" s="552" t="str">
        <f>'2016 Known'!D25</f>
        <v>Firm</v>
      </c>
      <c r="F411" s="552" t="str">
        <f>'2016 Known'!E25</f>
        <v>Hydro</v>
      </c>
      <c r="G411" s="552" t="str">
        <f>'2016 Known'!F25</f>
        <v>Renew</v>
      </c>
    </row>
    <row r="412" spans="1:7" x14ac:dyDescent="0.25">
      <c r="A412" s="552">
        <v>2016</v>
      </c>
      <c r="B412" s="552" t="str">
        <f>'2016 Known'!A26</f>
        <v>BPA</v>
      </c>
      <c r="C412" s="552">
        <f>'2016 Known'!B26</f>
        <v>7084</v>
      </c>
      <c r="D412" s="552">
        <f>'2016 Known'!C26</f>
        <v>0</v>
      </c>
      <c r="E412" s="552" t="str">
        <f>'2016 Known'!D26</f>
        <v>Firm</v>
      </c>
      <c r="F412" s="552" t="str">
        <f>'2016 Known'!E26</f>
        <v>Hydro</v>
      </c>
      <c r="G412" s="552" t="str">
        <f>'2016 Known'!F26</f>
        <v>Renew</v>
      </c>
    </row>
    <row r="413" spans="1:7" x14ac:dyDescent="0.25">
      <c r="A413" s="552">
        <v>2016</v>
      </c>
      <c r="B413" s="552" t="str">
        <f>'2016 Known'!A27</f>
        <v>BPA Firm - WNP#3 Exchange</v>
      </c>
      <c r="C413" s="552">
        <f>'2016 Known'!B27</f>
        <v>398392</v>
      </c>
      <c r="D413" s="552">
        <f>'2016 Known'!C27</f>
        <v>174097.304</v>
      </c>
      <c r="E413" s="552" t="str">
        <f>'2016 Known'!D27</f>
        <v>Firm</v>
      </c>
      <c r="F413" s="552" t="str">
        <f>'2016 Known'!E27</f>
        <v>System</v>
      </c>
      <c r="G413" s="552" t="str">
        <f>'2016 Known'!F27</f>
        <v>System</v>
      </c>
    </row>
    <row r="414" spans="1:7" x14ac:dyDescent="0.25">
      <c r="A414" s="552">
        <v>2016</v>
      </c>
      <c r="B414" s="552" t="str">
        <f>'2016 Known'!A28</f>
        <v>CC Solar 1 and CC Solar 2</v>
      </c>
      <c r="C414" s="552">
        <f>'2016 Known'!B28</f>
        <v>28.61</v>
      </c>
      <c r="D414" s="552">
        <f>'2016 Known'!C28</f>
        <v>0</v>
      </c>
      <c r="E414" s="552" t="str">
        <f>'2016 Known'!D28</f>
        <v>Firm</v>
      </c>
      <c r="F414" s="552" t="str">
        <f>'2016 Known'!E28</f>
        <v>Solar</v>
      </c>
      <c r="G414" s="552" t="str">
        <f>'2016 Known'!F28</f>
        <v>Renew</v>
      </c>
    </row>
    <row r="415" spans="1:7" x14ac:dyDescent="0.25">
      <c r="A415" s="552">
        <v>2016</v>
      </c>
      <c r="B415" s="552" t="str">
        <f>'2016 Known'!A29</f>
        <v>Chelan PUD - RI &amp; RR</v>
      </c>
      <c r="C415" s="552">
        <f>'2016 Known'!B29</f>
        <v>2313083</v>
      </c>
      <c r="D415" s="552">
        <f>'2016 Known'!C29</f>
        <v>0</v>
      </c>
      <c r="E415" s="552" t="str">
        <f>'2016 Known'!D29</f>
        <v>Firm</v>
      </c>
      <c r="F415" s="552" t="str">
        <f>'2016 Known'!E29</f>
        <v>Hydro</v>
      </c>
      <c r="G415" s="552" t="str">
        <f>'2016 Known'!F29</f>
        <v>Renew</v>
      </c>
    </row>
    <row r="416" spans="1:7" x14ac:dyDescent="0.25">
      <c r="A416" s="552">
        <v>2016</v>
      </c>
      <c r="B416" s="552" t="str">
        <f>'2016 Known'!A30</f>
        <v>Chelan PUD - Rock Island Syst #2</v>
      </c>
      <c r="C416" s="552">
        <f>'2016 Known'!B30</f>
        <v>-39689</v>
      </c>
      <c r="D416" s="552">
        <f>'2016 Known'!C30</f>
        <v>0</v>
      </c>
      <c r="E416" s="552" t="str">
        <f>'2016 Known'!D30</f>
        <v>Firm</v>
      </c>
      <c r="F416" s="552" t="str">
        <f>'2016 Known'!E30</f>
        <v>Hydro</v>
      </c>
      <c r="G416" s="552" t="str">
        <f>'2016 Known'!F30</f>
        <v>Renew</v>
      </c>
    </row>
    <row r="417" spans="1:7" x14ac:dyDescent="0.25">
      <c r="A417" s="552">
        <v>2016</v>
      </c>
      <c r="B417" s="552" t="str">
        <f>'2016 Known'!A31</f>
        <v>Chelan PUD - Rocky Reach</v>
      </c>
      <c r="C417" s="552">
        <f>'2016 Known'!B31</f>
        <v>-82394</v>
      </c>
      <c r="D417" s="552">
        <f>'2016 Known'!C31</f>
        <v>0</v>
      </c>
      <c r="E417" s="552" t="str">
        <f>'2016 Known'!D31</f>
        <v>Firm</v>
      </c>
      <c r="F417" s="552" t="str">
        <f>'2016 Known'!E31</f>
        <v>Hydro</v>
      </c>
      <c r="G417" s="552" t="str">
        <f>'2016 Known'!F31</f>
        <v>Renew</v>
      </c>
    </row>
    <row r="418" spans="1:7" x14ac:dyDescent="0.25">
      <c r="A418" s="552">
        <v>2016</v>
      </c>
      <c r="B418" s="552" t="str">
        <f>'2016 Known'!A32</f>
        <v>Douglas PUD - Wells Project</v>
      </c>
      <c r="C418" s="552">
        <f>'2016 Known'!B32</f>
        <v>1120584</v>
      </c>
      <c r="D418" s="552">
        <f>'2016 Known'!C32</f>
        <v>0</v>
      </c>
      <c r="E418" s="552" t="str">
        <f>'2016 Known'!D32</f>
        <v>Firm</v>
      </c>
      <c r="F418" s="552" t="str">
        <f>'2016 Known'!E32</f>
        <v>Hydro</v>
      </c>
      <c r="G418" s="552" t="str">
        <f>'2016 Known'!F32</f>
        <v>Renew</v>
      </c>
    </row>
    <row r="419" spans="1:7" x14ac:dyDescent="0.25">
      <c r="A419" s="552">
        <v>2016</v>
      </c>
      <c r="B419" s="552" t="str">
        <f>'2016 Known'!A33</f>
        <v>Edaleen Dairy LLC</v>
      </c>
      <c r="C419" s="552">
        <f>'2016 Known'!B33</f>
        <v>4644.826</v>
      </c>
      <c r="D419" s="552">
        <f>'2016 Known'!C33</f>
        <v>0</v>
      </c>
      <c r="E419" s="552" t="str">
        <f>'2016 Known'!D33</f>
        <v>Firm</v>
      </c>
      <c r="F419" s="552" t="str">
        <f>'2016 Known'!E33</f>
        <v>Biogas</v>
      </c>
      <c r="G419" s="552" t="str">
        <f>'2016 Known'!F33</f>
        <v>Renew</v>
      </c>
    </row>
    <row r="420" spans="1:7" x14ac:dyDescent="0.25">
      <c r="A420" s="552">
        <v>2016</v>
      </c>
      <c r="B420" s="552" t="str">
        <f>'2016 Known'!A34</f>
        <v>Farm Power Lynden LLC</v>
      </c>
      <c r="C420" s="552">
        <f>'2016 Known'!B34</f>
        <v>4514.4679999999998</v>
      </c>
      <c r="D420" s="552">
        <f>'2016 Known'!C34</f>
        <v>0</v>
      </c>
      <c r="E420" s="552" t="str">
        <f>'2016 Known'!D34</f>
        <v>Firm</v>
      </c>
      <c r="F420" s="552" t="str">
        <f>'2016 Known'!E34</f>
        <v>Biogas</v>
      </c>
      <c r="G420" s="552" t="str">
        <f>'2016 Known'!F34</f>
        <v>Renew</v>
      </c>
    </row>
    <row r="421" spans="1:7" x14ac:dyDescent="0.25">
      <c r="A421" s="552">
        <v>2016</v>
      </c>
      <c r="B421" s="552" t="str">
        <f>'2016 Known'!A35</f>
        <v>Farm Power Rexville LLC</v>
      </c>
      <c r="C421" s="552">
        <f>'2016 Known'!B35</f>
        <v>5137.9570000000003</v>
      </c>
      <c r="D421" s="552">
        <f>'2016 Known'!C35</f>
        <v>0</v>
      </c>
      <c r="E421" s="552" t="str">
        <f>'2016 Known'!D35</f>
        <v>Firm</v>
      </c>
      <c r="F421" s="552" t="str">
        <f>'2016 Known'!E35</f>
        <v>Biogas</v>
      </c>
      <c r="G421" s="552" t="str">
        <f>'2016 Known'!F35</f>
        <v>Renew</v>
      </c>
    </row>
    <row r="422" spans="1:7" x14ac:dyDescent="0.25">
      <c r="A422" s="552">
        <v>2016</v>
      </c>
      <c r="B422" s="552" t="str">
        <f>'2016 Known'!A36</f>
        <v>Grant PUD - Priest Rapids Project</v>
      </c>
      <c r="C422" s="552">
        <f>'2016 Known'!B36</f>
        <v>60243</v>
      </c>
      <c r="D422" s="552">
        <f>'2016 Known'!C36</f>
        <v>0</v>
      </c>
      <c r="E422" s="552" t="str">
        <f>'2016 Known'!D36</f>
        <v>Firm</v>
      </c>
      <c r="F422" s="552" t="str">
        <f>'2016 Known'!E36</f>
        <v>Hydro</v>
      </c>
      <c r="G422" s="552" t="str">
        <f>'2016 Known'!F36</f>
        <v>Renew</v>
      </c>
    </row>
    <row r="423" spans="1:7" x14ac:dyDescent="0.25">
      <c r="A423" s="552">
        <v>2016</v>
      </c>
      <c r="B423" s="552" t="str">
        <f>'2016 Known'!A37</f>
        <v>Island Community Solar LLC</v>
      </c>
      <c r="C423" s="552">
        <f>'2016 Known'!B37</f>
        <v>59.14</v>
      </c>
      <c r="D423" s="552">
        <f>'2016 Known'!C37</f>
        <v>0</v>
      </c>
      <c r="E423" s="552" t="str">
        <f>'2016 Known'!D37</f>
        <v>Firm</v>
      </c>
      <c r="F423" s="552" t="str">
        <f>'2016 Known'!E37</f>
        <v>Solar</v>
      </c>
      <c r="G423" s="552" t="str">
        <f>'2016 Known'!F37</f>
        <v>Renew</v>
      </c>
    </row>
    <row r="424" spans="1:7" x14ac:dyDescent="0.25">
      <c r="A424" s="552">
        <v>2016</v>
      </c>
      <c r="B424" s="552" t="str">
        <f>'2016 Known'!A38</f>
        <v>Klamath Falls (Iberdrola)</v>
      </c>
      <c r="C424" s="552">
        <f>'2016 Known'!B38</f>
        <v>200</v>
      </c>
      <c r="D424" s="552">
        <f>'2016 Known'!C38</f>
        <v>85.701345321881092</v>
      </c>
      <c r="E424" s="552" t="str">
        <f>'2016 Known'!D38</f>
        <v>Firm</v>
      </c>
      <c r="F424" s="552" t="str">
        <f>'2016 Known'!E38</f>
        <v>Gas</v>
      </c>
      <c r="G424" s="552" t="str">
        <f>'2016 Known'!F38</f>
        <v>Gas</v>
      </c>
    </row>
    <row r="425" spans="1:7" x14ac:dyDescent="0.25">
      <c r="A425" s="552">
        <v>2016</v>
      </c>
      <c r="B425" s="552" t="str">
        <f>'2016 Known'!A39</f>
        <v>Klondike Wind Power III</v>
      </c>
      <c r="C425" s="552">
        <f>'2016 Known'!B39</f>
        <v>126694</v>
      </c>
      <c r="D425" s="552">
        <f>'2016 Known'!C39</f>
        <v>0</v>
      </c>
      <c r="E425" s="552" t="str">
        <f>'2016 Known'!D39</f>
        <v>Firm</v>
      </c>
      <c r="F425" s="552" t="str">
        <f>'2016 Known'!E39</f>
        <v>Wind</v>
      </c>
      <c r="G425" s="552" t="str">
        <f>'2016 Known'!F39</f>
        <v>Renew</v>
      </c>
    </row>
    <row r="426" spans="1:7" x14ac:dyDescent="0.25">
      <c r="A426" s="552">
        <v>2016</v>
      </c>
      <c r="B426" s="552" t="str">
        <f>'2016 Known'!A40</f>
        <v>Knudsen Wind Turbine #1</v>
      </c>
      <c r="C426" s="552">
        <f>'2016 Known'!B40</f>
        <v>128.57599999999999</v>
      </c>
      <c r="D426" s="552">
        <f>'2016 Known'!C40</f>
        <v>0</v>
      </c>
      <c r="E426" s="552" t="str">
        <f>'2016 Known'!D40</f>
        <v>Firm</v>
      </c>
      <c r="F426" s="552" t="str">
        <f>'2016 Known'!E40</f>
        <v>Wind</v>
      </c>
      <c r="G426" s="552" t="str">
        <f>'2016 Known'!F40</f>
        <v>Renew</v>
      </c>
    </row>
    <row r="427" spans="1:7" x14ac:dyDescent="0.25">
      <c r="A427" s="552">
        <v>2016</v>
      </c>
      <c r="B427" s="552" t="str">
        <f>'2016 Known'!A41</f>
        <v>Rainier Bio Gas</v>
      </c>
      <c r="C427" s="552">
        <f>'2016 Known'!B41</f>
        <v>4372.0810000000001</v>
      </c>
      <c r="D427" s="552">
        <f>'2016 Known'!C41</f>
        <v>0</v>
      </c>
      <c r="E427" s="552" t="str">
        <f>'2016 Known'!D41</f>
        <v>Firm</v>
      </c>
      <c r="F427" s="552" t="str">
        <f>'2016 Known'!E41</f>
        <v>Biogas</v>
      </c>
      <c r="G427" s="552" t="str">
        <f>'2016 Known'!F41</f>
        <v>Renew</v>
      </c>
    </row>
    <row r="428" spans="1:7" x14ac:dyDescent="0.25">
      <c r="A428" s="552">
        <v>2016</v>
      </c>
      <c r="B428" s="552" t="str">
        <f>'2016 Known'!A42</f>
        <v>Skookumchuck Hydro</v>
      </c>
      <c r="C428" s="552">
        <f>'2016 Known'!B42</f>
        <v>4450.1899999999996</v>
      </c>
      <c r="D428" s="552">
        <f>'2016 Known'!C42</f>
        <v>0</v>
      </c>
      <c r="E428" s="552" t="str">
        <f>'2016 Known'!D42</f>
        <v>Firm</v>
      </c>
      <c r="F428" s="552" t="str">
        <f>'2016 Known'!E42</f>
        <v>Hydro</v>
      </c>
      <c r="G428" s="552" t="str">
        <f>'2016 Known'!F42</f>
        <v>Renew</v>
      </c>
    </row>
    <row r="429" spans="1:7" x14ac:dyDescent="0.25">
      <c r="A429" s="552">
        <v>2016</v>
      </c>
      <c r="B429" s="552" t="str">
        <f>'2016 Known'!A43</f>
        <v>Smith Creek Hydro</v>
      </c>
      <c r="C429" s="552">
        <f>'2016 Known'!B43</f>
        <v>193.251</v>
      </c>
      <c r="D429" s="552">
        <f>'2016 Known'!C43</f>
        <v>0</v>
      </c>
      <c r="E429" s="552" t="str">
        <f>'2016 Known'!D43</f>
        <v>Firm</v>
      </c>
      <c r="F429" s="552" t="str">
        <f>'2016 Known'!E43</f>
        <v>Hydro</v>
      </c>
      <c r="G429" s="552" t="str">
        <f>'2016 Known'!F43</f>
        <v>Renew</v>
      </c>
    </row>
    <row r="430" spans="1:7" x14ac:dyDescent="0.25">
      <c r="A430" s="552">
        <v>2016</v>
      </c>
      <c r="B430" s="552" t="str">
        <f>'2016 Known'!A44</f>
        <v>Swauk Wind</v>
      </c>
      <c r="C430" s="552">
        <f>'2016 Known'!B44</f>
        <v>11177.98</v>
      </c>
      <c r="D430" s="552">
        <f>'2016 Known'!C44</f>
        <v>0</v>
      </c>
      <c r="E430" s="552" t="str">
        <f>'2016 Known'!D44</f>
        <v>Firm</v>
      </c>
      <c r="F430" s="552" t="str">
        <f>'2016 Known'!E44</f>
        <v>Wind</v>
      </c>
      <c r="G430" s="552" t="str">
        <f>'2016 Known'!F44</f>
        <v>Renew</v>
      </c>
    </row>
    <row r="431" spans="1:7" x14ac:dyDescent="0.25">
      <c r="A431" s="552">
        <v>2016</v>
      </c>
      <c r="B431" s="552" t="str">
        <f>'2016 Known'!A45</f>
        <v>Transalta Centralia Generation LLC</v>
      </c>
      <c r="C431" s="552">
        <f>'2016 Known'!B45</f>
        <v>1568805</v>
      </c>
      <c r="D431" s="552">
        <f>'2016 Known'!C45</f>
        <v>1746187.5739582172</v>
      </c>
      <c r="E431" s="552" t="str">
        <f>'2016 Known'!D45</f>
        <v>Firm</v>
      </c>
      <c r="F431" s="552" t="str">
        <f>'2016 Known'!E45</f>
        <v>Coal</v>
      </c>
      <c r="G431" s="552" t="str">
        <f>'2016 Known'!F45</f>
        <v>Coal</v>
      </c>
    </row>
    <row r="432" spans="1:7" x14ac:dyDescent="0.25">
      <c r="A432" s="552">
        <v>2016</v>
      </c>
      <c r="B432" s="552" t="str">
        <f>'2016 Known'!A46</f>
        <v>Van Dyk - S Holsteins</v>
      </c>
      <c r="C432" s="552">
        <f>'2016 Known'!B46</f>
        <v>3115.201</v>
      </c>
      <c r="D432" s="552">
        <f>'2016 Known'!C46</f>
        <v>0</v>
      </c>
      <c r="E432" s="552" t="str">
        <f>'2016 Known'!D46</f>
        <v>Firm</v>
      </c>
      <c r="F432" s="552" t="str">
        <f>'2016 Known'!E46</f>
        <v>Biogas</v>
      </c>
      <c r="G432" s="552" t="str">
        <f>'2016 Known'!F46</f>
        <v>Renew</v>
      </c>
    </row>
    <row r="433" spans="1:7" x14ac:dyDescent="0.25">
      <c r="A433" s="552">
        <v>2016</v>
      </c>
      <c r="B433" s="552" t="str">
        <f>'2016 Known'!A47</f>
        <v>VanderHaak Dairy Digester</v>
      </c>
      <c r="C433" s="552">
        <f>'2016 Known'!B47</f>
        <v>3277.547</v>
      </c>
      <c r="D433" s="552">
        <f>'2016 Known'!C47</f>
        <v>0</v>
      </c>
      <c r="E433" s="552" t="str">
        <f>'2016 Known'!D47</f>
        <v>Firm</v>
      </c>
      <c r="F433" s="552" t="str">
        <f>'2016 Known'!E47</f>
        <v>Biogas</v>
      </c>
      <c r="G433" s="552" t="str">
        <f>'2016 Known'!F47</f>
        <v>Renew</v>
      </c>
    </row>
    <row r="434" spans="1:7" x14ac:dyDescent="0.25">
      <c r="A434" s="552">
        <v>2016</v>
      </c>
      <c r="B434" s="552" t="str">
        <f>'2016 Known'!A48</f>
        <v>Electron Hydro, LLC</v>
      </c>
      <c r="C434" s="552">
        <f>'2016 Known'!B48</f>
        <v>166693.777</v>
      </c>
      <c r="D434" s="552">
        <f>'2016 Known'!C48</f>
        <v>0</v>
      </c>
      <c r="E434" s="552" t="str">
        <f>'2016 Known'!D48</f>
        <v>Firm</v>
      </c>
      <c r="F434" s="552" t="str">
        <f>'2016 Known'!E48</f>
        <v>Hydro</v>
      </c>
      <c r="G434" s="552" t="str">
        <f>'2016 Known'!F48</f>
        <v>Renew</v>
      </c>
    </row>
    <row r="435" spans="1:7" x14ac:dyDescent="0.25">
      <c r="A435" s="552">
        <v>2016</v>
      </c>
      <c r="B435" s="552" t="str">
        <f>'2016 Known'!A49</f>
        <v>Emerald City Renewables</v>
      </c>
      <c r="C435" s="552">
        <f>'2016 Known'!B49</f>
        <v>36724.080999999998</v>
      </c>
      <c r="D435" s="552">
        <f>'2016 Known'!C49</f>
        <v>0</v>
      </c>
      <c r="E435" s="552" t="str">
        <f>'2016 Known'!D49</f>
        <v>Firm</v>
      </c>
      <c r="F435" s="552" t="str">
        <f>'2016 Known'!E49</f>
        <v>Biogas</v>
      </c>
      <c r="G435" s="552" t="str">
        <f>'2016 Known'!F49</f>
        <v>Renew</v>
      </c>
    </row>
    <row r="436" spans="1:7" x14ac:dyDescent="0.25">
      <c r="A436" s="552">
        <v>2016</v>
      </c>
      <c r="B436" s="552" t="str">
        <f>'2016 Known'!A50</f>
        <v>Koma Kulshan Associates</v>
      </c>
      <c r="C436" s="552">
        <f>'2016 Known'!B50</f>
        <v>46042.635999999999</v>
      </c>
      <c r="D436" s="552">
        <f>'2016 Known'!C50</f>
        <v>0</v>
      </c>
      <c r="E436" s="552" t="str">
        <f>'2016 Known'!D50</f>
        <v>Firm</v>
      </c>
      <c r="F436" s="552" t="str">
        <f>'2016 Known'!E50</f>
        <v>Hydro</v>
      </c>
      <c r="G436" s="552" t="str">
        <f>'2016 Known'!F50</f>
        <v>Renew</v>
      </c>
    </row>
    <row r="437" spans="1:7" x14ac:dyDescent="0.25">
      <c r="A437" s="552">
        <v>2016</v>
      </c>
      <c r="B437" s="552" t="str">
        <f>'2016 Known'!A51</f>
        <v>Lake Washington -- Finn Hill</v>
      </c>
      <c r="C437" s="552">
        <f>'2016 Known'!B51</f>
        <v>292.56</v>
      </c>
      <c r="D437" s="552">
        <f>'2016 Known'!C51</f>
        <v>0</v>
      </c>
      <c r="E437" s="552" t="str">
        <f>'2016 Known'!D51</f>
        <v>Firm</v>
      </c>
      <c r="F437" s="552" t="str">
        <f>'2016 Known'!E51</f>
        <v>Biogas</v>
      </c>
      <c r="G437" s="552" t="str">
        <f>'2016 Known'!F51</f>
        <v>Renew</v>
      </c>
    </row>
    <row r="438" spans="1:7" x14ac:dyDescent="0.25">
      <c r="A438" s="552">
        <v>2016</v>
      </c>
      <c r="B438" s="552" t="str">
        <f>'2016 Known'!A52</f>
        <v>Nooksack</v>
      </c>
      <c r="C438" s="552">
        <f>'2016 Known'!B52</f>
        <v>24374.06</v>
      </c>
      <c r="D438" s="552">
        <f>'2016 Known'!C52</f>
        <v>0</v>
      </c>
      <c r="E438" s="552" t="str">
        <f>'2016 Known'!D52</f>
        <v>Firm</v>
      </c>
      <c r="F438" s="552" t="str">
        <f>'2016 Known'!E52</f>
        <v>Hydro</v>
      </c>
      <c r="G438" s="552" t="str">
        <f>'2016 Known'!F52</f>
        <v>Renew</v>
      </c>
    </row>
    <row r="439" spans="1:7" x14ac:dyDescent="0.25">
      <c r="A439" s="552">
        <v>2016</v>
      </c>
      <c r="B439" s="552" t="str">
        <f>'2016 Known'!A53</f>
        <v>Sygitowicz Creek</v>
      </c>
      <c r="C439" s="552">
        <f>'2016 Known'!B53</f>
        <v>907.41</v>
      </c>
      <c r="D439" s="552">
        <f>'2016 Known'!C53</f>
        <v>0</v>
      </c>
      <c r="E439" s="552" t="str">
        <f>'2016 Known'!D53</f>
        <v>Firm</v>
      </c>
      <c r="F439" s="552" t="str">
        <f>'2016 Known'!E53</f>
        <v>Hydro</v>
      </c>
      <c r="G439" s="552" t="str">
        <f>'2016 Known'!F53</f>
        <v>Renew</v>
      </c>
    </row>
    <row r="440" spans="1:7" x14ac:dyDescent="0.25">
      <c r="A440" s="552">
        <v>2016</v>
      </c>
      <c r="B440" s="552" t="str">
        <f>'2016 Known'!A54</f>
        <v>Twin Falls Hydro</v>
      </c>
      <c r="C440" s="552">
        <f>'2016 Known'!B54</f>
        <v>79876.214000000007</v>
      </c>
      <c r="D440" s="552">
        <f>'2016 Known'!C54</f>
        <v>0</v>
      </c>
      <c r="E440" s="552" t="str">
        <f>'2016 Known'!D54</f>
        <v>Firm</v>
      </c>
      <c r="F440" s="552" t="str">
        <f>'2016 Known'!E54</f>
        <v>Hydro</v>
      </c>
      <c r="G440" s="552" t="str">
        <f>'2016 Known'!F54</f>
        <v>Renew</v>
      </c>
    </row>
    <row r="441" spans="1:7" x14ac:dyDescent="0.25">
      <c r="A441" s="552">
        <v>2016</v>
      </c>
      <c r="B441" s="552" t="str">
        <f>'2016 Known'!A55</f>
        <v>Weeks Falls</v>
      </c>
      <c r="C441" s="552">
        <f>'2016 Known'!B55</f>
        <v>11111.191000000001</v>
      </c>
      <c r="D441" s="552">
        <f>'2016 Known'!C55</f>
        <v>0</v>
      </c>
      <c r="E441" s="552" t="str">
        <f>'2016 Known'!D55</f>
        <v>Firm</v>
      </c>
      <c r="F441" s="552" t="str">
        <f>'2016 Known'!E55</f>
        <v>Hydro</v>
      </c>
      <c r="G441" s="552" t="str">
        <f>'2016 Known'!F55</f>
        <v>Renew</v>
      </c>
    </row>
    <row r="442" spans="1:7" x14ac:dyDescent="0.25">
      <c r="A442" s="552">
        <v>2016</v>
      </c>
      <c r="B442" s="552" t="str">
        <f>'2016 Known'!A56</f>
        <v>Transalta Centralia Generation LLC - Bookout Source Other Adjustment</v>
      </c>
      <c r="C442" s="552">
        <f>'2016 Known'!B56</f>
        <v>965098</v>
      </c>
      <c r="D442" s="552">
        <f>'2016 Known'!C56</f>
        <v>421747.826</v>
      </c>
      <c r="E442" s="552" t="str">
        <f>'2016 Known'!D56</f>
        <v>Firm</v>
      </c>
      <c r="F442" s="552" t="str">
        <f>'2016 Known'!E56</f>
        <v>System</v>
      </c>
      <c r="G442" s="552" t="str">
        <f>'2016 Known'!F56</f>
        <v>System</v>
      </c>
    </row>
    <row r="443" spans="1:7" x14ac:dyDescent="0.25">
      <c r="A443" s="552">
        <v>2016</v>
      </c>
      <c r="B443" s="554" t="s">
        <v>462</v>
      </c>
      <c r="C443" s="556">
        <f>'2016 Unknown - Net by'!B81</f>
        <v>3547857.8350000004</v>
      </c>
      <c r="D443" s="556">
        <f>'2016 Unknown - Net by'!D81</f>
        <v>1515124.9085044775</v>
      </c>
      <c r="E443" s="557" t="s">
        <v>473</v>
      </c>
      <c r="F443" s="552" t="s">
        <v>432</v>
      </c>
      <c r="G443" s="552" t="s">
        <v>432</v>
      </c>
    </row>
    <row r="444" spans="1:7" x14ac:dyDescent="0.25">
      <c r="A444" s="552">
        <v>2017</v>
      </c>
      <c r="B444" s="552" t="str">
        <f>'2017 Known'!A4</f>
        <v>Lower Baker</v>
      </c>
      <c r="C444" s="552">
        <f>'2017 Known'!B4</f>
        <v>313112.18</v>
      </c>
      <c r="D444" s="552">
        <f>'2017 Known'!C4</f>
        <v>0</v>
      </c>
      <c r="E444" s="552" t="str">
        <f>'2017 Known'!D4</f>
        <v>Own</v>
      </c>
      <c r="F444" s="552" t="str">
        <f>'2017 Known'!E4</f>
        <v>Hydro</v>
      </c>
      <c r="G444" s="552" t="str">
        <f>'2017 Known'!F4</f>
        <v>Renew</v>
      </c>
    </row>
    <row r="445" spans="1:7" x14ac:dyDescent="0.25">
      <c r="A445" s="552">
        <v>2017</v>
      </c>
      <c r="B445" s="552" t="str">
        <f>'2017 Known'!A5</f>
        <v>Snoqualmie Falls #1</v>
      </c>
      <c r="C445" s="552">
        <f>'2017 Known'!B5</f>
        <v>60898.3</v>
      </c>
      <c r="D445" s="552">
        <f>'2017 Known'!C5</f>
        <v>0</v>
      </c>
      <c r="E445" s="552" t="str">
        <f>'2017 Known'!D5</f>
        <v>Own</v>
      </c>
      <c r="F445" s="552" t="str">
        <f>'2017 Known'!E5</f>
        <v>Hydro</v>
      </c>
      <c r="G445" s="552" t="str">
        <f>'2017 Known'!F5</f>
        <v>Renew</v>
      </c>
    </row>
    <row r="446" spans="1:7" x14ac:dyDescent="0.25">
      <c r="A446" s="552">
        <v>2017</v>
      </c>
      <c r="B446" s="552" t="str">
        <f>'2017 Known'!A6</f>
        <v>Snoqualmie Falls #2</v>
      </c>
      <c r="C446" s="552">
        <f>'2017 Known'!B6</f>
        <v>135067</v>
      </c>
      <c r="D446" s="552">
        <f>'2017 Known'!C6</f>
        <v>0</v>
      </c>
      <c r="E446" s="552" t="str">
        <f>'2017 Known'!D6</f>
        <v>Own</v>
      </c>
      <c r="F446" s="552" t="str">
        <f>'2017 Known'!E6</f>
        <v>Hydro</v>
      </c>
      <c r="G446" s="552" t="str">
        <f>'2017 Known'!F6</f>
        <v>Renew</v>
      </c>
    </row>
    <row r="447" spans="1:7" x14ac:dyDescent="0.25">
      <c r="A447" s="552">
        <v>2017</v>
      </c>
      <c r="B447" s="552" t="str">
        <f>'2017 Known'!A7</f>
        <v>Upper Baker</v>
      </c>
      <c r="C447" s="552">
        <f>'2017 Known'!B7</f>
        <v>355743.79</v>
      </c>
      <c r="D447" s="552">
        <f>'2017 Known'!C7</f>
        <v>0</v>
      </c>
      <c r="E447" s="552" t="str">
        <f>'2017 Known'!D7</f>
        <v>Own</v>
      </c>
      <c r="F447" s="552" t="str">
        <f>'2017 Known'!E7</f>
        <v>Hydro</v>
      </c>
      <c r="G447" s="552" t="str">
        <f>'2017 Known'!F7</f>
        <v>Renew</v>
      </c>
    </row>
    <row r="448" spans="1:7" x14ac:dyDescent="0.25">
      <c r="A448" s="552">
        <v>2017</v>
      </c>
      <c r="B448" s="552" t="str">
        <f>'2017 Known'!A8</f>
        <v>Colstrip</v>
      </c>
      <c r="C448" s="552">
        <f>'2017 Known'!B8</f>
        <v>4463705</v>
      </c>
      <c r="D448" s="552">
        <f>'2017 Known'!C8</f>
        <v>4486831.9138267459</v>
      </c>
      <c r="E448" s="552" t="str">
        <f>'2017 Known'!D8</f>
        <v>Own</v>
      </c>
      <c r="F448" s="552" t="str">
        <f>'2017 Known'!E8</f>
        <v>Coal</v>
      </c>
      <c r="G448" s="552" t="str">
        <f>'2017 Known'!F8</f>
        <v>Coal</v>
      </c>
    </row>
    <row r="449" spans="1:7" x14ac:dyDescent="0.25">
      <c r="A449" s="552">
        <v>2017</v>
      </c>
      <c r="B449" s="552" t="str">
        <f>'2017 Known'!A9</f>
        <v>Crystal Mountain</v>
      </c>
      <c r="C449" s="552">
        <f>'2017 Known'!B9</f>
        <v>395.71</v>
      </c>
      <c r="D449" s="552">
        <f>'2017 Known'!C9</f>
        <v>334.80850975453387</v>
      </c>
      <c r="E449" s="552" t="str">
        <f>'2017 Known'!D9</f>
        <v>Own</v>
      </c>
      <c r="F449" s="552" t="str">
        <f>'2017 Known'!E9</f>
        <v>Diesel</v>
      </c>
      <c r="G449" s="552" t="str">
        <f>'2017 Known'!F9</f>
        <v>Gas</v>
      </c>
    </row>
    <row r="450" spans="1:7" x14ac:dyDescent="0.25">
      <c r="A450" s="552">
        <v>2017</v>
      </c>
      <c r="B450" s="552" t="str">
        <f>'2017 Known'!A10</f>
        <v>Encogen</v>
      </c>
      <c r="C450" s="552">
        <f>'2017 Known'!B10</f>
        <v>205198.89000000007</v>
      </c>
      <c r="D450" s="552">
        <f>'2017 Known'!C10</f>
        <v>98352.635999999999</v>
      </c>
      <c r="E450" s="552" t="str">
        <f>'2017 Known'!D10</f>
        <v>Own</v>
      </c>
      <c r="F450" s="552" t="str">
        <f>'2017 Known'!E10</f>
        <v>Gas</v>
      </c>
      <c r="G450" s="552" t="str">
        <f>'2017 Known'!F10</f>
        <v>Gas</v>
      </c>
    </row>
    <row r="451" spans="1:7" x14ac:dyDescent="0.25">
      <c r="A451" s="552">
        <v>2017</v>
      </c>
      <c r="B451" s="552" t="str">
        <f>'2017 Known'!A11</f>
        <v>Ferndale</v>
      </c>
      <c r="C451" s="552">
        <f>'2017 Known'!B11</f>
        <v>764940</v>
      </c>
      <c r="D451" s="552">
        <f>'2017 Known'!C11</f>
        <v>350890.1</v>
      </c>
      <c r="E451" s="552" t="str">
        <f>'2017 Known'!D11</f>
        <v>Own</v>
      </c>
      <c r="F451" s="552" t="str">
        <f>'2017 Known'!E11</f>
        <v>Gas</v>
      </c>
      <c r="G451" s="552" t="str">
        <f>'2017 Known'!F11</f>
        <v>Gas</v>
      </c>
    </row>
    <row r="452" spans="1:7" x14ac:dyDescent="0.25">
      <c r="A452" s="552">
        <v>2017</v>
      </c>
      <c r="B452" s="552" t="str">
        <f>'2017 Known'!A12</f>
        <v>Frederickson</v>
      </c>
      <c r="C452" s="552">
        <f>'2017 Known'!B12</f>
        <v>29852.190000000002</v>
      </c>
      <c r="D452" s="552">
        <f>'2017 Known'!C12</f>
        <v>44365.332000000002</v>
      </c>
      <c r="E452" s="552" t="str">
        <f>'2017 Known'!D12</f>
        <v>Own</v>
      </c>
      <c r="F452" s="552" t="str">
        <f>'2017 Known'!E12</f>
        <v>Gas</v>
      </c>
      <c r="G452" s="552" t="str">
        <f>'2017 Known'!F12</f>
        <v>Gas</v>
      </c>
    </row>
    <row r="453" spans="1:7" x14ac:dyDescent="0.25">
      <c r="A453" s="552">
        <v>2017</v>
      </c>
      <c r="B453" s="552" t="str">
        <f>'2017 Known'!A13</f>
        <v>Fredonia</v>
      </c>
      <c r="C453" s="552">
        <f>'2017 Known'!B13</f>
        <v>124251.70000000001</v>
      </c>
      <c r="D453" s="552">
        <f>'2017 Known'!C13</f>
        <v>97133.782000000007</v>
      </c>
      <c r="E453" s="552" t="str">
        <f>'2017 Known'!D13</f>
        <v>Own</v>
      </c>
      <c r="F453" s="552" t="str">
        <f>'2017 Known'!E13</f>
        <v>Gas</v>
      </c>
      <c r="G453" s="552" t="str">
        <f>'2017 Known'!F13</f>
        <v>Gas</v>
      </c>
    </row>
    <row r="454" spans="1:7" x14ac:dyDescent="0.25">
      <c r="A454" s="552">
        <v>2017</v>
      </c>
      <c r="B454" s="552" t="str">
        <f>'2017 Known'!A14</f>
        <v>Frederickson Unit 1</v>
      </c>
      <c r="C454" s="552">
        <f>'2017 Known'!B14</f>
        <v>464326.82799999998</v>
      </c>
      <c r="D454" s="552">
        <f>'2017 Known'!C14</f>
        <v>175682.438784</v>
      </c>
      <c r="E454" s="552" t="str">
        <f>'2017 Known'!D14</f>
        <v>Own</v>
      </c>
      <c r="F454" s="552" t="str">
        <f>'2017 Known'!E14</f>
        <v>Gas</v>
      </c>
      <c r="G454" s="552" t="str">
        <f>'2017 Known'!F14</f>
        <v>Gas</v>
      </c>
    </row>
    <row r="455" spans="1:7" x14ac:dyDescent="0.25">
      <c r="A455" s="552">
        <v>2017</v>
      </c>
      <c r="B455" s="552" t="str">
        <f>'2017 Known'!A15</f>
        <v>Goldendale</v>
      </c>
      <c r="C455" s="552">
        <f>'2017 Known'!B15</f>
        <v>1119821</v>
      </c>
      <c r="D455" s="552">
        <f>'2017 Known'!C15</f>
        <v>415078.81199999998</v>
      </c>
      <c r="E455" s="552" t="str">
        <f>'2017 Known'!D15</f>
        <v>Own</v>
      </c>
      <c r="F455" s="552" t="str">
        <f>'2017 Known'!E15</f>
        <v>Gas</v>
      </c>
      <c r="G455" s="552" t="str">
        <f>'2017 Known'!F15</f>
        <v>Gas</v>
      </c>
    </row>
    <row r="456" spans="1:7" x14ac:dyDescent="0.25">
      <c r="A456" s="552">
        <v>2017</v>
      </c>
      <c r="B456" s="552" t="str">
        <f>'2017 Known'!A16</f>
        <v>Mint Farm</v>
      </c>
      <c r="C456" s="552">
        <f>'2017 Known'!B16</f>
        <v>915875.39999999991</v>
      </c>
      <c r="D456" s="552">
        <f>'2017 Known'!C16</f>
        <v>356273.28</v>
      </c>
      <c r="E456" s="552" t="str">
        <f>'2017 Known'!D16</f>
        <v>Own</v>
      </c>
      <c r="F456" s="552" t="str">
        <f>'2017 Known'!E16</f>
        <v>Gas</v>
      </c>
      <c r="G456" s="552" t="str">
        <f>'2017 Known'!F16</f>
        <v>Gas</v>
      </c>
    </row>
    <row r="457" spans="1:7" x14ac:dyDescent="0.25">
      <c r="A457" s="552">
        <v>2017</v>
      </c>
      <c r="B457" s="552" t="str">
        <f>'2017 Known'!A17</f>
        <v>Sumas</v>
      </c>
      <c r="C457" s="552">
        <f>'2017 Known'!B17</f>
        <v>266588.09999999998</v>
      </c>
      <c r="D457" s="552">
        <f>'2017 Known'!C17</f>
        <v>125472.936</v>
      </c>
      <c r="E457" s="552" t="str">
        <f>'2017 Known'!D17</f>
        <v>Own</v>
      </c>
      <c r="F457" s="552" t="str">
        <f>'2017 Known'!E17</f>
        <v>Gas</v>
      </c>
      <c r="G457" s="552" t="str">
        <f>'2017 Known'!F17</f>
        <v>Gas</v>
      </c>
    </row>
    <row r="458" spans="1:7" x14ac:dyDescent="0.25">
      <c r="A458" s="552">
        <v>2017</v>
      </c>
      <c r="B458" s="552" t="str">
        <f>'2017 Known'!A18</f>
        <v>Whitehorn</v>
      </c>
      <c r="C458" s="552">
        <f>'2017 Known'!B18</f>
        <v>33043.599999999999</v>
      </c>
      <c r="D458" s="552">
        <f>'2017 Known'!C18</f>
        <v>67424.028000000006</v>
      </c>
      <c r="E458" s="552" t="str">
        <f>'2017 Known'!D18</f>
        <v>Own</v>
      </c>
      <c r="F458" s="552" t="str">
        <f>'2017 Known'!E18</f>
        <v>Gas</v>
      </c>
      <c r="G458" s="552" t="str">
        <f>'2017 Known'!F18</f>
        <v>Gas</v>
      </c>
    </row>
    <row r="459" spans="1:7" x14ac:dyDescent="0.25">
      <c r="A459" s="552">
        <v>2017</v>
      </c>
      <c r="B459" s="552" t="str">
        <f>'2017 Known'!A19</f>
        <v>Hopkins Ridge (W184)</v>
      </c>
      <c r="C459" s="552">
        <f>'2017 Known'!B19</f>
        <v>345425.18400000001</v>
      </c>
      <c r="D459" s="552">
        <f>'2017 Known'!C19</f>
        <v>0</v>
      </c>
      <c r="E459" s="552" t="str">
        <f>'2017 Known'!D19</f>
        <v>Own</v>
      </c>
      <c r="F459" s="552" t="str">
        <f>'2017 Known'!E19</f>
        <v>Wind</v>
      </c>
      <c r="G459" s="552" t="str">
        <f>'2017 Known'!F19</f>
        <v>Renew</v>
      </c>
    </row>
    <row r="460" spans="1:7" x14ac:dyDescent="0.25">
      <c r="A460" s="552">
        <v>2017</v>
      </c>
      <c r="B460" s="552" t="str">
        <f>'2017 Known'!A20</f>
        <v>Lower Snake River</v>
      </c>
      <c r="C460" s="552">
        <f>'2017 Known'!B20</f>
        <v>716381.07799999998</v>
      </c>
      <c r="D460" s="552">
        <f>'2017 Known'!C20</f>
        <v>0</v>
      </c>
      <c r="E460" s="552" t="str">
        <f>'2017 Known'!D20</f>
        <v>Own</v>
      </c>
      <c r="F460" s="552" t="str">
        <f>'2017 Known'!E20</f>
        <v>Wind</v>
      </c>
      <c r="G460" s="552" t="str">
        <f>'2017 Known'!F20</f>
        <v>Renew</v>
      </c>
    </row>
    <row r="461" spans="1:7" x14ac:dyDescent="0.25">
      <c r="A461" s="552">
        <v>2017</v>
      </c>
      <c r="B461" s="552" t="str">
        <f>'2017 Known'!A21</f>
        <v>Wild Horse (W183)</v>
      </c>
      <c r="C461" s="552">
        <f>'2017 Known'!B21</f>
        <v>612984.08900000004</v>
      </c>
      <c r="D461" s="552">
        <f>'2017 Known'!C21</f>
        <v>0</v>
      </c>
      <c r="E461" s="552" t="str">
        <f>'2017 Known'!D21</f>
        <v>Own</v>
      </c>
      <c r="F461" s="552" t="str">
        <f>'2017 Known'!E21</f>
        <v>Wind</v>
      </c>
      <c r="G461" s="552" t="str">
        <f>'2017 Known'!F21</f>
        <v>Renew</v>
      </c>
    </row>
    <row r="462" spans="1:7" x14ac:dyDescent="0.25">
      <c r="A462" s="552">
        <v>2017</v>
      </c>
      <c r="B462" s="552" t="str">
        <f>'2017 Known'!A22</f>
        <v>3 Bar G Wind Turbine #3 LLC</v>
      </c>
      <c r="C462" s="552">
        <f>'2017 Known'!B22</f>
        <v>25.266999999999999</v>
      </c>
      <c r="D462" s="552">
        <f>'2017 Known'!C22</f>
        <v>0</v>
      </c>
      <c r="E462" s="552" t="str">
        <f>'2017 Known'!D22</f>
        <v>Firm</v>
      </c>
      <c r="F462" s="552" t="str">
        <f>'2017 Known'!E22</f>
        <v>Wind</v>
      </c>
      <c r="G462" s="552" t="str">
        <f>'2017 Known'!F22</f>
        <v>Renew</v>
      </c>
    </row>
    <row r="463" spans="1:7" x14ac:dyDescent="0.25">
      <c r="A463" s="552">
        <v>2017</v>
      </c>
      <c r="B463" s="552" t="str">
        <f>'2017 Known'!A23</f>
        <v>BC Hydro (Point Roberts)</v>
      </c>
      <c r="C463" s="552">
        <f>'2017 Known'!B23</f>
        <v>21209.738000000001</v>
      </c>
      <c r="D463" s="552">
        <f>'2017 Known'!C23</f>
        <v>9268.655506000001</v>
      </c>
      <c r="E463" s="552" t="str">
        <f>'2017 Known'!D23</f>
        <v>Firm</v>
      </c>
      <c r="F463" s="552" t="str">
        <f>'2017 Known'!E23</f>
        <v>System</v>
      </c>
      <c r="G463" s="552" t="str">
        <f>'2017 Known'!F23</f>
        <v>System</v>
      </c>
    </row>
    <row r="464" spans="1:7" x14ac:dyDescent="0.25">
      <c r="A464" s="552">
        <v>2017</v>
      </c>
      <c r="B464" s="552" t="str">
        <f>'2017 Known'!A24</f>
        <v>Bio Energy Washington (BEW)</v>
      </c>
      <c r="C464" s="552">
        <f>'2017 Known'!B24</f>
        <v>4.5519999999999996</v>
      </c>
      <c r="D464" s="552">
        <f>'2017 Known'!C24</f>
        <v>0</v>
      </c>
      <c r="E464" s="552" t="str">
        <f>'2017 Known'!D24</f>
        <v>Firm</v>
      </c>
      <c r="F464" s="552" t="str">
        <f>'2017 Known'!E24</f>
        <v>Biogas</v>
      </c>
      <c r="G464" s="552" t="str">
        <f>'2017 Known'!F24</f>
        <v>Renew</v>
      </c>
    </row>
    <row r="465" spans="1:7" x14ac:dyDescent="0.25">
      <c r="A465" s="552">
        <v>2017</v>
      </c>
      <c r="B465" s="552" t="str">
        <f>'2017 Known'!A25</f>
        <v>Black Creek Hydro Inc</v>
      </c>
      <c r="C465" s="552">
        <f>'2017 Known'!B25</f>
        <v>11718.129000000001</v>
      </c>
      <c r="D465" s="552">
        <f>'2017 Known'!C25</f>
        <v>0</v>
      </c>
      <c r="E465" s="552" t="str">
        <f>'2017 Known'!D25</f>
        <v>Firm</v>
      </c>
      <c r="F465" s="552" t="str">
        <f>'2017 Known'!E25</f>
        <v>Hydro</v>
      </c>
      <c r="G465" s="552" t="str">
        <f>'2017 Known'!F25</f>
        <v>Renew</v>
      </c>
    </row>
    <row r="466" spans="1:7" x14ac:dyDescent="0.25">
      <c r="A466" s="552">
        <v>2017</v>
      </c>
      <c r="B466" s="552" t="str">
        <f>'2017 Known'!A26</f>
        <v>Blocks Dairy Farm</v>
      </c>
      <c r="C466" s="552">
        <f>'2017 Known'!B26</f>
        <v>1.3180000000000001</v>
      </c>
      <c r="D466" s="552">
        <f>'2017 Known'!C26</f>
        <v>0</v>
      </c>
      <c r="E466" s="552" t="str">
        <f>'2017 Known'!D26</f>
        <v>Firm</v>
      </c>
      <c r="F466" s="552" t="str">
        <f>'2017 Known'!E26</f>
        <v>Biogas</v>
      </c>
      <c r="G466" s="552" t="str">
        <f>'2017 Known'!F26</f>
        <v>Renew</v>
      </c>
    </row>
    <row r="467" spans="1:7" x14ac:dyDescent="0.25">
      <c r="A467" s="552">
        <v>2017</v>
      </c>
      <c r="B467" s="552" t="str">
        <f>'2017 Known'!A27</f>
        <v>BPA</v>
      </c>
      <c r="C467" s="552">
        <f>'2017 Known'!B27</f>
        <v>7000</v>
      </c>
      <c r="D467" s="552">
        <f>'2017 Known'!C27</f>
        <v>3059</v>
      </c>
      <c r="E467" s="552" t="str">
        <f>'2017 Known'!D27</f>
        <v>Firm</v>
      </c>
      <c r="F467" s="552" t="str">
        <f>'2017 Known'!E27</f>
        <v>System</v>
      </c>
      <c r="G467" s="552" t="str">
        <f>'2017 Known'!F27</f>
        <v>System</v>
      </c>
    </row>
    <row r="468" spans="1:7" x14ac:dyDescent="0.25">
      <c r="A468" s="552">
        <v>2017</v>
      </c>
      <c r="B468" s="552" t="str">
        <f>'2017 Known'!A28</f>
        <v>BPA Firm - WNP#3 Exchange</v>
      </c>
      <c r="C468" s="552">
        <f>'2017 Known'!B28</f>
        <v>241574</v>
      </c>
      <c r="D468" s="552">
        <f>'2017 Known'!C28</f>
        <v>105567.838</v>
      </c>
      <c r="E468" s="552" t="str">
        <f>'2017 Known'!D28</f>
        <v>Firm</v>
      </c>
      <c r="F468" s="552" t="str">
        <f>'2017 Known'!E28</f>
        <v>System</v>
      </c>
      <c r="G468" s="552" t="str">
        <f>'2017 Known'!F28</f>
        <v>System</v>
      </c>
    </row>
    <row r="469" spans="1:7" x14ac:dyDescent="0.25">
      <c r="A469" s="552">
        <v>2017</v>
      </c>
      <c r="B469" s="552" t="str">
        <f>'2017 Known'!A29</f>
        <v>CC Solar 1 and CC Solar 2</v>
      </c>
      <c r="C469" s="552">
        <f>'2017 Known'!B29</f>
        <v>29.26</v>
      </c>
      <c r="D469" s="552">
        <f>'2017 Known'!C29</f>
        <v>0</v>
      </c>
      <c r="E469" s="552" t="str">
        <f>'2017 Known'!D29</f>
        <v>Firm</v>
      </c>
      <c r="F469" s="552" t="str">
        <f>'2017 Known'!E29</f>
        <v>Solar</v>
      </c>
      <c r="G469" s="552" t="str">
        <f>'2017 Known'!F29</f>
        <v>Renew</v>
      </c>
    </row>
    <row r="470" spans="1:7" x14ac:dyDescent="0.25">
      <c r="A470" s="552">
        <v>2017</v>
      </c>
      <c r="B470" s="552" t="str">
        <f>'2017 Known'!A30</f>
        <v>Chelan PUD - RI &amp; RR</v>
      </c>
      <c r="C470" s="552">
        <f>'2017 Known'!B30</f>
        <v>2315054</v>
      </c>
      <c r="D470" s="552">
        <f>'2017 Known'!C30</f>
        <v>0</v>
      </c>
      <c r="E470" s="552" t="str">
        <f>'2017 Known'!D30</f>
        <v>Firm</v>
      </c>
      <c r="F470" s="552" t="str">
        <f>'2017 Known'!E30</f>
        <v>Hydro</v>
      </c>
      <c r="G470" s="552" t="str">
        <f>'2017 Known'!F30</f>
        <v>Renew</v>
      </c>
    </row>
    <row r="471" spans="1:7" x14ac:dyDescent="0.25">
      <c r="A471" s="552">
        <v>2017</v>
      </c>
      <c r="B471" s="552" t="str">
        <f>'2017 Known'!A31</f>
        <v>Chelan PUD - Rock Island Syst #2</v>
      </c>
      <c r="C471" s="552">
        <f>'2017 Known'!B31</f>
        <v>-39402</v>
      </c>
      <c r="D471" s="552">
        <f>'2017 Known'!C31</f>
        <v>0</v>
      </c>
      <c r="E471" s="552" t="str">
        <f>'2017 Known'!D31</f>
        <v>Firm</v>
      </c>
      <c r="F471" s="552" t="str">
        <f>'2017 Known'!E31</f>
        <v>Hydro</v>
      </c>
      <c r="G471" s="552" t="str">
        <f>'2017 Known'!F31</f>
        <v>Renew</v>
      </c>
    </row>
    <row r="472" spans="1:7" x14ac:dyDescent="0.25">
      <c r="A472" s="552">
        <v>2017</v>
      </c>
      <c r="B472" s="552" t="str">
        <f>'2017 Known'!A32</f>
        <v>Chelan PUD - Rocky Reach</v>
      </c>
      <c r="C472" s="552">
        <f>'2017 Known'!B32</f>
        <v>-81794</v>
      </c>
      <c r="D472" s="552">
        <f>'2017 Known'!C32</f>
        <v>0</v>
      </c>
      <c r="E472" s="552" t="str">
        <f>'2017 Known'!D32</f>
        <v>Firm</v>
      </c>
      <c r="F472" s="552" t="str">
        <f>'2017 Known'!E32</f>
        <v>Hydro</v>
      </c>
      <c r="G472" s="552" t="str">
        <f>'2017 Known'!F32</f>
        <v>Renew</v>
      </c>
    </row>
    <row r="473" spans="1:7" x14ac:dyDescent="0.25">
      <c r="A473" s="552">
        <v>2017</v>
      </c>
      <c r="B473" s="552" t="str">
        <f>'2017 Known'!A33</f>
        <v>Douglas PUD - Wells Project</v>
      </c>
      <c r="C473" s="552">
        <f>'2017 Known'!B33</f>
        <v>1111775</v>
      </c>
      <c r="D473" s="552">
        <f>'2017 Known'!C33</f>
        <v>0</v>
      </c>
      <c r="E473" s="552" t="str">
        <f>'2017 Known'!D33</f>
        <v>Firm</v>
      </c>
      <c r="F473" s="552" t="str">
        <f>'2017 Known'!E33</f>
        <v>Hydro</v>
      </c>
      <c r="G473" s="552" t="str">
        <f>'2017 Known'!F33</f>
        <v>Renew</v>
      </c>
    </row>
    <row r="474" spans="1:7" x14ac:dyDescent="0.25">
      <c r="A474" s="552">
        <v>2017</v>
      </c>
      <c r="B474" s="552" t="str">
        <f>'2017 Known'!A34</f>
        <v>Edaleen Dairy LLC</v>
      </c>
      <c r="C474" s="552">
        <f>'2017 Known'!B34</f>
        <v>4820.6949999999997</v>
      </c>
      <c r="D474" s="552">
        <f>'2017 Known'!C34</f>
        <v>0</v>
      </c>
      <c r="E474" s="552" t="str">
        <f>'2017 Known'!D34</f>
        <v>Firm</v>
      </c>
      <c r="F474" s="552" t="str">
        <f>'2017 Known'!E34</f>
        <v>Biogas</v>
      </c>
      <c r="G474" s="552" t="str">
        <f>'2017 Known'!F34</f>
        <v>Renew</v>
      </c>
    </row>
    <row r="475" spans="1:7" x14ac:dyDescent="0.25">
      <c r="A475" s="552">
        <v>2017</v>
      </c>
      <c r="B475" s="552" t="str">
        <f>'2017 Known'!A35</f>
        <v>Farm Power Lynden LLC</v>
      </c>
      <c r="C475" s="552">
        <f>'2017 Known'!B35</f>
        <v>4647.7740000000003</v>
      </c>
      <c r="D475" s="552">
        <f>'2017 Known'!C35</f>
        <v>0</v>
      </c>
      <c r="E475" s="552" t="str">
        <f>'2017 Known'!D35</f>
        <v>Firm</v>
      </c>
      <c r="F475" s="552" t="str">
        <f>'2017 Known'!E35</f>
        <v>Biogas</v>
      </c>
      <c r="G475" s="552" t="str">
        <f>'2017 Known'!F35</f>
        <v>Renew</v>
      </c>
    </row>
    <row r="476" spans="1:7" x14ac:dyDescent="0.25">
      <c r="A476" s="552">
        <v>2017</v>
      </c>
      <c r="B476" s="552" t="str">
        <f>'2017 Known'!A36</f>
        <v>Farm Power Rexville LLC</v>
      </c>
      <c r="C476" s="552">
        <f>'2017 Known'!B36</f>
        <v>5378.7089999999998</v>
      </c>
      <c r="D476" s="552">
        <f>'2017 Known'!C36</f>
        <v>0</v>
      </c>
      <c r="E476" s="552" t="str">
        <f>'2017 Known'!D36</f>
        <v>Firm</v>
      </c>
      <c r="F476" s="552" t="str">
        <f>'2017 Known'!E36</f>
        <v>Biogas</v>
      </c>
      <c r="G476" s="552" t="str">
        <f>'2017 Known'!F36</f>
        <v>Renew</v>
      </c>
    </row>
    <row r="477" spans="1:7" x14ac:dyDescent="0.25">
      <c r="A477" s="552">
        <v>2017</v>
      </c>
      <c r="B477" s="552" t="str">
        <f>'2017 Known'!A37</f>
        <v>Grant PUD - Priest Rapids Project</v>
      </c>
      <c r="C477" s="552">
        <f>'2017 Known'!B37</f>
        <v>49501</v>
      </c>
      <c r="D477" s="552">
        <f>'2017 Known'!C37</f>
        <v>0</v>
      </c>
      <c r="E477" s="552" t="str">
        <f>'2017 Known'!D37</f>
        <v>Firm</v>
      </c>
      <c r="F477" s="552" t="str">
        <f>'2017 Known'!E37</f>
        <v>Hydro</v>
      </c>
      <c r="G477" s="552" t="str">
        <f>'2017 Known'!F37</f>
        <v>Renew</v>
      </c>
    </row>
    <row r="478" spans="1:7" x14ac:dyDescent="0.25">
      <c r="A478" s="552">
        <v>2017</v>
      </c>
      <c r="B478" s="552" t="str">
        <f>'2017 Known'!A38</f>
        <v>Island Community Solar LLC</v>
      </c>
      <c r="C478" s="552">
        <f>'2017 Known'!B38</f>
        <v>61.43</v>
      </c>
      <c r="D478" s="552">
        <f>'2017 Known'!C38</f>
        <v>0</v>
      </c>
      <c r="E478" s="552" t="str">
        <f>'2017 Known'!D38</f>
        <v>Firm</v>
      </c>
      <c r="F478" s="552" t="str">
        <f>'2017 Known'!E38</f>
        <v>Solar</v>
      </c>
      <c r="G478" s="552" t="str">
        <f>'2017 Known'!F38</f>
        <v>Renew</v>
      </c>
    </row>
    <row r="479" spans="1:7" x14ac:dyDescent="0.25">
      <c r="A479" s="552">
        <v>2017</v>
      </c>
      <c r="B479" s="552" t="str">
        <f>'2017 Known'!A39</f>
        <v>Klondike Wind Power III</v>
      </c>
      <c r="C479" s="552">
        <f>'2017 Known'!B39</f>
        <v>110067</v>
      </c>
      <c r="D479" s="552">
        <f>'2017 Known'!C39</f>
        <v>0</v>
      </c>
      <c r="E479" s="552" t="str">
        <f>'2017 Known'!D39</f>
        <v>Firm</v>
      </c>
      <c r="F479" s="552" t="str">
        <f>'2017 Known'!E39</f>
        <v>Wind</v>
      </c>
      <c r="G479" s="552" t="str">
        <f>'2017 Known'!F39</f>
        <v>Renew</v>
      </c>
    </row>
    <row r="480" spans="1:7" x14ac:dyDescent="0.25">
      <c r="A480" s="552">
        <v>2017</v>
      </c>
      <c r="B480" s="552" t="str">
        <f>'2017 Known'!A40</f>
        <v>Knudsen Wind Turbine #1</v>
      </c>
      <c r="C480" s="552">
        <f>'2017 Known'!B40</f>
        <v>92.218999999999994</v>
      </c>
      <c r="D480" s="552">
        <f>'2017 Known'!C40</f>
        <v>0</v>
      </c>
      <c r="E480" s="552" t="str">
        <f>'2017 Known'!D40</f>
        <v>Firm</v>
      </c>
      <c r="F480" s="552" t="str">
        <f>'2017 Known'!E40</f>
        <v>Wind</v>
      </c>
      <c r="G480" s="552" t="str">
        <f>'2017 Known'!F40</f>
        <v>Renew</v>
      </c>
    </row>
    <row r="481" spans="1:7" x14ac:dyDescent="0.25">
      <c r="A481" s="552">
        <v>2017</v>
      </c>
      <c r="B481" s="552" t="str">
        <f>'2017 Known'!A41</f>
        <v>Rainier Bio Gas</v>
      </c>
      <c r="C481" s="552">
        <f>'2017 Known'!B41</f>
        <v>4857.9250000000002</v>
      </c>
      <c r="D481" s="552">
        <f>'2017 Known'!C41</f>
        <v>0</v>
      </c>
      <c r="E481" s="552" t="str">
        <f>'2017 Known'!D41</f>
        <v>Firm</v>
      </c>
      <c r="F481" s="552" t="str">
        <f>'2017 Known'!E41</f>
        <v>Biogas</v>
      </c>
      <c r="G481" s="552" t="str">
        <f>'2017 Known'!F41</f>
        <v>Renew</v>
      </c>
    </row>
    <row r="482" spans="1:7" x14ac:dyDescent="0.25">
      <c r="A482" s="552">
        <v>2017</v>
      </c>
      <c r="B482" s="552" t="str">
        <f>'2017 Known'!A42</f>
        <v>Skookumchuck Hydro</v>
      </c>
      <c r="C482" s="552">
        <f>'2017 Known'!B42</f>
        <v>6319.2089999999998</v>
      </c>
      <c r="D482" s="552">
        <f>'2017 Known'!C42</f>
        <v>0</v>
      </c>
      <c r="E482" s="552" t="str">
        <f>'2017 Known'!D42</f>
        <v>Firm</v>
      </c>
      <c r="F482" s="552" t="str">
        <f>'2017 Known'!E42</f>
        <v>Hydro</v>
      </c>
      <c r="G482" s="552" t="str">
        <f>'2017 Known'!F42</f>
        <v>Renew</v>
      </c>
    </row>
    <row r="483" spans="1:7" x14ac:dyDescent="0.25">
      <c r="A483" s="552">
        <v>2017</v>
      </c>
      <c r="B483" s="552" t="str">
        <f>'2017 Known'!A43</f>
        <v>Smith Creek Hydro</v>
      </c>
      <c r="C483" s="552">
        <f>'2017 Known'!B43</f>
        <v>126.348</v>
      </c>
      <c r="D483" s="552">
        <f>'2017 Known'!C43</f>
        <v>0</v>
      </c>
      <c r="E483" s="552" t="str">
        <f>'2017 Known'!D43</f>
        <v>Firm</v>
      </c>
      <c r="F483" s="552" t="str">
        <f>'2017 Known'!E43</f>
        <v>Hydro</v>
      </c>
      <c r="G483" s="552" t="str">
        <f>'2017 Known'!F43</f>
        <v>Renew</v>
      </c>
    </row>
    <row r="484" spans="1:7" x14ac:dyDescent="0.25">
      <c r="A484" s="552">
        <v>2017</v>
      </c>
      <c r="B484" s="552" t="str">
        <f>'2017 Known'!A44</f>
        <v>Swauk Wind</v>
      </c>
      <c r="C484" s="552">
        <f>'2017 Known'!B44</f>
        <v>9505.4670000000006</v>
      </c>
      <c r="D484" s="552">
        <f>'2017 Known'!C44</f>
        <v>0</v>
      </c>
      <c r="E484" s="552" t="str">
        <f>'2017 Known'!D44</f>
        <v>Firm</v>
      </c>
      <c r="F484" s="552" t="str">
        <f>'2017 Known'!E44</f>
        <v>Wind</v>
      </c>
      <c r="G484" s="552" t="str">
        <f>'2017 Known'!F44</f>
        <v>Renew</v>
      </c>
    </row>
    <row r="485" spans="1:7" x14ac:dyDescent="0.25">
      <c r="A485" s="552">
        <v>2017</v>
      </c>
      <c r="B485" s="552" t="str">
        <f>'2017 Known'!A45</f>
        <v>Transalta Centralia Generation LLC</v>
      </c>
      <c r="C485" s="552">
        <f>'2017 Known'!B45</f>
        <v>2070958</v>
      </c>
      <c r="D485" s="552">
        <f>'2017 Known'!C45</f>
        <v>2271967.6970738624</v>
      </c>
      <c r="E485" s="552" t="str">
        <f>'2017 Known'!D45</f>
        <v>Firm</v>
      </c>
      <c r="F485" s="552" t="str">
        <f>'2017 Known'!E45</f>
        <v>Coal</v>
      </c>
      <c r="G485" s="552" t="str">
        <f>'2017 Known'!F45</f>
        <v>Coal</v>
      </c>
    </row>
    <row r="486" spans="1:7" x14ac:dyDescent="0.25">
      <c r="A486" s="552">
        <v>2017</v>
      </c>
      <c r="B486" s="552" t="str">
        <f>'2017 Known'!A46</f>
        <v>Transalta Centralia Generation LLC - Bookout Source Other Adjustment</v>
      </c>
      <c r="C486" s="552">
        <f>'2017 Known'!B46</f>
        <v>1256783</v>
      </c>
      <c r="D486" s="552">
        <f>'2017 Known'!C46</f>
        <v>549214.17099999997</v>
      </c>
      <c r="E486" s="552" t="str">
        <f>'2017 Known'!D46</f>
        <v>Firm</v>
      </c>
      <c r="F486" s="552" t="str">
        <f>'2017 Known'!E46</f>
        <v>System</v>
      </c>
      <c r="G486" s="552" t="str">
        <f>'2017 Known'!F46</f>
        <v>System</v>
      </c>
    </row>
    <row r="487" spans="1:7" x14ac:dyDescent="0.25">
      <c r="A487" s="552">
        <v>2017</v>
      </c>
      <c r="B487" s="552" t="str">
        <f>'2017 Known'!A47</f>
        <v>Van Dyk - S Holsteins</v>
      </c>
      <c r="C487" s="552">
        <f>'2017 Known'!B47</f>
        <v>2344.8380000000002</v>
      </c>
      <c r="D487" s="552">
        <f>'2017 Known'!C47</f>
        <v>0</v>
      </c>
      <c r="E487" s="552" t="str">
        <f>'2017 Known'!D47</f>
        <v>Firm</v>
      </c>
      <c r="F487" s="552" t="str">
        <f>'2017 Known'!E47</f>
        <v>Biogas</v>
      </c>
      <c r="G487" s="552" t="str">
        <f>'2017 Known'!F47</f>
        <v>Renew</v>
      </c>
    </row>
    <row r="488" spans="1:7" x14ac:dyDescent="0.25">
      <c r="A488" s="552">
        <v>2017</v>
      </c>
      <c r="B488" s="552" t="str">
        <f>'2017 Known'!A48</f>
        <v>VanderHaak Dairy Digester</v>
      </c>
      <c r="C488" s="552">
        <f>'2017 Known'!B48</f>
        <v>2323.34</v>
      </c>
      <c r="D488" s="552">
        <f>'2017 Known'!C48</f>
        <v>0</v>
      </c>
      <c r="E488" s="552" t="str">
        <f>'2017 Known'!D48</f>
        <v>Firm</v>
      </c>
      <c r="F488" s="552" t="str">
        <f>'2017 Known'!E48</f>
        <v>Biogas</v>
      </c>
      <c r="G488" s="552" t="str">
        <f>'2017 Known'!F48</f>
        <v>Renew</v>
      </c>
    </row>
    <row r="489" spans="1:7" x14ac:dyDescent="0.25">
      <c r="A489" s="552">
        <v>2017</v>
      </c>
      <c r="B489" s="552" t="str">
        <f>'2017 Known'!A49</f>
        <v>Electron Hydro, LLC</v>
      </c>
      <c r="C489" s="552">
        <f>'2017 Known'!B49</f>
        <v>128751.664</v>
      </c>
      <c r="D489" s="552">
        <f>'2017 Known'!C49</f>
        <v>0</v>
      </c>
      <c r="E489" s="552" t="str">
        <f>'2017 Known'!D49</f>
        <v>Firm</v>
      </c>
      <c r="F489" s="552" t="str">
        <f>'2017 Known'!E49</f>
        <v>Hydro</v>
      </c>
      <c r="G489" s="552" t="str">
        <f>'2017 Known'!F49</f>
        <v>Renew</v>
      </c>
    </row>
    <row r="490" spans="1:7" x14ac:dyDescent="0.25">
      <c r="A490" s="552">
        <v>2017</v>
      </c>
      <c r="B490" s="552" t="str">
        <f>'2017 Known'!A50</f>
        <v>Emerald City Renewables</v>
      </c>
      <c r="C490" s="552">
        <f>'2017 Known'!B50</f>
        <v>36228.803999999996</v>
      </c>
      <c r="D490" s="552">
        <f>'2017 Known'!C50</f>
        <v>0</v>
      </c>
      <c r="E490" s="552" t="str">
        <f>'2017 Known'!D50</f>
        <v>Firm</v>
      </c>
      <c r="F490" s="552" t="str">
        <f>'2017 Known'!E50</f>
        <v>Biogas</v>
      </c>
      <c r="G490" s="552" t="str">
        <f>'2017 Known'!F50</f>
        <v>Renew</v>
      </c>
    </row>
    <row r="491" spans="1:7" x14ac:dyDescent="0.25">
      <c r="A491" s="552">
        <v>2017</v>
      </c>
      <c r="B491" s="552" t="str">
        <f>'2017 Known'!A51</f>
        <v>Ikea Solar</v>
      </c>
      <c r="C491" s="552">
        <f>'2017 Known'!B51</f>
        <v>81.850999999999999</v>
      </c>
      <c r="D491" s="552">
        <f>'2017 Known'!C51</f>
        <v>0</v>
      </c>
      <c r="E491" s="552" t="str">
        <f>'2017 Known'!D51</f>
        <v>Firm</v>
      </c>
      <c r="F491" s="552" t="str">
        <f>'2017 Known'!E51</f>
        <v>Solar</v>
      </c>
      <c r="G491" s="552" t="str">
        <f>'2017 Known'!F51</f>
        <v>Renew</v>
      </c>
    </row>
    <row r="492" spans="1:7" x14ac:dyDescent="0.25">
      <c r="A492" s="552">
        <v>2017</v>
      </c>
      <c r="B492" s="552" t="str">
        <f>'2017 Known'!A52</f>
        <v>Koma Kulshan Associates</v>
      </c>
      <c r="C492" s="552">
        <f>'2017 Known'!B52</f>
        <v>42816.692999999999</v>
      </c>
      <c r="D492" s="552">
        <f>'2017 Known'!C52</f>
        <v>0</v>
      </c>
      <c r="E492" s="552" t="str">
        <f>'2017 Known'!D52</f>
        <v>Firm</v>
      </c>
      <c r="F492" s="552" t="str">
        <f>'2017 Known'!E52</f>
        <v>Hydro</v>
      </c>
      <c r="G492" s="552" t="str">
        <f>'2017 Known'!F52</f>
        <v>Renew</v>
      </c>
    </row>
    <row r="493" spans="1:7" x14ac:dyDescent="0.25">
      <c r="A493" s="552">
        <v>2017</v>
      </c>
      <c r="B493" s="552" t="str">
        <f>'2017 Known'!A53</f>
        <v>Lake Washington -- Finn Hill</v>
      </c>
      <c r="C493" s="552">
        <f>'2017 Known'!B53</f>
        <v>309.72000000000003</v>
      </c>
      <c r="D493" s="552">
        <f>'2017 Known'!C53</f>
        <v>0</v>
      </c>
      <c r="E493" s="552" t="str">
        <f>'2017 Known'!D53</f>
        <v>Firm</v>
      </c>
      <c r="F493" s="552" t="str">
        <f>'2017 Known'!E53</f>
        <v>Biogas</v>
      </c>
      <c r="G493" s="552" t="str">
        <f>'2017 Known'!F53</f>
        <v>Renew</v>
      </c>
    </row>
    <row r="494" spans="1:7" x14ac:dyDescent="0.25">
      <c r="A494" s="552">
        <v>2017</v>
      </c>
      <c r="B494" s="552" t="str">
        <f>'2017 Known'!A54</f>
        <v>Nooksack</v>
      </c>
      <c r="C494" s="552">
        <f>'2017 Known'!B54</f>
        <v>21012.012999999999</v>
      </c>
      <c r="D494" s="552">
        <f>'2017 Known'!C54</f>
        <v>0</v>
      </c>
      <c r="E494" s="552" t="str">
        <f>'2017 Known'!D54</f>
        <v>Firm</v>
      </c>
      <c r="F494" s="552" t="str">
        <f>'2017 Known'!E54</f>
        <v>Hydro</v>
      </c>
      <c r="G494" s="552" t="str">
        <f>'2017 Known'!F54</f>
        <v>Renew</v>
      </c>
    </row>
    <row r="495" spans="1:7" x14ac:dyDescent="0.25">
      <c r="A495" s="552">
        <v>2017</v>
      </c>
      <c r="B495" s="552" t="str">
        <f>'2017 Known'!A55</f>
        <v>Sygitowicz Creek</v>
      </c>
      <c r="C495" s="552">
        <f>'2017 Known'!B55</f>
        <v>985.77700000000004</v>
      </c>
      <c r="D495" s="552">
        <f>'2017 Known'!C55</f>
        <v>0</v>
      </c>
      <c r="E495" s="552" t="str">
        <f>'2017 Known'!D55</f>
        <v>Firm</v>
      </c>
      <c r="F495" s="552" t="str">
        <f>'2017 Known'!E55</f>
        <v>Hydro</v>
      </c>
      <c r="G495" s="552" t="str">
        <f>'2017 Known'!F55</f>
        <v>Renew</v>
      </c>
    </row>
    <row r="496" spans="1:7" x14ac:dyDescent="0.25">
      <c r="A496" s="552">
        <v>2017</v>
      </c>
      <c r="B496" s="552" t="str">
        <f>'2017 Known'!A56</f>
        <v>Twin Falls Hydro</v>
      </c>
      <c r="C496" s="552">
        <f>'2017 Known'!B56</f>
        <v>77848.698999999993</v>
      </c>
      <c r="D496" s="552">
        <f>'2017 Known'!C56</f>
        <v>0</v>
      </c>
      <c r="E496" s="552" t="str">
        <f>'2017 Known'!D56</f>
        <v>Firm</v>
      </c>
      <c r="F496" s="552" t="str">
        <f>'2017 Known'!E56</f>
        <v>Hydro</v>
      </c>
      <c r="G496" s="552" t="str">
        <f>'2017 Known'!F56</f>
        <v>Renew</v>
      </c>
    </row>
    <row r="497" spans="1:7" x14ac:dyDescent="0.25">
      <c r="A497" s="552">
        <v>2017</v>
      </c>
      <c r="B497" s="552" t="str">
        <f>'2017 Known'!A57</f>
        <v>Weeks Falls</v>
      </c>
      <c r="C497" s="552">
        <f>'2017 Known'!B57</f>
        <v>13647.43</v>
      </c>
      <c r="D497" s="552">
        <f>'2017 Known'!C57</f>
        <v>0</v>
      </c>
      <c r="E497" s="552" t="str">
        <f>'2017 Known'!D57</f>
        <v>Firm</v>
      </c>
      <c r="F497" s="552" t="str">
        <f>'2017 Known'!E57</f>
        <v>Hydro</v>
      </c>
      <c r="G497" s="552" t="str">
        <f>'2017 Known'!F57</f>
        <v>Renew</v>
      </c>
    </row>
    <row r="498" spans="1:7" x14ac:dyDescent="0.25">
      <c r="A498" s="552">
        <v>2017</v>
      </c>
      <c r="B498" s="554" t="s">
        <v>462</v>
      </c>
      <c r="C498" s="556">
        <f>'2017 Unknown - Net by'!B80</f>
        <v>4630460.3780000005</v>
      </c>
      <c r="D498" s="556">
        <f>'2017 Unknown - Net by'!D80</f>
        <v>1958569.5986324535</v>
      </c>
      <c r="E498" s="557" t="s">
        <v>473</v>
      </c>
      <c r="F498" s="552" t="s">
        <v>432</v>
      </c>
      <c r="G498" s="552" t="s">
        <v>432</v>
      </c>
    </row>
    <row r="499" spans="1:7" x14ac:dyDescent="0.25">
      <c r="A499" s="552">
        <v>2018</v>
      </c>
      <c r="B499" s="552" t="str">
        <f>'2018 Known'!A4</f>
        <v>Lower Baker</v>
      </c>
      <c r="C499" s="552">
        <f>'2018 Known'!B4</f>
        <v>385262.2</v>
      </c>
      <c r="D499" s="552">
        <f>'2018 Known'!C4</f>
        <v>0</v>
      </c>
      <c r="E499" s="552" t="str">
        <f>'2018 Known'!D4</f>
        <v>Own</v>
      </c>
      <c r="F499" s="552" t="str">
        <f>'2018 Known'!E4</f>
        <v>Hydro</v>
      </c>
      <c r="G499" s="552" t="str">
        <f>'2018 Known'!F4</f>
        <v>Renew</v>
      </c>
    </row>
    <row r="500" spans="1:7" x14ac:dyDescent="0.25">
      <c r="A500" s="552">
        <v>2018</v>
      </c>
      <c r="B500" s="552" t="str">
        <f>'2018 Known'!A5</f>
        <v>Snoqualmie Falls #1</v>
      </c>
      <c r="C500" s="552">
        <f>'2018 Known'!B5</f>
        <v>68320</v>
      </c>
      <c r="D500" s="552">
        <f>'2018 Known'!C5</f>
        <v>0</v>
      </c>
      <c r="E500" s="552" t="str">
        <f>'2018 Known'!D5</f>
        <v>Own</v>
      </c>
      <c r="F500" s="552" t="str">
        <f>'2018 Known'!E5</f>
        <v>Hydro</v>
      </c>
      <c r="G500" s="552" t="str">
        <f>'2018 Known'!F5</f>
        <v>Renew</v>
      </c>
    </row>
    <row r="501" spans="1:7" x14ac:dyDescent="0.25">
      <c r="A501" s="552">
        <v>2018</v>
      </c>
      <c r="B501" s="552" t="str">
        <f>'2018 Known'!A6</f>
        <v>Snoqualmie Falls #2</v>
      </c>
      <c r="C501" s="552">
        <f>'2018 Known'!B6</f>
        <v>127167</v>
      </c>
      <c r="D501" s="552">
        <f>'2018 Known'!C6</f>
        <v>0</v>
      </c>
      <c r="E501" s="552" t="str">
        <f>'2018 Known'!D6</f>
        <v>Own</v>
      </c>
      <c r="F501" s="552" t="str">
        <f>'2018 Known'!E6</f>
        <v>Hydro</v>
      </c>
      <c r="G501" s="552" t="str">
        <f>'2018 Known'!F6</f>
        <v>Renew</v>
      </c>
    </row>
    <row r="502" spans="1:7" x14ac:dyDescent="0.25">
      <c r="A502" s="552">
        <v>2018</v>
      </c>
      <c r="B502" s="552" t="str">
        <f>'2018 Known'!A7</f>
        <v>Upper Baker</v>
      </c>
      <c r="C502" s="552">
        <f>'2018 Known'!B7</f>
        <v>333791.18</v>
      </c>
      <c r="D502" s="552">
        <f>'2018 Known'!C7</f>
        <v>0</v>
      </c>
      <c r="E502" s="552" t="str">
        <f>'2018 Known'!D7</f>
        <v>Own</v>
      </c>
      <c r="F502" s="552" t="str">
        <f>'2018 Known'!E7</f>
        <v>Hydro</v>
      </c>
      <c r="G502" s="552" t="str">
        <f>'2018 Known'!F7</f>
        <v>Renew</v>
      </c>
    </row>
    <row r="503" spans="1:7" x14ac:dyDescent="0.25">
      <c r="A503" s="552">
        <v>2018</v>
      </c>
      <c r="B503" s="552" t="str">
        <f>'2018 Known'!A8</f>
        <v>Colstrip</v>
      </c>
      <c r="C503" s="552">
        <f>'2018 Known'!B8</f>
        <v>4084896</v>
      </c>
      <c r="D503" s="552">
        <f>'2018 Known'!C8</f>
        <v>4255200.8134401999</v>
      </c>
      <c r="E503" s="552" t="str">
        <f>'2018 Known'!D8</f>
        <v>Own</v>
      </c>
      <c r="F503" s="552" t="str">
        <f>'2018 Known'!E8</f>
        <v>Coal</v>
      </c>
      <c r="G503" s="552" t="str">
        <f>'2018 Known'!F8</f>
        <v>Coal</v>
      </c>
    </row>
    <row r="504" spans="1:7" x14ac:dyDescent="0.25">
      <c r="A504" s="552">
        <v>2018</v>
      </c>
      <c r="B504" s="552" t="str">
        <f>'2018 Known'!A9</f>
        <v>Crystal Mountain</v>
      </c>
      <c r="C504" s="552">
        <f>'2018 Known'!B9</f>
        <v>70.89</v>
      </c>
      <c r="D504" s="552">
        <f>'2018 Known'!C9</f>
        <v>62.021941855755841</v>
      </c>
      <c r="E504" s="552" t="str">
        <f>'2018 Known'!D9</f>
        <v>Own</v>
      </c>
      <c r="F504" s="552" t="str">
        <f>'2018 Known'!E9</f>
        <v>Diesel</v>
      </c>
      <c r="G504" s="552" t="str">
        <f>'2018 Known'!F9</f>
        <v>Gas</v>
      </c>
    </row>
    <row r="505" spans="1:7" x14ac:dyDescent="0.25">
      <c r="A505" s="552">
        <v>2018</v>
      </c>
      <c r="B505" s="552" t="str">
        <f>'2018 Known'!A10</f>
        <v>Encogen</v>
      </c>
      <c r="C505" s="552">
        <f>'2018 Known'!B10</f>
        <v>203108.18</v>
      </c>
      <c r="D505" s="552">
        <f>'2018 Known'!C10</f>
        <v>96452.991999999998</v>
      </c>
      <c r="E505" s="552" t="str">
        <f>'2018 Known'!D10</f>
        <v>Own</v>
      </c>
      <c r="F505" s="552" t="str">
        <f>'2018 Known'!E10</f>
        <v>Gas</v>
      </c>
      <c r="G505" s="552" t="str">
        <f>'2018 Known'!F10</f>
        <v>Gas</v>
      </c>
    </row>
    <row r="506" spans="1:7" x14ac:dyDescent="0.25">
      <c r="A506" s="552">
        <v>2018</v>
      </c>
      <c r="B506" s="552" t="str">
        <f>'2018 Known'!A11</f>
        <v>Ferndale</v>
      </c>
      <c r="C506" s="552">
        <f>'2018 Known'!B11</f>
        <v>675396</v>
      </c>
      <c r="D506" s="552">
        <f>'2018 Known'!C11</f>
        <v>302529.48</v>
      </c>
      <c r="E506" s="552" t="str">
        <f>'2018 Known'!D11</f>
        <v>Own</v>
      </c>
      <c r="F506" s="552" t="str">
        <f>'2018 Known'!E11</f>
        <v>Gas</v>
      </c>
      <c r="G506" s="552" t="str">
        <f>'2018 Known'!F11</f>
        <v>Gas</v>
      </c>
    </row>
    <row r="507" spans="1:7" x14ac:dyDescent="0.25">
      <c r="A507" s="552">
        <v>2018</v>
      </c>
      <c r="B507" s="552" t="str">
        <f>'2018 Known'!A12</f>
        <v>Frederickson</v>
      </c>
      <c r="C507" s="552">
        <f>'2018 Known'!B12</f>
        <v>42781.54</v>
      </c>
      <c r="D507" s="552">
        <f>'2018 Known'!C12</f>
        <v>41003.593999999997</v>
      </c>
      <c r="E507" s="552" t="str">
        <f>'2018 Known'!D12</f>
        <v>Own</v>
      </c>
      <c r="F507" s="552" t="str">
        <f>'2018 Known'!E12</f>
        <v>Gas</v>
      </c>
      <c r="G507" s="552" t="str">
        <f>'2018 Known'!F12</f>
        <v>Gas</v>
      </c>
    </row>
    <row r="508" spans="1:7" x14ac:dyDescent="0.25">
      <c r="A508" s="552">
        <v>2018</v>
      </c>
      <c r="B508" s="552" t="str">
        <f>'2018 Known'!A13</f>
        <v>Fredonia</v>
      </c>
      <c r="C508" s="552">
        <f>'2018 Known'!B13</f>
        <v>134482.9</v>
      </c>
      <c r="D508" s="552">
        <f>'2018 Known'!C13</f>
        <v>101465.656</v>
      </c>
      <c r="E508" s="552" t="str">
        <f>'2018 Known'!D13</f>
        <v>Own</v>
      </c>
      <c r="F508" s="552" t="str">
        <f>'2018 Known'!E13</f>
        <v>Gas</v>
      </c>
      <c r="G508" s="552" t="str">
        <f>'2018 Known'!F13</f>
        <v>Gas</v>
      </c>
    </row>
    <row r="509" spans="1:7" x14ac:dyDescent="0.25">
      <c r="A509" s="552">
        <v>2018</v>
      </c>
      <c r="B509" s="552" t="str">
        <f>'2018 Known'!A14</f>
        <v>Frederickson Unit 1</v>
      </c>
      <c r="C509" s="552">
        <f>'2018 Known'!B14</f>
        <v>353716.65700000001</v>
      </c>
      <c r="D509" s="552">
        <f>'2018 Known'!C14</f>
        <v>134643.45420000001</v>
      </c>
      <c r="E509" s="552" t="str">
        <f>'2018 Known'!D14</f>
        <v>Own</v>
      </c>
      <c r="F509" s="552" t="str">
        <f>'2018 Known'!E14</f>
        <v>Gas</v>
      </c>
      <c r="G509" s="552" t="str">
        <f>'2018 Known'!F14</f>
        <v>Gas</v>
      </c>
    </row>
    <row r="510" spans="1:7" x14ac:dyDescent="0.25">
      <c r="A510" s="552">
        <v>2018</v>
      </c>
      <c r="B510" s="552" t="str">
        <f>'2018 Known'!A15</f>
        <v>Goldendale</v>
      </c>
      <c r="C510" s="552">
        <f>'2018 Known'!B15</f>
        <v>1113146</v>
      </c>
      <c r="D510" s="552">
        <f>'2018 Known'!C15</f>
        <v>425704.37199999997</v>
      </c>
      <c r="E510" s="552" t="str">
        <f>'2018 Known'!D15</f>
        <v>Own</v>
      </c>
      <c r="F510" s="552" t="str">
        <f>'2018 Known'!E15</f>
        <v>Gas</v>
      </c>
      <c r="G510" s="552" t="str">
        <f>'2018 Known'!F15</f>
        <v>Gas</v>
      </c>
    </row>
    <row r="511" spans="1:7" x14ac:dyDescent="0.25">
      <c r="A511" s="552">
        <v>2018</v>
      </c>
      <c r="B511" s="552" t="str">
        <f>'2018 Known'!A16</f>
        <v>Mint Farm</v>
      </c>
      <c r="C511" s="552">
        <f>'2018 Known'!B16</f>
        <v>1412744.7</v>
      </c>
      <c r="D511" s="552">
        <f>'2018 Known'!C16</f>
        <v>547915.62</v>
      </c>
      <c r="E511" s="552" t="str">
        <f>'2018 Known'!D16</f>
        <v>Own</v>
      </c>
      <c r="F511" s="552" t="str">
        <f>'2018 Known'!E16</f>
        <v>Gas</v>
      </c>
      <c r="G511" s="552" t="str">
        <f>'2018 Known'!F16</f>
        <v>Gas</v>
      </c>
    </row>
    <row r="512" spans="1:7" x14ac:dyDescent="0.25">
      <c r="A512" s="552">
        <v>2018</v>
      </c>
      <c r="B512" s="552" t="str">
        <f>'2018 Known'!A17</f>
        <v>Sumas</v>
      </c>
      <c r="C512" s="552">
        <f>'2018 Known'!B17</f>
        <v>279593.3</v>
      </c>
      <c r="D512" s="552">
        <f>'2018 Known'!C17</f>
        <v>131165.864</v>
      </c>
      <c r="E512" s="552" t="str">
        <f>'2018 Known'!D17</f>
        <v>Own</v>
      </c>
      <c r="F512" s="552" t="str">
        <f>'2018 Known'!E17</f>
        <v>Gas</v>
      </c>
      <c r="G512" s="552" t="str">
        <f>'2018 Known'!F17</f>
        <v>Gas</v>
      </c>
    </row>
    <row r="513" spans="1:7" x14ac:dyDescent="0.25">
      <c r="A513" s="552">
        <v>2018</v>
      </c>
      <c r="B513" s="552" t="str">
        <f>'2018 Known'!A18</f>
        <v>Whitehorn</v>
      </c>
      <c r="C513" s="552">
        <f>'2018 Known'!B18</f>
        <v>29898.3</v>
      </c>
      <c r="D513" s="552">
        <f>'2018 Known'!C18</f>
        <v>44530.631999999998</v>
      </c>
      <c r="E513" s="552" t="str">
        <f>'2018 Known'!D18</f>
        <v>Own</v>
      </c>
      <c r="F513" s="552" t="str">
        <f>'2018 Known'!E18</f>
        <v>Gas</v>
      </c>
      <c r="G513" s="552" t="str">
        <f>'2018 Known'!F18</f>
        <v>Gas</v>
      </c>
    </row>
    <row r="514" spans="1:7" x14ac:dyDescent="0.25">
      <c r="A514" s="552">
        <v>2018</v>
      </c>
      <c r="B514" s="552" t="str">
        <f>'2018 Known'!A19</f>
        <v>Wild Horse (W183)</v>
      </c>
      <c r="C514" s="552">
        <f>'2018 Known'!B19</f>
        <v>638688.50100000005</v>
      </c>
      <c r="D514" s="552">
        <f>'2018 Known'!C19</f>
        <v>0</v>
      </c>
      <c r="E514" s="552" t="str">
        <f>'2018 Known'!D19</f>
        <v>Own</v>
      </c>
      <c r="F514" s="552" t="str">
        <f>'2018 Known'!E19</f>
        <v>Wind</v>
      </c>
      <c r="G514" s="552" t="str">
        <f>'2018 Known'!F19</f>
        <v>Renew</v>
      </c>
    </row>
    <row r="515" spans="1:7" x14ac:dyDescent="0.25">
      <c r="A515" s="552">
        <v>2018</v>
      </c>
      <c r="B515" s="552" t="str">
        <f>'2018 Known'!A20</f>
        <v>Lower Snake River</v>
      </c>
      <c r="C515" s="552">
        <f>'2018 Known'!B20</f>
        <v>882776.64599999995</v>
      </c>
      <c r="D515" s="552">
        <f>'2018 Known'!C20</f>
        <v>0</v>
      </c>
      <c r="E515" s="552" t="str">
        <f>'2018 Known'!D20</f>
        <v>Own</v>
      </c>
      <c r="F515" s="552" t="str">
        <f>'2018 Known'!E20</f>
        <v>Wind</v>
      </c>
      <c r="G515" s="552" t="str">
        <f>'2018 Known'!F20</f>
        <v>Renew</v>
      </c>
    </row>
    <row r="516" spans="1:7" x14ac:dyDescent="0.25">
      <c r="A516" s="552">
        <v>2018</v>
      </c>
      <c r="B516" s="552" t="str">
        <f>'2018 Known'!A21</f>
        <v>Hopkins Ridge (W184)</v>
      </c>
      <c r="C516" s="552">
        <f>'2018 Known'!B21</f>
        <v>410912.79200000002</v>
      </c>
      <c r="D516" s="552">
        <f>'2018 Known'!C21</f>
        <v>0</v>
      </c>
      <c r="E516" s="552" t="str">
        <f>'2018 Known'!D21</f>
        <v>Own</v>
      </c>
      <c r="F516" s="552" t="str">
        <f>'2018 Known'!E21</f>
        <v>Wind</v>
      </c>
      <c r="G516" s="552" t="str">
        <f>'2018 Known'!F21</f>
        <v>Renew</v>
      </c>
    </row>
    <row r="517" spans="1:7" x14ac:dyDescent="0.25">
      <c r="A517" s="552">
        <v>2018</v>
      </c>
      <c r="B517" s="552" t="str">
        <f>'2018 Known'!A22</f>
        <v>Bio Energy Washington (BEW)</v>
      </c>
      <c r="C517" s="552">
        <f>'2018 Known'!B22</f>
        <v>0.81100000000000005</v>
      </c>
      <c r="D517" s="552">
        <f>'2018 Known'!C22</f>
        <v>0</v>
      </c>
      <c r="E517" s="552" t="str">
        <f>'2018 Known'!D22</f>
        <v>Firm</v>
      </c>
      <c r="F517" s="552" t="str">
        <f>'2018 Known'!E22</f>
        <v>Biogas</v>
      </c>
      <c r="G517" s="552" t="str">
        <f>'2018 Known'!F22</f>
        <v>Renew</v>
      </c>
    </row>
    <row r="518" spans="1:7" x14ac:dyDescent="0.25">
      <c r="A518" s="552">
        <v>2018</v>
      </c>
      <c r="B518" s="552" t="str">
        <f>'2018 Known'!A23</f>
        <v>Blocks Dairy Farm</v>
      </c>
      <c r="C518" s="552">
        <f>'2018 Known'!B23</f>
        <v>22.65</v>
      </c>
      <c r="D518" s="552">
        <f>'2018 Known'!C23</f>
        <v>0</v>
      </c>
      <c r="E518" s="552" t="str">
        <f>'2018 Known'!D23</f>
        <v>Firm</v>
      </c>
      <c r="F518" s="552" t="str">
        <f>'2018 Known'!E23</f>
        <v>Biogas</v>
      </c>
      <c r="G518" s="552" t="str">
        <f>'2018 Known'!F23</f>
        <v>Renew</v>
      </c>
    </row>
    <row r="519" spans="1:7" x14ac:dyDescent="0.25">
      <c r="A519" s="552">
        <v>2018</v>
      </c>
      <c r="B519" s="552" t="str">
        <f>'2018 Known'!A24</f>
        <v>Edaleen Dairy LLC</v>
      </c>
      <c r="C519" s="552">
        <f>'2018 Known'!B24</f>
        <v>4700.7650000000003</v>
      </c>
      <c r="D519" s="552">
        <f>'2018 Known'!C24</f>
        <v>0</v>
      </c>
      <c r="E519" s="552" t="str">
        <f>'2018 Known'!D24</f>
        <v>Firm</v>
      </c>
      <c r="F519" s="552" t="str">
        <f>'2018 Known'!E24</f>
        <v>Biogas</v>
      </c>
      <c r="G519" s="552" t="str">
        <f>'2018 Known'!F24</f>
        <v>Renew</v>
      </c>
    </row>
    <row r="520" spans="1:7" x14ac:dyDescent="0.25">
      <c r="A520" s="552">
        <v>2018</v>
      </c>
      <c r="B520" s="552" t="str">
        <f>'2018 Known'!A25</f>
        <v>Emerald City Renewables</v>
      </c>
      <c r="C520" s="552">
        <f>'2018 Known'!B25</f>
        <v>33931.550999999999</v>
      </c>
      <c r="D520" s="552">
        <f>'2018 Known'!C25</f>
        <v>0</v>
      </c>
      <c r="E520" s="552" t="str">
        <f>'2018 Known'!D25</f>
        <v>Firm</v>
      </c>
      <c r="F520" s="552" t="str">
        <f>'2018 Known'!E25</f>
        <v>Biogas</v>
      </c>
      <c r="G520" s="552" t="str">
        <f>'2018 Known'!F25</f>
        <v>Renew</v>
      </c>
    </row>
    <row r="521" spans="1:7" x14ac:dyDescent="0.25">
      <c r="A521" s="552">
        <v>2018</v>
      </c>
      <c r="B521" s="552" t="str">
        <f>'2018 Known'!A26</f>
        <v>Farm Power Lynden LLC</v>
      </c>
      <c r="C521" s="552">
        <f>'2018 Known'!B26</f>
        <v>5065.2349999999997</v>
      </c>
      <c r="D521" s="552">
        <f>'2018 Known'!C26</f>
        <v>0</v>
      </c>
      <c r="E521" s="552" t="str">
        <f>'2018 Known'!D26</f>
        <v>Firm</v>
      </c>
      <c r="F521" s="552" t="str">
        <f>'2018 Known'!E26</f>
        <v>Biogas</v>
      </c>
      <c r="G521" s="552" t="str">
        <f>'2018 Known'!F26</f>
        <v>Renew</v>
      </c>
    </row>
    <row r="522" spans="1:7" x14ac:dyDescent="0.25">
      <c r="A522" s="552">
        <v>2018</v>
      </c>
      <c r="B522" s="552" t="str">
        <f>'2018 Known'!A27</f>
        <v>Farm Power Rexville LLC</v>
      </c>
      <c r="C522" s="552">
        <f>'2018 Known'!B27</f>
        <v>4650.1229999999996</v>
      </c>
      <c r="D522" s="552">
        <f>'2018 Known'!C27</f>
        <v>0</v>
      </c>
      <c r="E522" s="552" t="str">
        <f>'2018 Known'!D27</f>
        <v>Firm</v>
      </c>
      <c r="F522" s="552" t="str">
        <f>'2018 Known'!E27</f>
        <v>Biogas</v>
      </c>
      <c r="G522" s="552" t="str">
        <f>'2018 Known'!F27</f>
        <v>Renew</v>
      </c>
    </row>
    <row r="523" spans="1:7" x14ac:dyDescent="0.25">
      <c r="A523" s="552">
        <v>2018</v>
      </c>
      <c r="B523" s="552" t="str">
        <f>'2018 Known'!A28</f>
        <v>Lake Washington -- Finn Hill</v>
      </c>
      <c r="C523" s="552">
        <f>'2018 Known'!B28</f>
        <v>261.25299999999999</v>
      </c>
      <c r="D523" s="552">
        <f>'2018 Known'!C28</f>
        <v>0</v>
      </c>
      <c r="E523" s="552" t="str">
        <f>'2018 Known'!D28</f>
        <v>Firm</v>
      </c>
      <c r="F523" s="552" t="str">
        <f>'2018 Known'!E28</f>
        <v>Biogas</v>
      </c>
      <c r="G523" s="552" t="str">
        <f>'2018 Known'!F28</f>
        <v>Renew</v>
      </c>
    </row>
    <row r="524" spans="1:7" x14ac:dyDescent="0.25">
      <c r="A524" s="552">
        <v>2018</v>
      </c>
      <c r="B524" s="552" t="str">
        <f>'2018 Known'!A29</f>
        <v>Rainier Bio Gas</v>
      </c>
      <c r="C524" s="552">
        <f>'2018 Known'!B29</f>
        <v>5376.26</v>
      </c>
      <c r="D524" s="552">
        <f>'2018 Known'!C29</f>
        <v>0</v>
      </c>
      <c r="E524" s="552" t="str">
        <f>'2018 Known'!D29</f>
        <v>Firm</v>
      </c>
      <c r="F524" s="552" t="str">
        <f>'2018 Known'!E29</f>
        <v>Biogas</v>
      </c>
      <c r="G524" s="552" t="str">
        <f>'2018 Known'!F29</f>
        <v>Renew</v>
      </c>
    </row>
    <row r="525" spans="1:7" x14ac:dyDescent="0.25">
      <c r="A525" s="552">
        <v>2018</v>
      </c>
      <c r="B525" s="552" t="str">
        <f>'2018 Known'!A30</f>
        <v>Van Dyk - S Holsteins</v>
      </c>
      <c r="C525" s="552">
        <f>'2018 Known'!B30</f>
        <v>992.28399999999999</v>
      </c>
      <c r="D525" s="552">
        <f>'2018 Known'!C30</f>
        <v>0</v>
      </c>
      <c r="E525" s="552" t="str">
        <f>'2018 Known'!D30</f>
        <v>Firm</v>
      </c>
      <c r="F525" s="552" t="str">
        <f>'2018 Known'!E30</f>
        <v>Biogas</v>
      </c>
      <c r="G525" s="552" t="str">
        <f>'2018 Known'!F30</f>
        <v>Renew</v>
      </c>
    </row>
    <row r="526" spans="1:7" x14ac:dyDescent="0.25">
      <c r="A526" s="552">
        <v>2018</v>
      </c>
      <c r="B526" s="552" t="str">
        <f>'2018 Known'!A31</f>
        <v>VanderHaak Dairy Digester</v>
      </c>
      <c r="C526" s="552">
        <f>'2018 Known'!B31</f>
        <v>3597.77</v>
      </c>
      <c r="D526" s="552">
        <f>'2018 Known'!C31</f>
        <v>0</v>
      </c>
      <c r="E526" s="552" t="str">
        <f>'2018 Known'!D31</f>
        <v>Firm</v>
      </c>
      <c r="F526" s="552" t="str">
        <f>'2018 Known'!E31</f>
        <v>Biogas</v>
      </c>
      <c r="G526" s="552" t="str">
        <f>'2018 Known'!F31</f>
        <v>Renew</v>
      </c>
    </row>
    <row r="527" spans="1:7" x14ac:dyDescent="0.25">
      <c r="A527" s="552">
        <v>2018</v>
      </c>
      <c r="B527" s="552" t="str">
        <f>'2018 Known'!A32</f>
        <v>Transalta Centralia Generation LLC</v>
      </c>
      <c r="C527" s="552">
        <f>'2018 Known'!B32</f>
        <v>2067688</v>
      </c>
      <c r="D527" s="552">
        <f>'2018 Known'!C32</f>
        <v>2348792.2063809587</v>
      </c>
      <c r="E527" s="552" t="str">
        <f>'2018 Known'!D32</f>
        <v>Firm</v>
      </c>
      <c r="F527" s="552" t="str">
        <f>'2018 Known'!E32</f>
        <v>Coal</v>
      </c>
      <c r="G527" s="552" t="str">
        <f>'2018 Known'!F32</f>
        <v>Coal</v>
      </c>
    </row>
    <row r="528" spans="1:7" x14ac:dyDescent="0.25">
      <c r="A528" s="552">
        <v>2018</v>
      </c>
      <c r="B528" s="552" t="str">
        <f>'2018 Known'!A33</f>
        <v>Black Creek Hydro Inc</v>
      </c>
      <c r="C528" s="552">
        <f>'2018 Known'!B33</f>
        <v>11824.36</v>
      </c>
      <c r="D528" s="552">
        <f>'2018 Known'!C33</f>
        <v>0</v>
      </c>
      <c r="E528" s="552" t="str">
        <f>'2018 Known'!D33</f>
        <v>Firm</v>
      </c>
      <c r="F528" s="552" t="str">
        <f>'2018 Known'!E33</f>
        <v>Hydro</v>
      </c>
      <c r="G528" s="552" t="str">
        <f>'2018 Known'!F33</f>
        <v>Renew</v>
      </c>
    </row>
    <row r="529" spans="1:7" x14ac:dyDescent="0.25">
      <c r="A529" s="552">
        <v>2018</v>
      </c>
      <c r="B529" s="552" t="str">
        <f>'2018 Known'!A34</f>
        <v>Chelan PUD - RI &amp; RR</v>
      </c>
      <c r="C529" s="552">
        <f>'2018 Known'!B34</f>
        <v>2367842</v>
      </c>
      <c r="D529" s="552">
        <f>'2018 Known'!C34</f>
        <v>0</v>
      </c>
      <c r="E529" s="552" t="str">
        <f>'2018 Known'!D34</f>
        <v>Firm</v>
      </c>
      <c r="F529" s="552" t="str">
        <f>'2018 Known'!E34</f>
        <v>Hydro</v>
      </c>
      <c r="G529" s="552" t="str">
        <f>'2018 Known'!F34</f>
        <v>Renew</v>
      </c>
    </row>
    <row r="530" spans="1:7" x14ac:dyDescent="0.25">
      <c r="A530" s="552">
        <v>2018</v>
      </c>
      <c r="B530" s="552" t="str">
        <f>'2018 Known'!A35</f>
        <v>Chelan PUD - Rock Island Syst #2</v>
      </c>
      <c r="C530" s="552">
        <f>'2018 Known'!B35</f>
        <v>-39039</v>
      </c>
      <c r="D530" s="552">
        <f>'2018 Known'!C35</f>
        <v>0</v>
      </c>
      <c r="E530" s="552" t="str">
        <f>'2018 Known'!D35</f>
        <v>Firm</v>
      </c>
      <c r="F530" s="552" t="str">
        <f>'2018 Known'!E35</f>
        <v>Hydro</v>
      </c>
      <c r="G530" s="552" t="str">
        <f>'2018 Known'!F35</f>
        <v>Renew</v>
      </c>
    </row>
    <row r="531" spans="1:7" x14ac:dyDescent="0.25">
      <c r="A531" s="552">
        <v>2018</v>
      </c>
      <c r="B531" s="552" t="str">
        <f>'2018 Known'!A36</f>
        <v>Chelan PUD - Rocky Reach</v>
      </c>
      <c r="C531" s="552">
        <f>'2018 Known'!B36</f>
        <v>-81380</v>
      </c>
      <c r="D531" s="552">
        <f>'2018 Known'!C36</f>
        <v>0</v>
      </c>
      <c r="E531" s="552" t="str">
        <f>'2018 Known'!D36</f>
        <v>Firm</v>
      </c>
      <c r="F531" s="552" t="str">
        <f>'2018 Known'!E36</f>
        <v>Hydro</v>
      </c>
      <c r="G531" s="552" t="str">
        <f>'2018 Known'!F36</f>
        <v>Renew</v>
      </c>
    </row>
    <row r="532" spans="1:7" x14ac:dyDescent="0.25">
      <c r="A532" s="552">
        <v>2018</v>
      </c>
      <c r="B532" s="552" t="str">
        <f>'2018 Known'!A37</f>
        <v>Douglas PUD - Wells Project</v>
      </c>
      <c r="C532" s="552">
        <f>'2018 Known'!B37</f>
        <v>1168961</v>
      </c>
      <c r="D532" s="552">
        <f>'2018 Known'!C37</f>
        <v>0</v>
      </c>
      <c r="E532" s="552" t="str">
        <f>'2018 Known'!D37</f>
        <v>Firm</v>
      </c>
      <c r="F532" s="552" t="str">
        <f>'2018 Known'!E37</f>
        <v>Hydro</v>
      </c>
      <c r="G532" s="552" t="str">
        <f>'2018 Known'!F37</f>
        <v>Renew</v>
      </c>
    </row>
    <row r="533" spans="1:7" x14ac:dyDescent="0.25">
      <c r="A533" s="552">
        <v>2018</v>
      </c>
      <c r="B533" s="552" t="str">
        <f>'2018 Known'!A38</f>
        <v>Electron Hydro, LLC</v>
      </c>
      <c r="C533" s="552">
        <f>'2018 Known'!B38</f>
        <v>136215.48300000001</v>
      </c>
      <c r="D533" s="552">
        <f>'2018 Known'!C38</f>
        <v>0</v>
      </c>
      <c r="E533" s="552" t="str">
        <f>'2018 Known'!D38</f>
        <v>Firm</v>
      </c>
      <c r="F533" s="552" t="str">
        <f>'2018 Known'!E38</f>
        <v>Hydro</v>
      </c>
      <c r="G533" s="552" t="str">
        <f>'2018 Known'!F38</f>
        <v>Renew</v>
      </c>
    </row>
    <row r="534" spans="1:7" x14ac:dyDescent="0.25">
      <c r="A534" s="552">
        <v>2018</v>
      </c>
      <c r="B534" s="552" t="str">
        <f>'2018 Known'!A39</f>
        <v>Grant PUD - Priest Rapids Project</v>
      </c>
      <c r="C534" s="552">
        <f>'2018 Known'!B39</f>
        <v>52318</v>
      </c>
      <c r="D534" s="552">
        <f>'2018 Known'!C39</f>
        <v>0</v>
      </c>
      <c r="E534" s="552" t="str">
        <f>'2018 Known'!D39</f>
        <v>Firm</v>
      </c>
      <c r="F534" s="552" t="str">
        <f>'2018 Known'!E39</f>
        <v>Hydro</v>
      </c>
      <c r="G534" s="552" t="str">
        <f>'2018 Known'!F39</f>
        <v>Renew</v>
      </c>
    </row>
    <row r="535" spans="1:7" x14ac:dyDescent="0.25">
      <c r="A535" s="552">
        <v>2018</v>
      </c>
      <c r="B535" s="552" t="str">
        <f>'2018 Known'!A40</f>
        <v>Koma Kulshan Associates</v>
      </c>
      <c r="C535" s="552">
        <f>'2018 Known'!B40</f>
        <v>41921.237999999998</v>
      </c>
      <c r="D535" s="552">
        <f>'2018 Known'!C40</f>
        <v>0</v>
      </c>
      <c r="E535" s="552" t="str">
        <f>'2018 Known'!D40</f>
        <v>Firm</v>
      </c>
      <c r="F535" s="552" t="str">
        <f>'2018 Known'!E40</f>
        <v>Hydro</v>
      </c>
      <c r="G535" s="552" t="str">
        <f>'2018 Known'!F40</f>
        <v>Renew</v>
      </c>
    </row>
    <row r="536" spans="1:7" x14ac:dyDescent="0.25">
      <c r="A536" s="552">
        <v>2018</v>
      </c>
      <c r="B536" s="552" t="str">
        <f>'2018 Known'!A41</f>
        <v>Nooksack</v>
      </c>
      <c r="C536" s="552">
        <f>'2018 Known'!B41</f>
        <v>22250.558000000001</v>
      </c>
      <c r="D536" s="552">
        <f>'2018 Known'!C41</f>
        <v>0</v>
      </c>
      <c r="E536" s="552" t="str">
        <f>'2018 Known'!D41</f>
        <v>Firm</v>
      </c>
      <c r="F536" s="552" t="str">
        <f>'2018 Known'!E41</f>
        <v>Hydro</v>
      </c>
      <c r="G536" s="552" t="str">
        <f>'2018 Known'!F41</f>
        <v>Renew</v>
      </c>
    </row>
    <row r="537" spans="1:7" x14ac:dyDescent="0.25">
      <c r="A537" s="552">
        <v>2018</v>
      </c>
      <c r="B537" s="552" t="str">
        <f>'2018 Known'!A42</f>
        <v>Skookumchuck Hydro</v>
      </c>
      <c r="C537" s="552">
        <f>'2018 Known'!B42</f>
        <v>3279.835</v>
      </c>
      <c r="D537" s="552">
        <f>'2018 Known'!C42</f>
        <v>0</v>
      </c>
      <c r="E537" s="552" t="str">
        <f>'2018 Known'!D42</f>
        <v>Firm</v>
      </c>
      <c r="F537" s="552" t="str">
        <f>'2018 Known'!E42</f>
        <v>Hydro</v>
      </c>
      <c r="G537" s="552" t="str">
        <f>'2018 Known'!F42</f>
        <v>Renew</v>
      </c>
    </row>
    <row r="538" spans="1:7" x14ac:dyDescent="0.25">
      <c r="A538" s="552">
        <v>2018</v>
      </c>
      <c r="B538" s="552" t="str">
        <f>'2018 Known'!A43</f>
        <v>Smith Creek Hydro</v>
      </c>
      <c r="C538" s="552">
        <f>'2018 Known'!B43</f>
        <v>137.08099999999999</v>
      </c>
      <c r="D538" s="552">
        <f>'2018 Known'!C43</f>
        <v>0</v>
      </c>
      <c r="E538" s="552" t="str">
        <f>'2018 Known'!D43</f>
        <v>Firm</v>
      </c>
      <c r="F538" s="552" t="str">
        <f>'2018 Known'!E43</f>
        <v>Hydro</v>
      </c>
      <c r="G538" s="552" t="str">
        <f>'2018 Known'!F43</f>
        <v>Renew</v>
      </c>
    </row>
    <row r="539" spans="1:7" x14ac:dyDescent="0.25">
      <c r="A539" s="552">
        <v>2018</v>
      </c>
      <c r="B539" s="552" t="str">
        <f>'2018 Known'!A44</f>
        <v>Sygitowicz Creek</v>
      </c>
      <c r="C539" s="552">
        <f>'2018 Known'!B44</f>
        <v>697.173</v>
      </c>
      <c r="D539" s="552">
        <f>'2018 Known'!C44</f>
        <v>0</v>
      </c>
      <c r="E539" s="552" t="str">
        <f>'2018 Known'!D44</f>
        <v>Firm</v>
      </c>
      <c r="F539" s="552" t="str">
        <f>'2018 Known'!E44</f>
        <v>Hydro</v>
      </c>
      <c r="G539" s="552" t="str">
        <f>'2018 Known'!F44</f>
        <v>Renew</v>
      </c>
    </row>
    <row r="540" spans="1:7" x14ac:dyDescent="0.25">
      <c r="A540" s="552">
        <v>2018</v>
      </c>
      <c r="B540" s="552" t="str">
        <f>'2018 Known'!A45</f>
        <v>Twin Falls Hydro</v>
      </c>
      <c r="C540" s="552">
        <f>'2018 Known'!B45</f>
        <v>78046.307000000001</v>
      </c>
      <c r="D540" s="552">
        <f>'2018 Known'!C45</f>
        <v>0</v>
      </c>
      <c r="E540" s="552" t="str">
        <f>'2018 Known'!D45</f>
        <v>Firm</v>
      </c>
      <c r="F540" s="552" t="str">
        <f>'2018 Known'!E45</f>
        <v>Hydro</v>
      </c>
      <c r="G540" s="552" t="str">
        <f>'2018 Known'!F45</f>
        <v>Renew</v>
      </c>
    </row>
    <row r="541" spans="1:7" x14ac:dyDescent="0.25">
      <c r="A541" s="552">
        <v>2018</v>
      </c>
      <c r="B541" s="552" t="str">
        <f>'2018 Known'!A46</f>
        <v>Weeks Falls</v>
      </c>
      <c r="C541" s="552">
        <f>'2018 Known'!B46</f>
        <v>14575.864</v>
      </c>
      <c r="D541" s="552">
        <f>'2018 Known'!C46</f>
        <v>0</v>
      </c>
      <c r="E541" s="552" t="str">
        <f>'2018 Known'!D46</f>
        <v>Firm</v>
      </c>
      <c r="F541" s="552" t="str">
        <f>'2018 Known'!E46</f>
        <v>Hydro</v>
      </c>
      <c r="G541" s="552" t="str">
        <f>'2018 Known'!F46</f>
        <v>Renew</v>
      </c>
    </row>
    <row r="542" spans="1:7" x14ac:dyDescent="0.25">
      <c r="A542" s="552">
        <v>2018</v>
      </c>
      <c r="B542" s="552" t="str">
        <f>'2018 Known'!A47</f>
        <v>CC Solar 1 and CC Solar 2</v>
      </c>
      <c r="C542" s="552">
        <f>'2018 Known'!B47</f>
        <v>29.18</v>
      </c>
      <c r="D542" s="552">
        <f>'2018 Known'!C47</f>
        <v>0</v>
      </c>
      <c r="E542" s="552" t="str">
        <f>'2018 Known'!D47</f>
        <v>Firm</v>
      </c>
      <c r="F542" s="552" t="str">
        <f>'2018 Known'!E47</f>
        <v>Solar</v>
      </c>
      <c r="G542" s="552" t="str">
        <f>'2018 Known'!F47</f>
        <v>Renew</v>
      </c>
    </row>
    <row r="543" spans="1:7" x14ac:dyDescent="0.25">
      <c r="A543" s="552">
        <v>2018</v>
      </c>
      <c r="B543" s="552" t="str">
        <f>'2018 Known'!A48</f>
        <v>Ikea Solar</v>
      </c>
      <c r="C543" s="552">
        <f>'2018 Known'!B48</f>
        <v>64.284000000000006</v>
      </c>
      <c r="D543" s="552">
        <f>'2018 Known'!C48</f>
        <v>0</v>
      </c>
      <c r="E543" s="552" t="str">
        <f>'2018 Known'!D48</f>
        <v>Firm</v>
      </c>
      <c r="F543" s="552" t="str">
        <f>'2018 Known'!E48</f>
        <v>Solar</v>
      </c>
      <c r="G543" s="552" t="str">
        <f>'2018 Known'!F48</f>
        <v>Renew</v>
      </c>
    </row>
    <row r="544" spans="1:7" x14ac:dyDescent="0.25">
      <c r="A544" s="552">
        <v>2018</v>
      </c>
      <c r="B544" s="552" t="str">
        <f>'2018 Known'!A49</f>
        <v>Island Community Solar LLC</v>
      </c>
      <c r="C544" s="552">
        <f>'2018 Known'!B49</f>
        <v>60.25</v>
      </c>
      <c r="D544" s="552">
        <f>'2018 Known'!C49</f>
        <v>0</v>
      </c>
      <c r="E544" s="552" t="str">
        <f>'2018 Known'!D49</f>
        <v>Firm</v>
      </c>
      <c r="F544" s="552" t="str">
        <f>'2018 Known'!E49</f>
        <v>Solar</v>
      </c>
      <c r="G544" s="552" t="str">
        <f>'2018 Known'!F49</f>
        <v>Renew</v>
      </c>
    </row>
    <row r="545" spans="1:7" x14ac:dyDescent="0.25">
      <c r="A545" s="552">
        <v>2018</v>
      </c>
      <c r="B545" s="552" t="str">
        <f>'2018 Known'!A50</f>
        <v>BC Hydro (Point Roberts)</v>
      </c>
      <c r="C545" s="552">
        <f>'2018 Known'!B50</f>
        <v>19966.384999999998</v>
      </c>
      <c r="D545" s="552">
        <f>'2018 Known'!C50</f>
        <v>8725.3102450000006</v>
      </c>
      <c r="E545" s="552" t="str">
        <f>'2018 Known'!D50</f>
        <v>Firm</v>
      </c>
      <c r="F545" s="552" t="str">
        <f>'2018 Known'!E50</f>
        <v>System</v>
      </c>
      <c r="G545" s="552" t="str">
        <f>'2018 Known'!F50</f>
        <v>System</v>
      </c>
    </row>
    <row r="546" spans="1:7" x14ac:dyDescent="0.25">
      <c r="A546" s="552">
        <v>2018</v>
      </c>
      <c r="B546" s="552" t="str">
        <f>'2018 Known'!A51</f>
        <v>BPA</v>
      </c>
      <c r="C546" s="552">
        <f>'2018 Known'!B51</f>
        <v>7000</v>
      </c>
      <c r="D546" s="552">
        <f>'2018 Known'!C51</f>
        <v>3059</v>
      </c>
      <c r="E546" s="552" t="str">
        <f>'2018 Known'!D51</f>
        <v>Firm</v>
      </c>
      <c r="F546" s="552" t="str">
        <f>'2018 Known'!E51</f>
        <v>System</v>
      </c>
      <c r="G546" s="552" t="str">
        <f>'2018 Known'!F51</f>
        <v>System</v>
      </c>
    </row>
    <row r="547" spans="1:7" x14ac:dyDescent="0.25">
      <c r="A547" s="552">
        <v>2018</v>
      </c>
      <c r="B547" s="552" t="str">
        <f>'2018 Known'!A52</f>
        <v>Transalta Centralia Generation LLC - Bookout Source Other Adjustment</v>
      </c>
      <c r="C547" s="552">
        <f>'2018 Known'!B52</f>
        <v>1260220</v>
      </c>
      <c r="D547" s="552">
        <f>'2018 Known'!C52</f>
        <v>550716.14</v>
      </c>
      <c r="E547" s="552" t="str">
        <f>'2018 Known'!D52</f>
        <v>Firm</v>
      </c>
      <c r="F547" s="552" t="str">
        <f>'2018 Known'!E52</f>
        <v>System</v>
      </c>
      <c r="G547" s="552" t="str">
        <f>'2018 Known'!F52</f>
        <v>System</v>
      </c>
    </row>
    <row r="548" spans="1:7" x14ac:dyDescent="0.25">
      <c r="A548" s="552">
        <v>2018</v>
      </c>
      <c r="B548" s="552" t="str">
        <f>'2018 Known'!A53</f>
        <v>3 Bar G Wind Turbine #3 LLC</v>
      </c>
      <c r="C548" s="552">
        <f>'2018 Known'!B53</f>
        <v>185.36799999999999</v>
      </c>
      <c r="D548" s="552">
        <f>'2018 Known'!C53</f>
        <v>0</v>
      </c>
      <c r="E548" s="552" t="str">
        <f>'2018 Known'!D53</f>
        <v>Firm</v>
      </c>
      <c r="F548" s="552" t="str">
        <f>'2018 Known'!E53</f>
        <v>Wind</v>
      </c>
      <c r="G548" s="552" t="str">
        <f>'2018 Known'!F53</f>
        <v>Renew</v>
      </c>
    </row>
    <row r="549" spans="1:7" x14ac:dyDescent="0.25">
      <c r="A549" s="552">
        <v>2018</v>
      </c>
      <c r="B549" s="552" t="str">
        <f>'2018 Known'!A54</f>
        <v>Klondike Wind Power III</v>
      </c>
      <c r="C549" s="552">
        <f>'2018 Known'!B54</f>
        <v>119259</v>
      </c>
      <c r="D549" s="552">
        <f>'2018 Known'!C54</f>
        <v>0</v>
      </c>
      <c r="E549" s="552" t="str">
        <f>'2018 Known'!D54</f>
        <v>Firm</v>
      </c>
      <c r="F549" s="552" t="str">
        <f>'2018 Known'!E54</f>
        <v>Wind</v>
      </c>
      <c r="G549" s="552" t="str">
        <f>'2018 Known'!F54</f>
        <v>Renew</v>
      </c>
    </row>
    <row r="550" spans="1:7" x14ac:dyDescent="0.25">
      <c r="A550" s="552">
        <v>2018</v>
      </c>
      <c r="B550" s="552" t="str">
        <f>'2018 Known'!A55</f>
        <v>Knudsen Wind Turbine #1</v>
      </c>
      <c r="C550" s="552">
        <f>'2018 Known'!B55</f>
        <v>118.788</v>
      </c>
      <c r="D550" s="552">
        <f>'2018 Known'!C55</f>
        <v>0</v>
      </c>
      <c r="E550" s="552" t="str">
        <f>'2018 Known'!D55</f>
        <v>Firm</v>
      </c>
      <c r="F550" s="552" t="str">
        <f>'2018 Known'!E55</f>
        <v>Wind</v>
      </c>
      <c r="G550" s="552" t="str">
        <f>'2018 Known'!F55</f>
        <v>Renew</v>
      </c>
    </row>
    <row r="551" spans="1:7" x14ac:dyDescent="0.25">
      <c r="A551" s="552">
        <v>2018</v>
      </c>
      <c r="B551" s="552" t="str">
        <f>'2018 Known'!A56</f>
        <v>Swauk Wind</v>
      </c>
      <c r="C551" s="552">
        <f>'2018 Known'!B56</f>
        <v>11707.322</v>
      </c>
      <c r="D551" s="552">
        <f>'2018 Known'!C56</f>
        <v>0</v>
      </c>
      <c r="E551" s="552" t="str">
        <f>'2018 Known'!D56</f>
        <v>Firm</v>
      </c>
      <c r="F551" s="552" t="str">
        <f>'2018 Known'!E56</f>
        <v>Wind</v>
      </c>
      <c r="G551" s="552" t="str">
        <f>'2018 Known'!F56</f>
        <v>Renew</v>
      </c>
    </row>
    <row r="552" spans="1:7" x14ac:dyDescent="0.25">
      <c r="A552" s="552">
        <v>2018</v>
      </c>
      <c r="B552" s="554" t="s">
        <v>462</v>
      </c>
      <c r="C552" s="556">
        <f>'2018 Unknown - Net by'!B75</f>
        <v>3726897.3210000005</v>
      </c>
      <c r="D552" s="556">
        <f>'2018 Unknown - Net by'!D75</f>
        <v>1535394.7838640928</v>
      </c>
      <c r="E552" s="557" t="s">
        <v>473</v>
      </c>
      <c r="F552" s="552" t="s">
        <v>432</v>
      </c>
      <c r="G552" s="552" t="s">
        <v>432</v>
      </c>
    </row>
    <row r="553" spans="1:7" x14ac:dyDescent="0.25">
      <c r="A553" s="552">
        <f>'2019 Known'!$G$2</f>
        <v>2019</v>
      </c>
      <c r="B553" s="554" t="str">
        <f>'2019 Known'!A4</f>
        <v>Lower Baker</v>
      </c>
      <c r="C553" s="554">
        <f>'2019 Known'!B4</f>
        <v>263805.8</v>
      </c>
      <c r="D553" s="554">
        <f>'2019 Known'!C4</f>
        <v>0</v>
      </c>
      <c r="E553" s="554" t="str">
        <f>'2019 Known'!D4</f>
        <v>Own</v>
      </c>
      <c r="F553" s="554" t="str">
        <f>'2019 Known'!E4</f>
        <v>Hydro</v>
      </c>
      <c r="G553" s="554" t="str">
        <f>'2019 Known'!F4</f>
        <v>Renew</v>
      </c>
    </row>
    <row r="554" spans="1:7" x14ac:dyDescent="0.25">
      <c r="A554" s="552">
        <f>'2019 Known'!$G$2</f>
        <v>2019</v>
      </c>
      <c r="B554" s="554" t="str">
        <f>'2019 Known'!A5</f>
        <v>Snoqualmie Falls #1</v>
      </c>
      <c r="C554" s="554">
        <f>'2019 Known'!B5</f>
        <v>48585</v>
      </c>
      <c r="D554" s="554">
        <f>'2019 Known'!C5</f>
        <v>0</v>
      </c>
      <c r="E554" s="554" t="str">
        <f>'2019 Known'!D5</f>
        <v>Own</v>
      </c>
      <c r="F554" s="554" t="str">
        <f>'2019 Known'!E5</f>
        <v>Hydro</v>
      </c>
      <c r="G554" s="554" t="str">
        <f>'2019 Known'!F5</f>
        <v>Renew</v>
      </c>
    </row>
    <row r="555" spans="1:7" x14ac:dyDescent="0.25">
      <c r="A555" s="552">
        <f>'2019 Known'!$G$2</f>
        <v>2019</v>
      </c>
      <c r="B555" s="554" t="str">
        <f>'2019 Known'!A6</f>
        <v>Snoqualmie Falls #2</v>
      </c>
      <c r="C555" s="554">
        <f>'2019 Known'!B6</f>
        <v>137390.9</v>
      </c>
      <c r="D555" s="554">
        <f>'2019 Known'!C6</f>
        <v>0</v>
      </c>
      <c r="E555" s="554" t="str">
        <f>'2019 Known'!D6</f>
        <v>Own</v>
      </c>
      <c r="F555" s="554" t="str">
        <f>'2019 Known'!E6</f>
        <v>Hydro</v>
      </c>
      <c r="G555" s="554" t="str">
        <f>'2019 Known'!F6</f>
        <v>Renew</v>
      </c>
    </row>
    <row r="556" spans="1:7" x14ac:dyDescent="0.25">
      <c r="A556" s="552">
        <f>'2019 Known'!$G$2</f>
        <v>2019</v>
      </c>
      <c r="B556" s="554" t="str">
        <f>'2019 Known'!A7</f>
        <v>Upper Baker</v>
      </c>
      <c r="C556" s="554">
        <f>'2019 Known'!B7</f>
        <v>262945.5</v>
      </c>
      <c r="D556" s="554">
        <f>'2019 Known'!C7</f>
        <v>0</v>
      </c>
      <c r="E556" s="554" t="str">
        <f>'2019 Known'!D7</f>
        <v>Own</v>
      </c>
      <c r="F556" s="554" t="str">
        <f>'2019 Known'!E7</f>
        <v>Hydro</v>
      </c>
      <c r="G556" s="554" t="str">
        <f>'2019 Known'!F7</f>
        <v>Renew</v>
      </c>
    </row>
    <row r="557" spans="1:7" x14ac:dyDescent="0.25">
      <c r="A557" s="552">
        <f>'2019 Known'!$G$2</f>
        <v>2019</v>
      </c>
      <c r="B557" s="554" t="str">
        <f>'2019 Known'!A8</f>
        <v>Colstrip Unit</v>
      </c>
      <c r="C557" s="554">
        <f>'2019 Known'!B8</f>
        <v>4251239</v>
      </c>
      <c r="D557" s="554">
        <f>'2019 Known'!C8</f>
        <v>4531771.9809035081</v>
      </c>
      <c r="E557" s="554" t="str">
        <f>'2019 Known'!D8</f>
        <v>Own</v>
      </c>
      <c r="F557" s="554" t="str">
        <f>'2019 Known'!E8</f>
        <v>Coal</v>
      </c>
      <c r="G557" s="554" t="str">
        <f>'2019 Known'!F8</f>
        <v>Coal</v>
      </c>
    </row>
    <row r="558" spans="1:7" x14ac:dyDescent="0.25">
      <c r="A558" s="552">
        <f>'2019 Known'!$G$2</f>
        <v>2019</v>
      </c>
      <c r="B558" s="554" t="str">
        <f>'2019 Known'!A9</f>
        <v>Crystal Mountain</v>
      </c>
      <c r="C558" s="554">
        <f>'2019 Known'!B9</f>
        <v>185.52</v>
      </c>
      <c r="D558" s="554">
        <f>'2019 Known'!C9</f>
        <v>154.63486408054271</v>
      </c>
      <c r="E558" s="554" t="str">
        <f>'2019 Known'!D9</f>
        <v>Own</v>
      </c>
      <c r="F558" s="554" t="str">
        <f>'2019 Known'!E9</f>
        <v>Diesel</v>
      </c>
      <c r="G558" s="554" t="str">
        <f>'2019 Known'!F9</f>
        <v>Gas</v>
      </c>
    </row>
    <row r="559" spans="1:7" x14ac:dyDescent="0.25">
      <c r="A559" s="552">
        <f>'2019 Known'!$G$2</f>
        <v>2019</v>
      </c>
      <c r="B559" s="554" t="str">
        <f>'2019 Known'!A10</f>
        <v>Encogen</v>
      </c>
      <c r="C559" s="554">
        <f>'2019 Known'!B10</f>
        <v>403024.02999999898</v>
      </c>
      <c r="D559" s="554">
        <f>'2019 Known'!C10</f>
        <v>191710.18799999999</v>
      </c>
      <c r="E559" s="554" t="str">
        <f>'2019 Known'!D10</f>
        <v>Own</v>
      </c>
      <c r="F559" s="554" t="str">
        <f>'2019 Known'!E10</f>
        <v>Gas</v>
      </c>
      <c r="G559" s="554" t="str">
        <f>'2019 Known'!F10</f>
        <v>Gas</v>
      </c>
    </row>
    <row r="560" spans="1:7" x14ac:dyDescent="0.25">
      <c r="A560" s="552">
        <f>'2019 Known'!$G$2</f>
        <v>2019</v>
      </c>
      <c r="B560" s="554" t="str">
        <f>'2019 Known'!A11</f>
        <v>Ferndale</v>
      </c>
      <c r="C560" s="554">
        <f>'2019 Known'!B11</f>
        <v>1066092</v>
      </c>
      <c r="D560" s="554">
        <f>'2019 Known'!C11</f>
        <v>478279.87599999999</v>
      </c>
      <c r="E560" s="554" t="str">
        <f>'2019 Known'!D11</f>
        <v>Own</v>
      </c>
      <c r="F560" s="554" t="str">
        <f>'2019 Known'!E11</f>
        <v>Gas</v>
      </c>
      <c r="G560" s="554" t="str">
        <f>'2019 Known'!F11</f>
        <v>Gas</v>
      </c>
    </row>
    <row r="561" spans="1:7" x14ac:dyDescent="0.25">
      <c r="A561" s="552">
        <f>'2019 Known'!$G$2</f>
        <v>2019</v>
      </c>
      <c r="B561" s="554" t="str">
        <f>'2019 Known'!A12</f>
        <v>Frederickson</v>
      </c>
      <c r="C561" s="554">
        <f>'2019 Known'!B12</f>
        <v>84195.6</v>
      </c>
      <c r="D561" s="554">
        <f>'2019 Known'!C12</f>
        <v>70030.933999999994</v>
      </c>
      <c r="E561" s="554" t="str">
        <f>'2019 Known'!D12</f>
        <v>Own</v>
      </c>
      <c r="F561" s="554" t="str">
        <f>'2019 Known'!E12</f>
        <v>Gas</v>
      </c>
      <c r="G561" s="554" t="str">
        <f>'2019 Known'!F12</f>
        <v>Gas</v>
      </c>
    </row>
    <row r="562" spans="1:7" x14ac:dyDescent="0.25">
      <c r="A562" s="552">
        <f>'2019 Known'!$G$2</f>
        <v>2019</v>
      </c>
      <c r="B562" s="554" t="str">
        <f>'2019 Known'!A13</f>
        <v>Fredonia</v>
      </c>
      <c r="C562" s="554">
        <f>'2019 Known'!B13</f>
        <v>199918.7</v>
      </c>
      <c r="D562" s="554">
        <f>'2019 Known'!C13</f>
        <v>154543.666</v>
      </c>
      <c r="E562" s="554" t="str">
        <f>'2019 Known'!D13</f>
        <v>Own</v>
      </c>
      <c r="F562" s="554" t="str">
        <f>'2019 Known'!E13</f>
        <v>Gas</v>
      </c>
      <c r="G562" s="554" t="str">
        <f>'2019 Known'!F13</f>
        <v>Gas</v>
      </c>
    </row>
    <row r="563" spans="1:7" x14ac:dyDescent="0.25">
      <c r="A563" s="552">
        <f>'2019 Known'!$G$2</f>
        <v>2019</v>
      </c>
      <c r="B563" s="554" t="str">
        <f>'2019 Known'!A14</f>
        <v>Frederickson Unit 1</v>
      </c>
      <c r="C563" s="554">
        <f>'2019 Known'!B14</f>
        <v>669752.19750000001</v>
      </c>
      <c r="D563" s="554">
        <f>'2019 Known'!C14</f>
        <v>256480.91398399998</v>
      </c>
      <c r="E563" s="554" t="str">
        <f>'2019 Known'!D14</f>
        <v>Own</v>
      </c>
      <c r="F563" s="554" t="str">
        <f>'2019 Known'!E14</f>
        <v>Gas</v>
      </c>
      <c r="G563" s="554" t="str">
        <f>'2019 Known'!F14</f>
        <v>Gas</v>
      </c>
    </row>
    <row r="564" spans="1:7" x14ac:dyDescent="0.25">
      <c r="A564" s="552">
        <f>'2019 Known'!$G$2</f>
        <v>2019</v>
      </c>
      <c r="B564" s="554" t="str">
        <f>'2019 Known'!A15</f>
        <v>Goldendale</v>
      </c>
      <c r="C564" s="554">
        <f>'2019 Known'!B15</f>
        <v>1942118</v>
      </c>
      <c r="D564" s="554">
        <f>'2019 Known'!C15</f>
        <v>729130.348</v>
      </c>
      <c r="E564" s="554" t="str">
        <f>'2019 Known'!D15</f>
        <v>Own</v>
      </c>
      <c r="F564" s="554" t="str">
        <f>'2019 Known'!E15</f>
        <v>Gas</v>
      </c>
      <c r="G564" s="554" t="str">
        <f>'2019 Known'!F15</f>
        <v>Gas</v>
      </c>
    </row>
    <row r="565" spans="1:7" x14ac:dyDescent="0.25">
      <c r="A565" s="552">
        <f>'2019 Known'!$G$2</f>
        <v>2019</v>
      </c>
      <c r="B565" s="554" t="str">
        <f>'2019 Known'!A16</f>
        <v>Mint Farm</v>
      </c>
      <c r="C565" s="554">
        <f>'2019 Known'!B16</f>
        <v>1930573.5</v>
      </c>
      <c r="D565" s="554">
        <f>'2019 Known'!C16</f>
        <v>759454.83600000001</v>
      </c>
      <c r="E565" s="554" t="str">
        <f>'2019 Known'!D16</f>
        <v>Own</v>
      </c>
      <c r="F565" s="554" t="str">
        <f>'2019 Known'!E16</f>
        <v>Gas</v>
      </c>
      <c r="G565" s="554" t="str">
        <f>'2019 Known'!F16</f>
        <v>Gas</v>
      </c>
    </row>
    <row r="566" spans="1:7" x14ac:dyDescent="0.25">
      <c r="A566" s="552">
        <f>'2019 Known'!$G$2</f>
        <v>2019</v>
      </c>
      <c r="B566" s="554" t="str">
        <f>'2019 Known'!A17</f>
        <v>Sumas</v>
      </c>
      <c r="C566" s="554">
        <f>'2019 Known'!B17</f>
        <v>494780.2</v>
      </c>
      <c r="D566" s="554">
        <f>'2019 Known'!C17</f>
        <v>227714.25599999999</v>
      </c>
      <c r="E566" s="554" t="str">
        <f>'2019 Known'!D17</f>
        <v>Own</v>
      </c>
      <c r="F566" s="554" t="str">
        <f>'2019 Known'!E17</f>
        <v>Gas</v>
      </c>
      <c r="G566" s="554" t="str">
        <f>'2019 Known'!F17</f>
        <v>Gas</v>
      </c>
    </row>
    <row r="567" spans="1:7" x14ac:dyDescent="0.25">
      <c r="A567" s="552">
        <f>'2019 Known'!$G$2</f>
        <v>2019</v>
      </c>
      <c r="B567" s="554" t="str">
        <f>'2019 Known'!A18</f>
        <v>Whitehorn</v>
      </c>
      <c r="C567" s="554">
        <f>'2019 Known'!B18</f>
        <v>8689.4</v>
      </c>
      <c r="D567" s="554">
        <f>'2019 Known'!C18</f>
        <v>6838.3680000000004</v>
      </c>
      <c r="E567" s="554" t="str">
        <f>'2019 Known'!D18</f>
        <v>Own</v>
      </c>
      <c r="F567" s="554" t="str">
        <f>'2019 Known'!E18</f>
        <v>Gas</v>
      </c>
      <c r="G567" s="554" t="str">
        <f>'2019 Known'!F18</f>
        <v>Gas</v>
      </c>
    </row>
    <row r="568" spans="1:7" x14ac:dyDescent="0.25">
      <c r="A568" s="552">
        <f>'2019 Known'!$G$2</f>
        <v>2019</v>
      </c>
      <c r="B568" s="554" t="str">
        <f>'2019 Known'!A19</f>
        <v>Hopkins Ridge (W184)</v>
      </c>
      <c r="C568" s="554">
        <f>'2019 Known'!B19</f>
        <v>340498.88</v>
      </c>
      <c r="D568" s="554">
        <f>'2019 Known'!C19</f>
        <v>0</v>
      </c>
      <c r="E568" s="554" t="str">
        <f>'2019 Known'!D19</f>
        <v>Own</v>
      </c>
      <c r="F568" s="554" t="str">
        <f>'2019 Known'!E19</f>
        <v>Wind</v>
      </c>
      <c r="G568" s="554" t="str">
        <f>'2019 Known'!F19</f>
        <v>Renew</v>
      </c>
    </row>
    <row r="569" spans="1:7" x14ac:dyDescent="0.25">
      <c r="A569" s="552">
        <f>'2019 Known'!$G$2</f>
        <v>2019</v>
      </c>
      <c r="B569" s="554" t="str">
        <f>'2019 Known'!A20</f>
        <v>Lower Snake River</v>
      </c>
      <c r="C569" s="554">
        <f>'2019 Known'!B20</f>
        <v>714103.69400000002</v>
      </c>
      <c r="D569" s="554">
        <f>'2019 Known'!C20</f>
        <v>0</v>
      </c>
      <c r="E569" s="554" t="str">
        <f>'2019 Known'!D20</f>
        <v>Own</v>
      </c>
      <c r="F569" s="554" t="str">
        <f>'2019 Known'!E20</f>
        <v>Wind</v>
      </c>
      <c r="G569" s="554" t="str">
        <f>'2019 Known'!F20</f>
        <v>Renew</v>
      </c>
    </row>
    <row r="570" spans="1:7" x14ac:dyDescent="0.25">
      <c r="A570" s="552">
        <f>'2019 Known'!$G$2</f>
        <v>2019</v>
      </c>
      <c r="B570" s="554" t="str">
        <f>'2019 Known'!A21</f>
        <v>Wild Horse (W183)</v>
      </c>
      <c r="C570" s="554">
        <f>'2019 Known'!B21</f>
        <v>612886.21799999999</v>
      </c>
      <c r="D570" s="554">
        <f>'2019 Known'!C21</f>
        <v>0</v>
      </c>
      <c r="E570" s="554" t="str">
        <f>'2019 Known'!D21</f>
        <v>Own</v>
      </c>
      <c r="F570" s="554" t="str">
        <f>'2019 Known'!E21</f>
        <v>Wind</v>
      </c>
      <c r="G570" s="554" t="str">
        <f>'2019 Known'!F21</f>
        <v>Renew</v>
      </c>
    </row>
    <row r="571" spans="1:7" x14ac:dyDescent="0.25">
      <c r="A571" s="552">
        <f>'2019 Known'!$G$2</f>
        <v>2019</v>
      </c>
      <c r="B571" s="554" t="str">
        <f>'2019 Known'!A22</f>
        <v>Bio Energy Washington (BEW)</v>
      </c>
      <c r="C571" s="554">
        <f>'2019 Known'!B22</f>
        <v>8.1270000000000007</v>
      </c>
      <c r="D571" s="554">
        <f>'2019 Known'!C22</f>
        <v>0</v>
      </c>
      <c r="E571" s="554" t="str">
        <f>'2019 Known'!D22</f>
        <v>Firm</v>
      </c>
      <c r="F571" s="554" t="str">
        <f>'2019 Known'!E22</f>
        <v>Biogas</v>
      </c>
      <c r="G571" s="554" t="str">
        <f>'2019 Known'!F22</f>
        <v>Renew</v>
      </c>
    </row>
    <row r="572" spans="1:7" x14ac:dyDescent="0.25">
      <c r="A572" s="552">
        <f>'2019 Known'!$G$2</f>
        <v>2019</v>
      </c>
      <c r="B572" s="554" t="str">
        <f>'2019 Known'!A23</f>
        <v>Blocks Dairy Farm</v>
      </c>
      <c r="C572" s="554">
        <f>'2019 Known'!B23</f>
        <v>69.373999999999995</v>
      </c>
      <c r="D572" s="554">
        <f>'2019 Known'!C23</f>
        <v>0</v>
      </c>
      <c r="E572" s="554" t="str">
        <f>'2019 Known'!D23</f>
        <v>Firm</v>
      </c>
      <c r="F572" s="554" t="str">
        <f>'2019 Known'!E23</f>
        <v>Biogas</v>
      </c>
      <c r="G572" s="554" t="str">
        <f>'2019 Known'!F23</f>
        <v>Renew</v>
      </c>
    </row>
    <row r="573" spans="1:7" x14ac:dyDescent="0.25">
      <c r="A573" s="552">
        <f>'2019 Known'!$G$2</f>
        <v>2019</v>
      </c>
      <c r="B573" s="554" t="str">
        <f>'2019 Known'!A24</f>
        <v>Edaleen Dairy LLC</v>
      </c>
      <c r="C573" s="554">
        <f>'2019 Known'!B24</f>
        <v>3546.098</v>
      </c>
      <c r="D573" s="554">
        <f>'2019 Known'!C24</f>
        <v>0</v>
      </c>
      <c r="E573" s="554" t="str">
        <f>'2019 Known'!D24</f>
        <v>Firm</v>
      </c>
      <c r="F573" s="554" t="str">
        <f>'2019 Known'!E24</f>
        <v>Biogas</v>
      </c>
      <c r="G573" s="554" t="str">
        <f>'2019 Known'!F24</f>
        <v>Renew</v>
      </c>
    </row>
    <row r="574" spans="1:7" x14ac:dyDescent="0.25">
      <c r="A574" s="552">
        <f>'2019 Known'!$G$2</f>
        <v>2019</v>
      </c>
      <c r="B574" s="554" t="str">
        <f>'2019 Known'!A25</f>
        <v>Emerald City Renewables</v>
      </c>
      <c r="C574" s="554">
        <f>'2019 Known'!B25</f>
        <v>31113.473000000002</v>
      </c>
      <c r="D574" s="554">
        <f>'2019 Known'!C25</f>
        <v>0</v>
      </c>
      <c r="E574" s="554" t="str">
        <f>'2019 Known'!D25</f>
        <v>Firm</v>
      </c>
      <c r="F574" s="554" t="str">
        <f>'2019 Known'!E25</f>
        <v>Biogas</v>
      </c>
      <c r="G574" s="554" t="str">
        <f>'2019 Known'!F25</f>
        <v>Renew</v>
      </c>
    </row>
    <row r="575" spans="1:7" x14ac:dyDescent="0.25">
      <c r="A575" s="552">
        <f>'2019 Known'!$G$2</f>
        <v>2019</v>
      </c>
      <c r="B575" s="554" t="str">
        <f>'2019 Known'!A26</f>
        <v>Farm Power Lynden LLC</v>
      </c>
      <c r="C575" s="554">
        <f>'2019 Known'!B26</f>
        <v>4062.4189999999999</v>
      </c>
      <c r="D575" s="554">
        <f>'2019 Known'!C26</f>
        <v>0</v>
      </c>
      <c r="E575" s="554" t="str">
        <f>'2019 Known'!D26</f>
        <v>Firm</v>
      </c>
      <c r="F575" s="554" t="str">
        <f>'2019 Known'!E26</f>
        <v>Biogas</v>
      </c>
      <c r="G575" s="554" t="str">
        <f>'2019 Known'!F26</f>
        <v>Renew</v>
      </c>
    </row>
    <row r="576" spans="1:7" x14ac:dyDescent="0.25">
      <c r="A576" s="552">
        <f>'2019 Known'!$G$2</f>
        <v>2019</v>
      </c>
      <c r="B576" s="554" t="str">
        <f>'2019 Known'!A27</f>
        <v>Farm Power Rexville LLC</v>
      </c>
      <c r="C576" s="554">
        <f>'2019 Known'!B27</f>
        <v>5308.4669999999996</v>
      </c>
      <c r="D576" s="554">
        <f>'2019 Known'!C27</f>
        <v>0</v>
      </c>
      <c r="E576" s="554" t="str">
        <f>'2019 Known'!D27</f>
        <v>Firm</v>
      </c>
      <c r="F576" s="554" t="str">
        <f>'2019 Known'!E27</f>
        <v>Biogas</v>
      </c>
      <c r="G576" s="554" t="str">
        <f>'2019 Known'!F27</f>
        <v>Renew</v>
      </c>
    </row>
    <row r="577" spans="1:7" x14ac:dyDescent="0.25">
      <c r="A577" s="552">
        <f>'2019 Known'!$G$2</f>
        <v>2019</v>
      </c>
      <c r="B577" s="554" t="str">
        <f>'2019 Known'!A28</f>
        <v>Lake Washington -- Finn Hill</v>
      </c>
      <c r="C577" s="554">
        <f>'2019 Known'!B28</f>
        <v>270.40800000000002</v>
      </c>
      <c r="D577" s="554">
        <f>'2019 Known'!C28</f>
        <v>0</v>
      </c>
      <c r="E577" s="554" t="str">
        <f>'2019 Known'!D28</f>
        <v>Firm</v>
      </c>
      <c r="F577" s="554" t="str">
        <f>'2019 Known'!E28</f>
        <v>Biogas</v>
      </c>
      <c r="G577" s="554" t="str">
        <f>'2019 Known'!F28</f>
        <v>Renew</v>
      </c>
    </row>
    <row r="578" spans="1:7" x14ac:dyDescent="0.25">
      <c r="A578" s="552">
        <f>'2019 Known'!$G$2</f>
        <v>2019</v>
      </c>
      <c r="B578" s="554" t="str">
        <f>'2019 Known'!A29</f>
        <v>Rainier Bio Gas</v>
      </c>
      <c r="C578" s="554">
        <f>'2019 Known'!B29</f>
        <v>4296.8339999999998</v>
      </c>
      <c r="D578" s="554">
        <f>'2019 Known'!C29</f>
        <v>0</v>
      </c>
      <c r="E578" s="554" t="str">
        <f>'2019 Known'!D29</f>
        <v>Firm</v>
      </c>
      <c r="F578" s="554" t="str">
        <f>'2019 Known'!E29</f>
        <v>Biogas</v>
      </c>
      <c r="G578" s="554" t="str">
        <f>'2019 Known'!F29</f>
        <v>Renew</v>
      </c>
    </row>
    <row r="579" spans="1:7" x14ac:dyDescent="0.25">
      <c r="A579" s="552">
        <f>'2019 Known'!$G$2</f>
        <v>2019</v>
      </c>
      <c r="B579" s="554" t="str">
        <f>'2019 Known'!A30</f>
        <v>Van Dyk - S Holsteins</v>
      </c>
      <c r="C579" s="554">
        <f>'2019 Known'!B30</f>
        <v>1559.164</v>
      </c>
      <c r="D579" s="554">
        <f>'2019 Known'!C30</f>
        <v>0</v>
      </c>
      <c r="E579" s="554" t="str">
        <f>'2019 Known'!D30</f>
        <v>Firm</v>
      </c>
      <c r="F579" s="554" t="str">
        <f>'2019 Known'!E30</f>
        <v>Biogas</v>
      </c>
      <c r="G579" s="554" t="str">
        <f>'2019 Known'!F30</f>
        <v>Renew</v>
      </c>
    </row>
    <row r="580" spans="1:7" x14ac:dyDescent="0.25">
      <c r="A580" s="552">
        <f>'2019 Known'!$G$2</f>
        <v>2019</v>
      </c>
      <c r="B580" s="554" t="str">
        <f>'2019 Known'!A31</f>
        <v>VanderHaak Dairy Digester</v>
      </c>
      <c r="C580" s="554">
        <f>'2019 Known'!B31</f>
        <v>4284.8249999999998</v>
      </c>
      <c r="D580" s="554">
        <f>'2019 Known'!C31</f>
        <v>0</v>
      </c>
      <c r="E580" s="554" t="str">
        <f>'2019 Known'!D31</f>
        <v>Firm</v>
      </c>
      <c r="F580" s="554" t="str">
        <f>'2019 Known'!E31</f>
        <v>Biogas</v>
      </c>
      <c r="G580" s="554" t="str">
        <f>'2019 Known'!F31</f>
        <v>Renew</v>
      </c>
    </row>
    <row r="581" spans="1:7" x14ac:dyDescent="0.25">
      <c r="A581" s="552">
        <f>'2019 Known'!$G$2</f>
        <v>2019</v>
      </c>
      <c r="B581" s="554" t="str">
        <f>'2019 Known'!A32</f>
        <v>Transalta Centralia Generation LLC</v>
      </c>
      <c r="C581" s="554">
        <f>'2019 Known'!B32</f>
        <v>3036992</v>
      </c>
      <c r="D581" s="554">
        <f>'2019 Known'!C32</f>
        <v>3395866.6580467108</v>
      </c>
      <c r="E581" s="554" t="str">
        <f>'2019 Known'!D32</f>
        <v>Firm</v>
      </c>
      <c r="F581" s="554" t="str">
        <f>'2019 Known'!E32</f>
        <v>Coal</v>
      </c>
      <c r="G581" s="554" t="str">
        <f>'2019 Known'!F32</f>
        <v>Coal</v>
      </c>
    </row>
    <row r="582" spans="1:7" x14ac:dyDescent="0.25">
      <c r="A582" s="552">
        <f>'2019 Known'!$G$2</f>
        <v>2019</v>
      </c>
      <c r="B582" s="554" t="str">
        <f>'2019 Known'!A33</f>
        <v>Black Creek Hydro Inc</v>
      </c>
      <c r="C582" s="554">
        <f>'2019 Known'!B33</f>
        <v>8033.4319999999998</v>
      </c>
      <c r="D582" s="554">
        <f>'2019 Known'!C33</f>
        <v>0</v>
      </c>
      <c r="E582" s="554" t="str">
        <f>'2019 Known'!D33</f>
        <v>Firm</v>
      </c>
      <c r="F582" s="554" t="str">
        <f>'2019 Known'!E33</f>
        <v>Hydro</v>
      </c>
      <c r="G582" s="554" t="str">
        <f>'2019 Known'!F33</f>
        <v>Renew</v>
      </c>
    </row>
    <row r="583" spans="1:7" x14ac:dyDescent="0.25">
      <c r="A583" s="552">
        <f>'2019 Known'!$G$2</f>
        <v>2019</v>
      </c>
      <c r="B583" s="554" t="str">
        <f>'2019 Known'!A34</f>
        <v>Chelan PUD - RI &amp; RR</v>
      </c>
      <c r="C583" s="554">
        <f>'2019 Known'!B34</f>
        <v>1904130</v>
      </c>
      <c r="D583" s="554">
        <f>'2019 Known'!C34</f>
        <v>0</v>
      </c>
      <c r="E583" s="554" t="str">
        <f>'2019 Known'!D34</f>
        <v>Firm</v>
      </c>
      <c r="F583" s="554" t="str">
        <f>'2019 Known'!E34</f>
        <v>Hydro</v>
      </c>
      <c r="G583" s="554" t="str">
        <f>'2019 Known'!F34</f>
        <v>Renew</v>
      </c>
    </row>
    <row r="584" spans="1:7" x14ac:dyDescent="0.25">
      <c r="A584" s="552">
        <f>'2019 Known'!$G$2</f>
        <v>2019</v>
      </c>
      <c r="B584" s="554" t="str">
        <f>'2019 Known'!A35</f>
        <v>Chelan PUD - Rock Island Syst #2</v>
      </c>
      <c r="C584" s="554">
        <f>'2019 Known'!B35</f>
        <v>-39120</v>
      </c>
      <c r="D584" s="554">
        <f>'2019 Known'!C35</f>
        <v>0</v>
      </c>
      <c r="E584" s="554" t="str">
        <f>'2019 Known'!D35</f>
        <v>Firm</v>
      </c>
      <c r="F584" s="554" t="str">
        <f>'2019 Known'!E35</f>
        <v>Hydro</v>
      </c>
      <c r="G584" s="554" t="str">
        <f>'2019 Known'!F35</f>
        <v>Renew</v>
      </c>
    </row>
    <row r="585" spans="1:7" x14ac:dyDescent="0.25">
      <c r="A585" s="552">
        <f>'2019 Known'!$G$2</f>
        <v>2019</v>
      </c>
      <c r="B585" s="554" t="str">
        <f>'2019 Known'!A36</f>
        <v>Chelan PUD - Rocky Reach</v>
      </c>
      <c r="C585" s="554">
        <f>'2019 Known'!B36</f>
        <v>-80741</v>
      </c>
      <c r="D585" s="554">
        <f>'2019 Known'!C36</f>
        <v>0</v>
      </c>
      <c r="E585" s="554" t="str">
        <f>'2019 Known'!D36</f>
        <v>Firm</v>
      </c>
      <c r="F585" s="554" t="str">
        <f>'2019 Known'!E36</f>
        <v>Hydro</v>
      </c>
      <c r="G585" s="554" t="str">
        <f>'2019 Known'!F36</f>
        <v>Renew</v>
      </c>
    </row>
    <row r="586" spans="1:7" x14ac:dyDescent="0.25">
      <c r="A586" s="552">
        <f>'2019 Known'!$G$2</f>
        <v>2019</v>
      </c>
      <c r="B586" s="554" t="str">
        <f>'2019 Known'!A37</f>
        <v>Douglas PUD - Wells Project</v>
      </c>
      <c r="C586" s="554">
        <f>'2019 Known'!B37</f>
        <v>812102</v>
      </c>
      <c r="D586" s="554">
        <f>'2019 Known'!C37</f>
        <v>0</v>
      </c>
      <c r="E586" s="554" t="str">
        <f>'2019 Known'!D37</f>
        <v>Firm</v>
      </c>
      <c r="F586" s="554" t="str">
        <f>'2019 Known'!E37</f>
        <v>Hydro</v>
      </c>
      <c r="G586" s="554" t="str">
        <f>'2019 Known'!F37</f>
        <v>Renew</v>
      </c>
    </row>
    <row r="587" spans="1:7" x14ac:dyDescent="0.25">
      <c r="A587" s="552">
        <f>'2019 Known'!$G$2</f>
        <v>2019</v>
      </c>
      <c r="B587" s="554" t="str">
        <f>'2019 Known'!A38</f>
        <v>Electron Hydro, LLC</v>
      </c>
      <c r="C587" s="554">
        <f>'2019 Known'!B38</f>
        <v>143654.046</v>
      </c>
      <c r="D587" s="554">
        <f>'2019 Known'!C38</f>
        <v>0</v>
      </c>
      <c r="E587" s="554" t="str">
        <f>'2019 Known'!D38</f>
        <v>Firm</v>
      </c>
      <c r="F587" s="554" t="str">
        <f>'2019 Known'!E38</f>
        <v>Hydro</v>
      </c>
      <c r="G587" s="554" t="str">
        <f>'2019 Known'!F38</f>
        <v>Renew</v>
      </c>
    </row>
    <row r="588" spans="1:7" x14ac:dyDescent="0.25">
      <c r="A588" s="552">
        <f>'2019 Known'!$G$2</f>
        <v>2019</v>
      </c>
      <c r="B588" s="554" t="str">
        <f>'2019 Known'!A39</f>
        <v>Grant PUD - Priest Rapids Project</v>
      </c>
      <c r="C588" s="554">
        <f>'2019 Known'!B39</f>
        <v>45806</v>
      </c>
      <c r="D588" s="554">
        <f>'2019 Known'!C39</f>
        <v>0</v>
      </c>
      <c r="E588" s="554" t="str">
        <f>'2019 Known'!D39</f>
        <v>Firm</v>
      </c>
      <c r="F588" s="554" t="str">
        <f>'2019 Known'!E39</f>
        <v>Hydro</v>
      </c>
      <c r="G588" s="554" t="str">
        <f>'2019 Known'!F39</f>
        <v>Renew</v>
      </c>
    </row>
    <row r="589" spans="1:7" x14ac:dyDescent="0.25">
      <c r="A589" s="552">
        <f>'2019 Known'!$G$2</f>
        <v>2019</v>
      </c>
      <c r="B589" s="554" t="str">
        <f>'2019 Known'!A40</f>
        <v>Koma Kulshan Associates</v>
      </c>
      <c r="C589" s="554">
        <f>'2019 Known'!B40</f>
        <v>29784.255000000001</v>
      </c>
      <c r="D589" s="554">
        <f>'2019 Known'!C40</f>
        <v>0</v>
      </c>
      <c r="E589" s="554" t="str">
        <f>'2019 Known'!D40</f>
        <v>Firm</v>
      </c>
      <c r="F589" s="554" t="str">
        <f>'2019 Known'!E40</f>
        <v>Hydro</v>
      </c>
      <c r="G589" s="554" t="str">
        <f>'2019 Known'!F40</f>
        <v>Renew</v>
      </c>
    </row>
    <row r="590" spans="1:7" x14ac:dyDescent="0.25">
      <c r="A590" s="552">
        <f>'2019 Known'!$G$2</f>
        <v>2019</v>
      </c>
      <c r="B590" s="554" t="str">
        <f>'2019 Known'!A41</f>
        <v>Nooksack</v>
      </c>
      <c r="C590" s="554">
        <f>'2019 Known'!B41</f>
        <v>22782.893</v>
      </c>
      <c r="D590" s="554">
        <f>'2019 Known'!C41</f>
        <v>0</v>
      </c>
      <c r="E590" s="554" t="str">
        <f>'2019 Known'!D41</f>
        <v>Firm</v>
      </c>
      <c r="F590" s="554" t="str">
        <f>'2019 Known'!E41</f>
        <v>Hydro</v>
      </c>
      <c r="G590" s="554" t="str">
        <f>'2019 Known'!F41</f>
        <v>Renew</v>
      </c>
    </row>
    <row r="591" spans="1:7" x14ac:dyDescent="0.25">
      <c r="A591" s="552">
        <f>'2019 Known'!$G$2</f>
        <v>2019</v>
      </c>
      <c r="B591" s="554" t="str">
        <f>'2019 Known'!A42</f>
        <v>Skookumchuck Hydro</v>
      </c>
      <c r="C591" s="554">
        <f>'2019 Known'!B42</f>
        <v>2326.2150000000001</v>
      </c>
      <c r="D591" s="554">
        <f>'2019 Known'!C42</f>
        <v>0</v>
      </c>
      <c r="E591" s="554" t="str">
        <f>'2019 Known'!D42</f>
        <v>Firm</v>
      </c>
      <c r="F591" s="554" t="str">
        <f>'2019 Known'!E42</f>
        <v>Hydro</v>
      </c>
      <c r="G591" s="554" t="str">
        <f>'2019 Known'!F42</f>
        <v>Renew</v>
      </c>
    </row>
    <row r="592" spans="1:7" x14ac:dyDescent="0.25">
      <c r="A592" s="552">
        <f>'2019 Known'!$G$2</f>
        <v>2019</v>
      </c>
      <c r="B592" s="554" t="str">
        <f>'2019 Known'!A43</f>
        <v>Smith Creek Hydro</v>
      </c>
      <c r="C592" s="554">
        <f>'2019 Known'!B43</f>
        <v>89.1</v>
      </c>
      <c r="D592" s="554">
        <f>'2019 Known'!C43</f>
        <v>0</v>
      </c>
      <c r="E592" s="554" t="str">
        <f>'2019 Known'!D43</f>
        <v>Firm</v>
      </c>
      <c r="F592" s="554" t="str">
        <f>'2019 Known'!E43</f>
        <v>Hydro</v>
      </c>
      <c r="G592" s="554" t="str">
        <f>'2019 Known'!F43</f>
        <v>Renew</v>
      </c>
    </row>
    <row r="593" spans="1:7" x14ac:dyDescent="0.25">
      <c r="A593" s="552">
        <f>'2019 Known'!$G$2</f>
        <v>2019</v>
      </c>
      <c r="B593" s="554" t="str">
        <f>'2019 Known'!A44</f>
        <v>Sygitowicz Creek</v>
      </c>
      <c r="C593" s="554">
        <f>'2019 Known'!B44</f>
        <v>414</v>
      </c>
      <c r="D593" s="554">
        <f>'2019 Known'!C44</f>
        <v>0</v>
      </c>
      <c r="E593" s="554" t="str">
        <f>'2019 Known'!D44</f>
        <v>Firm</v>
      </c>
      <c r="F593" s="554" t="str">
        <f>'2019 Known'!E44</f>
        <v>Hydro</v>
      </c>
      <c r="G593" s="554" t="str">
        <f>'2019 Known'!F44</f>
        <v>Renew</v>
      </c>
    </row>
    <row r="594" spans="1:7" x14ac:dyDescent="0.25">
      <c r="A594" s="552">
        <f>'2019 Known'!$G$2</f>
        <v>2019</v>
      </c>
      <c r="B594" s="554" t="str">
        <f>'2019 Known'!A45</f>
        <v>Twin Falls Hydro</v>
      </c>
      <c r="C594" s="554">
        <f>'2019 Known'!B45</f>
        <v>52656.472999999998</v>
      </c>
      <c r="D594" s="554">
        <f>'2019 Known'!C45</f>
        <v>0</v>
      </c>
      <c r="E594" s="554" t="str">
        <f>'2019 Known'!D45</f>
        <v>Firm</v>
      </c>
      <c r="F594" s="554" t="str">
        <f>'2019 Known'!E45</f>
        <v>Hydro</v>
      </c>
      <c r="G594" s="554" t="str">
        <f>'2019 Known'!F45</f>
        <v>Renew</v>
      </c>
    </row>
    <row r="595" spans="1:7" x14ac:dyDescent="0.25">
      <c r="A595" s="552">
        <f>'2019 Known'!$G$2</f>
        <v>2019</v>
      </c>
      <c r="B595" s="554" t="str">
        <f>'2019 Known'!A46</f>
        <v>Weeks Falls</v>
      </c>
      <c r="C595" s="554">
        <f>'2019 Known'!B46</f>
        <v>9412.7900000000009</v>
      </c>
      <c r="D595" s="554">
        <f>'2019 Known'!C46</f>
        <v>0</v>
      </c>
      <c r="E595" s="554" t="str">
        <f>'2019 Known'!D46</f>
        <v>Firm</v>
      </c>
      <c r="F595" s="554" t="str">
        <f>'2019 Known'!E46</f>
        <v>Hydro</v>
      </c>
      <c r="G595" s="554" t="str">
        <f>'2019 Known'!F46</f>
        <v>Renew</v>
      </c>
    </row>
    <row r="596" spans="1:7" x14ac:dyDescent="0.25">
      <c r="A596" s="552">
        <f>'2019 Known'!$G$2</f>
        <v>2019</v>
      </c>
      <c r="B596" s="554" t="str">
        <f>'2019 Known'!A47</f>
        <v>CC Solar 1 and CC Solar 2</v>
      </c>
      <c r="C596" s="554">
        <f>'2019 Known'!B47</f>
        <v>29.87</v>
      </c>
      <c r="D596" s="554">
        <f>'2019 Known'!C47</f>
        <v>0</v>
      </c>
      <c r="E596" s="554" t="str">
        <f>'2019 Known'!D47</f>
        <v>Firm</v>
      </c>
      <c r="F596" s="554" t="str">
        <f>'2019 Known'!E47</f>
        <v>Solar</v>
      </c>
      <c r="G596" s="554" t="str">
        <f>'2019 Known'!F47</f>
        <v>Renew</v>
      </c>
    </row>
    <row r="597" spans="1:7" x14ac:dyDescent="0.25">
      <c r="A597" s="552">
        <f>'2019 Known'!$G$2</f>
        <v>2019</v>
      </c>
      <c r="B597" s="554" t="str">
        <f>'2019 Known'!A48</f>
        <v>Ikea Solar</v>
      </c>
      <c r="C597" s="554">
        <f>'2019 Known'!B48</f>
        <v>71.965000000000003</v>
      </c>
      <c r="D597" s="554">
        <f>'2019 Known'!C48</f>
        <v>0</v>
      </c>
      <c r="E597" s="554" t="str">
        <f>'2019 Known'!D48</f>
        <v>Firm</v>
      </c>
      <c r="F597" s="554" t="str">
        <f>'2019 Known'!E48</f>
        <v>Solar</v>
      </c>
      <c r="G597" s="554" t="str">
        <f>'2019 Known'!F48</f>
        <v>Renew</v>
      </c>
    </row>
    <row r="598" spans="1:7" x14ac:dyDescent="0.25">
      <c r="A598" s="552">
        <f>'2019 Known'!$G$2</f>
        <v>2019</v>
      </c>
      <c r="B598" s="554" t="str">
        <f>'2019 Known'!A49</f>
        <v>Island Community Solar LLC</v>
      </c>
      <c r="C598" s="554">
        <f>'2019 Known'!B49</f>
        <v>62.09</v>
      </c>
      <c r="D598" s="554">
        <f>'2019 Known'!C49</f>
        <v>0</v>
      </c>
      <c r="E598" s="554" t="str">
        <f>'2019 Known'!D49</f>
        <v>Firm</v>
      </c>
      <c r="F598" s="554" t="str">
        <f>'2019 Known'!E49</f>
        <v>Solar</v>
      </c>
      <c r="G598" s="554" t="str">
        <f>'2019 Known'!F49</f>
        <v>Renew</v>
      </c>
    </row>
    <row r="599" spans="1:7" x14ac:dyDescent="0.25">
      <c r="A599" s="552">
        <f>'2019 Known'!$G$2</f>
        <v>2019</v>
      </c>
      <c r="B599" s="554" t="str">
        <f>'2019 Known'!A50</f>
        <v>BC Hydro (Point Roberts)</v>
      </c>
      <c r="C599" s="554">
        <f>'2019 Known'!B50</f>
        <v>20444.766</v>
      </c>
      <c r="D599" s="554">
        <f>'2019 Known'!C50</f>
        <v>8934.3627419999993</v>
      </c>
      <c r="E599" s="554" t="str">
        <f>'2019 Known'!D50</f>
        <v>Firm</v>
      </c>
      <c r="F599" s="554" t="str">
        <f>'2019 Known'!E50</f>
        <v>System</v>
      </c>
      <c r="G599" s="554" t="str">
        <f>'2019 Known'!F50</f>
        <v>System</v>
      </c>
    </row>
    <row r="600" spans="1:7" x14ac:dyDescent="0.25">
      <c r="A600" s="552">
        <f>'2019 Known'!$G$2</f>
        <v>2019</v>
      </c>
      <c r="B600" s="554" t="str">
        <f>'2019 Known'!A51</f>
        <v>BPA</v>
      </c>
      <c r="C600" s="554">
        <f>'2019 Known'!B51</f>
        <v>3500</v>
      </c>
      <c r="D600" s="554">
        <f>'2019 Known'!C51</f>
        <v>1529.5</v>
      </c>
      <c r="E600" s="554" t="str">
        <f>'2019 Known'!D51</f>
        <v>Firm</v>
      </c>
      <c r="F600" s="554" t="str">
        <f>'2019 Known'!E51</f>
        <v>System</v>
      </c>
      <c r="G600" s="554" t="str">
        <f>'2019 Known'!F51</f>
        <v>System</v>
      </c>
    </row>
    <row r="601" spans="1:7" x14ac:dyDescent="0.25">
      <c r="A601" s="552">
        <f>'2019 Known'!$G$2</f>
        <v>2019</v>
      </c>
      <c r="B601" s="554" t="str">
        <f>'2019 Known'!A52</f>
        <v>Transalta Centralia Generation LLC</v>
      </c>
      <c r="C601" s="554">
        <f>'2019 Known'!B52</f>
        <v>447044</v>
      </c>
      <c r="D601" s="554">
        <f>'2019 Known'!C52</f>
        <v>195358.228</v>
      </c>
      <c r="E601" s="554" t="str">
        <f>'2019 Known'!D52</f>
        <v>Firm</v>
      </c>
      <c r="F601" s="554" t="str">
        <f>'2019 Known'!E52</f>
        <v>System</v>
      </c>
      <c r="G601" s="554" t="str">
        <f>'2019 Known'!F52</f>
        <v>System</v>
      </c>
    </row>
    <row r="602" spans="1:7" x14ac:dyDescent="0.25">
      <c r="A602" s="552">
        <f>'2019 Known'!$G$2</f>
        <v>2019</v>
      </c>
      <c r="B602" s="554" t="str">
        <f>'2019 Known'!A53</f>
        <v>3 Bar G Wind Turbine #3 LLC</v>
      </c>
      <c r="C602" s="554">
        <f>'2019 Known'!B53</f>
        <v>132.80000000000001</v>
      </c>
      <c r="D602" s="554">
        <f>'2019 Known'!C53</f>
        <v>0</v>
      </c>
      <c r="E602" s="554" t="str">
        <f>'2019 Known'!D53</f>
        <v>Firm</v>
      </c>
      <c r="F602" s="554" t="str">
        <f>'2019 Known'!E53</f>
        <v>Wind</v>
      </c>
      <c r="G602" s="554" t="str">
        <f>'2019 Known'!F53</f>
        <v>Renew</v>
      </c>
    </row>
    <row r="603" spans="1:7" x14ac:dyDescent="0.25">
      <c r="A603" s="552">
        <f>'2019 Known'!$G$2</f>
        <v>2019</v>
      </c>
      <c r="B603" s="554" t="str">
        <f>'2019 Known'!A54</f>
        <v>Klondike Wind Power III</v>
      </c>
      <c r="C603" s="554">
        <f>'2019 Known'!B54</f>
        <v>112955</v>
      </c>
      <c r="D603" s="554">
        <f>'2019 Known'!C54</f>
        <v>0</v>
      </c>
      <c r="E603" s="554" t="str">
        <f>'2019 Known'!D54</f>
        <v>Firm</v>
      </c>
      <c r="F603" s="554" t="str">
        <f>'2019 Known'!E54</f>
        <v>Wind</v>
      </c>
      <c r="G603" s="554" t="str">
        <f>'2019 Known'!F54</f>
        <v>Renew</v>
      </c>
    </row>
    <row r="604" spans="1:7" x14ac:dyDescent="0.25">
      <c r="A604" s="552">
        <f>'2019 Known'!$G$2</f>
        <v>2019</v>
      </c>
      <c r="B604" s="554" t="str">
        <f>'2019 Known'!A55</f>
        <v>Knudsen Wind Turbine #1</v>
      </c>
      <c r="C604" s="554">
        <f>'2019 Known'!B55</f>
        <v>56.256</v>
      </c>
      <c r="D604" s="554">
        <f>'2019 Known'!C55</f>
        <v>0</v>
      </c>
      <c r="E604" s="554" t="str">
        <f>'2019 Known'!D55</f>
        <v>Firm</v>
      </c>
      <c r="F604" s="554" t="str">
        <f>'2019 Known'!E55</f>
        <v>Wind</v>
      </c>
      <c r="G604" s="554" t="str">
        <f>'2019 Known'!F55</f>
        <v>Renew</v>
      </c>
    </row>
    <row r="605" spans="1:7" x14ac:dyDescent="0.25">
      <c r="A605" s="552">
        <f>'2019 Known'!$G$2</f>
        <v>2019</v>
      </c>
      <c r="B605" s="554" t="str">
        <f>'2019 Known'!A56</f>
        <v>Swauk Wind</v>
      </c>
      <c r="C605" s="554">
        <f>'2019 Known'!B56</f>
        <v>10224.343000000001</v>
      </c>
      <c r="D605" s="554">
        <f>'2019 Known'!C56</f>
        <v>0</v>
      </c>
      <c r="E605" s="554" t="str">
        <f>'2019 Known'!D56</f>
        <v>Firm</v>
      </c>
      <c r="F605" s="554" t="str">
        <f>'2019 Known'!E56</f>
        <v>Wind</v>
      </c>
      <c r="G605" s="554" t="str">
        <f>'2019 Known'!F56</f>
        <v>Renew</v>
      </c>
    </row>
    <row r="606" spans="1:7" x14ac:dyDescent="0.25">
      <c r="A606" s="552">
        <f>'2019 Unknown - Net by'!$G$4</f>
        <v>2019</v>
      </c>
      <c r="B606" s="554" t="str">
        <f>'2019 Unknown - Net by'!H3</f>
        <v>Unspecified</v>
      </c>
      <c r="C606" s="556">
        <f>'2019 Unknown - Net by'!B80</f>
        <v>2278882.9660000005</v>
      </c>
      <c r="D606" s="556">
        <f>'2019 Unknown - Net by'!D80</f>
        <v>744608.3509279727</v>
      </c>
      <c r="E606" s="557" t="s">
        <v>473</v>
      </c>
      <c r="F606" s="552" t="s">
        <v>432</v>
      </c>
      <c r="G606" s="552" t="s">
        <v>432</v>
      </c>
    </row>
    <row r="607" spans="1:7" x14ac:dyDescent="0.25">
      <c r="A607" s="552">
        <f>'2020 Known'!$G$2</f>
        <v>2020</v>
      </c>
      <c r="B607" s="554" t="str">
        <f>'2020 Known'!A4</f>
        <v>Lower Baker</v>
      </c>
      <c r="C607" s="554">
        <f>'2020 Known'!B4</f>
        <v>383706.2</v>
      </c>
      <c r="D607" s="554">
        <f>'2020 Known'!C4</f>
        <v>0</v>
      </c>
      <c r="E607" s="554" t="str">
        <f>'2020 Known'!D4</f>
        <v>Own</v>
      </c>
      <c r="F607" s="554" t="str">
        <f>'2020 Known'!E4</f>
        <v>Hydro</v>
      </c>
      <c r="G607" s="554" t="str">
        <f>'2020 Known'!F4</f>
        <v>Renew</v>
      </c>
    </row>
    <row r="608" spans="1:7" x14ac:dyDescent="0.25">
      <c r="A608" s="552">
        <f>'2020 Known'!$G$2</f>
        <v>2020</v>
      </c>
      <c r="B608" s="554" t="str">
        <f>'2020 Known'!A5</f>
        <v>Snoqualmie Falls #1</v>
      </c>
      <c r="C608" s="554">
        <f>'2020 Known'!B5</f>
        <v>52934.5</v>
      </c>
      <c r="D608" s="554">
        <f>'2020 Known'!C5</f>
        <v>0</v>
      </c>
      <c r="E608" s="554" t="str">
        <f>'2020 Known'!D5</f>
        <v>Own</v>
      </c>
      <c r="F608" s="554" t="str">
        <f>'2020 Known'!E5</f>
        <v>Hydro</v>
      </c>
      <c r="G608" s="554" t="str">
        <f>'2020 Known'!F5</f>
        <v>Renew</v>
      </c>
    </row>
    <row r="609" spans="1:7" x14ac:dyDescent="0.25">
      <c r="A609" s="552">
        <f>'2020 Known'!$G$2</f>
        <v>2020</v>
      </c>
      <c r="B609" s="554" t="str">
        <f>'2020 Known'!A6</f>
        <v>Snoqualmie Falls #2</v>
      </c>
      <c r="C609" s="554">
        <f>'2020 Known'!B6</f>
        <v>181415.1</v>
      </c>
      <c r="D609" s="554">
        <f>'2020 Known'!C6</f>
        <v>0</v>
      </c>
      <c r="E609" s="554" t="str">
        <f>'2020 Known'!D6</f>
        <v>Own</v>
      </c>
      <c r="F609" s="554" t="str">
        <f>'2020 Known'!E6</f>
        <v>Hydro</v>
      </c>
      <c r="G609" s="554" t="str">
        <f>'2020 Known'!F6</f>
        <v>Renew</v>
      </c>
    </row>
    <row r="610" spans="1:7" x14ac:dyDescent="0.25">
      <c r="A610" s="552">
        <f>'2020 Known'!$G$2</f>
        <v>2020</v>
      </c>
      <c r="B610" s="554" t="str">
        <f>'2020 Known'!A7</f>
        <v>Upper Baker</v>
      </c>
      <c r="C610" s="554">
        <f>'2020 Known'!B7</f>
        <v>362138.35499999998</v>
      </c>
      <c r="D610" s="554">
        <f>'2020 Known'!C7</f>
        <v>0</v>
      </c>
      <c r="E610" s="554" t="str">
        <f>'2020 Known'!D7</f>
        <v>Own</v>
      </c>
      <c r="F610" s="554" t="str">
        <f>'2020 Known'!E7</f>
        <v>Hydro</v>
      </c>
      <c r="G610" s="554" t="str">
        <f>'2020 Known'!F7</f>
        <v>Renew</v>
      </c>
    </row>
    <row r="611" spans="1:7" x14ac:dyDescent="0.25">
      <c r="A611" s="552">
        <f>'2020 Known'!$G$2</f>
        <v>2020</v>
      </c>
      <c r="B611" s="554" t="str">
        <f>'2020 Known'!A8</f>
        <v>Colstrip Unit 1</v>
      </c>
      <c r="C611" s="554">
        <f>'2020 Known'!B8</f>
        <v>2589</v>
      </c>
      <c r="D611" s="554">
        <f>'2020 Known'!C8</f>
        <v>3264.0942504528002</v>
      </c>
      <c r="E611" s="554" t="str">
        <f>'2020 Known'!D8</f>
        <v>Own</v>
      </c>
      <c r="F611" s="554" t="str">
        <f>'2020 Known'!E8</f>
        <v>Coal</v>
      </c>
      <c r="G611" s="554" t="str">
        <f>'2020 Known'!F8</f>
        <v>Coal</v>
      </c>
    </row>
    <row r="612" spans="1:7" x14ac:dyDescent="0.25">
      <c r="A612" s="552">
        <f>'2020 Known'!$G$2</f>
        <v>2020</v>
      </c>
      <c r="B612" s="554" t="str">
        <f>'2020 Known'!A9</f>
        <v>Colstrip Unit 2</v>
      </c>
      <c r="C612" s="554">
        <f>'2020 Known'!B9</f>
        <v>5420</v>
      </c>
      <c r="D612" s="554">
        <f>'2020 Known'!C9</f>
        <v>6402.3277994609998</v>
      </c>
      <c r="E612" s="554" t="str">
        <f>'2020 Known'!D9</f>
        <v>Own</v>
      </c>
      <c r="F612" s="554" t="str">
        <f>'2020 Known'!E9</f>
        <v>Coal</v>
      </c>
      <c r="G612" s="554" t="str">
        <f>'2020 Known'!F9</f>
        <v>Coal</v>
      </c>
    </row>
    <row r="613" spans="1:7" x14ac:dyDescent="0.25">
      <c r="A613" s="552">
        <f>'2020 Known'!$G$2</f>
        <v>2020</v>
      </c>
      <c r="B613" s="554" t="str">
        <f>'2020 Known'!A10</f>
        <v>Colstrip Unit 3</v>
      </c>
      <c r="C613" s="554">
        <f>'2020 Known'!B10</f>
        <v>1124165</v>
      </c>
      <c r="D613" s="554">
        <f>'2020 Known'!C10</f>
        <v>1189078.8303417685</v>
      </c>
      <c r="E613" s="554" t="str">
        <f>'2020 Known'!D10</f>
        <v>Own</v>
      </c>
      <c r="F613" s="554" t="str">
        <f>'2020 Known'!E10</f>
        <v>Coal</v>
      </c>
      <c r="G613" s="554" t="str">
        <f>'2020 Known'!F10</f>
        <v>Coal</v>
      </c>
    </row>
    <row r="614" spans="1:7" x14ac:dyDescent="0.25">
      <c r="A614" s="552">
        <f>'2020 Known'!$G$2</f>
        <v>2020</v>
      </c>
      <c r="B614" s="554" t="str">
        <f>'2020 Known'!A11</f>
        <v>Colstrip Unit 4</v>
      </c>
      <c r="C614" s="554">
        <f>'2020 Known'!B11</f>
        <v>970164</v>
      </c>
      <c r="D614" s="554">
        <f>'2020 Known'!C11</f>
        <v>891059.61564669583</v>
      </c>
      <c r="E614" s="554" t="str">
        <f>'2020 Known'!D11</f>
        <v>Own</v>
      </c>
      <c r="F614" s="554" t="str">
        <f>'2020 Known'!E11</f>
        <v>Coal</v>
      </c>
      <c r="G614" s="554" t="str">
        <f>'2020 Known'!F11</f>
        <v>Coal</v>
      </c>
    </row>
    <row r="615" spans="1:7" x14ac:dyDescent="0.25">
      <c r="A615" s="552">
        <f>'2020 Known'!$G$2</f>
        <v>2020</v>
      </c>
      <c r="B615" s="554" t="str">
        <f>'2020 Known'!A12</f>
        <v>Crystal Mountain</v>
      </c>
      <c r="C615" s="554">
        <f>'2020 Known'!B12</f>
        <v>533.92999999999995</v>
      </c>
      <c r="D615" s="554">
        <f>'2020 Known'!C12</f>
        <v>514.04794022507429</v>
      </c>
      <c r="E615" s="554" t="str">
        <f>'2020 Known'!D12</f>
        <v>Own</v>
      </c>
      <c r="F615" s="554" t="str">
        <f>'2020 Known'!E12</f>
        <v>Diesel</v>
      </c>
      <c r="G615" s="554" t="str">
        <f>'2020 Known'!F12</f>
        <v>Gas</v>
      </c>
    </row>
    <row r="616" spans="1:7" x14ac:dyDescent="0.25">
      <c r="A616" s="552">
        <f>'2020 Known'!$G$2</f>
        <v>2020</v>
      </c>
      <c r="B616" s="554" t="str">
        <f>'2020 Known'!A13</f>
        <v>Encogen 1</v>
      </c>
      <c r="C616" s="554">
        <f>'2020 Known'!B13</f>
        <v>118589.99333333335</v>
      </c>
      <c r="D616" s="554">
        <f>'2020 Known'!C13</f>
        <v>55032.233847957104</v>
      </c>
      <c r="E616" s="554" t="str">
        <f>'2020 Known'!D13</f>
        <v>Own</v>
      </c>
      <c r="F616" s="554" t="str">
        <f>'2020 Known'!E13</f>
        <v>Gas</v>
      </c>
      <c r="G616" s="554" t="str">
        <f>'2020 Known'!F13</f>
        <v>Gas</v>
      </c>
    </row>
    <row r="617" spans="1:7" x14ac:dyDescent="0.25">
      <c r="A617" s="552">
        <f>'2020 Known'!$G$2</f>
        <v>2020</v>
      </c>
      <c r="B617" s="554" t="str">
        <f>'2020 Known'!A14</f>
        <v>Encogen 2</v>
      </c>
      <c r="C617" s="554">
        <f>'2020 Known'!B14</f>
        <v>127822.44333333333</v>
      </c>
      <c r="D617" s="554">
        <f>'2020 Known'!C14</f>
        <v>62154.804198413389</v>
      </c>
      <c r="E617" s="554" t="str">
        <f>'2020 Known'!D14</f>
        <v>Own</v>
      </c>
      <c r="F617" s="554" t="str">
        <f>'2020 Known'!E14</f>
        <v>Gas</v>
      </c>
      <c r="G617" s="554" t="str">
        <f>'2020 Known'!F14</f>
        <v>Gas</v>
      </c>
    </row>
    <row r="618" spans="1:7" x14ac:dyDescent="0.25">
      <c r="A618" s="552">
        <f>'2020 Known'!$G$2</f>
        <v>2020</v>
      </c>
      <c r="B618" s="554" t="str">
        <f>'2020 Known'!A15</f>
        <v>Encogen 3</v>
      </c>
      <c r="C618" s="554">
        <f>'2020 Known'!B15</f>
        <v>126606.19333333333</v>
      </c>
      <c r="D618" s="554">
        <f>'2020 Known'!C15</f>
        <v>61127.689787834592</v>
      </c>
      <c r="E618" s="554" t="str">
        <f>'2020 Known'!D15</f>
        <v>Own</v>
      </c>
      <c r="F618" s="554" t="str">
        <f>'2020 Known'!E15</f>
        <v>Gas</v>
      </c>
      <c r="G618" s="554" t="str">
        <f>'2020 Known'!F15</f>
        <v>Gas</v>
      </c>
    </row>
    <row r="619" spans="1:7" x14ac:dyDescent="0.25">
      <c r="A619" s="552">
        <f>'2020 Known'!$G$2</f>
        <v>2020</v>
      </c>
      <c r="B619" s="554" t="str">
        <f>'2020 Known'!A16</f>
        <v>Ferndale 1</v>
      </c>
      <c r="C619" s="554">
        <f>'2020 Known'!B16</f>
        <v>563397</v>
      </c>
      <c r="D619" s="554">
        <f>'2020 Known'!C16</f>
        <v>253456.1757261832</v>
      </c>
      <c r="E619" s="554" t="str">
        <f>'2020 Known'!D16</f>
        <v>Own</v>
      </c>
      <c r="F619" s="554" t="str">
        <f>'2020 Known'!E16</f>
        <v>Gas</v>
      </c>
      <c r="G619" s="554" t="str">
        <f>'2020 Known'!F16</f>
        <v>Gas</v>
      </c>
    </row>
    <row r="620" spans="1:7" x14ac:dyDescent="0.25">
      <c r="A620" s="552">
        <f>'2020 Known'!$G$2</f>
        <v>2020</v>
      </c>
      <c r="B620" s="554" t="str">
        <f>'2020 Known'!A17</f>
        <v>Ferndale 2</v>
      </c>
      <c r="C620" s="554">
        <f>'2020 Known'!B17</f>
        <v>559920</v>
      </c>
      <c r="D620" s="554">
        <f>'2020 Known'!C17</f>
        <v>255692.8614489233</v>
      </c>
      <c r="E620" s="554" t="str">
        <f>'2020 Known'!D17</f>
        <v>Own</v>
      </c>
      <c r="F620" s="554" t="str">
        <f>'2020 Known'!E17</f>
        <v>Gas</v>
      </c>
      <c r="G620" s="554" t="str">
        <f>'2020 Known'!F17</f>
        <v>Gas</v>
      </c>
    </row>
    <row r="621" spans="1:7" x14ac:dyDescent="0.25">
      <c r="A621" s="552">
        <f>'2020 Known'!$G$2</f>
        <v>2020</v>
      </c>
      <c r="B621" s="554" t="str">
        <f>'2020 Known'!A18</f>
        <v>Frederickson 1</v>
      </c>
      <c r="C621" s="554">
        <f>'2020 Known'!B18</f>
        <v>24260.9</v>
      </c>
      <c r="D621" s="554">
        <f>'2020 Known'!C18</f>
        <v>18555.585060160887</v>
      </c>
      <c r="E621" s="554" t="str">
        <f>'2020 Known'!D18</f>
        <v>Own</v>
      </c>
      <c r="F621" s="554" t="str">
        <f>'2020 Known'!E18</f>
        <v>Gas</v>
      </c>
      <c r="G621" s="554" t="str">
        <f>'2020 Known'!F18</f>
        <v>Gas</v>
      </c>
    </row>
    <row r="622" spans="1:7" x14ac:dyDescent="0.25">
      <c r="A622" s="552">
        <f>'2020 Known'!$G$2</f>
        <v>2020</v>
      </c>
      <c r="B622" s="554" t="str">
        <f>'2020 Known'!A19</f>
        <v>Frederickson 2</v>
      </c>
      <c r="C622" s="554">
        <f>'2020 Known'!B19</f>
        <v>8040.6</v>
      </c>
      <c r="D622" s="554">
        <f>'2020 Known'!C19</f>
        <v>6298.1503057700793</v>
      </c>
      <c r="E622" s="554" t="str">
        <f>'2020 Known'!D19</f>
        <v>Own</v>
      </c>
      <c r="F622" s="554" t="str">
        <f>'2020 Known'!E19</f>
        <v>Gas</v>
      </c>
      <c r="G622" s="554" t="str">
        <f>'2020 Known'!F19</f>
        <v>Gas</v>
      </c>
    </row>
    <row r="623" spans="1:7" x14ac:dyDescent="0.25">
      <c r="A623" s="552">
        <f>'2020 Known'!$G$2</f>
        <v>2020</v>
      </c>
      <c r="B623" s="554" t="str">
        <f>'2020 Known'!A20</f>
        <v>Fredonia 1</v>
      </c>
      <c r="C623" s="554">
        <f>'2020 Known'!B20</f>
        <v>75907.3</v>
      </c>
      <c r="D623" s="554">
        <f>'2020 Known'!C20</f>
        <v>57284.091976562348</v>
      </c>
      <c r="E623" s="554" t="str">
        <f>'2020 Known'!D20</f>
        <v>Own</v>
      </c>
      <c r="F623" s="554" t="str">
        <f>'2020 Known'!E20</f>
        <v>Gas</v>
      </c>
      <c r="G623" s="554" t="str">
        <f>'2020 Known'!F20</f>
        <v>Gas</v>
      </c>
    </row>
    <row r="624" spans="1:7" x14ac:dyDescent="0.25">
      <c r="A624" s="552">
        <f>'2020 Known'!$G$2</f>
        <v>2020</v>
      </c>
      <c r="B624" s="554" t="str">
        <f>'2020 Known'!A21</f>
        <v>Fredonia 2</v>
      </c>
      <c r="C624" s="554">
        <f>'2020 Known'!B21</f>
        <v>86701.4</v>
      </c>
      <c r="D624" s="554">
        <f>'2020 Known'!C21</f>
        <v>76894.818435905123</v>
      </c>
      <c r="E624" s="554" t="str">
        <f>'2020 Known'!D21</f>
        <v>Own</v>
      </c>
      <c r="F624" s="554" t="str">
        <f>'2020 Known'!E21</f>
        <v>Gas</v>
      </c>
      <c r="G624" s="554" t="str">
        <f>'2020 Known'!F21</f>
        <v>Gas</v>
      </c>
    </row>
    <row r="625" spans="1:7" x14ac:dyDescent="0.25">
      <c r="A625" s="552">
        <f>'2020 Known'!$G$2</f>
        <v>2020</v>
      </c>
      <c r="B625" s="554" t="str">
        <f>'2020 Known'!A22</f>
        <v>Fredonia 3</v>
      </c>
      <c r="C625" s="554">
        <f>'2020 Known'!B22</f>
        <v>16300.8</v>
      </c>
      <c r="D625" s="554">
        <f>'2020 Known'!C22</f>
        <v>10732.843497003798</v>
      </c>
      <c r="E625" s="554" t="str">
        <f>'2020 Known'!D22</f>
        <v>Own</v>
      </c>
      <c r="F625" s="554" t="str">
        <f>'2020 Known'!E22</f>
        <v>Gas</v>
      </c>
      <c r="G625" s="554" t="str">
        <f>'2020 Known'!F22</f>
        <v>Gas</v>
      </c>
    </row>
    <row r="626" spans="1:7" x14ac:dyDescent="0.25">
      <c r="A626" s="552">
        <f>'2020 Known'!$G$2</f>
        <v>2020</v>
      </c>
      <c r="B626" s="554" t="str">
        <f>'2020 Known'!A23</f>
        <v>Fredonia 4</v>
      </c>
      <c r="C626" s="554">
        <f>'2020 Known'!B23</f>
        <v>10424.1</v>
      </c>
      <c r="D626" s="554">
        <f>'2020 Known'!C23</f>
        <v>7094.9806084291004</v>
      </c>
      <c r="E626" s="554" t="str">
        <f>'2020 Known'!D23</f>
        <v>Own</v>
      </c>
      <c r="F626" s="554" t="str">
        <f>'2020 Known'!E23</f>
        <v>Gas</v>
      </c>
      <c r="G626" s="554" t="str">
        <f>'2020 Known'!F23</f>
        <v>Gas</v>
      </c>
    </row>
    <row r="627" spans="1:7" x14ac:dyDescent="0.25">
      <c r="A627" s="552">
        <f>'2020 Known'!$G$2</f>
        <v>2020</v>
      </c>
      <c r="B627" s="554" t="str">
        <f>'2020 Known'!A24</f>
        <v>Frederickson Unit 1</v>
      </c>
      <c r="C627" s="554">
        <f>'2020 Known'!B24</f>
        <v>478493.0015999999</v>
      </c>
      <c r="D627" s="554">
        <f>'2020 Known'!C24</f>
        <v>184102.80586267504</v>
      </c>
      <c r="E627" s="554" t="str">
        <f>'2020 Known'!D24</f>
        <v>Own</v>
      </c>
      <c r="F627" s="554" t="str">
        <f>'2020 Known'!E24</f>
        <v>Gas</v>
      </c>
      <c r="G627" s="554" t="str">
        <f>'2020 Known'!F24</f>
        <v>Gas</v>
      </c>
    </row>
    <row r="628" spans="1:7" x14ac:dyDescent="0.25">
      <c r="A628" s="552">
        <f>'2020 Known'!$G$2</f>
        <v>2020</v>
      </c>
      <c r="B628" s="554" t="str">
        <f>'2020 Known'!A25</f>
        <v>Goldendale</v>
      </c>
      <c r="C628" s="554">
        <f>'2020 Known'!B25</f>
        <v>2020178</v>
      </c>
      <c r="D628" s="554">
        <f>'2020 Known'!C25</f>
        <v>730202.05805986584</v>
      </c>
      <c r="E628" s="554" t="str">
        <f>'2020 Known'!D25</f>
        <v>Own</v>
      </c>
      <c r="F628" s="554" t="str">
        <f>'2020 Known'!E25</f>
        <v>Gas</v>
      </c>
      <c r="G628" s="554" t="str">
        <f>'2020 Known'!F25</f>
        <v>Gas</v>
      </c>
    </row>
    <row r="629" spans="1:7" x14ac:dyDescent="0.25">
      <c r="A629" s="552">
        <f>'2020 Known'!$G$2</f>
        <v>2020</v>
      </c>
      <c r="B629" s="554" t="str">
        <f>'2020 Known'!A26</f>
        <v>Mint Farm</v>
      </c>
      <c r="C629" s="554">
        <f>'2020 Known'!B26</f>
        <v>1794974.9</v>
      </c>
      <c r="D629" s="554">
        <f>'2020 Known'!C26</f>
        <v>694037.25305941002</v>
      </c>
      <c r="E629" s="554" t="str">
        <f>'2020 Known'!D26</f>
        <v>Own</v>
      </c>
      <c r="F629" s="554" t="str">
        <f>'2020 Known'!E26</f>
        <v>Gas</v>
      </c>
      <c r="G629" s="554" t="str">
        <f>'2020 Known'!F26</f>
        <v>Gas</v>
      </c>
    </row>
    <row r="630" spans="1:7" x14ac:dyDescent="0.25">
      <c r="A630" s="552">
        <f>'2020 Known'!$G$2</f>
        <v>2020</v>
      </c>
      <c r="B630" s="554" t="str">
        <f>'2020 Known'!A27</f>
        <v>Sumas</v>
      </c>
      <c r="C630" s="554">
        <f>'2020 Known'!B27</f>
        <v>489120.3</v>
      </c>
      <c r="D630" s="554">
        <f>'2020 Known'!C27</f>
        <v>226352.97429011497</v>
      </c>
      <c r="E630" s="554" t="str">
        <f>'2020 Known'!D27</f>
        <v>Own</v>
      </c>
      <c r="F630" s="554" t="str">
        <f>'2020 Known'!E27</f>
        <v>Gas</v>
      </c>
      <c r="G630" s="554" t="str">
        <f>'2020 Known'!F27</f>
        <v>Gas</v>
      </c>
    </row>
    <row r="631" spans="1:7" x14ac:dyDescent="0.25">
      <c r="A631" s="552">
        <f>'2020 Known'!$G$2</f>
        <v>2020</v>
      </c>
      <c r="B631" s="554" t="str">
        <f>'2020 Known'!A28</f>
        <v>Whitehorn 2</v>
      </c>
      <c r="C631" s="554">
        <f>'2020 Known'!B28</f>
        <v>3862.7</v>
      </c>
      <c r="D631" s="554">
        <f>'2020 Known'!C28</f>
        <v>3310.4359231028402</v>
      </c>
      <c r="E631" s="554" t="str">
        <f>'2020 Known'!D28</f>
        <v>Own</v>
      </c>
      <c r="F631" s="554" t="str">
        <f>'2020 Known'!E28</f>
        <v>Gas</v>
      </c>
      <c r="G631" s="554" t="str">
        <f>'2020 Known'!F28</f>
        <v>Gas</v>
      </c>
    </row>
    <row r="632" spans="1:7" x14ac:dyDescent="0.25">
      <c r="A632" s="552">
        <f>'2020 Known'!$G$2</f>
        <v>2020</v>
      </c>
      <c r="B632" s="554" t="str">
        <f>'2020 Known'!A29</f>
        <v>Whitehorn 3</v>
      </c>
      <c r="C632" s="554">
        <f>'2020 Known'!B29</f>
        <v>1618.3</v>
      </c>
      <c r="D632" s="554">
        <f>'2020 Known'!C29</f>
        <v>1343.6862720647248</v>
      </c>
      <c r="E632" s="554" t="str">
        <f>'2020 Known'!D29</f>
        <v>Own</v>
      </c>
      <c r="F632" s="554" t="str">
        <f>'2020 Known'!E29</f>
        <v>Gas</v>
      </c>
      <c r="G632" s="554" t="str">
        <f>'2020 Known'!F29</f>
        <v>Gas</v>
      </c>
    </row>
    <row r="633" spans="1:7" x14ac:dyDescent="0.25">
      <c r="A633" s="552">
        <f>'2020 Known'!$G$2</f>
        <v>2020</v>
      </c>
      <c r="B633" s="554" t="str">
        <f>'2020 Known'!A30</f>
        <v>Wild Horse (W183)</v>
      </c>
      <c r="C633" s="554">
        <f>'2020 Known'!B30</f>
        <v>764889.94700000004</v>
      </c>
      <c r="D633" s="554">
        <f>'2020 Known'!C30</f>
        <v>0</v>
      </c>
      <c r="E633" s="554" t="str">
        <f>'2020 Known'!D30</f>
        <v>Own</v>
      </c>
      <c r="F633" s="554" t="str">
        <f>'2020 Known'!E30</f>
        <v>Wind</v>
      </c>
      <c r="G633" s="554" t="str">
        <f>'2020 Known'!F30</f>
        <v>Renew</v>
      </c>
    </row>
    <row r="634" spans="1:7" x14ac:dyDescent="0.25">
      <c r="A634" s="552">
        <f>'2020 Known'!$G$2</f>
        <v>2020</v>
      </c>
      <c r="B634" s="554" t="str">
        <f>'2020 Known'!A31</f>
        <v>Lower Snake River</v>
      </c>
      <c r="C634" s="554">
        <f>'2020 Known'!B31</f>
        <v>972680.38</v>
      </c>
      <c r="D634" s="554">
        <f>'2020 Known'!C31</f>
        <v>0</v>
      </c>
      <c r="E634" s="554" t="str">
        <f>'2020 Known'!D31</f>
        <v>Own</v>
      </c>
      <c r="F634" s="554" t="str">
        <f>'2020 Known'!E31</f>
        <v>Wind</v>
      </c>
      <c r="G634" s="554" t="str">
        <f>'2020 Known'!F31</f>
        <v>Renew</v>
      </c>
    </row>
    <row r="635" spans="1:7" x14ac:dyDescent="0.25">
      <c r="A635" s="552">
        <f>'2020 Known'!$G$2</f>
        <v>2020</v>
      </c>
      <c r="B635" s="554" t="str">
        <f>'2020 Known'!A32</f>
        <v>Hopkins Ridge (W184)</v>
      </c>
      <c r="C635" s="554">
        <f>'2020 Known'!B32</f>
        <v>478168.71600000001</v>
      </c>
      <c r="D635" s="554">
        <f>'2020 Known'!C32</f>
        <v>0</v>
      </c>
      <c r="E635" s="554" t="str">
        <f>'2020 Known'!D32</f>
        <v>Own</v>
      </c>
      <c r="F635" s="554" t="str">
        <f>'2020 Known'!E32</f>
        <v>Wind</v>
      </c>
      <c r="G635" s="554" t="str">
        <f>'2020 Known'!F32</f>
        <v>Renew</v>
      </c>
    </row>
    <row r="636" spans="1:7" x14ac:dyDescent="0.25">
      <c r="A636" s="552">
        <f>'2020 Known'!$G$2</f>
        <v>2020</v>
      </c>
      <c r="B636" s="554" t="str">
        <f>'2020 Known'!A33</f>
        <v>Bio Energy Washington (BEW)</v>
      </c>
      <c r="C636" s="554">
        <f>'2020 Known'!B33</f>
        <v>1.335</v>
      </c>
      <c r="D636" s="554">
        <f>'2020 Known'!C33</f>
        <v>0</v>
      </c>
      <c r="E636" s="554" t="str">
        <f>'2020 Known'!D33</f>
        <v>Firm</v>
      </c>
      <c r="F636" s="554" t="str">
        <f>'2020 Known'!E33</f>
        <v>Biogas</v>
      </c>
      <c r="G636" s="554" t="str">
        <f>'2020 Known'!F33</f>
        <v>Renew</v>
      </c>
    </row>
    <row r="637" spans="1:7" x14ac:dyDescent="0.25">
      <c r="A637" s="552">
        <f>'2020 Known'!$G$2</f>
        <v>2020</v>
      </c>
      <c r="B637" s="554" t="str">
        <f>'2020 Known'!A34</f>
        <v>Blocks Dairy Farm</v>
      </c>
      <c r="C637" s="554">
        <f>'2020 Known'!B34</f>
        <v>150.51400000000001</v>
      </c>
      <c r="D637" s="554">
        <f>'2020 Known'!C34</f>
        <v>0</v>
      </c>
      <c r="E637" s="554" t="str">
        <f>'2020 Known'!D34</f>
        <v>Firm</v>
      </c>
      <c r="F637" s="554" t="str">
        <f>'2020 Known'!E34</f>
        <v>Biogas</v>
      </c>
      <c r="G637" s="554" t="str">
        <f>'2020 Known'!F34</f>
        <v>Renew</v>
      </c>
    </row>
    <row r="638" spans="1:7" x14ac:dyDescent="0.25">
      <c r="A638" s="552">
        <f>'2020 Known'!$G$2</f>
        <v>2020</v>
      </c>
      <c r="B638" s="554" t="str">
        <f>'2020 Known'!A35</f>
        <v>Edaleen Dairy LLC</v>
      </c>
      <c r="C638" s="554">
        <f>'2020 Known'!B35</f>
        <v>494.69</v>
      </c>
      <c r="D638" s="554">
        <f>'2020 Known'!C35</f>
        <v>0</v>
      </c>
      <c r="E638" s="554" t="str">
        <f>'2020 Known'!D35</f>
        <v>Firm</v>
      </c>
      <c r="F638" s="554" t="str">
        <f>'2020 Known'!E35</f>
        <v>Biogas</v>
      </c>
      <c r="G638" s="554" t="str">
        <f>'2020 Known'!F35</f>
        <v>Renew</v>
      </c>
    </row>
    <row r="639" spans="1:7" x14ac:dyDescent="0.25">
      <c r="A639" s="552">
        <f>'2020 Known'!$G$2</f>
        <v>2020</v>
      </c>
      <c r="B639" s="554" t="str">
        <f>'2020 Known'!A36</f>
        <v>Emerald City Renewables</v>
      </c>
      <c r="C639" s="554">
        <f>'2020 Known'!B36</f>
        <v>31178.521000000001</v>
      </c>
      <c r="D639" s="554">
        <f>'2020 Known'!C36</f>
        <v>0</v>
      </c>
      <c r="E639" s="554" t="str">
        <f>'2020 Known'!D36</f>
        <v>Firm</v>
      </c>
      <c r="F639" s="554" t="str">
        <f>'2020 Known'!E36</f>
        <v>Biogas</v>
      </c>
      <c r="G639" s="554" t="str">
        <f>'2020 Known'!F36</f>
        <v>Renew</v>
      </c>
    </row>
    <row r="640" spans="1:7" x14ac:dyDescent="0.25">
      <c r="A640" s="552">
        <f>'2020 Known'!$G$2</f>
        <v>2020</v>
      </c>
      <c r="B640" s="554" t="str">
        <f>'2020 Known'!A37</f>
        <v>Farm Power Lynden LLC</v>
      </c>
      <c r="C640" s="554">
        <f>'2020 Known'!B37</f>
        <v>3.649</v>
      </c>
      <c r="D640" s="554">
        <f>'2020 Known'!C37</f>
        <v>0</v>
      </c>
      <c r="E640" s="554" t="str">
        <f>'2020 Known'!D37</f>
        <v>Firm</v>
      </c>
      <c r="F640" s="554" t="str">
        <f>'2020 Known'!E37</f>
        <v>Biogas</v>
      </c>
      <c r="G640" s="554" t="str">
        <f>'2020 Known'!F37</f>
        <v>Renew</v>
      </c>
    </row>
    <row r="641" spans="1:7" x14ac:dyDescent="0.25">
      <c r="A641" s="552">
        <f>'2020 Known'!$G$2</f>
        <v>2020</v>
      </c>
      <c r="B641" s="554" t="str">
        <f>'2020 Known'!A38</f>
        <v>Farm Power Rexville LLC</v>
      </c>
      <c r="C641" s="554">
        <f>'2020 Known'!B38</f>
        <v>3770.3829999999998</v>
      </c>
      <c r="D641" s="554">
        <f>'2020 Known'!C38</f>
        <v>0</v>
      </c>
      <c r="E641" s="554" t="str">
        <f>'2020 Known'!D38</f>
        <v>Firm</v>
      </c>
      <c r="F641" s="554" t="str">
        <f>'2020 Known'!E38</f>
        <v>Biogas</v>
      </c>
      <c r="G641" s="554" t="str">
        <f>'2020 Known'!F38</f>
        <v>Renew</v>
      </c>
    </row>
    <row r="642" spans="1:7" x14ac:dyDescent="0.25">
      <c r="A642" s="552">
        <f>'2020 Known'!$G$2</f>
        <v>2020</v>
      </c>
      <c r="B642" s="554" t="str">
        <f>'2020 Known'!A39</f>
        <v>Lake Washington -- Finn Hill</v>
      </c>
      <c r="C642" s="554">
        <f>'2020 Known'!B39</f>
        <v>373.27</v>
      </c>
      <c r="D642" s="554">
        <f>'2020 Known'!C39</f>
        <v>0</v>
      </c>
      <c r="E642" s="554" t="str">
        <f>'2020 Known'!D39</f>
        <v>Firm</v>
      </c>
      <c r="F642" s="554" t="str">
        <f>'2020 Known'!E39</f>
        <v>Biogas</v>
      </c>
      <c r="G642" s="554" t="str">
        <f>'2020 Known'!F39</f>
        <v>Renew</v>
      </c>
    </row>
    <row r="643" spans="1:7" x14ac:dyDescent="0.25">
      <c r="A643" s="552">
        <f>'2020 Known'!$G$2</f>
        <v>2020</v>
      </c>
      <c r="B643" s="554" t="str">
        <f>'2020 Known'!A40</f>
        <v>Rainier Bio Gas</v>
      </c>
      <c r="C643" s="554">
        <f>'2020 Known'!B40</f>
        <v>1590.7919999999999</v>
      </c>
      <c r="D643" s="554">
        <f>'2020 Known'!C40</f>
        <v>0</v>
      </c>
      <c r="E643" s="554" t="str">
        <f>'2020 Known'!D40</f>
        <v>Firm</v>
      </c>
      <c r="F643" s="554" t="str">
        <f>'2020 Known'!E40</f>
        <v>Biogas</v>
      </c>
      <c r="G643" s="554" t="str">
        <f>'2020 Known'!F40</f>
        <v>Renew</v>
      </c>
    </row>
    <row r="644" spans="1:7" x14ac:dyDescent="0.25">
      <c r="A644" s="552">
        <f>'2020 Known'!$G$2</f>
        <v>2020</v>
      </c>
      <c r="B644" s="554" t="str">
        <f>'2020 Known'!A41</f>
        <v>Van Dyk - S Holsteins</v>
      </c>
      <c r="C644" s="554">
        <f>'2020 Known'!B41</f>
        <v>111.008</v>
      </c>
      <c r="D644" s="554">
        <f>'2020 Known'!C41</f>
        <v>0</v>
      </c>
      <c r="E644" s="554" t="str">
        <f>'2020 Known'!D41</f>
        <v>Firm</v>
      </c>
      <c r="F644" s="554" t="str">
        <f>'2020 Known'!E41</f>
        <v>Biogas</v>
      </c>
      <c r="G644" s="554" t="str">
        <f>'2020 Known'!F41</f>
        <v>Renew</v>
      </c>
    </row>
    <row r="645" spans="1:7" x14ac:dyDescent="0.25">
      <c r="A645" s="552">
        <f>'2020 Known'!$G$2</f>
        <v>2020</v>
      </c>
      <c r="B645" s="554" t="str">
        <f>'2020 Known'!A42</f>
        <v>VanderHaak Dairy Digester</v>
      </c>
      <c r="C645" s="554">
        <f>'2020 Known'!B42</f>
        <v>2614.87</v>
      </c>
      <c r="D645" s="554">
        <f>'2020 Known'!C42</f>
        <v>0</v>
      </c>
      <c r="E645" s="554" t="str">
        <f>'2020 Known'!D42</f>
        <v>Firm</v>
      </c>
      <c r="F645" s="554" t="str">
        <f>'2020 Known'!E42</f>
        <v>Biogas</v>
      </c>
      <c r="G645" s="554" t="str">
        <f>'2020 Known'!F42</f>
        <v>Renew</v>
      </c>
    </row>
    <row r="646" spans="1:7" x14ac:dyDescent="0.25">
      <c r="A646" s="552">
        <f>'2020 Known'!$G$2</f>
        <v>2020</v>
      </c>
      <c r="B646" s="554" t="str">
        <f>'2020 Known'!A43</f>
        <v>Transalta Centralia Generation LLC</v>
      </c>
      <c r="C646" s="554">
        <f>'2020 Known'!B43</f>
        <v>2500968</v>
      </c>
      <c r="D646" s="554">
        <f>'2020 Known'!C43</f>
        <v>2671660.3659544718</v>
      </c>
      <c r="E646" s="554" t="str">
        <f>'2020 Known'!D43</f>
        <v>Firm</v>
      </c>
      <c r="F646" s="554" t="str">
        <f>'2020 Known'!E43</f>
        <v>Coal</v>
      </c>
      <c r="G646" s="554" t="str">
        <f>'2020 Known'!F43</f>
        <v>Coal</v>
      </c>
    </row>
    <row r="647" spans="1:7" x14ac:dyDescent="0.25">
      <c r="A647" s="552">
        <f>'2020 Known'!$G$2</f>
        <v>2020</v>
      </c>
      <c r="B647" s="554" t="str">
        <f>'2020 Known'!A44</f>
        <v>Black Creek Hydro Inc</v>
      </c>
      <c r="C647" s="554">
        <f>'2020 Known'!B44</f>
        <v>12985.959000000001</v>
      </c>
      <c r="D647" s="554">
        <f>'2020 Known'!C44</f>
        <v>0</v>
      </c>
      <c r="E647" s="554" t="str">
        <f>'2020 Known'!D44</f>
        <v>Firm</v>
      </c>
      <c r="F647" s="554" t="str">
        <f>'2020 Known'!E44</f>
        <v>Hydro</v>
      </c>
      <c r="G647" s="554" t="str">
        <f>'2020 Known'!F44</f>
        <v>Renew</v>
      </c>
    </row>
    <row r="648" spans="1:7" x14ac:dyDescent="0.25">
      <c r="A648" s="552">
        <f>'2020 Known'!$G$2</f>
        <v>2020</v>
      </c>
      <c r="B648" s="554" t="str">
        <f>'2020 Known'!A45</f>
        <v>Chelan PUD - RI &amp; RR</v>
      </c>
      <c r="C648" s="554">
        <f>'2020 Known'!B45</f>
        <v>2114198</v>
      </c>
      <c r="D648" s="554">
        <f>'2020 Known'!C45</f>
        <v>0</v>
      </c>
      <c r="E648" s="554" t="str">
        <f>'2020 Known'!D45</f>
        <v>Firm</v>
      </c>
      <c r="F648" s="554" t="str">
        <f>'2020 Known'!E45</f>
        <v>Hydro</v>
      </c>
      <c r="G648" s="554" t="str">
        <f>'2020 Known'!F45</f>
        <v>Renew</v>
      </c>
    </row>
    <row r="649" spans="1:7" x14ac:dyDescent="0.25">
      <c r="A649" s="552">
        <f>'2020 Known'!$G$2</f>
        <v>2020</v>
      </c>
      <c r="B649" s="554" t="str">
        <f>'2020 Known'!A46</f>
        <v>Chelan PUD - Rock Island Syst #2</v>
      </c>
      <c r="C649" s="554">
        <f>'2020 Known'!B46</f>
        <v>-38838</v>
      </c>
      <c r="D649" s="554">
        <f>'2020 Known'!C46</f>
        <v>0</v>
      </c>
      <c r="E649" s="554" t="str">
        <f>'2020 Known'!D46</f>
        <v>Firm</v>
      </c>
      <c r="F649" s="554" t="str">
        <f>'2020 Known'!E46</f>
        <v>Hydro</v>
      </c>
      <c r="G649" s="554" t="str">
        <f>'2020 Known'!F46</f>
        <v>Renew</v>
      </c>
    </row>
    <row r="650" spans="1:7" x14ac:dyDescent="0.25">
      <c r="A650" s="552">
        <f>'2020 Known'!$G$2</f>
        <v>2020</v>
      </c>
      <c r="B650" s="554" t="str">
        <f>'2020 Known'!A47</f>
        <v>Chelan PUD - Rocky Reach</v>
      </c>
      <c r="C650" s="554">
        <f>'2020 Known'!B47</f>
        <v>-80626</v>
      </c>
      <c r="D650" s="554">
        <f>'2020 Known'!C47</f>
        <v>0</v>
      </c>
      <c r="E650" s="554" t="str">
        <f>'2020 Known'!D47</f>
        <v>Firm</v>
      </c>
      <c r="F650" s="554" t="str">
        <f>'2020 Known'!E47</f>
        <v>Hydro</v>
      </c>
      <c r="G650" s="554" t="str">
        <f>'2020 Known'!F47</f>
        <v>Renew</v>
      </c>
    </row>
    <row r="651" spans="1:7" x14ac:dyDescent="0.25">
      <c r="A651" s="552">
        <f>'2020 Known'!$G$2</f>
        <v>2020</v>
      </c>
      <c r="B651" s="554" t="str">
        <f>'2020 Known'!A48</f>
        <v>Douglas PUD - Wells Project</v>
      </c>
      <c r="C651" s="554">
        <f>'2020 Known'!B48</f>
        <v>1348999</v>
      </c>
      <c r="D651" s="554">
        <f>'2020 Known'!C48</f>
        <v>0</v>
      </c>
      <c r="E651" s="554" t="str">
        <f>'2020 Known'!D48</f>
        <v>Firm</v>
      </c>
      <c r="F651" s="554" t="str">
        <f>'2020 Known'!E48</f>
        <v>Hydro</v>
      </c>
      <c r="G651" s="554" t="str">
        <f>'2020 Known'!F48</f>
        <v>Renew</v>
      </c>
    </row>
    <row r="652" spans="1:7" x14ac:dyDescent="0.25">
      <c r="A652" s="552">
        <f>'2020 Known'!$G$2</f>
        <v>2020</v>
      </c>
      <c r="B652" s="554" t="str">
        <f>'2020 Known'!A49</f>
        <v>Electron Hydro, LLC</v>
      </c>
      <c r="C652" s="554">
        <f>'2020 Known'!B49</f>
        <v>95824.729000000007</v>
      </c>
      <c r="D652" s="554">
        <f>'2020 Known'!C49</f>
        <v>0</v>
      </c>
      <c r="E652" s="554" t="str">
        <f>'2020 Known'!D49</f>
        <v>Firm</v>
      </c>
      <c r="F652" s="554" t="str">
        <f>'2020 Known'!E49</f>
        <v>Hydro</v>
      </c>
      <c r="G652" s="554" t="str">
        <f>'2020 Known'!F49</f>
        <v>Renew</v>
      </c>
    </row>
    <row r="653" spans="1:7" x14ac:dyDescent="0.25">
      <c r="A653" s="552">
        <f>'2020 Known'!$G$2</f>
        <v>2020</v>
      </c>
      <c r="B653" s="554" t="str">
        <f>'2020 Known'!A50</f>
        <v>Grant PUD - Priest Rapids Project</v>
      </c>
      <c r="C653" s="554">
        <f>'2020 Known'!B50</f>
        <v>453108</v>
      </c>
      <c r="D653" s="554">
        <f>'2020 Known'!C50</f>
        <v>0</v>
      </c>
      <c r="E653" s="554" t="str">
        <f>'2020 Known'!D50</f>
        <v>Firm</v>
      </c>
      <c r="F653" s="554" t="str">
        <f>'2020 Known'!E50</f>
        <v>Hydro</v>
      </c>
      <c r="G653" s="554" t="str">
        <f>'2020 Known'!F50</f>
        <v>Renew</v>
      </c>
    </row>
    <row r="654" spans="1:7" x14ac:dyDescent="0.25">
      <c r="A654" s="552">
        <f>'2020 Known'!$G$2</f>
        <v>2020</v>
      </c>
      <c r="B654" s="554" t="str">
        <f>'2020 Known'!A51</f>
        <v>KERR DAM-ENERGY KEEPER</v>
      </c>
      <c r="C654" s="554">
        <f>'2020 Known'!B51</f>
        <v>293721</v>
      </c>
      <c r="D654" s="554">
        <f>'2020 Known'!C51</f>
        <v>0</v>
      </c>
      <c r="E654" s="554" t="str">
        <f>'2020 Known'!D51</f>
        <v>Firm</v>
      </c>
      <c r="F654" s="554" t="str">
        <f>'2020 Known'!E51</f>
        <v>Hydro</v>
      </c>
      <c r="G654" s="554" t="str">
        <f>'2020 Known'!F51</f>
        <v>Renew</v>
      </c>
    </row>
    <row r="655" spans="1:7" x14ac:dyDescent="0.25">
      <c r="A655" s="552">
        <f>'2020 Known'!$G$2</f>
        <v>2020</v>
      </c>
      <c r="B655" s="554" t="str">
        <f>'2020 Known'!A52</f>
        <v>Koma Kulshan Associates</v>
      </c>
      <c r="C655" s="554">
        <f>'2020 Known'!B52</f>
        <v>40695.993999999999</v>
      </c>
      <c r="D655" s="554">
        <f>'2020 Known'!C52</f>
        <v>0</v>
      </c>
      <c r="E655" s="554" t="str">
        <f>'2020 Known'!D52</f>
        <v>Firm</v>
      </c>
      <c r="F655" s="554" t="str">
        <f>'2020 Known'!E52</f>
        <v>Hydro</v>
      </c>
      <c r="G655" s="554" t="str">
        <f>'2020 Known'!F52</f>
        <v>Renew</v>
      </c>
    </row>
    <row r="656" spans="1:7" x14ac:dyDescent="0.25">
      <c r="A656" s="552">
        <f>'2020 Known'!$G$2</f>
        <v>2020</v>
      </c>
      <c r="B656" s="554" t="str">
        <f>'2020 Known'!A53</f>
        <v>Nooksack</v>
      </c>
      <c r="C656" s="554">
        <f>'2020 Known'!B53</f>
        <v>24136.565999999999</v>
      </c>
      <c r="D656" s="554">
        <f>'2020 Known'!C53</f>
        <v>0</v>
      </c>
      <c r="E656" s="554" t="str">
        <f>'2020 Known'!D53</f>
        <v>Firm</v>
      </c>
      <c r="F656" s="554" t="str">
        <f>'2020 Known'!E53</f>
        <v>Hydro</v>
      </c>
      <c r="G656" s="554" t="str">
        <f>'2020 Known'!F53</f>
        <v>Renew</v>
      </c>
    </row>
    <row r="657" spans="1:7" x14ac:dyDescent="0.25">
      <c r="A657" s="552">
        <f>'2020 Known'!$G$2</f>
        <v>2020</v>
      </c>
      <c r="B657" s="554" t="str">
        <f>'2020 Known'!A54</f>
        <v>Skookumchuck Hydro</v>
      </c>
      <c r="C657" s="554">
        <f>'2020 Known'!B54</f>
        <v>4476.2690000000002</v>
      </c>
      <c r="D657" s="554">
        <f>'2020 Known'!C54</f>
        <v>0</v>
      </c>
      <c r="E657" s="554" t="str">
        <f>'2020 Known'!D54</f>
        <v>Firm</v>
      </c>
      <c r="F657" s="554" t="str">
        <f>'2020 Known'!E54</f>
        <v>Hydro</v>
      </c>
      <c r="G657" s="554" t="str">
        <f>'2020 Known'!F54</f>
        <v>Renew</v>
      </c>
    </row>
    <row r="658" spans="1:7" x14ac:dyDescent="0.25">
      <c r="A658" s="552">
        <f>'2020 Known'!$G$2</f>
        <v>2020</v>
      </c>
      <c r="B658" s="554" t="str">
        <f>'2020 Known'!A55</f>
        <v>Smith Creek Hydro</v>
      </c>
      <c r="C658" s="554">
        <f>'2020 Known'!B55</f>
        <v>65.665000000000006</v>
      </c>
      <c r="D658" s="554">
        <f>'2020 Known'!C55</f>
        <v>0</v>
      </c>
      <c r="E658" s="554" t="str">
        <f>'2020 Known'!D55</f>
        <v>Firm</v>
      </c>
      <c r="F658" s="554" t="str">
        <f>'2020 Known'!E55</f>
        <v>Hydro</v>
      </c>
      <c r="G658" s="554" t="str">
        <f>'2020 Known'!F55</f>
        <v>Renew</v>
      </c>
    </row>
    <row r="659" spans="1:7" x14ac:dyDescent="0.25">
      <c r="A659" s="552">
        <f>'2020 Known'!$G$2</f>
        <v>2020</v>
      </c>
      <c r="B659" s="554" t="str">
        <f>'2020 Known'!A56</f>
        <v>Twin Falls Hydro</v>
      </c>
      <c r="C659" s="554">
        <f>'2020 Known'!B56</f>
        <v>88706.023000000001</v>
      </c>
      <c r="D659" s="554">
        <f>'2020 Known'!C56</f>
        <v>0</v>
      </c>
      <c r="E659" s="554" t="str">
        <f>'2020 Known'!D56</f>
        <v>Firm</v>
      </c>
      <c r="F659" s="554" t="str">
        <f>'2020 Known'!E56</f>
        <v>Hydro</v>
      </c>
      <c r="G659" s="554" t="str">
        <f>'2020 Known'!F56</f>
        <v>Renew</v>
      </c>
    </row>
    <row r="660" spans="1:7" x14ac:dyDescent="0.25">
      <c r="A660" s="552">
        <f>'2020 Known'!$G$2</f>
        <v>2020</v>
      </c>
      <c r="B660" s="554" t="str">
        <f>'2020 Known'!A57</f>
        <v>Weeks Falls</v>
      </c>
      <c r="C660" s="554">
        <f>'2020 Known'!B57</f>
        <v>15901.587</v>
      </c>
      <c r="D660" s="554">
        <f>'2020 Known'!C57</f>
        <v>0</v>
      </c>
      <c r="E660" s="554" t="str">
        <f>'2020 Known'!D57</f>
        <v>Firm</v>
      </c>
      <c r="F660" s="554" t="str">
        <f>'2020 Known'!E57</f>
        <v>Hydro</v>
      </c>
      <c r="G660" s="554" t="str">
        <f>'2020 Known'!F57</f>
        <v>Renew</v>
      </c>
    </row>
    <row r="661" spans="1:7" x14ac:dyDescent="0.25">
      <c r="A661" s="552">
        <f>'2020 Known'!$G$2</f>
        <v>2020</v>
      </c>
      <c r="B661" s="554" t="str">
        <f>'2020 Known'!A58</f>
        <v>CC Solar 1 and CC Solar 2</v>
      </c>
      <c r="C661" s="554">
        <f>'2020 Known'!B58</f>
        <v>25.094999999999999</v>
      </c>
      <c r="D661" s="554">
        <f>'2020 Known'!C58</f>
        <v>0</v>
      </c>
      <c r="E661" s="554" t="str">
        <f>'2020 Known'!D58</f>
        <v>Firm</v>
      </c>
      <c r="F661" s="554" t="str">
        <f>'2020 Known'!E58</f>
        <v>Solar</v>
      </c>
      <c r="G661" s="554" t="str">
        <f>'2020 Known'!F58</f>
        <v>Renew</v>
      </c>
    </row>
    <row r="662" spans="1:7" x14ac:dyDescent="0.25">
      <c r="A662" s="552">
        <f>'2020 Known'!$G$2</f>
        <v>2020</v>
      </c>
      <c r="B662" s="554" t="str">
        <f>'2020 Known'!A59</f>
        <v>Port of Coupeville</v>
      </c>
      <c r="C662" s="554">
        <f>'2020 Known'!B59</f>
        <v>31592.61</v>
      </c>
      <c r="D662" s="554">
        <f>'2020 Known'!C59</f>
        <v>0</v>
      </c>
      <c r="E662" s="554" t="str">
        <f>'2020 Known'!D59</f>
        <v>Firm</v>
      </c>
      <c r="F662" s="554" t="str">
        <f>'2020 Known'!E59</f>
        <v>Solar</v>
      </c>
      <c r="G662" s="554" t="str">
        <f>'2020 Known'!F59</f>
        <v>Renew</v>
      </c>
    </row>
    <row r="663" spans="1:7" x14ac:dyDescent="0.25">
      <c r="A663" s="552">
        <f>'2020 Known'!$G$2</f>
        <v>2020</v>
      </c>
      <c r="B663" s="554" t="str">
        <f>'2020 Known'!A60</f>
        <v>Ikea Solar</v>
      </c>
      <c r="C663" s="554">
        <f>'2020 Known'!B60</f>
        <v>211.999</v>
      </c>
      <c r="D663" s="554">
        <f>'2020 Known'!C60</f>
        <v>0</v>
      </c>
      <c r="E663" s="554" t="str">
        <f>'2020 Known'!D60</f>
        <v>Firm</v>
      </c>
      <c r="F663" s="554" t="str">
        <f>'2020 Known'!E60</f>
        <v>Solar</v>
      </c>
      <c r="G663" s="554" t="str">
        <f>'2020 Known'!F60</f>
        <v>Renew</v>
      </c>
    </row>
    <row r="664" spans="1:7" x14ac:dyDescent="0.25">
      <c r="A664" s="552">
        <f>'2020 Known'!$G$2</f>
        <v>2020</v>
      </c>
      <c r="B664" s="554" t="str">
        <f>'2020 Known'!A61</f>
        <v>Island Community Solar LLC</v>
      </c>
      <c r="C664" s="554">
        <f>'2020 Known'!B61</f>
        <v>-31528.499</v>
      </c>
      <c r="D664" s="554">
        <f>'2020 Known'!C61</f>
        <v>0</v>
      </c>
      <c r="E664" s="554" t="str">
        <f>'2020 Known'!D61</f>
        <v>Firm</v>
      </c>
      <c r="F664" s="554" t="str">
        <f>'2020 Known'!E61</f>
        <v>Solar</v>
      </c>
      <c r="G664" s="554" t="str">
        <f>'2020 Known'!F61</f>
        <v>Renew</v>
      </c>
    </row>
    <row r="665" spans="1:7" x14ac:dyDescent="0.25">
      <c r="A665" s="552">
        <f>'2020 Known'!$G$2</f>
        <v>2020</v>
      </c>
      <c r="B665" s="554" t="str">
        <f>'2020 Known'!A62</f>
        <v>BC Hydro (Point Roberts)</v>
      </c>
      <c r="C665" s="554">
        <f>'2020 Known'!B62</f>
        <v>18325.150000000001</v>
      </c>
      <c r="D665" s="554">
        <f>'2020 Known'!C62</f>
        <v>8008.0905499999999</v>
      </c>
      <c r="E665" s="554" t="str">
        <f>'2020 Known'!D62</f>
        <v>Firm</v>
      </c>
      <c r="F665" s="554" t="str">
        <f>'2020 Known'!E62</f>
        <v>System</v>
      </c>
      <c r="G665" s="554" t="str">
        <f>'2020 Known'!F62</f>
        <v>System</v>
      </c>
    </row>
    <row r="666" spans="1:7" x14ac:dyDescent="0.25">
      <c r="A666" s="552">
        <f>'2020 Known'!$G$2</f>
        <v>2020</v>
      </c>
      <c r="B666" s="554" t="str">
        <f>'2020 Known'!A63</f>
        <v>BPA</v>
      </c>
      <c r="C666" s="554">
        <f>'2020 Known'!B63</f>
        <v>7000</v>
      </c>
      <c r="D666" s="554">
        <f>'2020 Known'!C63</f>
        <v>3059</v>
      </c>
      <c r="E666" s="554" t="str">
        <f>'2020 Known'!D63</f>
        <v>Firm</v>
      </c>
      <c r="F666" s="554" t="str">
        <f>'2020 Known'!E63</f>
        <v>System</v>
      </c>
      <c r="G666" s="554" t="str">
        <f>'2020 Known'!F63</f>
        <v>System</v>
      </c>
    </row>
    <row r="667" spans="1:7" ht="30" x14ac:dyDescent="0.25">
      <c r="A667" s="552">
        <f>'2020 Known'!$G$2</f>
        <v>2020</v>
      </c>
      <c r="B667" s="554" t="str">
        <f>'2020 Known'!A64</f>
        <v>Transalta Centralia Generation LLC - Bookout Source Other Adjustment</v>
      </c>
      <c r="C667" s="554">
        <f>'2020 Known'!B64</f>
        <v>680896</v>
      </c>
      <c r="D667" s="554">
        <f>'2020 Known'!C64</f>
        <v>297551.55199999997</v>
      </c>
      <c r="E667" s="554" t="str">
        <f>'2020 Known'!D64</f>
        <v>Firm</v>
      </c>
      <c r="F667" s="554" t="str">
        <f>'2020 Known'!E64</f>
        <v>System</v>
      </c>
      <c r="G667" s="554" t="str">
        <f>'2020 Known'!F64</f>
        <v>System</v>
      </c>
    </row>
    <row r="668" spans="1:7" x14ac:dyDescent="0.25">
      <c r="A668" s="552">
        <f>'2020 Known'!$G$2</f>
        <v>2020</v>
      </c>
      <c r="B668" s="554" t="str">
        <f>'2020 Known'!A65</f>
        <v>3 Bar G Wind Turbine #3 LLC</v>
      </c>
      <c r="C668" s="554">
        <f>'2020 Known'!B65</f>
        <v>90.81</v>
      </c>
      <c r="D668" s="554">
        <f>'2020 Known'!C65</f>
        <v>0</v>
      </c>
      <c r="E668" s="554" t="str">
        <f>'2020 Known'!D65</f>
        <v>Firm</v>
      </c>
      <c r="F668" s="554" t="str">
        <f>'2020 Known'!E65</f>
        <v>Wind</v>
      </c>
      <c r="G668" s="554" t="str">
        <f>'2020 Known'!F65</f>
        <v>Renew</v>
      </c>
    </row>
    <row r="669" spans="1:7" x14ac:dyDescent="0.25">
      <c r="A669" s="552">
        <f>'2020 Known'!$G$2</f>
        <v>2020</v>
      </c>
      <c r="B669" s="554" t="str">
        <f>'2020 Known'!A66</f>
        <v>Klondike Wind Power III</v>
      </c>
      <c r="C669" s="554">
        <f>'2020 Known'!B66</f>
        <v>136728</v>
      </c>
      <c r="D669" s="554">
        <f>'2020 Known'!C66</f>
        <v>0</v>
      </c>
      <c r="E669" s="554" t="str">
        <f>'2020 Known'!D66</f>
        <v>Firm</v>
      </c>
      <c r="F669" s="554" t="str">
        <f>'2020 Known'!E66</f>
        <v>Wind</v>
      </c>
      <c r="G669" s="554" t="str">
        <f>'2020 Known'!F66</f>
        <v>Renew</v>
      </c>
    </row>
    <row r="670" spans="1:7" x14ac:dyDescent="0.25">
      <c r="A670" s="552">
        <f>'2020 Known'!$G$2</f>
        <v>2020</v>
      </c>
      <c r="B670" s="554" t="str">
        <f>'2020 Known'!A67</f>
        <v>Knudsen Wind Turbine #1</v>
      </c>
      <c r="C670" s="554">
        <f>'2020 Known'!B67</f>
        <v>134.804</v>
      </c>
      <c r="D670" s="554">
        <f>'2020 Known'!C67</f>
        <v>0</v>
      </c>
      <c r="E670" s="554" t="str">
        <f>'2020 Known'!D67</f>
        <v>Firm</v>
      </c>
      <c r="F670" s="554" t="str">
        <f>'2020 Known'!E67</f>
        <v>Wind</v>
      </c>
      <c r="G670" s="554" t="str">
        <f>'2020 Known'!F67</f>
        <v>Renew</v>
      </c>
    </row>
    <row r="671" spans="1:7" x14ac:dyDescent="0.25">
      <c r="A671" s="552">
        <f>'2020 Known'!$G$2</f>
        <v>2020</v>
      </c>
      <c r="B671" s="554" t="str">
        <f>'2020 Known'!A68</f>
        <v>Skookumchuck Wind PPA</v>
      </c>
      <c r="C671" s="554">
        <f>'2020 Known'!B68</f>
        <v>150505.323</v>
      </c>
      <c r="D671" s="554">
        <f>'2020 Known'!C68</f>
        <v>0</v>
      </c>
      <c r="E671" s="554" t="str">
        <f>'2020 Known'!D68</f>
        <v>Firm</v>
      </c>
      <c r="F671" s="554" t="str">
        <f>'2020 Known'!E68</f>
        <v>Wind</v>
      </c>
      <c r="G671" s="554" t="str">
        <f>'2020 Known'!F68</f>
        <v>Renew</v>
      </c>
    </row>
    <row r="672" spans="1:7" x14ac:dyDescent="0.25">
      <c r="A672" s="552">
        <f>'2020 Known'!$G$2</f>
        <v>2020</v>
      </c>
      <c r="B672" s="554" t="str">
        <f>'2020 Known'!A69</f>
        <v>Swauk Wind</v>
      </c>
      <c r="C672" s="554">
        <f>'2020 Known'!B69</f>
        <v>13426.7</v>
      </c>
      <c r="D672" s="554">
        <f>'2020 Known'!C69</f>
        <v>0</v>
      </c>
      <c r="E672" s="554" t="str">
        <f>'2020 Known'!D69</f>
        <v>Firm</v>
      </c>
      <c r="F672" s="554" t="str">
        <f>'2020 Known'!E69</f>
        <v>Wind</v>
      </c>
      <c r="G672" s="554" t="str">
        <f>'2020 Known'!F69</f>
        <v>Renew</v>
      </c>
    </row>
    <row r="673" spans="1:7" s="551" customFormat="1" x14ac:dyDescent="0.25">
      <c r="A673" s="558">
        <f>'2020 Unknown - Net by'!$G$4</f>
        <v>2020</v>
      </c>
      <c r="B673" s="559" t="str">
        <f>'2020 Unknown - Net by'!H3</f>
        <v>Unspecified</v>
      </c>
      <c r="C673" s="560">
        <f>'2020 Unknown - Net by'!B81</f>
        <v>2182677.5130000003</v>
      </c>
      <c r="D673" s="560">
        <f>'2020 Unknown - Net by'!D81</f>
        <v>1040097.3339918386</v>
      </c>
      <c r="E673" s="561" t="s">
        <v>473</v>
      </c>
      <c r="F673" s="558" t="s">
        <v>432</v>
      </c>
      <c r="G673" s="558" t="s">
        <v>432</v>
      </c>
    </row>
    <row r="674" spans="1:7" x14ac:dyDescent="0.25">
      <c r="A674" s="552">
        <f>'2021 Known'!$G$2</f>
        <v>2021</v>
      </c>
      <c r="B674" s="554" t="str">
        <f>'2021 Known'!A4</f>
        <v>Lower Baker</v>
      </c>
      <c r="C674" s="554">
        <f>'2021 Known'!B4</f>
        <v>376416.7</v>
      </c>
      <c r="D674" s="554">
        <f>'2021 Known'!C4</f>
        <v>0</v>
      </c>
      <c r="E674" s="554" t="str">
        <f>'2021 Known'!D4</f>
        <v>Own</v>
      </c>
      <c r="F674" s="554" t="str">
        <f>'2021 Known'!E4</f>
        <v>Hydro</v>
      </c>
      <c r="G674" s="554" t="str">
        <f>'2021 Known'!F4</f>
        <v>Renew</v>
      </c>
    </row>
    <row r="675" spans="1:7" x14ac:dyDescent="0.25">
      <c r="A675" s="552">
        <f>'2021 Known'!$G$2</f>
        <v>2021</v>
      </c>
      <c r="B675" s="554" t="str">
        <f>'2021 Known'!A5</f>
        <v>Snoqualmie Falls #1</v>
      </c>
      <c r="C675" s="554">
        <f>'2021 Known'!B5</f>
        <v>32622.1</v>
      </c>
      <c r="D675" s="554">
        <f>'2021 Known'!C5</f>
        <v>0</v>
      </c>
      <c r="E675" s="554" t="str">
        <f>'2021 Known'!D5</f>
        <v>Own</v>
      </c>
      <c r="F675" s="554" t="str">
        <f>'2021 Known'!E5</f>
        <v>Hydro</v>
      </c>
      <c r="G675" s="554" t="str">
        <f>'2021 Known'!F5</f>
        <v>Renew</v>
      </c>
    </row>
    <row r="676" spans="1:7" x14ac:dyDescent="0.25">
      <c r="A676" s="552">
        <f>'2021 Known'!$G$2</f>
        <v>2021</v>
      </c>
      <c r="B676" s="554" t="str">
        <f>'2021 Known'!A6</f>
        <v>Snoqualmie Falls #2</v>
      </c>
      <c r="C676" s="554">
        <f>'2021 Known'!B6</f>
        <v>178080.56</v>
      </c>
      <c r="D676" s="554">
        <f>'2021 Known'!C6</f>
        <v>0</v>
      </c>
      <c r="E676" s="554" t="str">
        <f>'2021 Known'!D6</f>
        <v>Own</v>
      </c>
      <c r="F676" s="554" t="str">
        <f>'2021 Known'!E6</f>
        <v>Hydro</v>
      </c>
      <c r="G676" s="554" t="str">
        <f>'2021 Known'!F6</f>
        <v>Renew</v>
      </c>
    </row>
    <row r="677" spans="1:7" x14ac:dyDescent="0.25">
      <c r="A677" s="552">
        <f>'2021 Known'!$G$2</f>
        <v>2021</v>
      </c>
      <c r="B677" s="554" t="str">
        <f>'2021 Known'!A7</f>
        <v>Upper Baker</v>
      </c>
      <c r="C677" s="554">
        <f>'2021 Known'!B7</f>
        <v>370699.1</v>
      </c>
      <c r="D677" s="554">
        <f>'2021 Known'!C7</f>
        <v>0</v>
      </c>
      <c r="E677" s="554" t="str">
        <f>'2021 Known'!D7</f>
        <v>Own</v>
      </c>
      <c r="F677" s="554" t="str">
        <f>'2021 Known'!E7</f>
        <v>Hydro</v>
      </c>
      <c r="G677" s="554" t="str">
        <f>'2021 Known'!F7</f>
        <v>Renew</v>
      </c>
    </row>
    <row r="678" spans="1:7" x14ac:dyDescent="0.25">
      <c r="A678" s="552">
        <f>'2021 Known'!$G$2</f>
        <v>2021</v>
      </c>
      <c r="B678" s="554">
        <f>'2021 Known'!A8</f>
        <v>0</v>
      </c>
      <c r="C678" s="554">
        <f>'2021 Known'!B8</f>
        <v>0</v>
      </c>
      <c r="D678" s="554">
        <f>'2021 Known'!C8</f>
        <v>0</v>
      </c>
      <c r="E678" s="554">
        <f>'2021 Known'!D8</f>
        <v>0</v>
      </c>
      <c r="F678" s="554">
        <f>'2021 Known'!E8</f>
        <v>0</v>
      </c>
      <c r="G678" s="554">
        <f>'2021 Known'!F8</f>
        <v>0</v>
      </c>
    </row>
    <row r="679" spans="1:7" x14ac:dyDescent="0.25">
      <c r="A679" s="552">
        <f>'2021 Known'!$G$2</f>
        <v>2021</v>
      </c>
      <c r="B679" s="554">
        <f>'2021 Known'!A9</f>
        <v>0</v>
      </c>
      <c r="C679" s="554">
        <f>'2021 Known'!B9</f>
        <v>0</v>
      </c>
      <c r="D679" s="554">
        <f>'2021 Known'!C9</f>
        <v>0</v>
      </c>
      <c r="E679" s="554">
        <f>'2021 Known'!D9</f>
        <v>0</v>
      </c>
      <c r="F679" s="554">
        <f>'2021 Known'!E9</f>
        <v>0</v>
      </c>
      <c r="G679" s="554">
        <f>'2021 Known'!F9</f>
        <v>0</v>
      </c>
    </row>
    <row r="680" spans="1:7" x14ac:dyDescent="0.25">
      <c r="A680" s="552">
        <f>'2021 Known'!$G$2</f>
        <v>2021</v>
      </c>
      <c r="B680" s="554" t="str">
        <f>'2021 Known'!A10</f>
        <v>Colstrip Unit 3</v>
      </c>
      <c r="C680" s="554">
        <f>'2021 Known'!B10</f>
        <v>1177765</v>
      </c>
      <c r="D680" s="554">
        <f>'2021 Known'!C10</f>
        <v>1168530.0848020802</v>
      </c>
      <c r="E680" s="554" t="str">
        <f>'2021 Known'!D10</f>
        <v>Own</v>
      </c>
      <c r="F680" s="554" t="str">
        <f>'2021 Known'!E10</f>
        <v>Coal</v>
      </c>
      <c r="G680" s="554" t="str">
        <f>'2021 Known'!F10</f>
        <v>Coal</v>
      </c>
    </row>
    <row r="681" spans="1:7" x14ac:dyDescent="0.25">
      <c r="A681" s="552">
        <f>'2021 Known'!$G$2</f>
        <v>2021</v>
      </c>
      <c r="B681" s="554" t="str">
        <f>'2021 Known'!A11</f>
        <v>Colstrip Unit 4</v>
      </c>
      <c r="C681" s="554">
        <f>'2021 Known'!B11</f>
        <v>1398937</v>
      </c>
      <c r="D681" s="554">
        <f>'2021 Known'!C11</f>
        <v>1339894.2001225846</v>
      </c>
      <c r="E681" s="554" t="str">
        <f>'2021 Known'!D11</f>
        <v>Own</v>
      </c>
      <c r="F681" s="554" t="str">
        <f>'2021 Known'!E11</f>
        <v>Coal</v>
      </c>
      <c r="G681" s="554" t="str">
        <f>'2021 Known'!F11</f>
        <v>Coal</v>
      </c>
    </row>
    <row r="682" spans="1:7" x14ac:dyDescent="0.25">
      <c r="A682" s="552">
        <f>'2021 Known'!$G$2</f>
        <v>2021</v>
      </c>
      <c r="B682" s="554" t="str">
        <f>'2021 Known'!A12</f>
        <v>Crystal Mountain</v>
      </c>
      <c r="C682" s="554">
        <f>'2021 Known'!B12</f>
        <v>526.70000000000005</v>
      </c>
      <c r="D682" s="554">
        <f>'2021 Known'!C12</f>
        <v>439.28777955048002</v>
      </c>
      <c r="E682" s="554" t="str">
        <f>'2021 Known'!D12</f>
        <v>Own</v>
      </c>
      <c r="F682" s="554" t="str">
        <f>'2021 Known'!E12</f>
        <v>Diesel</v>
      </c>
      <c r="G682" s="554" t="str">
        <f>'2021 Known'!F12</f>
        <v>Gas</v>
      </c>
    </row>
    <row r="683" spans="1:7" x14ac:dyDescent="0.25">
      <c r="A683" s="552">
        <f>'2021 Known'!$G$2</f>
        <v>2021</v>
      </c>
      <c r="B683" s="554" t="str">
        <f>'2021 Known'!A13</f>
        <v>Encogen 1</v>
      </c>
      <c r="C683" s="554">
        <f>'2021 Known'!B13</f>
        <v>173871.66666666666</v>
      </c>
      <c r="D683" s="554">
        <f>'2021 Known'!C13</f>
        <v>81204.692565972407</v>
      </c>
      <c r="E683" s="554" t="str">
        <f>'2021 Known'!D13</f>
        <v>Own</v>
      </c>
      <c r="F683" s="554" t="str">
        <f>'2021 Known'!E13</f>
        <v>Gas</v>
      </c>
      <c r="G683" s="554" t="str">
        <f>'2021 Known'!F13</f>
        <v>Gas</v>
      </c>
    </row>
    <row r="684" spans="1:7" x14ac:dyDescent="0.25">
      <c r="A684" s="552">
        <f>'2021 Known'!$G$2</f>
        <v>2021</v>
      </c>
      <c r="B684" s="554" t="str">
        <f>'2021 Known'!A14</f>
        <v>Encogen 2</v>
      </c>
      <c r="C684" s="554">
        <f>'2021 Known'!B14</f>
        <v>178559.66666666666</v>
      </c>
      <c r="D684" s="554">
        <f>'2021 Known'!C14</f>
        <v>88104.687983264375</v>
      </c>
      <c r="E684" s="554" t="str">
        <f>'2021 Known'!D14</f>
        <v>Own</v>
      </c>
      <c r="F684" s="554" t="str">
        <f>'2021 Known'!E14</f>
        <v>Gas</v>
      </c>
      <c r="G684" s="554" t="str">
        <f>'2021 Known'!F14</f>
        <v>Gas</v>
      </c>
    </row>
    <row r="685" spans="1:7" x14ac:dyDescent="0.25">
      <c r="A685" s="552">
        <f>'2021 Known'!$G$2</f>
        <v>2021</v>
      </c>
      <c r="B685" s="554" t="str">
        <f>'2021 Known'!A15</f>
        <v>Encogen 3</v>
      </c>
      <c r="C685" s="554">
        <f>'2021 Known'!B15</f>
        <v>179808.66666666666</v>
      </c>
      <c r="D685" s="554">
        <f>'2021 Known'!C15</f>
        <v>88261.972463474289</v>
      </c>
      <c r="E685" s="554" t="str">
        <f>'2021 Known'!D15</f>
        <v>Own</v>
      </c>
      <c r="F685" s="554" t="str">
        <f>'2021 Known'!E15</f>
        <v>Gas</v>
      </c>
      <c r="G685" s="554" t="str">
        <f>'2021 Known'!F15</f>
        <v>Gas</v>
      </c>
    </row>
    <row r="686" spans="1:7" x14ac:dyDescent="0.25">
      <c r="A686" s="552">
        <f>'2021 Known'!$G$2</f>
        <v>2021</v>
      </c>
      <c r="B686" s="554" t="str">
        <f>'2021 Known'!A16</f>
        <v>Ferndale 1</v>
      </c>
      <c r="C686" s="554">
        <f>'2021 Known'!B16</f>
        <v>701363.5</v>
      </c>
      <c r="D686" s="554">
        <f>'2021 Known'!C16</f>
        <v>322397.82687960076</v>
      </c>
      <c r="E686" s="554" t="str">
        <f>'2021 Known'!D16</f>
        <v>Own</v>
      </c>
      <c r="F686" s="554" t="str">
        <f>'2021 Known'!E16</f>
        <v>Gas</v>
      </c>
      <c r="G686" s="554" t="str">
        <f>'2021 Known'!F16</f>
        <v>Gas</v>
      </c>
    </row>
    <row r="687" spans="1:7" x14ac:dyDescent="0.25">
      <c r="A687" s="552">
        <f>'2021 Known'!$G$2</f>
        <v>2021</v>
      </c>
      <c r="B687" s="554" t="str">
        <f>'2021 Known'!A17</f>
        <v>Ferndale 2</v>
      </c>
      <c r="C687" s="554">
        <f>'2021 Known'!B17</f>
        <v>683610.5</v>
      </c>
      <c r="D687" s="554">
        <f>'2021 Known'!C17</f>
        <v>314855.37749291613</v>
      </c>
      <c r="E687" s="554" t="str">
        <f>'2021 Known'!D17</f>
        <v>Own</v>
      </c>
      <c r="F687" s="554" t="str">
        <f>'2021 Known'!E17</f>
        <v>Gas</v>
      </c>
      <c r="G687" s="554" t="str">
        <f>'2021 Known'!F17</f>
        <v>Gas</v>
      </c>
    </row>
    <row r="688" spans="1:7" x14ac:dyDescent="0.25">
      <c r="A688" s="552">
        <f>'2021 Known'!$G$2</f>
        <v>2021</v>
      </c>
      <c r="B688" s="554" t="str">
        <f>'2021 Known'!A18</f>
        <v>Frederickson 1</v>
      </c>
      <c r="C688" s="554">
        <f>'2021 Known'!B18</f>
        <v>22471.4</v>
      </c>
      <c r="D688" s="554">
        <f>'2021 Known'!C18</f>
        <v>16453.657600421484</v>
      </c>
      <c r="E688" s="554" t="str">
        <f>'2021 Known'!D18</f>
        <v>Own</v>
      </c>
      <c r="F688" s="554" t="str">
        <f>'2021 Known'!E18</f>
        <v>Gas</v>
      </c>
      <c r="G688" s="554" t="str">
        <f>'2021 Known'!F18</f>
        <v>Gas</v>
      </c>
    </row>
    <row r="689" spans="1:7" x14ac:dyDescent="0.25">
      <c r="A689" s="552">
        <f>'2021 Known'!$G$2</f>
        <v>2021</v>
      </c>
      <c r="B689" s="554" t="str">
        <f>'2021 Known'!A19</f>
        <v>Frederickson 2</v>
      </c>
      <c r="C689" s="554">
        <f>'2021 Known'!B19</f>
        <v>34420.9</v>
      </c>
      <c r="D689" s="554">
        <f>'2021 Known'!C19</f>
        <v>25082.403106329188</v>
      </c>
      <c r="E689" s="554" t="str">
        <f>'2021 Known'!D19</f>
        <v>Own</v>
      </c>
      <c r="F689" s="554" t="str">
        <f>'2021 Known'!E19</f>
        <v>Gas</v>
      </c>
      <c r="G689" s="554" t="str">
        <f>'2021 Known'!F19</f>
        <v>Gas</v>
      </c>
    </row>
    <row r="690" spans="1:7" x14ac:dyDescent="0.25">
      <c r="A690" s="552">
        <f>'2021 Known'!$G$2</f>
        <v>2021</v>
      </c>
      <c r="B690" s="554" t="str">
        <f>'2021 Known'!A20</f>
        <v>Fredonia 1</v>
      </c>
      <c r="C690" s="554">
        <f>'2021 Known'!B20</f>
        <v>85250.4</v>
      </c>
      <c r="D690" s="554">
        <f>'2021 Known'!C20</f>
        <v>61799.426837685613</v>
      </c>
      <c r="E690" s="554" t="str">
        <f>'2021 Known'!D20</f>
        <v>Own</v>
      </c>
      <c r="F690" s="554" t="str">
        <f>'2021 Known'!E20</f>
        <v>Gas</v>
      </c>
      <c r="G690" s="554" t="str">
        <f>'2021 Known'!F20</f>
        <v>Gas</v>
      </c>
    </row>
    <row r="691" spans="1:7" x14ac:dyDescent="0.25">
      <c r="A691" s="552">
        <f>'2021 Known'!$G$2</f>
        <v>2021</v>
      </c>
      <c r="B691" s="554" t="str">
        <f>'2021 Known'!A21</f>
        <v>Fredonia 2</v>
      </c>
      <c r="C691" s="554">
        <f>'2021 Known'!B21</f>
        <v>120143.17</v>
      </c>
      <c r="D691" s="554">
        <f>'2021 Known'!C21</f>
        <v>86203.607978848013</v>
      </c>
      <c r="E691" s="554" t="str">
        <f>'2021 Known'!D21</f>
        <v>Own</v>
      </c>
      <c r="F691" s="554" t="str">
        <f>'2021 Known'!E21</f>
        <v>Gas</v>
      </c>
      <c r="G691" s="554" t="str">
        <f>'2021 Known'!F21</f>
        <v>Gas</v>
      </c>
    </row>
    <row r="692" spans="1:7" x14ac:dyDescent="0.25">
      <c r="A692" s="552">
        <f>'2021 Known'!$G$2</f>
        <v>2021</v>
      </c>
      <c r="B692" s="554" t="str">
        <f>'2021 Known'!A22</f>
        <v>Fredonia 3</v>
      </c>
      <c r="C692" s="554">
        <f>'2021 Known'!B22</f>
        <v>83077.100000000006</v>
      </c>
      <c r="D692" s="554">
        <f>'2021 Known'!C22</f>
        <v>53691.040213152999</v>
      </c>
      <c r="E692" s="554" t="str">
        <f>'2021 Known'!D22</f>
        <v>Own</v>
      </c>
      <c r="F692" s="554" t="str">
        <f>'2021 Known'!E22</f>
        <v>Gas</v>
      </c>
      <c r="G692" s="554" t="str">
        <f>'2021 Known'!F22</f>
        <v>Gas</v>
      </c>
    </row>
    <row r="693" spans="1:7" x14ac:dyDescent="0.25">
      <c r="A693" s="552">
        <f>'2021 Known'!$G$2</f>
        <v>2021</v>
      </c>
      <c r="B693" s="554" t="str">
        <f>'2021 Known'!A23</f>
        <v>Fredonia 4</v>
      </c>
      <c r="C693" s="554">
        <f>'2021 Known'!B23</f>
        <v>88846.399999999994</v>
      </c>
      <c r="D693" s="554">
        <f>'2021 Known'!C23</f>
        <v>48964.837150449996</v>
      </c>
      <c r="E693" s="554" t="str">
        <f>'2021 Known'!D23</f>
        <v>Own</v>
      </c>
      <c r="F693" s="554" t="str">
        <f>'2021 Known'!E23</f>
        <v>Gas</v>
      </c>
      <c r="G693" s="554" t="str">
        <f>'2021 Known'!F23</f>
        <v>Gas</v>
      </c>
    </row>
    <row r="694" spans="1:7" x14ac:dyDescent="0.25">
      <c r="A694" s="552">
        <f>'2021 Known'!$G$2</f>
        <v>2021</v>
      </c>
      <c r="B694" s="554" t="str">
        <f>'2021 Known'!A24</f>
        <v>Frederickson Unit 1</v>
      </c>
      <c r="C694" s="554">
        <f>'2021 Known'!B24</f>
        <v>642903.8848</v>
      </c>
      <c r="D694" s="554">
        <f>'2021 Known'!C24</f>
        <v>245906.63711515439</v>
      </c>
      <c r="E694" s="554" t="str">
        <f>'2021 Known'!D24</f>
        <v>Own</v>
      </c>
      <c r="F694" s="554" t="str">
        <f>'2021 Known'!E24</f>
        <v>Gas</v>
      </c>
      <c r="G694" s="554" t="str">
        <f>'2021 Known'!F24</f>
        <v>Gas</v>
      </c>
    </row>
    <row r="695" spans="1:7" x14ac:dyDescent="0.25">
      <c r="A695" s="552">
        <f>'2021 Known'!$G$2</f>
        <v>2021</v>
      </c>
      <c r="B695" s="554" t="str">
        <f>'2021 Known'!A25</f>
        <v>Goldendale</v>
      </c>
      <c r="C695" s="554">
        <f>'2021 Known'!B25</f>
        <v>2036337</v>
      </c>
      <c r="D695" s="554">
        <f>'2021 Known'!C25</f>
        <v>745008.1823517601</v>
      </c>
      <c r="E695" s="554" t="str">
        <f>'2021 Known'!D25</f>
        <v>Own</v>
      </c>
      <c r="F695" s="554" t="str">
        <f>'2021 Known'!E25</f>
        <v>Gas</v>
      </c>
      <c r="G695" s="554" t="str">
        <f>'2021 Known'!F25</f>
        <v>Gas</v>
      </c>
    </row>
    <row r="696" spans="1:7" x14ac:dyDescent="0.25">
      <c r="A696" s="552">
        <f>'2021 Known'!$G$2</f>
        <v>2021</v>
      </c>
      <c r="B696" s="554" t="str">
        <f>'2021 Known'!A26</f>
        <v>Mint Farm</v>
      </c>
      <c r="C696" s="554">
        <f>'2021 Known'!B26</f>
        <v>1860017.7000000002</v>
      </c>
      <c r="D696" s="554">
        <f>'2021 Known'!C26</f>
        <v>731687.95066283632</v>
      </c>
      <c r="E696" s="554" t="str">
        <f>'2021 Known'!D26</f>
        <v>Own</v>
      </c>
      <c r="F696" s="554" t="str">
        <f>'2021 Known'!E26</f>
        <v>Gas</v>
      </c>
      <c r="G696" s="554" t="str">
        <f>'2021 Known'!F26</f>
        <v>Gas</v>
      </c>
    </row>
    <row r="697" spans="1:7" x14ac:dyDescent="0.25">
      <c r="A697" s="552">
        <f>'2021 Known'!$G$2</f>
        <v>2021</v>
      </c>
      <c r="B697" s="554" t="str">
        <f>'2021 Known'!A27</f>
        <v>Sumas</v>
      </c>
      <c r="C697" s="554">
        <f>'2021 Known'!B27</f>
        <v>528409.9</v>
      </c>
      <c r="D697" s="554">
        <f>'2021 Known'!C27</f>
        <v>246882.52703731012</v>
      </c>
      <c r="E697" s="554" t="str">
        <f>'2021 Known'!D27</f>
        <v>Own</v>
      </c>
      <c r="F697" s="554" t="str">
        <f>'2021 Known'!E27</f>
        <v>Gas</v>
      </c>
      <c r="G697" s="554" t="str">
        <f>'2021 Known'!F27</f>
        <v>Gas</v>
      </c>
    </row>
    <row r="698" spans="1:7" x14ac:dyDescent="0.25">
      <c r="A698" s="552">
        <f>'2021 Known'!$G$2</f>
        <v>2021</v>
      </c>
      <c r="B698" s="554" t="str">
        <f>'2021 Known'!A28</f>
        <v>Whitehorn 2</v>
      </c>
      <c r="C698" s="554">
        <f>'2021 Known'!B28</f>
        <v>16427.599999999999</v>
      </c>
      <c r="D698" s="554">
        <f>'2021 Known'!C28</f>
        <v>12162.292938820337</v>
      </c>
      <c r="E698" s="554" t="str">
        <f>'2021 Known'!D28</f>
        <v>Own</v>
      </c>
      <c r="F698" s="554" t="str">
        <f>'2021 Known'!E28</f>
        <v>Gas</v>
      </c>
      <c r="G698" s="554" t="str">
        <f>'2021 Known'!F28</f>
        <v>Gas</v>
      </c>
    </row>
    <row r="699" spans="1:7" x14ac:dyDescent="0.25">
      <c r="A699" s="552">
        <f>'2021 Known'!$G$2</f>
        <v>2021</v>
      </c>
      <c r="B699" s="554" t="str">
        <f>'2021 Known'!A29</f>
        <v>Whitehorn 3</v>
      </c>
      <c r="C699" s="554">
        <f>'2021 Known'!B29</f>
        <v>1985.3</v>
      </c>
      <c r="D699" s="554">
        <f>'2021 Known'!C29</f>
        <v>1725.0435466363922</v>
      </c>
      <c r="E699" s="554" t="str">
        <f>'2021 Known'!D29</f>
        <v>Own</v>
      </c>
      <c r="F699" s="554" t="str">
        <f>'2021 Known'!E29</f>
        <v>Gas</v>
      </c>
      <c r="G699" s="554" t="str">
        <f>'2021 Known'!F29</f>
        <v>Gas</v>
      </c>
    </row>
    <row r="700" spans="1:7" x14ac:dyDescent="0.25">
      <c r="A700" s="552">
        <f>'2021 Known'!$G$2</f>
        <v>2021</v>
      </c>
      <c r="B700" s="554" t="str">
        <f>'2021 Known'!A30</f>
        <v>Wild Horse (W183)</v>
      </c>
      <c r="C700" s="554">
        <f>'2021 Known'!B30</f>
        <v>714024.10199999996</v>
      </c>
      <c r="D700" s="554">
        <f>'2021 Known'!C30</f>
        <v>0</v>
      </c>
      <c r="E700" s="554" t="str">
        <f>'2021 Known'!D30</f>
        <v>Own</v>
      </c>
      <c r="F700" s="554" t="str">
        <f>'2021 Known'!E30</f>
        <v>Wind</v>
      </c>
      <c r="G700" s="554" t="str">
        <f>'2021 Known'!F30</f>
        <v>Renew</v>
      </c>
    </row>
    <row r="701" spans="1:7" x14ac:dyDescent="0.25">
      <c r="A701" s="552">
        <f>'2021 Known'!$G$2</f>
        <v>2021</v>
      </c>
      <c r="B701" s="554" t="str">
        <f>'2021 Known'!A31</f>
        <v>Lower Snake River</v>
      </c>
      <c r="C701" s="554">
        <f>'2021 Known'!B31</f>
        <v>941517.07</v>
      </c>
      <c r="D701" s="554">
        <f>'2021 Known'!C31</f>
        <v>0</v>
      </c>
      <c r="E701" s="554" t="str">
        <f>'2021 Known'!D31</f>
        <v>Own</v>
      </c>
      <c r="F701" s="554" t="str">
        <f>'2021 Known'!E31</f>
        <v>Wind</v>
      </c>
      <c r="G701" s="554" t="str">
        <f>'2021 Known'!F31</f>
        <v>Renew</v>
      </c>
    </row>
    <row r="702" spans="1:7" x14ac:dyDescent="0.25">
      <c r="A702" s="552">
        <f>'2021 Known'!$G$2</f>
        <v>2021</v>
      </c>
      <c r="B702" s="554" t="str">
        <f>'2021 Known'!A32</f>
        <v>Hopkins Ridge (W184)</v>
      </c>
      <c r="C702" s="554">
        <f>'2021 Known'!B32</f>
        <v>418246.06800000003</v>
      </c>
      <c r="D702" s="554">
        <f>'2021 Known'!C32</f>
        <v>0</v>
      </c>
      <c r="E702" s="554" t="str">
        <f>'2021 Known'!D32</f>
        <v>Own</v>
      </c>
      <c r="F702" s="554" t="str">
        <f>'2021 Known'!E32</f>
        <v>Wind</v>
      </c>
      <c r="G702" s="554" t="str">
        <f>'2021 Known'!F32</f>
        <v>Renew</v>
      </c>
    </row>
    <row r="703" spans="1:7" x14ac:dyDescent="0.25">
      <c r="A703" s="552">
        <f>'2021 Known'!$G$2</f>
        <v>2021</v>
      </c>
      <c r="B703" s="554" t="str">
        <f>'2021 Known'!A33</f>
        <v>Bio Energy Washington (BEW)</v>
      </c>
      <c r="C703" s="554">
        <f>'2021 Known'!B33</f>
        <v>3.464</v>
      </c>
      <c r="D703" s="554">
        <f>'2021 Known'!C33</f>
        <v>0</v>
      </c>
      <c r="E703" s="554" t="str">
        <f>'2021 Known'!D33</f>
        <v>Firm</v>
      </c>
      <c r="F703" s="554" t="str">
        <f>'2021 Known'!E33</f>
        <v>Biogas</v>
      </c>
      <c r="G703" s="554" t="str">
        <f>'2021 Known'!F33</f>
        <v>Renew</v>
      </c>
    </row>
    <row r="704" spans="1:7" x14ac:dyDescent="0.25">
      <c r="A704" s="552">
        <f>'2021 Known'!$G$2</f>
        <v>2021</v>
      </c>
      <c r="B704" s="554" t="str">
        <f>'2021 Known'!A34</f>
        <v>Blocks Dairy Farm</v>
      </c>
      <c r="C704" s="554">
        <f>'2021 Known'!B34</f>
        <v>19232.100999999999</v>
      </c>
      <c r="D704" s="554">
        <f>'2021 Known'!C34</f>
        <v>0</v>
      </c>
      <c r="E704" s="554" t="str">
        <f>'2021 Known'!D34</f>
        <v>Firm</v>
      </c>
      <c r="F704" s="554" t="str">
        <f>'2021 Known'!E34</f>
        <v>Biogas</v>
      </c>
      <c r="G704" s="554" t="str">
        <f>'2021 Known'!F34</f>
        <v>Renew</v>
      </c>
    </row>
    <row r="705" spans="1:7" x14ac:dyDescent="0.25">
      <c r="A705" s="552">
        <f>'2021 Known'!$G$2</f>
        <v>2021</v>
      </c>
      <c r="B705" s="554" t="str">
        <f>'2021 Known'!A35</f>
        <v>Edaleen Dairy LLC</v>
      </c>
      <c r="C705" s="554">
        <f>'2021 Known'!B35</f>
        <v>3814.5529999999999</v>
      </c>
      <c r="D705" s="554">
        <f>'2021 Known'!C35</f>
        <v>0</v>
      </c>
      <c r="E705" s="554" t="str">
        <f>'2021 Known'!D35</f>
        <v>Firm</v>
      </c>
      <c r="F705" s="554" t="str">
        <f>'2021 Known'!E35</f>
        <v>Biogas</v>
      </c>
      <c r="G705" s="554" t="str">
        <f>'2021 Known'!F35</f>
        <v>Renew</v>
      </c>
    </row>
    <row r="706" spans="1:7" x14ac:dyDescent="0.25">
      <c r="A706" s="552">
        <f>'2021 Known'!$G$2</f>
        <v>2021</v>
      </c>
      <c r="B706" s="554" t="str">
        <f>'2021 Known'!A36</f>
        <v>Emerald City Renewables</v>
      </c>
      <c r="C706" s="554">
        <f>'2021 Known'!B36</f>
        <v>27196.345000000001</v>
      </c>
      <c r="D706" s="554">
        <f>'2021 Known'!C36</f>
        <v>0</v>
      </c>
      <c r="E706" s="554" t="str">
        <f>'2021 Known'!D36</f>
        <v>Firm</v>
      </c>
      <c r="F706" s="554" t="str">
        <f>'2021 Known'!E36</f>
        <v>Biogas</v>
      </c>
      <c r="G706" s="554" t="str">
        <f>'2021 Known'!F36</f>
        <v>Renew</v>
      </c>
    </row>
    <row r="707" spans="1:7" x14ac:dyDescent="0.25">
      <c r="A707" s="552">
        <f>'2021 Known'!$G$2</f>
        <v>2021</v>
      </c>
      <c r="B707" s="554" t="str">
        <f>'2021 Known'!A37</f>
        <v>Farm Power Rexville LLC</v>
      </c>
      <c r="C707" s="554">
        <f>'2021 Known'!B37</f>
        <v>3143.5210000000002</v>
      </c>
      <c r="D707" s="554">
        <f>'2021 Known'!C37</f>
        <v>0</v>
      </c>
      <c r="E707" s="554" t="str">
        <f>'2021 Known'!D37</f>
        <v>Firm</v>
      </c>
      <c r="F707" s="554" t="str">
        <f>'2021 Known'!E37</f>
        <v>Biogas</v>
      </c>
      <c r="G707" s="554" t="str">
        <f>'2021 Known'!F37</f>
        <v>Renew</v>
      </c>
    </row>
    <row r="708" spans="1:7" x14ac:dyDescent="0.25">
      <c r="A708" s="552">
        <f>'2021 Known'!$G$2</f>
        <v>2021</v>
      </c>
      <c r="B708" s="554" t="str">
        <f>'2021 Known'!A38</f>
        <v>Lake Washington -- Finn Hill</v>
      </c>
      <c r="C708" s="554">
        <f>'2021 Known'!B38</f>
        <v>97.504999999999995</v>
      </c>
      <c r="D708" s="554">
        <f>'2021 Known'!C38</f>
        <v>0</v>
      </c>
      <c r="E708" s="554" t="str">
        <f>'2021 Known'!D38</f>
        <v>Firm</v>
      </c>
      <c r="F708" s="554" t="str">
        <f>'2021 Known'!E38</f>
        <v>Biogas</v>
      </c>
      <c r="G708" s="554" t="str">
        <f>'2021 Known'!F38</f>
        <v>Renew</v>
      </c>
    </row>
    <row r="709" spans="1:7" x14ac:dyDescent="0.25">
      <c r="A709" s="552">
        <f>'2021 Known'!$G$2</f>
        <v>2021</v>
      </c>
      <c r="B709" s="554" t="str">
        <f>'2021 Known'!A39</f>
        <v>Rainier Bio Gas</v>
      </c>
      <c r="C709" s="554">
        <f>'2021 Known'!B39</f>
        <v>2917.5520000000001</v>
      </c>
      <c r="D709" s="554">
        <f>'2021 Known'!C39</f>
        <v>0</v>
      </c>
      <c r="E709" s="554" t="str">
        <f>'2021 Known'!D39</f>
        <v>Firm</v>
      </c>
      <c r="F709" s="554" t="str">
        <f>'2021 Known'!E39</f>
        <v>Biogas</v>
      </c>
      <c r="G709" s="554" t="str">
        <f>'2021 Known'!F39</f>
        <v>Renew</v>
      </c>
    </row>
    <row r="710" spans="1:7" x14ac:dyDescent="0.25">
      <c r="A710" s="552">
        <f>'2021 Known'!$G$2</f>
        <v>2021</v>
      </c>
      <c r="B710" s="554" t="str">
        <f>'2021 Known'!A40</f>
        <v>Transalta Centralia Generation LLC</v>
      </c>
      <c r="C710" s="554">
        <f>'2021 Known'!B40</f>
        <v>2357979</v>
      </c>
      <c r="D710" s="554">
        <f>'2021 Known'!C40</f>
        <v>2459357.6459853058</v>
      </c>
      <c r="E710" s="554" t="str">
        <f>'2021 Known'!D40</f>
        <v>Firm</v>
      </c>
      <c r="F710" s="554" t="str">
        <f>'2021 Known'!E40</f>
        <v>Coal</v>
      </c>
      <c r="G710" s="554" t="str">
        <f>'2021 Known'!F40</f>
        <v>Coal</v>
      </c>
    </row>
    <row r="711" spans="1:7" x14ac:dyDescent="0.25">
      <c r="A711" s="552">
        <f>'2021 Known'!$G$2</f>
        <v>2021</v>
      </c>
      <c r="B711" s="554" t="str">
        <f>'2021 Known'!A41</f>
        <v>Black Creek Hydro Inc</v>
      </c>
      <c r="C711" s="554">
        <f>'2021 Known'!B41</f>
        <v>11168.486999999999</v>
      </c>
      <c r="D711" s="554">
        <f>'2021 Known'!C41</f>
        <v>0</v>
      </c>
      <c r="E711" s="554" t="str">
        <f>'2021 Known'!D41</f>
        <v>Firm</v>
      </c>
      <c r="F711" s="554" t="str">
        <f>'2021 Known'!E41</f>
        <v>Hydro</v>
      </c>
      <c r="G711" s="554" t="str">
        <f>'2021 Known'!F41</f>
        <v>Renew</v>
      </c>
    </row>
    <row r="712" spans="1:7" x14ac:dyDescent="0.25">
      <c r="A712" s="552">
        <f>'2021 Known'!$G$2</f>
        <v>2021</v>
      </c>
      <c r="B712" s="554" t="str">
        <f>'2021 Known'!A42</f>
        <v>Chelan PUD - RI &amp; RR</v>
      </c>
      <c r="C712" s="554">
        <f>'2021 Known'!B42</f>
        <v>2026865</v>
      </c>
      <c r="D712" s="554">
        <f>'2021 Known'!C42</f>
        <v>0</v>
      </c>
      <c r="E712" s="554" t="str">
        <f>'2021 Known'!D42</f>
        <v>Firm</v>
      </c>
      <c r="F712" s="554" t="str">
        <f>'2021 Known'!E42</f>
        <v>Hydro</v>
      </c>
      <c r="G712" s="554" t="str">
        <f>'2021 Known'!F42</f>
        <v>Renew</v>
      </c>
    </row>
    <row r="713" spans="1:7" x14ac:dyDescent="0.25">
      <c r="A713" s="552">
        <f>'2021 Known'!$G$2</f>
        <v>2021</v>
      </c>
      <c r="B713" s="554" t="str">
        <f>'2021 Known'!A43</f>
        <v>Chelan PUD - Rock Island Syst #2</v>
      </c>
      <c r="C713" s="554">
        <f>'2021 Known'!B43</f>
        <v>-38626</v>
      </c>
      <c r="D713" s="554">
        <f>'2021 Known'!C43</f>
        <v>0</v>
      </c>
      <c r="E713" s="554" t="str">
        <f>'2021 Known'!D43</f>
        <v>Firm</v>
      </c>
      <c r="F713" s="554" t="str">
        <f>'2021 Known'!E43</f>
        <v>Hydro</v>
      </c>
      <c r="G713" s="554" t="str">
        <f>'2021 Known'!F43</f>
        <v>Renew</v>
      </c>
    </row>
    <row r="714" spans="1:7" x14ac:dyDescent="0.25">
      <c r="A714" s="552">
        <f>'2021 Known'!$G$2</f>
        <v>2021</v>
      </c>
      <c r="B714" s="554" t="str">
        <f>'2021 Known'!A44</f>
        <v>Chelan PUD - Rocky Reach</v>
      </c>
      <c r="C714" s="554">
        <f>'2021 Known'!B44</f>
        <v>-80185</v>
      </c>
      <c r="D714" s="554">
        <f>'2021 Known'!C44</f>
        <v>0</v>
      </c>
      <c r="E714" s="554" t="str">
        <f>'2021 Known'!D44</f>
        <v>Firm</v>
      </c>
      <c r="F714" s="554" t="str">
        <f>'2021 Known'!E44</f>
        <v>Hydro</v>
      </c>
      <c r="G714" s="554" t="str">
        <f>'2021 Known'!F44</f>
        <v>Renew</v>
      </c>
    </row>
    <row r="715" spans="1:7" x14ac:dyDescent="0.25">
      <c r="A715" s="552">
        <f>'2021 Known'!$G$2</f>
        <v>2021</v>
      </c>
      <c r="B715" s="554" t="str">
        <f>'2021 Known'!A45</f>
        <v>Douglas PUD - Wells Project</v>
      </c>
      <c r="C715" s="554">
        <f>'2021 Known'!B45</f>
        <v>1119214</v>
      </c>
      <c r="D715" s="554">
        <f>'2021 Known'!C45</f>
        <v>0</v>
      </c>
      <c r="E715" s="554" t="str">
        <f>'2021 Known'!D45</f>
        <v>Firm</v>
      </c>
      <c r="F715" s="554" t="str">
        <f>'2021 Known'!E45</f>
        <v>Hydro</v>
      </c>
      <c r="G715" s="554" t="str">
        <f>'2021 Known'!F45</f>
        <v>Renew</v>
      </c>
    </row>
    <row r="716" spans="1:7" x14ac:dyDescent="0.25">
      <c r="A716" s="552">
        <f>'2021 Known'!$G$2</f>
        <v>2021</v>
      </c>
      <c r="B716" s="554" t="str">
        <f>'2021 Known'!A46</f>
        <v>Grant PUD - Priest Rapids Project</v>
      </c>
      <c r="C716" s="554">
        <f>'2021 Known'!B46</f>
        <v>431728</v>
      </c>
      <c r="D716" s="554">
        <f>'2021 Known'!C46</f>
        <v>0</v>
      </c>
      <c r="E716" s="554" t="str">
        <f>'2021 Known'!D46</f>
        <v>Firm</v>
      </c>
      <c r="F716" s="554" t="str">
        <f>'2021 Known'!E46</f>
        <v>Hydro</v>
      </c>
      <c r="G716" s="554" t="str">
        <f>'2021 Known'!F46</f>
        <v>Renew</v>
      </c>
    </row>
    <row r="717" spans="1:7" x14ac:dyDescent="0.25">
      <c r="A717" s="552">
        <f>'2021 Known'!$G$2</f>
        <v>2021</v>
      </c>
      <c r="B717" s="554" t="str">
        <f>'2021 Known'!A47</f>
        <v>KERR DAM-ENERGY KEEPER</v>
      </c>
      <c r="C717" s="554">
        <f>'2021 Known'!B47</f>
        <v>350624</v>
      </c>
      <c r="D717" s="554">
        <f>'2021 Known'!C47</f>
        <v>0</v>
      </c>
      <c r="E717" s="554" t="str">
        <f>'2021 Known'!D47</f>
        <v>Firm</v>
      </c>
      <c r="F717" s="554" t="str">
        <f>'2021 Known'!E47</f>
        <v>Hydro</v>
      </c>
      <c r="G717" s="554" t="str">
        <f>'2021 Known'!F47</f>
        <v>Renew</v>
      </c>
    </row>
    <row r="718" spans="1:7" x14ac:dyDescent="0.25">
      <c r="A718" s="552">
        <f>'2021 Known'!$G$2</f>
        <v>2021</v>
      </c>
      <c r="B718" s="554" t="str">
        <f>'2021 Known'!A48</f>
        <v>Koma Kulshan Associates</v>
      </c>
      <c r="C718" s="554">
        <f>'2021 Known'!B48</f>
        <v>40458.671999999999</v>
      </c>
      <c r="D718" s="554">
        <f>'2021 Known'!C48</f>
        <v>0</v>
      </c>
      <c r="E718" s="554" t="str">
        <f>'2021 Known'!D48</f>
        <v>Firm</v>
      </c>
      <c r="F718" s="554" t="str">
        <f>'2021 Known'!E48</f>
        <v>Hydro</v>
      </c>
      <c r="G718" s="554" t="str">
        <f>'2021 Known'!F48</f>
        <v>Renew</v>
      </c>
    </row>
    <row r="719" spans="1:7" x14ac:dyDescent="0.25">
      <c r="A719" s="552">
        <f>'2021 Known'!$G$2</f>
        <v>2021</v>
      </c>
      <c r="B719" s="554" t="str">
        <f>'2021 Known'!A49</f>
        <v>Nooksack</v>
      </c>
      <c r="C719" s="554">
        <f>'2021 Known'!B49</f>
        <v>22656.767</v>
      </c>
      <c r="D719" s="554">
        <f>'2021 Known'!C49</f>
        <v>0</v>
      </c>
      <c r="E719" s="554" t="str">
        <f>'2021 Known'!D49</f>
        <v>Firm</v>
      </c>
      <c r="F719" s="554" t="str">
        <f>'2021 Known'!E49</f>
        <v>Hydro</v>
      </c>
      <c r="G719" s="554" t="str">
        <f>'2021 Known'!F49</f>
        <v>Renew</v>
      </c>
    </row>
    <row r="720" spans="1:7" x14ac:dyDescent="0.25">
      <c r="A720" s="552">
        <f>'2021 Known'!$G$2</f>
        <v>2021</v>
      </c>
      <c r="B720" s="554" t="str">
        <f>'2021 Known'!A50</f>
        <v>Skookumchuck Hydro</v>
      </c>
      <c r="C720" s="554">
        <f>'2021 Known'!B50</f>
        <v>4313.1850000000004</v>
      </c>
      <c r="D720" s="554">
        <f>'2021 Known'!C50</f>
        <v>0</v>
      </c>
      <c r="E720" s="554" t="str">
        <f>'2021 Known'!D50</f>
        <v>Firm</v>
      </c>
      <c r="F720" s="554" t="str">
        <f>'2021 Known'!E50</f>
        <v>Hydro</v>
      </c>
      <c r="G720" s="554" t="str">
        <f>'2021 Known'!F50</f>
        <v>Renew</v>
      </c>
    </row>
    <row r="721" spans="1:7" x14ac:dyDescent="0.25">
      <c r="A721" s="552">
        <f>'2021 Known'!$G$2</f>
        <v>2021</v>
      </c>
      <c r="B721" s="554" t="str">
        <f>'2021 Known'!A51</f>
        <v>Twin Falls Hydro</v>
      </c>
      <c r="C721" s="554">
        <f>'2021 Known'!B51</f>
        <v>78612.604000000007</v>
      </c>
      <c r="D721" s="554">
        <f>'2021 Known'!C51</f>
        <v>0</v>
      </c>
      <c r="E721" s="554" t="str">
        <f>'2021 Known'!D51</f>
        <v>Firm</v>
      </c>
      <c r="F721" s="554" t="str">
        <f>'2021 Known'!E51</f>
        <v>Hydro</v>
      </c>
      <c r="G721" s="554" t="str">
        <f>'2021 Known'!F51</f>
        <v>Renew</v>
      </c>
    </row>
    <row r="722" spans="1:7" x14ac:dyDescent="0.25">
      <c r="A722" s="552">
        <f>'2021 Known'!$G$2</f>
        <v>2021</v>
      </c>
      <c r="B722" s="554" t="str">
        <f>'2021 Known'!A52</f>
        <v>Weeks Falls</v>
      </c>
      <c r="C722" s="554">
        <f>'2021 Known'!B52</f>
        <v>14405.442999999999</v>
      </c>
      <c r="D722" s="554">
        <f>'2021 Known'!C52</f>
        <v>0</v>
      </c>
      <c r="E722" s="554" t="str">
        <f>'2021 Known'!D52</f>
        <v>Firm</v>
      </c>
      <c r="F722" s="554" t="str">
        <f>'2021 Known'!E52</f>
        <v>Hydro</v>
      </c>
      <c r="G722" s="554" t="str">
        <f>'2021 Known'!F52</f>
        <v>Renew</v>
      </c>
    </row>
    <row r="723" spans="1:7" x14ac:dyDescent="0.25">
      <c r="A723" s="552">
        <f>'2021 Known'!$G$2</f>
        <v>2021</v>
      </c>
      <c r="B723" s="554" t="str">
        <f>'2021 Known'!A53</f>
        <v>CC Solar 1 and CC Solar 2</v>
      </c>
      <c r="C723" s="554">
        <f>'2021 Known'!B53</f>
        <v>28.78</v>
      </c>
      <c r="D723" s="554">
        <f>'2021 Known'!C53</f>
        <v>0</v>
      </c>
      <c r="E723" s="554" t="str">
        <f>'2021 Known'!D53</f>
        <v>Firm</v>
      </c>
      <c r="F723" s="554" t="str">
        <f>'2021 Known'!E53</f>
        <v>Solar</v>
      </c>
      <c r="G723" s="554" t="str">
        <f>'2021 Known'!F53</f>
        <v>Renew</v>
      </c>
    </row>
    <row r="724" spans="1:7" x14ac:dyDescent="0.25">
      <c r="A724" s="552">
        <f>'2021 Known'!$G$2</f>
        <v>2021</v>
      </c>
      <c r="B724" s="554" t="str">
        <f>'2021 Known'!A54</f>
        <v>Port of Coupeville</v>
      </c>
      <c r="C724" s="554">
        <f>'2021 Known'!B54</f>
        <v>113.986</v>
      </c>
      <c r="D724" s="554">
        <f>'2021 Known'!C54</f>
        <v>0</v>
      </c>
      <c r="E724" s="554" t="str">
        <f>'2021 Known'!D54</f>
        <v>Firm</v>
      </c>
      <c r="F724" s="554" t="str">
        <f>'2021 Known'!E54</f>
        <v>Solar</v>
      </c>
      <c r="G724" s="554" t="str">
        <f>'2021 Known'!F54</f>
        <v>Renew</v>
      </c>
    </row>
    <row r="725" spans="1:7" x14ac:dyDescent="0.25">
      <c r="A725" s="552">
        <f>'2021 Known'!$G$2</f>
        <v>2021</v>
      </c>
      <c r="B725" s="554" t="str">
        <f>'2021 Known'!A55</f>
        <v>Ikea Solar</v>
      </c>
      <c r="C725" s="554">
        <f>'2021 Known'!B55</f>
        <v>60.573999999999998</v>
      </c>
      <c r="D725" s="554">
        <f>'2021 Known'!C55</f>
        <v>0</v>
      </c>
      <c r="E725" s="554" t="str">
        <f>'2021 Known'!D55</f>
        <v>Firm</v>
      </c>
      <c r="F725" s="554" t="str">
        <f>'2021 Known'!E55</f>
        <v>Solar</v>
      </c>
      <c r="G725" s="554" t="str">
        <f>'2021 Known'!F55</f>
        <v>Renew</v>
      </c>
    </row>
    <row r="726" spans="1:7" x14ac:dyDescent="0.25">
      <c r="A726" s="552">
        <f>'2021 Known'!$G$2</f>
        <v>2021</v>
      </c>
      <c r="B726" s="554" t="str">
        <f>'2021 Known'!A56</f>
        <v>BC Hydro (Point Roberts)</v>
      </c>
      <c r="C726" s="554">
        <f>'2021 Known'!B56</f>
        <v>18118.935000000001</v>
      </c>
      <c r="D726" s="554">
        <f>'2021 Known'!C56</f>
        <v>7917.9745949999997</v>
      </c>
      <c r="E726" s="554" t="str">
        <f>'2021 Known'!D56</f>
        <v>Firm</v>
      </c>
      <c r="F726" s="554" t="str">
        <f>'2021 Known'!E56</f>
        <v>System</v>
      </c>
      <c r="G726" s="554" t="str">
        <f>'2021 Known'!F56</f>
        <v>System</v>
      </c>
    </row>
    <row r="727" spans="1:7" x14ac:dyDescent="0.25">
      <c r="A727" s="552">
        <f>'2021 Known'!$G$2</f>
        <v>2021</v>
      </c>
      <c r="B727" s="554" t="str">
        <f>'2021 Known'!A57</f>
        <v>BPA</v>
      </c>
      <c r="C727" s="554">
        <f>'2021 Known'!B57</f>
        <v>7000</v>
      </c>
      <c r="D727" s="554">
        <f>'2021 Known'!C57</f>
        <v>3059</v>
      </c>
      <c r="E727" s="554" t="str">
        <f>'2021 Known'!D57</f>
        <v>Firm</v>
      </c>
      <c r="F727" s="554" t="str">
        <f>'2021 Known'!E57</f>
        <v>System</v>
      </c>
      <c r="G727" s="554" t="str">
        <f>'2021 Known'!F57</f>
        <v>System</v>
      </c>
    </row>
    <row r="728" spans="1:7" ht="30" x14ac:dyDescent="0.25">
      <c r="A728" s="552">
        <f>'2021 Known'!$G$2</f>
        <v>2021</v>
      </c>
      <c r="B728" s="554" t="str">
        <f>'2021 Known'!A58</f>
        <v>Transalta Centralia Generation LLC - Bookout Source Other Adjustment</v>
      </c>
      <c r="C728" s="554">
        <f>'2021 Known'!B58</f>
        <v>714149</v>
      </c>
      <c r="D728" s="554">
        <f>'2021 Known'!C58</f>
        <v>312083.11299999995</v>
      </c>
      <c r="E728" s="554" t="str">
        <f>'2021 Known'!D58</f>
        <v>Firm</v>
      </c>
      <c r="F728" s="554" t="str">
        <f>'2021 Known'!E58</f>
        <v>System</v>
      </c>
      <c r="G728" s="554" t="str">
        <f>'2021 Known'!F58</f>
        <v>System</v>
      </c>
    </row>
    <row r="729" spans="1:7" x14ac:dyDescent="0.25">
      <c r="A729" s="552">
        <f>'2021 Known'!$G$2</f>
        <v>2021</v>
      </c>
      <c r="B729" s="554" t="str">
        <f>'2021 Known'!A59</f>
        <v>3 Bar G Wind Turbine #3 LLC</v>
      </c>
      <c r="C729" s="554">
        <f>'2021 Known'!B59</f>
        <v>153.11099999999999</v>
      </c>
      <c r="D729" s="554">
        <f>'2021 Known'!C59</f>
        <v>0</v>
      </c>
      <c r="E729" s="554" t="str">
        <f>'2021 Known'!D59</f>
        <v>Firm</v>
      </c>
      <c r="F729" s="554" t="str">
        <f>'2021 Known'!E59</f>
        <v>Wind</v>
      </c>
      <c r="G729" s="554" t="str">
        <f>'2021 Known'!F59</f>
        <v>Renew</v>
      </c>
    </row>
    <row r="730" spans="1:7" x14ac:dyDescent="0.25">
      <c r="A730" s="552">
        <f>'2021 Known'!$G$2</f>
        <v>2021</v>
      </c>
      <c r="B730" s="554" t="str">
        <f>'2021 Known'!A60</f>
        <v>Klondike Wind Power III</v>
      </c>
      <c r="C730" s="554">
        <f>'2021 Known'!B60</f>
        <v>141582</v>
      </c>
      <c r="D730" s="554">
        <f>'2021 Known'!C60</f>
        <v>0</v>
      </c>
      <c r="E730" s="554" t="str">
        <f>'2021 Known'!D60</f>
        <v>Firm</v>
      </c>
      <c r="F730" s="554" t="str">
        <f>'2021 Known'!E60</f>
        <v>Wind</v>
      </c>
      <c r="G730" s="554" t="str">
        <f>'2021 Known'!F60</f>
        <v>Renew</v>
      </c>
    </row>
    <row r="731" spans="1:7" x14ac:dyDescent="0.25">
      <c r="A731" s="552">
        <f>'2021 Known'!$G$2</f>
        <v>2021</v>
      </c>
      <c r="B731" s="554" t="str">
        <f>'2021 Known'!A61</f>
        <v>Knudsen Wind Turbine #1</v>
      </c>
      <c r="C731" s="554">
        <f>'2021 Known'!B61</f>
        <v>138.99100000000001</v>
      </c>
      <c r="D731" s="554">
        <f>'2021 Known'!C61</f>
        <v>0</v>
      </c>
      <c r="E731" s="554" t="str">
        <f>'2021 Known'!D61</f>
        <v>Firm</v>
      </c>
      <c r="F731" s="554" t="str">
        <f>'2021 Known'!E61</f>
        <v>Wind</v>
      </c>
      <c r="G731" s="554" t="str">
        <f>'2021 Known'!F61</f>
        <v>Renew</v>
      </c>
    </row>
    <row r="732" spans="1:7" x14ac:dyDescent="0.25">
      <c r="A732" s="552">
        <f>'2021 Known'!$G$2</f>
        <v>2021</v>
      </c>
      <c r="B732" s="554" t="str">
        <f>'2021 Known'!A62</f>
        <v>Lund Hill Solar, LLC</v>
      </c>
      <c r="C732" s="554">
        <f>'2021 Known'!B62</f>
        <v>366671</v>
      </c>
      <c r="D732" s="554">
        <f>'2021 Known'!C62</f>
        <v>0</v>
      </c>
      <c r="E732" s="554" t="str">
        <f>'2021 Known'!D62</f>
        <v>Firm</v>
      </c>
      <c r="F732" s="554" t="str">
        <f>'2021 Known'!E62</f>
        <v>Solar</v>
      </c>
      <c r="G732" s="554" t="str">
        <f>'2021 Known'!F62</f>
        <v>Renew</v>
      </c>
    </row>
    <row r="733" spans="1:7" x14ac:dyDescent="0.25">
      <c r="A733" s="552">
        <f>'2021 Known'!$G$2</f>
        <v>2021</v>
      </c>
      <c r="B733" s="554" t="str">
        <f>'2021 Known'!A63</f>
        <v>Penstemon Solar</v>
      </c>
      <c r="C733" s="554">
        <f>'2021 Known'!B63</f>
        <v>1.5449999999999999</v>
      </c>
      <c r="D733" s="554">
        <f>'2021 Known'!C63</f>
        <v>0</v>
      </c>
      <c r="E733" s="554" t="str">
        <f>'2021 Known'!D63</f>
        <v>Firm</v>
      </c>
      <c r="F733" s="554" t="str">
        <f>'2021 Known'!E63</f>
        <v>Solar</v>
      </c>
      <c r="G733" s="554" t="str">
        <f>'2021 Known'!F63</f>
        <v>Renew</v>
      </c>
    </row>
    <row r="734" spans="1:7" x14ac:dyDescent="0.25">
      <c r="A734" s="552">
        <f>'2021 Known'!$G$2</f>
        <v>2021</v>
      </c>
      <c r="B734" s="554" t="str">
        <f>'2021 Known'!A64</f>
        <v>Sierra Pacific Industries</v>
      </c>
      <c r="C734" s="554">
        <f>'2021 Known'!B64</f>
        <v>126931.46400000001</v>
      </c>
      <c r="D734" s="554">
        <f>'2021 Known'!C64</f>
        <v>0</v>
      </c>
      <c r="E734" s="554" t="str">
        <f>'2021 Known'!D64</f>
        <v>Firm</v>
      </c>
      <c r="F734" s="554" t="str">
        <f>'2021 Known'!E64</f>
        <v>Biomass</v>
      </c>
      <c r="G734" s="554" t="str">
        <f>'2021 Known'!F64</f>
        <v>Renew</v>
      </c>
    </row>
    <row r="735" spans="1:7" x14ac:dyDescent="0.25">
      <c r="A735" s="552">
        <f>'2021 Known'!$G$2</f>
        <v>2021</v>
      </c>
      <c r="B735" s="554" t="str">
        <f>'2021 Known'!A65</f>
        <v>Skookumchuck Wind PPA</v>
      </c>
      <c r="C735" s="554">
        <f>'2021 Known'!B65</f>
        <v>414302.24</v>
      </c>
      <c r="D735" s="554">
        <f>'2021 Known'!C65</f>
        <v>0</v>
      </c>
      <c r="E735" s="554" t="str">
        <f>'2021 Known'!D65</f>
        <v>Firm</v>
      </c>
      <c r="F735" s="554" t="str">
        <f>'2021 Known'!E65</f>
        <v>Wind</v>
      </c>
      <c r="G735" s="554" t="str">
        <f>'2021 Known'!F65</f>
        <v>Renew</v>
      </c>
    </row>
    <row r="736" spans="1:7" x14ac:dyDescent="0.25">
      <c r="A736" s="552">
        <f>'2021 Known'!$G$2</f>
        <v>2021</v>
      </c>
      <c r="B736" s="554" t="str">
        <f>'2021 Known'!A66</f>
        <v>Swauk Wind</v>
      </c>
      <c r="C736" s="554">
        <f>'2021 Known'!B66</f>
        <v>11785.528</v>
      </c>
      <c r="D736" s="554">
        <f>'2021 Known'!C66</f>
        <v>0</v>
      </c>
      <c r="E736" s="554" t="str">
        <f>'2021 Known'!D66</f>
        <v>Firm</v>
      </c>
      <c r="F736" s="554" t="str">
        <f>'2021 Known'!E66</f>
        <v>Wind</v>
      </c>
      <c r="G736" s="554" t="str">
        <f>'2021 Known'!F66</f>
        <v>Renew</v>
      </c>
    </row>
    <row r="737" spans="1:7" s="551" customFormat="1" x14ac:dyDescent="0.25">
      <c r="A737" s="558">
        <f>'2021 Unknown - Net by'!$G$4</f>
        <v>2021</v>
      </c>
      <c r="B737" s="559" t="str">
        <f>'2021 Unknown - Net by'!H3</f>
        <v>Unspecified</v>
      </c>
      <c r="C737" s="560">
        <f>'2021 Unknown - Net by'!B81</f>
        <v>1123056.8739999998</v>
      </c>
      <c r="D737" s="560">
        <f>'2021 Unknown - Net by'!D81</f>
        <v>550038.77191587386</v>
      </c>
      <c r="E737" s="561" t="s">
        <v>473</v>
      </c>
      <c r="F737" s="558" t="s">
        <v>432</v>
      </c>
      <c r="G737" s="558" t="s">
        <v>432</v>
      </c>
    </row>
  </sheetData>
  <autoFilter ref="A1:G673"/>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2" t="s">
        <v>11</v>
      </c>
    </row>
    <row r="2" spans="1:7" ht="15.75" thickBot="1" x14ac:dyDescent="0.3"/>
    <row r="3" spans="1:7" x14ac:dyDescent="0.25">
      <c r="A3" s="59"/>
      <c r="B3" s="60" t="s">
        <v>15</v>
      </c>
      <c r="C3" s="61" t="s">
        <v>25</v>
      </c>
      <c r="D3" s="65"/>
      <c r="E3" s="63"/>
    </row>
    <row r="4" spans="1:7" x14ac:dyDescent="0.25">
      <c r="A4" s="650" t="s">
        <v>16</v>
      </c>
      <c r="B4" s="652"/>
      <c r="C4" s="35">
        <v>2013</v>
      </c>
      <c r="D4" s="68" t="s">
        <v>39</v>
      </c>
      <c r="E4" s="64"/>
    </row>
    <row r="5" spans="1:7" ht="15.75" thickBot="1" x14ac:dyDescent="0.3">
      <c r="A5" s="653" t="s">
        <v>21</v>
      </c>
      <c r="B5" s="654"/>
      <c r="C5" s="74">
        <f>+F10*'Census Stats'!$L$38</f>
        <v>2383976.003935121</v>
      </c>
      <c r="D5" s="62">
        <f>+D13/C5</f>
        <v>8.8172598907468096</v>
      </c>
    </row>
    <row r="6" spans="1:7" x14ac:dyDescent="0.25">
      <c r="A6" s="5"/>
      <c r="B6" s="5"/>
      <c r="C6" s="21"/>
      <c r="E6" s="20"/>
    </row>
    <row r="7" spans="1:7" ht="19.5" thickBot="1" x14ac:dyDescent="0.35">
      <c r="A7" s="5"/>
      <c r="B7" s="57" t="s">
        <v>36</v>
      </c>
      <c r="C7" s="21"/>
      <c r="E7" s="20"/>
    </row>
    <row r="8" spans="1:7" x14ac:dyDescent="0.25">
      <c r="A8" s="39"/>
      <c r="B8" s="40"/>
      <c r="C8" s="40"/>
      <c r="D8" s="40"/>
      <c r="E8" s="40"/>
      <c r="F8" s="41" t="s">
        <v>20</v>
      </c>
      <c r="G8" s="52" t="s">
        <v>40</v>
      </c>
    </row>
    <row r="9" spans="1:7" x14ac:dyDescent="0.25">
      <c r="A9" s="42"/>
      <c r="B9" s="16"/>
      <c r="C9" s="16"/>
      <c r="D9" s="18" t="s">
        <v>14</v>
      </c>
      <c r="E9" s="30" t="s">
        <v>28</v>
      </c>
      <c r="F9" s="23" t="s">
        <v>35</v>
      </c>
      <c r="G9" s="53" t="s">
        <v>20</v>
      </c>
    </row>
    <row r="10" spans="1:7" x14ac:dyDescent="0.25">
      <c r="A10" s="650" t="s">
        <v>12</v>
      </c>
      <c r="B10" s="651"/>
      <c r="C10" s="652"/>
      <c r="D10" s="66">
        <v>10718566</v>
      </c>
      <c r="E10" s="17">
        <f>+D10/D13</f>
        <v>0.50991896531972958</v>
      </c>
      <c r="F10" s="38">
        <v>956782</v>
      </c>
      <c r="G10" s="54">
        <f>+D10/F10</f>
        <v>11.202725385720049</v>
      </c>
    </row>
    <row r="11" spans="1:7" x14ac:dyDescent="0.25">
      <c r="A11" s="650" t="s">
        <v>17</v>
      </c>
      <c r="B11" s="651"/>
      <c r="C11" s="652"/>
      <c r="D11" s="66">
        <f>8995025+91103</f>
        <v>9086128</v>
      </c>
      <c r="E11" s="17">
        <f>+D11/D13</f>
        <v>0.43225828795779436</v>
      </c>
      <c r="F11" s="32">
        <f>119833+5266</f>
        <v>125099</v>
      </c>
      <c r="G11" s="54">
        <f>+D11/F11</f>
        <v>72.631499852117116</v>
      </c>
    </row>
    <row r="12" spans="1:7" x14ac:dyDescent="0.25">
      <c r="A12" s="650" t="s">
        <v>18</v>
      </c>
      <c r="B12" s="651"/>
      <c r="C12" s="652"/>
      <c r="D12" s="66">
        <v>1215442</v>
      </c>
      <c r="E12" s="17">
        <f>+D12/D13</f>
        <v>5.7822746722476011E-2</v>
      </c>
      <c r="F12" s="5"/>
      <c r="G12" s="43"/>
    </row>
    <row r="13" spans="1:7" ht="15.75" thickBot="1" x14ac:dyDescent="0.3">
      <c r="A13" s="44"/>
      <c r="B13" s="655" t="s">
        <v>13</v>
      </c>
      <c r="C13" s="654"/>
      <c r="D13" s="67">
        <f>SUM(D10:D12)</f>
        <v>21020136</v>
      </c>
      <c r="E13" s="45"/>
      <c r="F13" s="46"/>
      <c r="G13" s="47"/>
    </row>
    <row r="15" spans="1:7" ht="19.5" thickBot="1" x14ac:dyDescent="0.35">
      <c r="B15" s="58" t="s">
        <v>37</v>
      </c>
    </row>
    <row r="16" spans="1:7" x14ac:dyDescent="0.25">
      <c r="A16" s="39"/>
      <c r="B16" s="40"/>
      <c r="C16" s="40"/>
      <c r="D16" s="40"/>
      <c r="E16" s="41" t="s">
        <v>29</v>
      </c>
      <c r="F16" s="48" t="s">
        <v>522</v>
      </c>
      <c r="G16" s="49"/>
    </row>
    <row r="17" spans="1:8" ht="18" x14ac:dyDescent="0.35">
      <c r="A17" s="50"/>
      <c r="B17" s="5"/>
      <c r="C17" s="5"/>
      <c r="D17" s="30" t="s">
        <v>19</v>
      </c>
      <c r="E17" s="23" t="s">
        <v>30</v>
      </c>
      <c r="F17" s="19" t="s">
        <v>8</v>
      </c>
      <c r="G17" s="43"/>
    </row>
    <row r="18" spans="1:8" x14ac:dyDescent="0.25">
      <c r="A18" s="637" t="s">
        <v>542</v>
      </c>
      <c r="B18" s="638"/>
      <c r="C18" s="639"/>
      <c r="D18" s="9">
        <f>'2013 Known'!B64</f>
        <v>16925900.518999994</v>
      </c>
      <c r="E18" s="17">
        <f>+D18/(D18+D20)</f>
        <v>0.74896750408412793</v>
      </c>
      <c r="F18" s="9">
        <f>'2013 Known'!C64</f>
        <v>7269971.48458484</v>
      </c>
      <c r="G18" s="43"/>
    </row>
    <row r="19" spans="1:8" ht="15.75" thickBot="1" x14ac:dyDescent="0.3">
      <c r="A19" s="463"/>
      <c r="B19" s="464"/>
      <c r="C19" s="337" t="s">
        <v>543</v>
      </c>
      <c r="D19" s="323">
        <v>0</v>
      </c>
      <c r="E19" s="276">
        <v>0</v>
      </c>
      <c r="F19" s="323">
        <v>0</v>
      </c>
      <c r="G19" s="43"/>
    </row>
    <row r="20" spans="1:8" ht="18" x14ac:dyDescent="0.35">
      <c r="A20" s="650" t="s">
        <v>34</v>
      </c>
      <c r="B20" s="651"/>
      <c r="C20" s="652"/>
      <c r="D20" s="55">
        <f>'2013 Unknown'!B117</f>
        <v>5673077.977</v>
      </c>
      <c r="E20" s="56">
        <f>+D20/(D18+D20)</f>
        <v>0.25103249591587212</v>
      </c>
      <c r="F20" s="70">
        <f>'2013 Unknown'!D117</f>
        <v>2479135.0759489988</v>
      </c>
      <c r="G20" s="72" t="s">
        <v>38</v>
      </c>
    </row>
    <row r="21" spans="1:8" ht="18.75" thickBot="1" x14ac:dyDescent="0.4">
      <c r="A21" s="44"/>
      <c r="B21" s="46"/>
      <c r="C21" s="46"/>
      <c r="D21" s="69">
        <f>+C4</f>
        <v>2013</v>
      </c>
      <c r="E21" s="51" t="s">
        <v>4</v>
      </c>
      <c r="F21" s="71">
        <f>SUM(F18:F20)</f>
        <v>9749106.5605338383</v>
      </c>
      <c r="G21" s="73">
        <f>+F21/G23</f>
        <v>1.5471425122091289</v>
      </c>
    </row>
    <row r="23" spans="1:8" ht="18" x14ac:dyDescent="0.35">
      <c r="F23" s="22" t="s">
        <v>524</v>
      </c>
      <c r="G23" s="32">
        <f>+G30</f>
        <v>6301362.9860207997</v>
      </c>
      <c r="H23" s="29"/>
    </row>
    <row r="25" spans="1:8" x14ac:dyDescent="0.25">
      <c r="E25" s="29" t="s">
        <v>22</v>
      </c>
      <c r="F25" s="24"/>
      <c r="G25" s="24"/>
    </row>
    <row r="26" spans="1:8" x14ac:dyDescent="0.25">
      <c r="E26" s="24"/>
      <c r="F26" s="24"/>
      <c r="G26" s="27" t="s">
        <v>26</v>
      </c>
    </row>
    <row r="27" spans="1:8" ht="18" x14ac:dyDescent="0.35">
      <c r="E27" s="24"/>
      <c r="F27" s="24"/>
      <c r="G27" s="28" t="s">
        <v>525</v>
      </c>
    </row>
    <row r="28" spans="1:8" x14ac:dyDescent="0.25">
      <c r="E28" s="24"/>
      <c r="F28" s="25" t="s">
        <v>23</v>
      </c>
      <c r="G28" s="26">
        <f>1131957*0.9071847</f>
        <v>1026894.0714579</v>
      </c>
    </row>
    <row r="29" spans="1:8" x14ac:dyDescent="0.25">
      <c r="E29" s="24"/>
      <c r="F29" s="25" t="s">
        <v>24</v>
      </c>
      <c r="G29" s="26">
        <f>2399078*0.9071847</f>
        <v>2176406.8557066</v>
      </c>
    </row>
    <row r="30" spans="1:8" x14ac:dyDescent="0.25">
      <c r="E30" s="24"/>
      <c r="F30" s="25" t="s">
        <v>25</v>
      </c>
      <c r="G30" s="26">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4"/>
  <sheetViews>
    <sheetView workbookViewId="0">
      <pane ySplit="1605" topLeftCell="A43" activePane="bottomLeft"/>
      <selection activeCell="I3" sqref="I3"/>
      <selection pane="bottomLeft" activeCell="G52" sqref="G52"/>
    </sheetView>
  </sheetViews>
  <sheetFormatPr defaultColWidth="9.140625" defaultRowHeight="12.75" x14ac:dyDescent="0.2"/>
  <cols>
    <col min="1" max="1" width="47.5703125" style="416" customWidth="1"/>
    <col min="2" max="2" width="13.140625" style="416" customWidth="1"/>
    <col min="3" max="3" width="12.7109375" style="416" customWidth="1"/>
    <col min="4" max="5" width="9.140625" style="417"/>
    <col min="6" max="6" width="9.7109375" style="417" customWidth="1"/>
    <col min="7" max="7" width="20.42578125" style="416" customWidth="1"/>
    <col min="8" max="8" width="17.5703125" style="416" bestFit="1" customWidth="1"/>
    <col min="9" max="9" width="11.28515625" style="416" bestFit="1" customWidth="1"/>
    <col min="10" max="10" width="9.28515625" style="416" bestFit="1" customWidth="1"/>
    <col min="11" max="11" width="9.7109375" style="416" bestFit="1" customWidth="1"/>
    <col min="12" max="12" width="3.5703125" style="377" customWidth="1"/>
    <col min="13" max="14" width="11.5703125" style="373" customWidth="1"/>
    <col min="15" max="16" width="9.140625" style="373"/>
    <col min="17" max="16384" width="9.140625" style="416"/>
  </cols>
  <sheetData>
    <row r="1" spans="1:17" x14ac:dyDescent="0.2">
      <c r="A1" s="414" t="s">
        <v>10</v>
      </c>
      <c r="B1" s="415">
        <v>2013</v>
      </c>
      <c r="G1" s="376"/>
      <c r="H1" s="373"/>
      <c r="I1" s="373"/>
      <c r="J1" s="373">
        <f>'EFs &amp; Rates'!I11</f>
        <v>25</v>
      </c>
      <c r="K1" s="373">
        <f>'EFs &amp; Rates'!J11</f>
        <v>298</v>
      </c>
    </row>
    <row r="2" spans="1:17" ht="14.25" x14ac:dyDescent="0.2">
      <c r="A2" s="378"/>
      <c r="B2" s="379"/>
      <c r="C2" s="380" t="s">
        <v>522</v>
      </c>
      <c r="D2" s="380"/>
      <c r="E2" s="379"/>
      <c r="F2" s="373"/>
      <c r="G2" s="376">
        <v>2013</v>
      </c>
      <c r="H2" s="381" t="s">
        <v>462</v>
      </c>
      <c r="I2" s="382">
        <f>'EFs &amp; Rates'!K5</f>
        <v>963.42025100000001</v>
      </c>
      <c r="J2" s="383" t="s">
        <v>561</v>
      </c>
      <c r="K2" s="373"/>
      <c r="N2" s="485" t="s">
        <v>578</v>
      </c>
    </row>
    <row r="3" spans="1:17" ht="38.25" x14ac:dyDescent="0.2">
      <c r="A3" s="384" t="s">
        <v>0</v>
      </c>
      <c r="B3" s="385" t="s">
        <v>31</v>
      </c>
      <c r="C3" s="386" t="s">
        <v>562</v>
      </c>
      <c r="D3" s="386" t="s">
        <v>424</v>
      </c>
      <c r="E3" s="385" t="s">
        <v>425</v>
      </c>
      <c r="F3" s="387" t="s">
        <v>472</v>
      </c>
      <c r="G3" s="481" t="s">
        <v>576</v>
      </c>
      <c r="H3" s="387" t="s">
        <v>469</v>
      </c>
      <c r="I3" s="388" t="s">
        <v>537</v>
      </c>
      <c r="J3" s="388" t="s">
        <v>538</v>
      </c>
      <c r="K3" s="388" t="s">
        <v>539</v>
      </c>
      <c r="M3" s="439" t="s">
        <v>575</v>
      </c>
      <c r="N3" s="439" t="s">
        <v>577</v>
      </c>
      <c r="O3" s="407" t="s">
        <v>558</v>
      </c>
      <c r="P3" s="407" t="s">
        <v>559</v>
      </c>
      <c r="Q3" s="389" t="s">
        <v>452</v>
      </c>
    </row>
    <row r="4" spans="1:17" x14ac:dyDescent="0.2">
      <c r="A4" s="418" t="s">
        <v>262</v>
      </c>
      <c r="B4" s="419">
        <v>57768.31</v>
      </c>
      <c r="C4" s="419">
        <f t="shared" ref="C4:C23" si="0">G4</f>
        <v>0</v>
      </c>
      <c r="D4" s="373" t="s">
        <v>464</v>
      </c>
      <c r="E4" s="417" t="s">
        <v>426</v>
      </c>
      <c r="F4" s="417" t="s">
        <v>463</v>
      </c>
      <c r="G4" s="181"/>
      <c r="K4" s="373"/>
    </row>
    <row r="5" spans="1:17" x14ac:dyDescent="0.2">
      <c r="A5" s="418" t="s">
        <v>263</v>
      </c>
      <c r="B5" s="419">
        <v>350427.55599999998</v>
      </c>
      <c r="C5" s="419">
        <f t="shared" si="0"/>
        <v>0</v>
      </c>
      <c r="D5" s="373" t="s">
        <v>464</v>
      </c>
      <c r="E5" s="417" t="s">
        <v>426</v>
      </c>
      <c r="F5" s="417" t="s">
        <v>463</v>
      </c>
      <c r="G5" s="181"/>
      <c r="K5" s="373"/>
    </row>
    <row r="6" spans="1:17" x14ac:dyDescent="0.2">
      <c r="A6" s="418" t="s">
        <v>264</v>
      </c>
      <c r="B6" s="419">
        <v>-173.11</v>
      </c>
      <c r="C6" s="419">
        <f t="shared" si="0"/>
        <v>0</v>
      </c>
      <c r="D6" s="373" t="s">
        <v>464</v>
      </c>
      <c r="E6" s="417" t="s">
        <v>426</v>
      </c>
      <c r="F6" s="417" t="s">
        <v>463</v>
      </c>
      <c r="G6" s="181"/>
      <c r="K6" s="373"/>
    </row>
    <row r="7" spans="1:17" x14ac:dyDescent="0.2">
      <c r="A7" s="418" t="s">
        <v>265</v>
      </c>
      <c r="B7" s="419">
        <v>76306.592999999993</v>
      </c>
      <c r="C7" s="419">
        <f t="shared" si="0"/>
        <v>0</v>
      </c>
      <c r="D7" s="373" t="s">
        <v>464</v>
      </c>
      <c r="E7" s="417" t="s">
        <v>426</v>
      </c>
      <c r="F7" s="417" t="s">
        <v>463</v>
      </c>
      <c r="G7" s="181"/>
      <c r="K7" s="373"/>
    </row>
    <row r="8" spans="1:17" x14ac:dyDescent="0.2">
      <c r="A8" s="418" t="s">
        <v>266</v>
      </c>
      <c r="B8" s="419">
        <v>353239.95299999998</v>
      </c>
      <c r="C8" s="419">
        <f t="shared" si="0"/>
        <v>0</v>
      </c>
      <c r="D8" s="373" t="s">
        <v>464</v>
      </c>
      <c r="E8" s="417" t="s">
        <v>426</v>
      </c>
      <c r="F8" s="417" t="s">
        <v>463</v>
      </c>
      <c r="G8" s="181"/>
      <c r="K8" s="373"/>
    </row>
    <row r="9" spans="1:17" x14ac:dyDescent="0.2">
      <c r="A9" s="418" t="s">
        <v>572</v>
      </c>
      <c r="B9" s="473">
        <f>2322485+2023723</f>
        <v>4346208</v>
      </c>
      <c r="C9" s="419">
        <f t="shared" si="0"/>
        <v>4704400.4330650484</v>
      </c>
      <c r="D9" s="373" t="s">
        <v>464</v>
      </c>
      <c r="E9" s="417" t="s">
        <v>427</v>
      </c>
      <c r="F9" s="417" t="s">
        <v>427</v>
      </c>
      <c r="G9" s="356">
        <f t="shared" ref="G9" si="1">I9+(J9*$J$1)+(K9*$K$1)</f>
        <v>4704400.4330650484</v>
      </c>
      <c r="I9" s="416">
        <v>4667514.1184646096</v>
      </c>
      <c r="J9" s="416">
        <v>539.70399122749996</v>
      </c>
      <c r="K9" s="373">
        <v>78.502398724000003</v>
      </c>
    </row>
    <row r="10" spans="1:17" x14ac:dyDescent="0.2">
      <c r="A10" s="418" t="s">
        <v>268</v>
      </c>
      <c r="B10" s="419">
        <v>268267.32500000001</v>
      </c>
      <c r="C10" s="419">
        <f t="shared" si="0"/>
        <v>132778.29199999999</v>
      </c>
      <c r="D10" s="373" t="s">
        <v>464</v>
      </c>
      <c r="E10" s="417" t="s">
        <v>429</v>
      </c>
      <c r="F10" s="417" t="s">
        <v>429</v>
      </c>
      <c r="G10" s="475">
        <v>132778.29199999999</v>
      </c>
      <c r="H10" s="470"/>
      <c r="I10" s="475"/>
      <c r="K10" s="373"/>
    </row>
    <row r="11" spans="1:17" x14ac:dyDescent="0.2">
      <c r="A11" s="418" t="s">
        <v>269</v>
      </c>
      <c r="B11" s="419">
        <v>869393.88599999994</v>
      </c>
      <c r="C11" s="419">
        <f t="shared" si="0"/>
        <v>395314.78399999999</v>
      </c>
      <c r="D11" s="373" t="s">
        <v>464</v>
      </c>
      <c r="E11" s="417" t="s">
        <v>429</v>
      </c>
      <c r="F11" s="417" t="s">
        <v>429</v>
      </c>
      <c r="G11" s="475">
        <v>395314.78399999999</v>
      </c>
      <c r="H11" s="470"/>
      <c r="I11" s="475"/>
    </row>
    <row r="12" spans="1:17" x14ac:dyDescent="0.2">
      <c r="A12" s="418" t="s">
        <v>270</v>
      </c>
      <c r="B12" s="419">
        <v>416396.53899999999</v>
      </c>
      <c r="C12" s="419">
        <f t="shared" si="0"/>
        <v>163542.03957399999</v>
      </c>
      <c r="D12" s="373" t="s">
        <v>464</v>
      </c>
      <c r="E12" s="417" t="s">
        <v>429</v>
      </c>
      <c r="F12" s="417" t="s">
        <v>429</v>
      </c>
      <c r="G12" s="475">
        <f>328068.284*0.4985</f>
        <v>163542.03957399999</v>
      </c>
      <c r="H12" s="470"/>
      <c r="I12" s="475"/>
    </row>
    <row r="13" spans="1:17" x14ac:dyDescent="0.2">
      <c r="A13" s="418" t="s">
        <v>274</v>
      </c>
      <c r="B13" s="419">
        <v>1469093.6269999999</v>
      </c>
      <c r="C13" s="419">
        <f t="shared" si="0"/>
        <v>544865.78</v>
      </c>
      <c r="D13" s="373" t="s">
        <v>464</v>
      </c>
      <c r="E13" s="417" t="s">
        <v>429</v>
      </c>
      <c r="F13" s="417" t="s">
        <v>429</v>
      </c>
      <c r="G13" s="475">
        <v>544865.78</v>
      </c>
      <c r="H13" s="470"/>
      <c r="I13" s="475"/>
    </row>
    <row r="14" spans="1:17" x14ac:dyDescent="0.2">
      <c r="A14" s="418" t="s">
        <v>277</v>
      </c>
      <c r="B14" s="419">
        <v>1614347.7590000001</v>
      </c>
      <c r="C14" s="419">
        <f t="shared" si="0"/>
        <v>633492.55200000003</v>
      </c>
      <c r="D14" s="373" t="s">
        <v>464</v>
      </c>
      <c r="E14" s="417" t="s">
        <v>429</v>
      </c>
      <c r="F14" s="417" t="s">
        <v>429</v>
      </c>
      <c r="G14" s="475">
        <v>633492.55200000003</v>
      </c>
      <c r="H14" s="470"/>
      <c r="I14" s="475"/>
    </row>
    <row r="15" spans="1:17" x14ac:dyDescent="0.2">
      <c r="A15" s="418" t="s">
        <v>278</v>
      </c>
      <c r="B15" s="419">
        <v>536584.62</v>
      </c>
      <c r="C15" s="419">
        <f t="shared" si="0"/>
        <v>250237.89600000001</v>
      </c>
      <c r="D15" s="373" t="s">
        <v>464</v>
      </c>
      <c r="E15" s="417" t="s">
        <v>429</v>
      </c>
      <c r="F15" s="417" t="s">
        <v>429</v>
      </c>
      <c r="G15" s="475">
        <v>250237.89600000001</v>
      </c>
      <c r="H15" s="470"/>
      <c r="I15" s="475"/>
    </row>
    <row r="16" spans="1:17" x14ac:dyDescent="0.2">
      <c r="A16" s="418" t="s">
        <v>267</v>
      </c>
      <c r="B16" s="473">
        <v>48.722000000000001</v>
      </c>
      <c r="C16" s="419">
        <f t="shared" si="0"/>
        <v>58.302268160976595</v>
      </c>
      <c r="D16" s="373" t="s">
        <v>464</v>
      </c>
      <c r="E16" s="373" t="s">
        <v>428</v>
      </c>
      <c r="F16" s="417" t="s">
        <v>429</v>
      </c>
      <c r="G16" s="478">
        <f t="shared" ref="G16" si="2">I16+(J16*$J$1)+(K16*$K$1)</f>
        <v>58.302268160976595</v>
      </c>
      <c r="H16" s="470"/>
      <c r="I16" s="475">
        <v>58.102883199429606</v>
      </c>
      <c r="J16" s="416">
        <v>2.3567962357800005E-3</v>
      </c>
      <c r="K16" s="416">
        <v>4.7135924715600001E-4</v>
      </c>
    </row>
    <row r="17" spans="1:9" x14ac:dyDescent="0.2">
      <c r="A17" s="418" t="s">
        <v>271</v>
      </c>
      <c r="B17" s="419">
        <f>112470.95+12943.957</f>
        <v>125414.90699999999</v>
      </c>
      <c r="C17" s="419">
        <f t="shared" si="0"/>
        <v>82399.173999999999</v>
      </c>
      <c r="D17" s="373" t="s">
        <v>464</v>
      </c>
      <c r="E17" s="417" t="s">
        <v>429</v>
      </c>
      <c r="F17" s="417" t="s">
        <v>429</v>
      </c>
      <c r="G17" s="475">
        <v>82399.173999999999</v>
      </c>
      <c r="H17" s="470"/>
      <c r="I17" s="475"/>
    </row>
    <row r="18" spans="1:9" x14ac:dyDescent="0.2">
      <c r="A18" s="418" t="s">
        <v>273</v>
      </c>
      <c r="B18" s="419">
        <v>27905.3</v>
      </c>
      <c r="C18" s="419">
        <f t="shared" si="0"/>
        <v>34538.230000000003</v>
      </c>
      <c r="D18" s="373" t="s">
        <v>464</v>
      </c>
      <c r="E18" s="417" t="s">
        <v>429</v>
      </c>
      <c r="F18" s="417" t="s">
        <v>429</v>
      </c>
      <c r="G18" s="475">
        <v>34538.230000000003</v>
      </c>
      <c r="I18" s="476"/>
    </row>
    <row r="19" spans="1:9" x14ac:dyDescent="0.2">
      <c r="A19" s="418" t="s">
        <v>275</v>
      </c>
      <c r="B19" s="419">
        <v>406599.78</v>
      </c>
      <c r="C19" s="419">
        <f t="shared" si="0"/>
        <v>0</v>
      </c>
      <c r="D19" s="373" t="s">
        <v>464</v>
      </c>
      <c r="E19" s="417" t="s">
        <v>430</v>
      </c>
      <c r="F19" s="417" t="s">
        <v>463</v>
      </c>
      <c r="G19" s="181"/>
    </row>
    <row r="20" spans="1:9" x14ac:dyDescent="0.2">
      <c r="A20" s="418" t="s">
        <v>276</v>
      </c>
      <c r="B20" s="419">
        <v>816895.07</v>
      </c>
      <c r="C20" s="419">
        <f t="shared" si="0"/>
        <v>0</v>
      </c>
      <c r="D20" s="373" t="s">
        <v>464</v>
      </c>
      <c r="E20" s="417" t="s">
        <v>430</v>
      </c>
      <c r="F20" s="417" t="s">
        <v>463</v>
      </c>
      <c r="G20" s="181"/>
    </row>
    <row r="21" spans="1:9" x14ac:dyDescent="0.2">
      <c r="A21" s="418" t="s">
        <v>279</v>
      </c>
      <c r="B21" s="419">
        <v>27795.7</v>
      </c>
      <c r="C21" s="419">
        <f t="shared" si="0"/>
        <v>28668.85</v>
      </c>
      <c r="D21" s="373" t="s">
        <v>464</v>
      </c>
      <c r="E21" s="417" t="s">
        <v>429</v>
      </c>
      <c r="F21" s="417" t="s">
        <v>429</v>
      </c>
      <c r="G21" s="475">
        <v>28668.85</v>
      </c>
    </row>
    <row r="22" spans="1:9" x14ac:dyDescent="0.2">
      <c r="A22" s="418" t="s">
        <v>280</v>
      </c>
      <c r="B22" s="419">
        <v>659105.34199999995</v>
      </c>
      <c r="C22" s="419">
        <f t="shared" si="0"/>
        <v>0</v>
      </c>
      <c r="D22" s="373" t="s">
        <v>464</v>
      </c>
      <c r="E22" s="373" t="s">
        <v>430</v>
      </c>
      <c r="F22" s="417" t="s">
        <v>463</v>
      </c>
      <c r="G22" s="477"/>
    </row>
    <row r="23" spans="1:9" x14ac:dyDescent="0.2">
      <c r="A23" s="418" t="s">
        <v>283</v>
      </c>
      <c r="B23" s="419">
        <v>202.654</v>
      </c>
      <c r="C23" s="419">
        <f t="shared" si="0"/>
        <v>0</v>
      </c>
      <c r="D23" s="373" t="s">
        <v>465</v>
      </c>
      <c r="E23" s="373" t="s">
        <v>430</v>
      </c>
      <c r="F23" s="417" t="s">
        <v>463</v>
      </c>
      <c r="G23" s="181"/>
    </row>
    <row r="24" spans="1:9" x14ac:dyDescent="0.2">
      <c r="A24" s="418" t="s">
        <v>188</v>
      </c>
      <c r="B24" s="419">
        <v>216075</v>
      </c>
      <c r="C24" s="419">
        <f>G24</f>
        <v>94424.775000000009</v>
      </c>
      <c r="D24" s="373" t="s">
        <v>465</v>
      </c>
      <c r="E24" s="373" t="s">
        <v>432</v>
      </c>
      <c r="F24" s="373" t="s">
        <v>432</v>
      </c>
      <c r="G24" s="466">
        <f t="shared" ref="G24" si="3">(B24*$I$2)/2204.623</f>
        <v>94424.775000000009</v>
      </c>
    </row>
    <row r="25" spans="1:9" x14ac:dyDescent="0.2">
      <c r="A25" s="418" t="s">
        <v>284</v>
      </c>
      <c r="B25" s="419">
        <v>21366.07</v>
      </c>
      <c r="C25" s="419">
        <f t="shared" ref="C25:C61" si="4">G25</f>
        <v>9336.9725899999994</v>
      </c>
      <c r="D25" s="373" t="s">
        <v>465</v>
      </c>
      <c r="E25" s="373" t="s">
        <v>432</v>
      </c>
      <c r="F25" s="373" t="s">
        <v>432</v>
      </c>
      <c r="G25" s="466">
        <f t="shared" ref="G25" si="5">(B25*$I$2)/2204.623</f>
        <v>9336.9725899999994</v>
      </c>
    </row>
    <row r="26" spans="1:9" x14ac:dyDescent="0.2">
      <c r="A26" s="418" t="s">
        <v>285</v>
      </c>
      <c r="B26" s="419">
        <v>0.89400000000000002</v>
      </c>
      <c r="C26" s="419">
        <f t="shared" si="4"/>
        <v>0</v>
      </c>
      <c r="D26" s="373" t="s">
        <v>465</v>
      </c>
      <c r="E26" s="373" t="s">
        <v>431</v>
      </c>
      <c r="F26" s="373" t="s">
        <v>463</v>
      </c>
      <c r="G26" s="181"/>
    </row>
    <row r="27" spans="1:9" x14ac:dyDescent="0.2">
      <c r="A27" s="418" t="s">
        <v>286</v>
      </c>
      <c r="B27" s="419">
        <v>12819.279</v>
      </c>
      <c r="C27" s="419">
        <f t="shared" si="4"/>
        <v>0</v>
      </c>
      <c r="D27" s="373" t="s">
        <v>465</v>
      </c>
      <c r="E27" s="373" t="s">
        <v>426</v>
      </c>
      <c r="F27" s="373" t="s">
        <v>463</v>
      </c>
      <c r="G27" s="181"/>
    </row>
    <row r="28" spans="1:9" x14ac:dyDescent="0.2">
      <c r="A28" s="418" t="s">
        <v>191</v>
      </c>
      <c r="B28" s="419">
        <v>-204155</v>
      </c>
      <c r="C28" s="419">
        <f t="shared" si="4"/>
        <v>-89215.735000000001</v>
      </c>
      <c r="D28" s="373" t="s">
        <v>465</v>
      </c>
      <c r="E28" s="373" t="s">
        <v>432</v>
      </c>
      <c r="F28" s="373" t="s">
        <v>432</v>
      </c>
      <c r="G28" s="466">
        <f t="shared" ref="G28" si="6">(B28*$I$2)/2204.623</f>
        <v>-89215.735000000001</v>
      </c>
    </row>
    <row r="29" spans="1:9" x14ac:dyDescent="0.2">
      <c r="A29" s="418" t="s">
        <v>173</v>
      </c>
      <c r="B29" s="419">
        <v>7000</v>
      </c>
      <c r="C29" s="419">
        <f t="shared" si="4"/>
        <v>0</v>
      </c>
      <c r="D29" s="373" t="s">
        <v>465</v>
      </c>
      <c r="E29" s="373" t="s">
        <v>426</v>
      </c>
      <c r="F29" s="417" t="s">
        <v>463</v>
      </c>
      <c r="G29" s="181"/>
    </row>
    <row r="30" spans="1:9" x14ac:dyDescent="0.2">
      <c r="A30" s="418" t="s">
        <v>287</v>
      </c>
      <c r="B30" s="419">
        <v>374969</v>
      </c>
      <c r="C30" s="419">
        <f t="shared" si="4"/>
        <v>163861.45299999998</v>
      </c>
      <c r="D30" s="373" t="s">
        <v>465</v>
      </c>
      <c r="E30" s="373" t="s">
        <v>432</v>
      </c>
      <c r="F30" s="373" t="s">
        <v>432</v>
      </c>
      <c r="G30" s="466">
        <f t="shared" ref="G30" si="7">(B30*$I$2)/2204.623</f>
        <v>163861.45299999998</v>
      </c>
    </row>
    <row r="31" spans="1:9" x14ac:dyDescent="0.2">
      <c r="A31" s="418" t="s">
        <v>288</v>
      </c>
      <c r="B31" s="419">
        <v>28.17</v>
      </c>
      <c r="C31" s="419">
        <f t="shared" si="4"/>
        <v>0</v>
      </c>
      <c r="D31" s="373" t="s">
        <v>465</v>
      </c>
      <c r="E31" s="373" t="s">
        <v>433</v>
      </c>
      <c r="F31" s="417" t="s">
        <v>463</v>
      </c>
      <c r="G31" s="181"/>
    </row>
    <row r="32" spans="1:9" x14ac:dyDescent="0.2">
      <c r="A32" s="418" t="s">
        <v>289</v>
      </c>
      <c r="B32" s="419">
        <v>2436603</v>
      </c>
      <c r="C32" s="419">
        <f t="shared" si="4"/>
        <v>0</v>
      </c>
      <c r="D32" s="373" t="s">
        <v>465</v>
      </c>
      <c r="E32" s="417" t="s">
        <v>426</v>
      </c>
      <c r="F32" s="417" t="s">
        <v>463</v>
      </c>
      <c r="G32" s="181"/>
    </row>
    <row r="33" spans="1:15" x14ac:dyDescent="0.2">
      <c r="A33" s="418" t="s">
        <v>290</v>
      </c>
      <c r="B33" s="419">
        <v>-43063</v>
      </c>
      <c r="C33" s="419">
        <f t="shared" si="4"/>
        <v>0</v>
      </c>
      <c r="D33" s="373" t="s">
        <v>465</v>
      </c>
      <c r="E33" s="417" t="s">
        <v>426</v>
      </c>
      <c r="F33" s="417" t="s">
        <v>463</v>
      </c>
      <c r="G33" s="181"/>
    </row>
    <row r="34" spans="1:15" x14ac:dyDescent="0.2">
      <c r="A34" s="418" t="s">
        <v>291</v>
      </c>
      <c r="B34" s="419">
        <v>-78804</v>
      </c>
      <c r="C34" s="419">
        <f t="shared" si="4"/>
        <v>0</v>
      </c>
      <c r="D34" s="373" t="s">
        <v>465</v>
      </c>
      <c r="E34" s="417" t="s">
        <v>426</v>
      </c>
      <c r="F34" s="417" t="s">
        <v>463</v>
      </c>
      <c r="G34" s="181"/>
    </row>
    <row r="35" spans="1:15" x14ac:dyDescent="0.2">
      <c r="A35" s="418" t="s">
        <v>292</v>
      </c>
      <c r="B35" s="419">
        <v>1064303</v>
      </c>
      <c r="C35" s="419">
        <f t="shared" si="4"/>
        <v>0</v>
      </c>
      <c r="D35" s="373" t="s">
        <v>465</v>
      </c>
      <c r="E35" s="417" t="s">
        <v>426</v>
      </c>
      <c r="F35" s="417" t="s">
        <v>463</v>
      </c>
      <c r="G35" s="181"/>
    </row>
    <row r="36" spans="1:15" x14ac:dyDescent="0.2">
      <c r="A36" s="418" t="s">
        <v>293</v>
      </c>
      <c r="B36" s="419">
        <v>3924.8539999999998</v>
      </c>
      <c r="C36" s="419">
        <f t="shared" si="4"/>
        <v>0</v>
      </c>
      <c r="D36" s="373" t="s">
        <v>465</v>
      </c>
      <c r="E36" s="417" t="s">
        <v>431</v>
      </c>
      <c r="F36" s="417" t="s">
        <v>463</v>
      </c>
      <c r="G36" s="181"/>
    </row>
    <row r="37" spans="1:15" x14ac:dyDescent="0.2">
      <c r="A37" s="418" t="s">
        <v>294</v>
      </c>
      <c r="B37" s="419">
        <v>4128.7299999999996</v>
      </c>
      <c r="C37" s="419">
        <f t="shared" si="4"/>
        <v>0</v>
      </c>
      <c r="D37" s="373" t="s">
        <v>465</v>
      </c>
      <c r="E37" s="417" t="s">
        <v>431</v>
      </c>
      <c r="F37" s="417" t="s">
        <v>463</v>
      </c>
      <c r="G37" s="181"/>
    </row>
    <row r="38" spans="1:15" x14ac:dyDescent="0.2">
      <c r="A38" s="418" t="s">
        <v>295</v>
      </c>
      <c r="B38" s="419">
        <v>5448.1419999999998</v>
      </c>
      <c r="C38" s="419">
        <f t="shared" si="4"/>
        <v>0</v>
      </c>
      <c r="D38" s="373" t="s">
        <v>465</v>
      </c>
      <c r="E38" s="417" t="s">
        <v>431</v>
      </c>
      <c r="F38" s="417" t="s">
        <v>463</v>
      </c>
      <c r="G38" s="181"/>
    </row>
    <row r="39" spans="1:15" x14ac:dyDescent="0.2">
      <c r="A39" s="418" t="s">
        <v>297</v>
      </c>
      <c r="B39" s="419">
        <v>72986</v>
      </c>
      <c r="C39" s="419">
        <f t="shared" si="4"/>
        <v>0</v>
      </c>
      <c r="D39" s="373" t="s">
        <v>465</v>
      </c>
      <c r="E39" s="417" t="s">
        <v>426</v>
      </c>
      <c r="F39" s="417" t="s">
        <v>463</v>
      </c>
      <c r="G39" s="181"/>
    </row>
    <row r="40" spans="1:15" x14ac:dyDescent="0.2">
      <c r="A40" s="418" t="s">
        <v>299</v>
      </c>
      <c r="B40" s="419">
        <v>59.14</v>
      </c>
      <c r="C40" s="419">
        <f t="shared" si="4"/>
        <v>0</v>
      </c>
      <c r="D40" s="373" t="s">
        <v>465</v>
      </c>
      <c r="E40" s="417" t="s">
        <v>433</v>
      </c>
      <c r="F40" s="417" t="s">
        <v>463</v>
      </c>
      <c r="G40" s="181"/>
    </row>
    <row r="41" spans="1:15" x14ac:dyDescent="0.2">
      <c r="A41" s="418" t="s">
        <v>221</v>
      </c>
      <c r="B41" s="419">
        <v>161925</v>
      </c>
      <c r="C41" s="419">
        <f t="shared" si="4"/>
        <v>70761.225000000006</v>
      </c>
      <c r="D41" s="373" t="s">
        <v>465</v>
      </c>
      <c r="E41" s="373" t="s">
        <v>432</v>
      </c>
      <c r="F41" s="373" t="s">
        <v>432</v>
      </c>
      <c r="G41" s="466">
        <f t="shared" ref="G41" si="8">(B41*$I$2)/2204.623</f>
        <v>70761.225000000006</v>
      </c>
    </row>
    <row r="42" spans="1:15" x14ac:dyDescent="0.2">
      <c r="A42" s="418" t="s">
        <v>300</v>
      </c>
      <c r="B42" s="419">
        <v>8450</v>
      </c>
      <c r="C42" s="419">
        <f t="shared" si="4"/>
        <v>3332.3110876300752</v>
      </c>
      <c r="D42" s="373" t="s">
        <v>465</v>
      </c>
      <c r="E42" s="417" t="s">
        <v>429</v>
      </c>
      <c r="F42" s="417" t="s">
        <v>429</v>
      </c>
      <c r="G42" s="449">
        <f>M42*B42</f>
        <v>3332.3110876300752</v>
      </c>
      <c r="H42" s="373"/>
      <c r="I42" s="181"/>
      <c r="J42" s="181"/>
      <c r="K42" s="181"/>
      <c r="M42" s="373">
        <f>N42/O42</f>
        <v>0.39435634173136985</v>
      </c>
      <c r="N42" s="373">
        <v>1118152.0560000001</v>
      </c>
      <c r="O42" s="373">
        <v>2835385</v>
      </c>
    </row>
    <row r="43" spans="1:15" x14ac:dyDescent="0.2">
      <c r="A43" s="418" t="s">
        <v>301</v>
      </c>
      <c r="B43" s="419">
        <v>134050</v>
      </c>
      <c r="C43" s="419">
        <f t="shared" si="4"/>
        <v>0</v>
      </c>
      <c r="D43" s="373" t="s">
        <v>465</v>
      </c>
      <c r="E43" s="417" t="s">
        <v>430</v>
      </c>
      <c r="F43" s="417" t="s">
        <v>463</v>
      </c>
      <c r="G43" s="181"/>
    </row>
    <row r="44" spans="1:15" x14ac:dyDescent="0.2">
      <c r="A44" s="418" t="s">
        <v>302</v>
      </c>
      <c r="B44" s="419">
        <v>127.961</v>
      </c>
      <c r="C44" s="419">
        <f t="shared" si="4"/>
        <v>0</v>
      </c>
      <c r="D44" s="373" t="s">
        <v>465</v>
      </c>
      <c r="E44" s="417" t="s">
        <v>430</v>
      </c>
      <c r="F44" s="417" t="s">
        <v>463</v>
      </c>
      <c r="G44" s="181"/>
    </row>
    <row r="45" spans="1:15" x14ac:dyDescent="0.2">
      <c r="A45" s="418" t="s">
        <v>304</v>
      </c>
      <c r="B45" s="419">
        <v>3381</v>
      </c>
      <c r="C45" s="419">
        <f t="shared" si="4"/>
        <v>0</v>
      </c>
      <c r="D45" s="373" t="s">
        <v>465</v>
      </c>
      <c r="E45" s="417" t="s">
        <v>431</v>
      </c>
      <c r="F45" s="417" t="s">
        <v>463</v>
      </c>
      <c r="G45" s="181"/>
    </row>
    <row r="46" spans="1:15" x14ac:dyDescent="0.2">
      <c r="A46" s="418" t="s">
        <v>305</v>
      </c>
      <c r="B46" s="419">
        <v>5794.9889999999996</v>
      </c>
      <c r="C46" s="419">
        <f t="shared" si="4"/>
        <v>0</v>
      </c>
      <c r="D46" s="373" t="s">
        <v>465</v>
      </c>
      <c r="E46" s="417" t="s">
        <v>431</v>
      </c>
      <c r="F46" s="417" t="s">
        <v>463</v>
      </c>
      <c r="G46" s="181"/>
    </row>
    <row r="47" spans="1:15" x14ac:dyDescent="0.2">
      <c r="A47" s="418" t="s">
        <v>182</v>
      </c>
      <c r="B47" s="419">
        <v>107950</v>
      </c>
      <c r="C47" s="419">
        <f t="shared" si="4"/>
        <v>47174.15</v>
      </c>
      <c r="D47" s="373" t="s">
        <v>465</v>
      </c>
      <c r="E47" s="373" t="s">
        <v>432</v>
      </c>
      <c r="F47" s="373" t="s">
        <v>432</v>
      </c>
      <c r="G47" s="466">
        <f t="shared" ref="G47" si="9">(B47*$I$2)/2204.623</f>
        <v>47174.15</v>
      </c>
    </row>
    <row r="48" spans="1:15" x14ac:dyDescent="0.2">
      <c r="A48" s="418" t="s">
        <v>306</v>
      </c>
      <c r="B48" s="419">
        <v>6742.4620000000004</v>
      </c>
      <c r="C48" s="419">
        <f t="shared" si="4"/>
        <v>0</v>
      </c>
      <c r="D48" s="373" t="s">
        <v>465</v>
      </c>
      <c r="E48" s="417" t="s">
        <v>426</v>
      </c>
      <c r="F48" s="417" t="s">
        <v>463</v>
      </c>
      <c r="G48" s="181"/>
    </row>
    <row r="49" spans="1:7" x14ac:dyDescent="0.2">
      <c r="A49" s="418" t="s">
        <v>307</v>
      </c>
      <c r="B49" s="419">
        <v>147.297</v>
      </c>
      <c r="C49" s="419">
        <f t="shared" si="4"/>
        <v>0</v>
      </c>
      <c r="D49" s="373" t="s">
        <v>465</v>
      </c>
      <c r="E49" s="417" t="s">
        <v>426</v>
      </c>
      <c r="F49" s="417" t="s">
        <v>463</v>
      </c>
      <c r="G49" s="181"/>
    </row>
    <row r="50" spans="1:7" x14ac:dyDescent="0.2">
      <c r="A50" s="418" t="s">
        <v>309</v>
      </c>
      <c r="B50" s="419">
        <v>10571.721</v>
      </c>
      <c r="C50" s="419">
        <f t="shared" si="4"/>
        <v>0</v>
      </c>
      <c r="D50" s="373" t="s">
        <v>465</v>
      </c>
      <c r="E50" s="417" t="s">
        <v>430</v>
      </c>
      <c r="F50" s="417" t="s">
        <v>463</v>
      </c>
      <c r="G50" s="181"/>
    </row>
    <row r="51" spans="1:7" x14ac:dyDescent="0.2">
      <c r="A51" s="418" t="s">
        <v>311</v>
      </c>
      <c r="B51" s="419">
        <v>2314.8589999999999</v>
      </c>
      <c r="C51" s="419">
        <f t="shared" si="4"/>
        <v>0</v>
      </c>
      <c r="D51" s="373" t="s">
        <v>465</v>
      </c>
      <c r="E51" s="417" t="s">
        <v>431</v>
      </c>
      <c r="F51" s="417" t="s">
        <v>463</v>
      </c>
      <c r="G51" s="181"/>
    </row>
    <row r="52" spans="1:7" x14ac:dyDescent="0.2">
      <c r="A52" s="418" t="s">
        <v>312</v>
      </c>
      <c r="B52" s="419">
        <v>2969.8710000000001</v>
      </c>
      <c r="C52" s="419">
        <f t="shared" si="4"/>
        <v>0</v>
      </c>
      <c r="D52" s="373" t="s">
        <v>465</v>
      </c>
      <c r="E52" s="417" t="s">
        <v>431</v>
      </c>
      <c r="F52" s="417" t="s">
        <v>463</v>
      </c>
      <c r="G52" s="181"/>
    </row>
    <row r="53" spans="1:7" x14ac:dyDescent="0.2">
      <c r="A53" s="418" t="s">
        <v>285</v>
      </c>
      <c r="B53" s="419">
        <v>27.050999999999998</v>
      </c>
      <c r="C53" s="419">
        <f t="shared" si="4"/>
        <v>0</v>
      </c>
      <c r="D53" s="373" t="s">
        <v>465</v>
      </c>
      <c r="E53" s="417" t="s">
        <v>431</v>
      </c>
      <c r="F53" s="417" t="s">
        <v>463</v>
      </c>
      <c r="G53" s="181"/>
    </row>
    <row r="54" spans="1:7" x14ac:dyDescent="0.2">
      <c r="A54" s="418" t="s">
        <v>314</v>
      </c>
      <c r="B54" s="419">
        <v>1564.5119999999999</v>
      </c>
      <c r="C54" s="419">
        <f t="shared" si="4"/>
        <v>0</v>
      </c>
      <c r="D54" s="373" t="s">
        <v>465</v>
      </c>
      <c r="E54" s="417" t="s">
        <v>431</v>
      </c>
      <c r="F54" s="417" t="s">
        <v>463</v>
      </c>
      <c r="G54" s="181"/>
    </row>
    <row r="55" spans="1:7" x14ac:dyDescent="0.2">
      <c r="A55" s="418" t="s">
        <v>317</v>
      </c>
      <c r="B55" s="419">
        <v>814.8</v>
      </c>
      <c r="C55" s="419">
        <f t="shared" si="4"/>
        <v>0</v>
      </c>
      <c r="D55" s="373" t="s">
        <v>465</v>
      </c>
      <c r="E55" s="417" t="s">
        <v>426</v>
      </c>
      <c r="F55" s="417" t="s">
        <v>463</v>
      </c>
      <c r="G55" s="181"/>
    </row>
    <row r="56" spans="1:7" x14ac:dyDescent="0.2">
      <c r="A56" s="418" t="s">
        <v>318</v>
      </c>
      <c r="B56" s="419">
        <v>40135.911999999997</v>
      </c>
      <c r="C56" s="419">
        <f t="shared" si="4"/>
        <v>0</v>
      </c>
      <c r="D56" s="373" t="s">
        <v>465</v>
      </c>
      <c r="E56" s="417" t="s">
        <v>426</v>
      </c>
      <c r="F56" s="417" t="s">
        <v>463</v>
      </c>
      <c r="G56" s="181"/>
    </row>
    <row r="57" spans="1:7" x14ac:dyDescent="0.2">
      <c r="A57" s="418" t="s">
        <v>319</v>
      </c>
      <c r="B57" s="419">
        <v>288.08</v>
      </c>
      <c r="C57" s="419">
        <f t="shared" si="4"/>
        <v>0</v>
      </c>
      <c r="D57" s="373" t="s">
        <v>465</v>
      </c>
      <c r="E57" s="417" t="s">
        <v>431</v>
      </c>
      <c r="F57" s="417" t="s">
        <v>463</v>
      </c>
      <c r="G57" s="181"/>
    </row>
    <row r="58" spans="1:7" x14ac:dyDescent="0.2">
      <c r="A58" s="418" t="s">
        <v>321</v>
      </c>
      <c r="B58" s="419">
        <v>23771.706999999999</v>
      </c>
      <c r="C58" s="419">
        <f t="shared" si="4"/>
        <v>0</v>
      </c>
      <c r="D58" s="373" t="s">
        <v>465</v>
      </c>
      <c r="E58" s="417" t="s">
        <v>426</v>
      </c>
      <c r="F58" s="417" t="s">
        <v>463</v>
      </c>
      <c r="G58" s="181"/>
    </row>
    <row r="59" spans="1:7" x14ac:dyDescent="0.2">
      <c r="A59" s="418" t="s">
        <v>325</v>
      </c>
      <c r="B59" s="419">
        <v>1170.0820000000001</v>
      </c>
      <c r="C59" s="419">
        <f t="shared" si="4"/>
        <v>0</v>
      </c>
      <c r="D59" s="373" t="s">
        <v>465</v>
      </c>
      <c r="E59" s="417" t="s">
        <v>426</v>
      </c>
      <c r="F59" s="417" t="s">
        <v>463</v>
      </c>
      <c r="G59" s="181"/>
    </row>
    <row r="60" spans="1:7" x14ac:dyDescent="0.2">
      <c r="A60" s="418" t="s">
        <v>326</v>
      </c>
      <c r="B60" s="419">
        <v>83478.721999999994</v>
      </c>
      <c r="C60" s="419">
        <f t="shared" si="4"/>
        <v>0</v>
      </c>
      <c r="D60" s="373" t="s">
        <v>465</v>
      </c>
      <c r="E60" s="417" t="s">
        <v>426</v>
      </c>
      <c r="F60" s="417" t="s">
        <v>463</v>
      </c>
      <c r="G60" s="181"/>
    </row>
    <row r="61" spans="1:7" x14ac:dyDescent="0.2">
      <c r="A61" s="418" t="s">
        <v>327</v>
      </c>
      <c r="B61" s="419">
        <v>14706.681</v>
      </c>
      <c r="C61" s="419">
        <f t="shared" si="4"/>
        <v>0</v>
      </c>
      <c r="D61" s="373" t="s">
        <v>465</v>
      </c>
      <c r="E61" s="417" t="s">
        <v>426</v>
      </c>
      <c r="F61" s="417" t="s">
        <v>463</v>
      </c>
      <c r="G61" s="181"/>
    </row>
    <row r="62" spans="1:7" x14ac:dyDescent="0.2">
      <c r="A62" s="418"/>
      <c r="B62" s="419"/>
      <c r="C62" s="419"/>
    </row>
    <row r="63" spans="1:7" ht="13.5" thickBot="1" x14ac:dyDescent="0.25">
      <c r="A63" s="420"/>
      <c r="B63" s="421"/>
      <c r="C63" s="421"/>
    </row>
    <row r="64" spans="1:7" ht="14.25" thickTop="1" thickBot="1" x14ac:dyDescent="0.25">
      <c r="B64" s="422">
        <f>SUM(B4:B63)</f>
        <v>16925900.518999994</v>
      </c>
      <c r="C64" s="422">
        <f>SUM(C4:C63)</f>
        <v>7269971.48458484</v>
      </c>
    </row>
  </sheetData>
  <autoFilter ref="A1:K61"/>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topLeftCell="A31" workbookViewId="0">
      <selection activeCell="F27" sqref="F27"/>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 min="10" max="11" width="29.7109375" customWidth="1"/>
    <col min="12" max="12" width="15.7109375" style="96" customWidth="1"/>
  </cols>
  <sheetData>
    <row r="1" spans="1:12" ht="19.5" x14ac:dyDescent="0.35">
      <c r="A1" s="2" t="s">
        <v>32</v>
      </c>
      <c r="B1" s="183">
        <v>2013</v>
      </c>
      <c r="D1" s="7" t="s">
        <v>2</v>
      </c>
      <c r="H1" s="121">
        <f>'EFs &amp; Rates'!K5</f>
        <v>963.42025100000001</v>
      </c>
      <c r="I1" t="s">
        <v>6</v>
      </c>
    </row>
    <row r="2" spans="1:12" ht="18.75" x14ac:dyDescent="0.3">
      <c r="A2" s="2"/>
      <c r="B2" s="10" t="s">
        <v>31</v>
      </c>
      <c r="C2" s="10" t="s">
        <v>1</v>
      </c>
      <c r="D2" s="10" t="s">
        <v>522</v>
      </c>
      <c r="E2" s="3"/>
      <c r="F2" s="36" t="s">
        <v>9</v>
      </c>
      <c r="G2" s="35">
        <v>2013</v>
      </c>
      <c r="H2" s="37"/>
    </row>
    <row r="3" spans="1:12" ht="19.5" x14ac:dyDescent="0.35">
      <c r="A3" s="4" t="s">
        <v>0</v>
      </c>
      <c r="B3" s="11"/>
      <c r="C3" s="11" t="s">
        <v>7</v>
      </c>
      <c r="D3" s="11" t="s">
        <v>8</v>
      </c>
      <c r="E3" s="6"/>
    </row>
    <row r="4" spans="1:12" x14ac:dyDescent="0.25">
      <c r="A4" s="31" t="str">
        <f>J4</f>
        <v>Avista Corp. WWP Division</v>
      </c>
      <c r="B4" s="32">
        <f>L4</f>
        <v>231202.04</v>
      </c>
      <c r="C4" s="93">
        <f>IF(B4&lt;&gt;0,$H$1,"")</f>
        <v>963.42025100000001</v>
      </c>
      <c r="D4" s="9">
        <f t="shared" ref="D4:D67" si="0">(+B4*C4)/2204.623</f>
        <v>101035.29148</v>
      </c>
      <c r="J4" t="s">
        <v>187</v>
      </c>
      <c r="K4" t="s">
        <v>608</v>
      </c>
      <c r="L4" s="96">
        <v>231202.04</v>
      </c>
    </row>
    <row r="5" spans="1:12" x14ac:dyDescent="0.25">
      <c r="A5" s="31" t="str">
        <f t="shared" ref="A5:A68" si="1">J5</f>
        <v>Black Hills Power</v>
      </c>
      <c r="B5" s="32">
        <f t="shared" ref="B5:B68" si="2">L5</f>
        <v>4600</v>
      </c>
      <c r="C5" s="93">
        <f t="shared" ref="C5:C68" si="3">IF(B5&lt;&gt;0,$H$1,"")</f>
        <v>963.42025100000001</v>
      </c>
      <c r="D5" s="9">
        <f t="shared" si="0"/>
        <v>2010.2</v>
      </c>
      <c r="J5" t="s">
        <v>189</v>
      </c>
      <c r="K5" t="s">
        <v>608</v>
      </c>
      <c r="L5" s="96">
        <v>4600</v>
      </c>
    </row>
    <row r="6" spans="1:12" x14ac:dyDescent="0.25">
      <c r="A6" s="31"/>
      <c r="B6" s="32"/>
      <c r="C6" s="93"/>
      <c r="D6" s="9"/>
      <c r="J6" s="89" t="s">
        <v>191</v>
      </c>
      <c r="K6" t="s">
        <v>608</v>
      </c>
      <c r="L6" s="96">
        <v>-3157200</v>
      </c>
    </row>
    <row r="7" spans="1:12" x14ac:dyDescent="0.25">
      <c r="A7" s="31" t="str">
        <f t="shared" si="1"/>
        <v>BP Energy Co.</v>
      </c>
      <c r="B7" s="32">
        <f t="shared" si="2"/>
        <v>1103049</v>
      </c>
      <c r="C7" s="93">
        <f t="shared" si="3"/>
        <v>963.42025100000001</v>
      </c>
      <c r="D7" s="9">
        <f t="shared" si="0"/>
        <v>482032.413</v>
      </c>
      <c r="J7" t="s">
        <v>192</v>
      </c>
      <c r="K7" t="s">
        <v>608</v>
      </c>
      <c r="L7" s="96">
        <v>1103049</v>
      </c>
    </row>
    <row r="8" spans="1:12" x14ac:dyDescent="0.25">
      <c r="A8" s="31" t="str">
        <f t="shared" si="1"/>
        <v>BPA</v>
      </c>
      <c r="B8" s="32">
        <f t="shared" si="2"/>
        <v>417735</v>
      </c>
      <c r="C8" s="93">
        <f t="shared" si="3"/>
        <v>963.42025100000001</v>
      </c>
      <c r="D8" s="9">
        <f t="shared" si="0"/>
        <v>182550.19500000001</v>
      </c>
      <c r="J8" t="s">
        <v>173</v>
      </c>
      <c r="K8" t="s">
        <v>608</v>
      </c>
      <c r="L8" s="96">
        <v>417735</v>
      </c>
    </row>
    <row r="9" spans="1:12" x14ac:dyDescent="0.25">
      <c r="A9" s="31" t="str">
        <f t="shared" si="1"/>
        <v>Brookfield Energy Marketing</v>
      </c>
      <c r="B9" s="32">
        <f t="shared" si="2"/>
        <v>800</v>
      </c>
      <c r="C9" s="93">
        <f t="shared" si="3"/>
        <v>963.42025100000001</v>
      </c>
      <c r="D9" s="9">
        <f t="shared" si="0"/>
        <v>349.59999999999997</v>
      </c>
      <c r="J9" t="s">
        <v>194</v>
      </c>
      <c r="K9" t="s">
        <v>608</v>
      </c>
      <c r="L9" s="96">
        <v>800</v>
      </c>
    </row>
    <row r="10" spans="1:12" x14ac:dyDescent="0.25">
      <c r="A10" s="31" t="str">
        <f t="shared" si="1"/>
        <v>Burbank, City of</v>
      </c>
      <c r="B10" s="32">
        <f t="shared" si="2"/>
        <v>200</v>
      </c>
      <c r="C10" s="93">
        <f t="shared" si="3"/>
        <v>963.42025100000001</v>
      </c>
      <c r="D10" s="9">
        <f t="shared" si="0"/>
        <v>87.399999999999991</v>
      </c>
      <c r="J10" t="s">
        <v>195</v>
      </c>
      <c r="K10" t="s">
        <v>608</v>
      </c>
      <c r="L10" s="96">
        <v>200</v>
      </c>
    </row>
    <row r="11" spans="1:12" x14ac:dyDescent="0.25">
      <c r="A11" s="31" t="str">
        <f t="shared" si="1"/>
        <v>California ISO</v>
      </c>
      <c r="B11" s="32">
        <f t="shared" si="2"/>
        <v>34629</v>
      </c>
      <c r="C11" s="93">
        <f t="shared" si="3"/>
        <v>963.42025100000001</v>
      </c>
      <c r="D11" s="9">
        <f t="shared" si="0"/>
        <v>15132.873</v>
      </c>
      <c r="J11" t="s">
        <v>197</v>
      </c>
      <c r="K11" t="s">
        <v>608</v>
      </c>
      <c r="L11" s="96">
        <v>34629</v>
      </c>
    </row>
    <row r="12" spans="1:12" x14ac:dyDescent="0.25">
      <c r="A12" s="31" t="str">
        <f t="shared" si="1"/>
        <v>Calpine Energy Services</v>
      </c>
      <c r="B12" s="32">
        <f t="shared" si="2"/>
        <v>82375</v>
      </c>
      <c r="C12" s="93">
        <f t="shared" si="3"/>
        <v>963.42025100000001</v>
      </c>
      <c r="D12" s="9">
        <f t="shared" si="0"/>
        <v>35997.875</v>
      </c>
      <c r="J12" t="s">
        <v>198</v>
      </c>
      <c r="K12" t="s">
        <v>608</v>
      </c>
      <c r="L12" s="96">
        <v>82375</v>
      </c>
    </row>
    <row r="13" spans="1:12" x14ac:dyDescent="0.25">
      <c r="A13" s="31" t="str">
        <f t="shared" si="1"/>
        <v>Cargill Power Markets</v>
      </c>
      <c r="B13" s="32">
        <f t="shared" si="2"/>
        <v>475057</v>
      </c>
      <c r="C13" s="93">
        <f t="shared" si="3"/>
        <v>963.42025100000001</v>
      </c>
      <c r="D13" s="9">
        <f t="shared" si="0"/>
        <v>207599.90899999999</v>
      </c>
      <c r="J13" t="s">
        <v>174</v>
      </c>
      <c r="K13" t="s">
        <v>608</v>
      </c>
      <c r="L13" s="96">
        <v>475057</v>
      </c>
    </row>
    <row r="14" spans="1:12" x14ac:dyDescent="0.25">
      <c r="A14" s="31" t="str">
        <f t="shared" si="1"/>
        <v>Chelan County PUD #1</v>
      </c>
      <c r="B14" s="32">
        <f t="shared" si="2"/>
        <v>15616</v>
      </c>
      <c r="C14" s="93">
        <f t="shared" si="3"/>
        <v>963.42025100000001</v>
      </c>
      <c r="D14" s="9">
        <f t="shared" si="0"/>
        <v>6824.192</v>
      </c>
      <c r="J14" t="s">
        <v>199</v>
      </c>
      <c r="K14" t="s">
        <v>608</v>
      </c>
      <c r="L14" s="96">
        <v>15616</v>
      </c>
    </row>
    <row r="15" spans="1:12" x14ac:dyDescent="0.25">
      <c r="A15" s="31" t="str">
        <f t="shared" si="1"/>
        <v>Citigroup Energy Inc</v>
      </c>
      <c r="B15" s="32">
        <f t="shared" si="2"/>
        <v>209900</v>
      </c>
      <c r="C15" s="93">
        <f t="shared" si="3"/>
        <v>963.42025100000001</v>
      </c>
      <c r="D15" s="9">
        <f t="shared" si="0"/>
        <v>91726.3</v>
      </c>
      <c r="J15" t="s">
        <v>185</v>
      </c>
      <c r="K15" t="s">
        <v>608</v>
      </c>
      <c r="L15" s="96">
        <v>209900</v>
      </c>
    </row>
    <row r="16" spans="1:12" x14ac:dyDescent="0.25">
      <c r="A16" s="31" t="str">
        <f t="shared" si="1"/>
        <v>Clark Public Utilities</v>
      </c>
      <c r="B16" s="32">
        <f t="shared" si="2"/>
        <v>16000</v>
      </c>
      <c r="C16" s="93">
        <f t="shared" si="3"/>
        <v>963.42025100000001</v>
      </c>
      <c r="D16" s="9">
        <f t="shared" si="0"/>
        <v>6992</v>
      </c>
      <c r="J16" t="s">
        <v>201</v>
      </c>
      <c r="K16" t="s">
        <v>608</v>
      </c>
      <c r="L16" s="96">
        <v>16000</v>
      </c>
    </row>
    <row r="17" spans="1:12" x14ac:dyDescent="0.25">
      <c r="A17" s="31" t="str">
        <f t="shared" si="1"/>
        <v>Clatskanie PUD</v>
      </c>
      <c r="B17" s="32">
        <f t="shared" si="2"/>
        <v>2268</v>
      </c>
      <c r="C17" s="93">
        <f t="shared" si="3"/>
        <v>963.42025100000001</v>
      </c>
      <c r="D17" s="9">
        <f t="shared" si="0"/>
        <v>991.11599999999999</v>
      </c>
      <c r="J17" t="s">
        <v>202</v>
      </c>
      <c r="K17" t="s">
        <v>608</v>
      </c>
      <c r="L17" s="96">
        <v>2268</v>
      </c>
    </row>
    <row r="18" spans="1:12" x14ac:dyDescent="0.25">
      <c r="A18" s="31" t="str">
        <f t="shared" si="1"/>
        <v>Constellation Power Source, Inc.</v>
      </c>
      <c r="B18" s="32">
        <f t="shared" si="2"/>
        <v>12317</v>
      </c>
      <c r="C18" s="93">
        <f t="shared" si="3"/>
        <v>963.42025100000001</v>
      </c>
      <c r="D18" s="9">
        <f t="shared" si="0"/>
        <v>5382.5290000000005</v>
      </c>
      <c r="J18" t="s">
        <v>175</v>
      </c>
      <c r="K18" t="s">
        <v>608</v>
      </c>
      <c r="L18" s="96">
        <v>12317</v>
      </c>
    </row>
    <row r="19" spans="1:12" x14ac:dyDescent="0.25">
      <c r="A19" s="31" t="str">
        <f t="shared" si="1"/>
        <v>CP Energy Marketing (Epcor)</v>
      </c>
      <c r="B19" s="32">
        <f t="shared" si="2"/>
        <v>5815</v>
      </c>
      <c r="C19" s="93">
        <f t="shared" si="3"/>
        <v>963.42025100000001</v>
      </c>
      <c r="D19" s="9">
        <f t="shared" si="0"/>
        <v>2541.1550000000002</v>
      </c>
      <c r="J19" t="s">
        <v>204</v>
      </c>
      <c r="K19" t="s">
        <v>608</v>
      </c>
      <c r="L19" s="96">
        <v>5815</v>
      </c>
    </row>
    <row r="20" spans="1:12" x14ac:dyDescent="0.25">
      <c r="A20" s="31" t="str">
        <f t="shared" si="1"/>
        <v>DB Energy Trading LLC</v>
      </c>
      <c r="B20" s="32">
        <f t="shared" si="2"/>
        <v>433233</v>
      </c>
      <c r="C20" s="93">
        <f t="shared" si="3"/>
        <v>963.42025100000001</v>
      </c>
      <c r="D20" s="9">
        <f t="shared" si="0"/>
        <v>189322.821</v>
      </c>
      <c r="J20" t="s">
        <v>206</v>
      </c>
      <c r="K20" t="s">
        <v>608</v>
      </c>
      <c r="L20" s="96">
        <v>433233</v>
      </c>
    </row>
    <row r="21" spans="1:12" x14ac:dyDescent="0.25">
      <c r="A21" s="31" t="str">
        <f t="shared" si="1"/>
        <v>Douglas County PUD #1</v>
      </c>
      <c r="B21" s="32">
        <f t="shared" si="2"/>
        <v>305577</v>
      </c>
      <c r="C21" s="93">
        <f t="shared" si="3"/>
        <v>963.42025100000001</v>
      </c>
      <c r="D21" s="9">
        <f t="shared" si="0"/>
        <v>133537.149</v>
      </c>
      <c r="J21" t="s">
        <v>177</v>
      </c>
      <c r="K21" t="s">
        <v>608</v>
      </c>
      <c r="L21" s="96">
        <v>305577</v>
      </c>
    </row>
    <row r="22" spans="1:12" x14ac:dyDescent="0.25">
      <c r="A22" s="31" t="str">
        <f t="shared" si="1"/>
        <v>EDF Trading NA LLC</v>
      </c>
      <c r="B22" s="32">
        <f t="shared" si="2"/>
        <v>163552</v>
      </c>
      <c r="C22" s="93">
        <f t="shared" si="3"/>
        <v>963.42025100000001</v>
      </c>
      <c r="D22" s="9">
        <f t="shared" si="0"/>
        <v>71472.224000000002</v>
      </c>
      <c r="J22" t="s">
        <v>208</v>
      </c>
      <c r="K22" t="s">
        <v>608</v>
      </c>
      <c r="L22" s="96">
        <v>163552</v>
      </c>
    </row>
    <row r="23" spans="1:12" x14ac:dyDescent="0.25">
      <c r="A23" s="31" t="str">
        <f t="shared" si="1"/>
        <v>Eugene Water &amp; Electric</v>
      </c>
      <c r="B23" s="32">
        <f t="shared" si="2"/>
        <v>14487</v>
      </c>
      <c r="C23" s="93">
        <f t="shared" si="3"/>
        <v>963.42025100000001</v>
      </c>
      <c r="D23" s="9">
        <f t="shared" si="0"/>
        <v>6330.8189999999995</v>
      </c>
      <c r="J23" t="s">
        <v>211</v>
      </c>
      <c r="K23" t="s">
        <v>608</v>
      </c>
      <c r="L23" s="96">
        <v>14487</v>
      </c>
    </row>
    <row r="24" spans="1:12" x14ac:dyDescent="0.25">
      <c r="A24" s="31" t="str">
        <f t="shared" si="1"/>
        <v>Exelon Generation Co LLC</v>
      </c>
      <c r="B24" s="32">
        <f t="shared" si="2"/>
        <v>60279</v>
      </c>
      <c r="C24" s="93">
        <f t="shared" si="3"/>
        <v>963.42025100000001</v>
      </c>
      <c r="D24" s="9">
        <f t="shared" si="0"/>
        <v>26341.922999999999</v>
      </c>
      <c r="J24" t="s">
        <v>186</v>
      </c>
      <c r="K24" t="s">
        <v>608</v>
      </c>
      <c r="L24" s="96">
        <v>60279</v>
      </c>
    </row>
    <row r="25" spans="1:12" x14ac:dyDescent="0.25">
      <c r="A25" s="31" t="str">
        <f t="shared" si="1"/>
        <v>Grant County PUD #2</v>
      </c>
      <c r="B25" s="32">
        <f t="shared" si="2"/>
        <v>27401</v>
      </c>
      <c r="C25" s="93">
        <f t="shared" si="3"/>
        <v>963.42025100000001</v>
      </c>
      <c r="D25" s="9">
        <f t="shared" si="0"/>
        <v>11974.236999999999</v>
      </c>
      <c r="J25" t="s">
        <v>213</v>
      </c>
      <c r="K25" t="s">
        <v>608</v>
      </c>
      <c r="L25" s="96">
        <v>27401</v>
      </c>
    </row>
    <row r="26" spans="1:12" x14ac:dyDescent="0.25">
      <c r="A26" s="31" t="str">
        <f t="shared" si="1"/>
        <v>Iberdrola Renewables (PPM Energy)</v>
      </c>
      <c r="B26" s="32">
        <f t="shared" si="2"/>
        <v>862192</v>
      </c>
      <c r="C26" s="93">
        <f t="shared" si="3"/>
        <v>963.42025100000001</v>
      </c>
      <c r="D26" s="9">
        <f t="shared" si="0"/>
        <v>376777.90399999998</v>
      </c>
      <c r="J26" t="s">
        <v>215</v>
      </c>
      <c r="K26" t="s">
        <v>608</v>
      </c>
      <c r="L26" s="96">
        <v>862192</v>
      </c>
    </row>
    <row r="27" spans="1:12" x14ac:dyDescent="0.25">
      <c r="A27" s="31" t="str">
        <f t="shared" si="1"/>
        <v>Idaho Power Company</v>
      </c>
      <c r="B27" s="32">
        <f t="shared" si="2"/>
        <v>8565</v>
      </c>
      <c r="C27" s="93">
        <f t="shared" si="3"/>
        <v>963.42025100000001</v>
      </c>
      <c r="D27" s="9">
        <f t="shared" si="0"/>
        <v>3742.9050000000002</v>
      </c>
      <c r="J27" t="s">
        <v>217</v>
      </c>
      <c r="K27" t="s">
        <v>608</v>
      </c>
      <c r="L27" s="96">
        <v>8565</v>
      </c>
    </row>
    <row r="28" spans="1:12" x14ac:dyDescent="0.25">
      <c r="A28" s="31" t="str">
        <f t="shared" si="1"/>
        <v>J. Aron &amp; Company</v>
      </c>
      <c r="B28" s="32">
        <f t="shared" si="2"/>
        <v>16200</v>
      </c>
      <c r="C28" s="93">
        <f t="shared" si="3"/>
        <v>963.42025100000001</v>
      </c>
      <c r="D28" s="9">
        <f t="shared" si="0"/>
        <v>7079.4</v>
      </c>
      <c r="J28" t="s">
        <v>220</v>
      </c>
      <c r="K28" t="s">
        <v>608</v>
      </c>
      <c r="L28" s="96">
        <v>16200</v>
      </c>
    </row>
    <row r="29" spans="1:12" x14ac:dyDescent="0.25">
      <c r="A29" s="31" t="str">
        <f t="shared" si="1"/>
        <v>JP Morgan Ventures Energy</v>
      </c>
      <c r="B29" s="32">
        <f t="shared" si="2"/>
        <v>1017850</v>
      </c>
      <c r="C29" s="93">
        <f t="shared" si="3"/>
        <v>963.42025100000001</v>
      </c>
      <c r="D29" s="9">
        <f t="shared" si="0"/>
        <v>444800.45</v>
      </c>
      <c r="J29" t="s">
        <v>221</v>
      </c>
      <c r="K29" t="s">
        <v>608</v>
      </c>
      <c r="L29" s="96">
        <v>1017850</v>
      </c>
    </row>
    <row r="30" spans="1:12" x14ac:dyDescent="0.25">
      <c r="A30" s="31" t="str">
        <f t="shared" si="1"/>
        <v>Morgan Stanley CG</v>
      </c>
      <c r="B30" s="32">
        <f t="shared" si="2"/>
        <v>2038800</v>
      </c>
      <c r="C30" s="93">
        <f t="shared" si="3"/>
        <v>963.42025100000001</v>
      </c>
      <c r="D30" s="9">
        <f t="shared" si="0"/>
        <v>890955.6</v>
      </c>
      <c r="J30" t="s">
        <v>178</v>
      </c>
      <c r="K30" t="s">
        <v>608</v>
      </c>
      <c r="L30" s="96">
        <v>2038800</v>
      </c>
    </row>
    <row r="31" spans="1:12" x14ac:dyDescent="0.25">
      <c r="A31" s="31" t="str">
        <f t="shared" si="1"/>
        <v>Natur Ener USA</v>
      </c>
      <c r="B31" s="32">
        <f t="shared" si="2"/>
        <v>2</v>
      </c>
      <c r="C31" s="93">
        <f t="shared" si="3"/>
        <v>963.42025100000001</v>
      </c>
      <c r="D31" s="9">
        <f t="shared" si="0"/>
        <v>0.874</v>
      </c>
      <c r="J31" t="s">
        <v>226</v>
      </c>
      <c r="K31" t="s">
        <v>608</v>
      </c>
      <c r="L31" s="96">
        <v>2</v>
      </c>
    </row>
    <row r="32" spans="1:12" x14ac:dyDescent="0.25">
      <c r="A32" s="31" t="str">
        <f t="shared" si="1"/>
        <v>NextEra Energy Power Marketing</v>
      </c>
      <c r="B32" s="32">
        <f t="shared" si="2"/>
        <v>38830</v>
      </c>
      <c r="C32" s="93">
        <f t="shared" si="3"/>
        <v>963.42025100000001</v>
      </c>
      <c r="D32" s="9">
        <f t="shared" si="0"/>
        <v>16968.71</v>
      </c>
      <c r="J32" t="s">
        <v>227</v>
      </c>
      <c r="K32" t="s">
        <v>608</v>
      </c>
      <c r="L32" s="96">
        <v>38830</v>
      </c>
    </row>
    <row r="33" spans="1:12" x14ac:dyDescent="0.25">
      <c r="A33" s="31" t="str">
        <f t="shared" si="1"/>
        <v>Noble Americas Energy Solutions</v>
      </c>
      <c r="B33" s="32">
        <f t="shared" si="2"/>
        <v>8800</v>
      </c>
      <c r="C33" s="93">
        <f t="shared" si="3"/>
        <v>963.42025100000001</v>
      </c>
      <c r="D33" s="9">
        <f t="shared" si="0"/>
        <v>3845.5999999999995</v>
      </c>
      <c r="J33" t="s">
        <v>228</v>
      </c>
      <c r="K33" t="s">
        <v>608</v>
      </c>
      <c r="L33" s="96">
        <v>8800</v>
      </c>
    </row>
    <row r="34" spans="1:12" x14ac:dyDescent="0.25">
      <c r="A34" s="31" t="str">
        <f t="shared" si="1"/>
        <v>Noble Americas Gas &amp; Power</v>
      </c>
      <c r="B34" s="32">
        <f t="shared" si="2"/>
        <v>400</v>
      </c>
      <c r="C34" s="93">
        <f t="shared" si="3"/>
        <v>963.42025100000001</v>
      </c>
      <c r="D34" s="9">
        <f t="shared" si="0"/>
        <v>174.79999999999998</v>
      </c>
      <c r="J34" t="s">
        <v>229</v>
      </c>
      <c r="K34" t="s">
        <v>608</v>
      </c>
      <c r="L34" s="96">
        <v>400</v>
      </c>
    </row>
    <row r="35" spans="1:12" x14ac:dyDescent="0.25">
      <c r="A35" s="31" t="str">
        <f t="shared" si="1"/>
        <v>Northwestern Energy</v>
      </c>
      <c r="B35" s="32">
        <f t="shared" si="2"/>
        <v>26622</v>
      </c>
      <c r="C35" s="93">
        <f t="shared" si="3"/>
        <v>963.42025100000001</v>
      </c>
      <c r="D35" s="9">
        <f t="shared" si="0"/>
        <v>11633.814</v>
      </c>
      <c r="J35" t="s">
        <v>231</v>
      </c>
      <c r="K35" t="s">
        <v>608</v>
      </c>
      <c r="L35" s="96">
        <v>26622</v>
      </c>
    </row>
    <row r="36" spans="1:12" x14ac:dyDescent="0.25">
      <c r="A36" s="31" t="str">
        <f t="shared" si="1"/>
        <v>Okanogan PUD</v>
      </c>
      <c r="B36" s="32">
        <f t="shared" si="2"/>
        <v>26282</v>
      </c>
      <c r="C36" s="93">
        <f t="shared" si="3"/>
        <v>963.42025100000001</v>
      </c>
      <c r="D36" s="9">
        <f t="shared" si="0"/>
        <v>11485.234</v>
      </c>
      <c r="J36" t="s">
        <v>233</v>
      </c>
      <c r="K36" t="s">
        <v>608</v>
      </c>
      <c r="L36" s="96">
        <v>26282</v>
      </c>
    </row>
    <row r="37" spans="1:12" x14ac:dyDescent="0.25">
      <c r="A37" s="31" t="str">
        <f t="shared" si="1"/>
        <v>Pacificorp</v>
      </c>
      <c r="B37" s="32">
        <f t="shared" si="2"/>
        <v>82864</v>
      </c>
      <c r="C37" s="93">
        <f t="shared" si="3"/>
        <v>963.42025100000001</v>
      </c>
      <c r="D37" s="9">
        <f t="shared" si="0"/>
        <v>36211.567999999999</v>
      </c>
      <c r="J37" t="s">
        <v>236</v>
      </c>
      <c r="K37" t="s">
        <v>608</v>
      </c>
      <c r="L37" s="96">
        <v>82864</v>
      </c>
    </row>
    <row r="38" spans="1:12" x14ac:dyDescent="0.25">
      <c r="A38" s="31" t="str">
        <f t="shared" si="1"/>
        <v>Portland General Electric</v>
      </c>
      <c r="B38" s="32">
        <f t="shared" si="2"/>
        <v>43399</v>
      </c>
      <c r="C38" s="93">
        <f t="shared" si="3"/>
        <v>963.42025100000001</v>
      </c>
      <c r="D38" s="9">
        <f t="shared" si="0"/>
        <v>18965.363000000001</v>
      </c>
      <c r="J38" t="s">
        <v>238</v>
      </c>
      <c r="K38" t="s">
        <v>608</v>
      </c>
      <c r="L38" s="96">
        <v>43399</v>
      </c>
    </row>
    <row r="39" spans="1:12" x14ac:dyDescent="0.25">
      <c r="A39" s="31" t="str">
        <f t="shared" si="1"/>
        <v>Powerex Corp.</v>
      </c>
      <c r="B39" s="32">
        <f t="shared" si="2"/>
        <v>176702</v>
      </c>
      <c r="C39" s="93">
        <f t="shared" si="3"/>
        <v>963.42025100000001</v>
      </c>
      <c r="D39" s="9">
        <f t="shared" si="0"/>
        <v>77218.774000000005</v>
      </c>
      <c r="J39" t="s">
        <v>180</v>
      </c>
      <c r="K39" t="s">
        <v>608</v>
      </c>
      <c r="L39" s="96">
        <v>176702</v>
      </c>
    </row>
    <row r="40" spans="1:12" x14ac:dyDescent="0.25">
      <c r="A40" s="31" t="str">
        <f t="shared" si="1"/>
        <v>Rainbow Energy Marketing</v>
      </c>
      <c r="B40" s="32">
        <f t="shared" si="2"/>
        <v>20918</v>
      </c>
      <c r="C40" s="93">
        <f t="shared" si="3"/>
        <v>963.42025100000001</v>
      </c>
      <c r="D40" s="9">
        <f t="shared" si="0"/>
        <v>9141.1659999999993</v>
      </c>
      <c r="J40" t="s">
        <v>240</v>
      </c>
      <c r="K40" t="s">
        <v>608</v>
      </c>
      <c r="L40" s="96">
        <v>20918</v>
      </c>
    </row>
    <row r="41" spans="1:12" x14ac:dyDescent="0.25">
      <c r="A41" s="31" t="str">
        <f t="shared" si="1"/>
        <v>Sacramento Municipal</v>
      </c>
      <c r="B41" s="32">
        <f t="shared" si="2"/>
        <v>1700</v>
      </c>
      <c r="C41" s="93">
        <f t="shared" si="3"/>
        <v>963.42025100000001</v>
      </c>
      <c r="D41" s="9">
        <f t="shared" si="0"/>
        <v>742.9</v>
      </c>
      <c r="J41" t="s">
        <v>242</v>
      </c>
      <c r="K41" t="s">
        <v>608</v>
      </c>
      <c r="L41" s="96">
        <v>1700</v>
      </c>
    </row>
    <row r="42" spans="1:12" x14ac:dyDescent="0.25">
      <c r="A42" s="31" t="str">
        <f t="shared" si="1"/>
        <v>San Diego Gas &amp; Electric</v>
      </c>
      <c r="B42" s="32">
        <f t="shared" si="2"/>
        <v>76</v>
      </c>
      <c r="C42" s="93">
        <f t="shared" si="3"/>
        <v>963.42025100000001</v>
      </c>
      <c r="D42" s="9">
        <f t="shared" si="0"/>
        <v>33.211999999999996</v>
      </c>
      <c r="J42" t="s">
        <v>243</v>
      </c>
      <c r="K42" t="s">
        <v>608</v>
      </c>
      <c r="L42" s="96">
        <v>76</v>
      </c>
    </row>
    <row r="43" spans="1:12" x14ac:dyDescent="0.25">
      <c r="A43" s="31" t="str">
        <f t="shared" si="1"/>
        <v>Seattle City Light Marketing</v>
      </c>
      <c r="B43" s="32">
        <f t="shared" si="2"/>
        <v>144546</v>
      </c>
      <c r="C43" s="93">
        <f t="shared" si="3"/>
        <v>963.42025100000001</v>
      </c>
      <c r="D43" s="9">
        <f t="shared" si="0"/>
        <v>63166.601999999999</v>
      </c>
      <c r="J43" t="s">
        <v>181</v>
      </c>
      <c r="K43" t="s">
        <v>608</v>
      </c>
      <c r="L43" s="96">
        <v>144546</v>
      </c>
    </row>
    <row r="44" spans="1:12" x14ac:dyDescent="0.25">
      <c r="A44" s="31" t="str">
        <f t="shared" si="1"/>
        <v>Shell Energy (Coral Pwr)</v>
      </c>
      <c r="B44" s="32">
        <f t="shared" si="2"/>
        <v>611302</v>
      </c>
      <c r="C44" s="93">
        <f t="shared" si="3"/>
        <v>963.42025100000001</v>
      </c>
      <c r="D44" s="9">
        <f t="shared" si="0"/>
        <v>267138.97400000005</v>
      </c>
      <c r="J44" t="s">
        <v>182</v>
      </c>
      <c r="K44" t="s">
        <v>608</v>
      </c>
      <c r="L44" s="96">
        <v>611302</v>
      </c>
    </row>
    <row r="45" spans="1:12" x14ac:dyDescent="0.25">
      <c r="A45" s="31" t="str">
        <f t="shared" si="1"/>
        <v>Snohomish County PUD #1</v>
      </c>
      <c r="B45" s="32">
        <f t="shared" si="2"/>
        <v>49476</v>
      </c>
      <c r="C45" s="93">
        <f t="shared" si="3"/>
        <v>963.42025100000001</v>
      </c>
      <c r="D45" s="9">
        <f t="shared" si="0"/>
        <v>21621.011999999999</v>
      </c>
      <c r="J45" t="s">
        <v>247</v>
      </c>
      <c r="K45" t="s">
        <v>608</v>
      </c>
      <c r="L45" s="96">
        <v>49476</v>
      </c>
    </row>
    <row r="46" spans="1:12" x14ac:dyDescent="0.25">
      <c r="A46" s="31" t="str">
        <f t="shared" si="1"/>
        <v>Southern Cal - Edison</v>
      </c>
      <c r="B46" s="32">
        <f t="shared" si="2"/>
        <v>49519</v>
      </c>
      <c r="C46" s="93">
        <f t="shared" si="3"/>
        <v>963.42025100000001</v>
      </c>
      <c r="D46" s="9">
        <f t="shared" si="0"/>
        <v>21639.803</v>
      </c>
      <c r="J46" t="s">
        <v>248</v>
      </c>
      <c r="K46" t="s">
        <v>608</v>
      </c>
      <c r="L46" s="96">
        <v>49519</v>
      </c>
    </row>
    <row r="47" spans="1:12" x14ac:dyDescent="0.25">
      <c r="A47" s="31" t="str">
        <f t="shared" si="1"/>
        <v>Tacoma Power</v>
      </c>
      <c r="B47" s="32">
        <f t="shared" si="2"/>
        <v>104948</v>
      </c>
      <c r="C47" s="93">
        <f t="shared" si="3"/>
        <v>963.42025100000001</v>
      </c>
      <c r="D47" s="9">
        <f t="shared" si="0"/>
        <v>45862.275999999998</v>
      </c>
      <c r="J47" t="s">
        <v>183</v>
      </c>
      <c r="K47" t="s">
        <v>608</v>
      </c>
      <c r="L47" s="96">
        <v>104948</v>
      </c>
    </row>
    <row r="48" spans="1:12" x14ac:dyDescent="0.25">
      <c r="A48" s="31" t="str">
        <f t="shared" si="1"/>
        <v>Talen Energy (PPL Energy Plus)</v>
      </c>
      <c r="B48" s="32">
        <f t="shared" si="2"/>
        <v>172219</v>
      </c>
      <c r="C48" s="93">
        <f t="shared" si="3"/>
        <v>963.42025100000001</v>
      </c>
      <c r="D48" s="9">
        <f t="shared" si="0"/>
        <v>75259.702999999994</v>
      </c>
      <c r="J48" t="s">
        <v>249</v>
      </c>
      <c r="K48" t="s">
        <v>608</v>
      </c>
      <c r="L48" s="96">
        <v>172219</v>
      </c>
    </row>
    <row r="49" spans="1:12" x14ac:dyDescent="0.25">
      <c r="A49" s="31" t="str">
        <f t="shared" si="1"/>
        <v>Tenaska Power Services Co.</v>
      </c>
      <c r="B49" s="32">
        <f t="shared" si="2"/>
        <v>5800</v>
      </c>
      <c r="C49" s="93">
        <f t="shared" si="3"/>
        <v>963.42025100000001</v>
      </c>
      <c r="D49" s="9">
        <f t="shared" si="0"/>
        <v>2534.6</v>
      </c>
      <c r="J49" t="s">
        <v>251</v>
      </c>
      <c r="K49" t="s">
        <v>608</v>
      </c>
      <c r="L49" s="96">
        <v>5800</v>
      </c>
    </row>
    <row r="50" spans="1:12" x14ac:dyDescent="0.25">
      <c r="A50" s="31" t="str">
        <f t="shared" si="1"/>
        <v>The Energy Authority</v>
      </c>
      <c r="B50" s="32">
        <f t="shared" si="2"/>
        <v>97683</v>
      </c>
      <c r="C50" s="93">
        <f t="shared" si="3"/>
        <v>963.42025100000001</v>
      </c>
      <c r="D50" s="9">
        <f t="shared" si="0"/>
        <v>42687.470999999998</v>
      </c>
      <c r="J50" t="s">
        <v>252</v>
      </c>
      <c r="K50" t="s">
        <v>608</v>
      </c>
      <c r="L50" s="96">
        <v>97683</v>
      </c>
    </row>
    <row r="51" spans="1:12" x14ac:dyDescent="0.25">
      <c r="A51" s="31" t="str">
        <f t="shared" si="1"/>
        <v>TransAlta Energy Marketing</v>
      </c>
      <c r="B51" s="32">
        <f t="shared" si="2"/>
        <v>1129071</v>
      </c>
      <c r="C51" s="93">
        <f t="shared" si="3"/>
        <v>963.42025100000001</v>
      </c>
      <c r="D51" s="9">
        <f t="shared" si="0"/>
        <v>493404.02699999994</v>
      </c>
      <c r="J51" t="s">
        <v>184</v>
      </c>
      <c r="K51" t="s">
        <v>608</v>
      </c>
      <c r="L51" s="96">
        <v>1129071</v>
      </c>
    </row>
    <row r="52" spans="1:12" x14ac:dyDescent="0.25">
      <c r="A52" s="31" t="str">
        <f t="shared" si="1"/>
        <v>TransCanada Energy Sales Ltd</v>
      </c>
      <c r="B52" s="32">
        <f t="shared" si="2"/>
        <v>681</v>
      </c>
      <c r="C52" s="93">
        <f t="shared" si="3"/>
        <v>963.42025100000001</v>
      </c>
      <c r="D52" s="9">
        <f t="shared" si="0"/>
        <v>297.59700000000004</v>
      </c>
      <c r="J52" t="s">
        <v>254</v>
      </c>
      <c r="K52" t="s">
        <v>608</v>
      </c>
      <c r="L52" s="96">
        <v>681</v>
      </c>
    </row>
    <row r="53" spans="1:12" x14ac:dyDescent="0.25">
      <c r="A53" s="31" t="str">
        <f t="shared" si="1"/>
        <v>Turlock Irrigation District</v>
      </c>
      <c r="B53" s="32">
        <f t="shared" si="2"/>
        <v>60816</v>
      </c>
      <c r="C53" s="93">
        <f t="shared" si="3"/>
        <v>963.42025100000001</v>
      </c>
      <c r="D53" s="9">
        <f t="shared" si="0"/>
        <v>26576.592000000001</v>
      </c>
      <c r="J53" t="s">
        <v>256</v>
      </c>
      <c r="K53" t="s">
        <v>608</v>
      </c>
      <c r="L53" s="96">
        <v>60816</v>
      </c>
    </row>
    <row r="54" spans="1:12" x14ac:dyDescent="0.25">
      <c r="A54" s="31" t="str">
        <f t="shared" si="1"/>
        <v>Vitol Inc.</v>
      </c>
      <c r="B54" s="32">
        <f t="shared" si="2"/>
        <v>262136</v>
      </c>
      <c r="C54" s="93">
        <f t="shared" si="3"/>
        <v>963.42025100000001</v>
      </c>
      <c r="D54" s="9">
        <f t="shared" si="0"/>
        <v>114553.432</v>
      </c>
      <c r="J54" t="s">
        <v>257</v>
      </c>
      <c r="K54" t="s">
        <v>608</v>
      </c>
      <c r="L54" s="96">
        <v>262136</v>
      </c>
    </row>
    <row r="55" spans="1:12" x14ac:dyDescent="0.25">
      <c r="A55" s="31" t="str">
        <f t="shared" si="1"/>
        <v>Pacific Gas &amp; Elec - Exchange</v>
      </c>
      <c r="B55" s="32">
        <f t="shared" si="2"/>
        <v>413000</v>
      </c>
      <c r="C55" s="93">
        <f t="shared" si="3"/>
        <v>963.42025100000001</v>
      </c>
      <c r="D55" s="9">
        <f t="shared" si="0"/>
        <v>180481</v>
      </c>
      <c r="J55" t="s">
        <v>179</v>
      </c>
      <c r="K55" t="s">
        <v>609</v>
      </c>
      <c r="L55" s="96">
        <v>413000</v>
      </c>
    </row>
    <row r="56" spans="1:12" x14ac:dyDescent="0.25">
      <c r="A56" s="31" t="str">
        <f t="shared" si="1"/>
        <v>Deviation</v>
      </c>
      <c r="B56" s="32">
        <f t="shared" si="2"/>
        <v>47848.936999999998</v>
      </c>
      <c r="C56" s="93">
        <f t="shared" si="3"/>
        <v>963.42025100000001</v>
      </c>
      <c r="D56" s="9">
        <f t="shared" si="0"/>
        <v>20909.985468999999</v>
      </c>
      <c r="J56" t="s">
        <v>176</v>
      </c>
      <c r="K56" t="s">
        <v>610</v>
      </c>
      <c r="L56" s="96">
        <v>47848.936999999998</v>
      </c>
    </row>
    <row r="57" spans="1:12" x14ac:dyDescent="0.25">
      <c r="A57" s="31" t="str">
        <f t="shared" si="1"/>
        <v>Pacific Gas &amp; Elec - Exchange</v>
      </c>
      <c r="B57" s="32">
        <f t="shared" si="2"/>
        <v>-413000</v>
      </c>
      <c r="C57" s="93">
        <f t="shared" si="3"/>
        <v>963.42025100000001</v>
      </c>
      <c r="D57" s="9">
        <f t="shared" si="0"/>
        <v>-180481</v>
      </c>
      <c r="J57" t="s">
        <v>179</v>
      </c>
      <c r="K57" t="s">
        <v>610</v>
      </c>
      <c r="L57" s="96">
        <v>-413000</v>
      </c>
    </row>
    <row r="58" spans="1:12" x14ac:dyDescent="0.25">
      <c r="A58" s="31" t="str">
        <f t="shared" si="1"/>
        <v>Avista Corp. WWP Division</v>
      </c>
      <c r="B58" s="32">
        <f t="shared" si="2"/>
        <v>-45139</v>
      </c>
      <c r="C58" s="93">
        <f t="shared" si="3"/>
        <v>963.42025100000001</v>
      </c>
      <c r="D58" s="9">
        <f t="shared" si="0"/>
        <v>-19725.743000000002</v>
      </c>
      <c r="J58" t="s">
        <v>187</v>
      </c>
      <c r="K58" t="s">
        <v>611</v>
      </c>
      <c r="L58" s="96">
        <v>-45139</v>
      </c>
    </row>
    <row r="59" spans="1:12" x14ac:dyDescent="0.25">
      <c r="A59" s="31" t="str">
        <f t="shared" si="1"/>
        <v>Barclays Bank Plc</v>
      </c>
      <c r="B59" s="32">
        <f t="shared" si="2"/>
        <v>-35</v>
      </c>
      <c r="C59" s="93">
        <f t="shared" si="3"/>
        <v>963.42025100000001</v>
      </c>
      <c r="D59" s="9">
        <f t="shared" si="0"/>
        <v>-15.295000000000002</v>
      </c>
      <c r="J59" t="s">
        <v>188</v>
      </c>
      <c r="K59" t="s">
        <v>611</v>
      </c>
      <c r="L59" s="96">
        <v>-35</v>
      </c>
    </row>
    <row r="60" spans="1:12" x14ac:dyDescent="0.25">
      <c r="A60" s="31" t="str">
        <f t="shared" si="1"/>
        <v>Black Hills Power</v>
      </c>
      <c r="B60" s="32">
        <f t="shared" si="2"/>
        <v>-1762</v>
      </c>
      <c r="C60" s="93">
        <f t="shared" si="3"/>
        <v>963.42025100000001</v>
      </c>
      <c r="D60" s="9">
        <f t="shared" si="0"/>
        <v>-769.99400000000003</v>
      </c>
      <c r="J60" t="s">
        <v>189</v>
      </c>
      <c r="K60" t="s">
        <v>611</v>
      </c>
      <c r="L60" s="96">
        <v>-1762</v>
      </c>
    </row>
    <row r="61" spans="1:12" x14ac:dyDescent="0.25">
      <c r="A61" s="31"/>
      <c r="B61" s="32"/>
      <c r="C61" s="93"/>
      <c r="D61" s="9"/>
      <c r="J61" s="89" t="s">
        <v>191</v>
      </c>
      <c r="K61" t="s">
        <v>611</v>
      </c>
      <c r="L61" s="96">
        <v>3361355</v>
      </c>
    </row>
    <row r="62" spans="1:12" x14ac:dyDescent="0.25">
      <c r="A62" s="31" t="str">
        <f t="shared" si="1"/>
        <v>BP Energy Co.</v>
      </c>
      <c r="B62" s="32">
        <f t="shared" si="2"/>
        <v>-297433</v>
      </c>
      <c r="C62" s="93">
        <f t="shared" si="3"/>
        <v>963.42025100000001</v>
      </c>
      <c r="D62" s="9">
        <f t="shared" si="0"/>
        <v>-129978.22099999999</v>
      </c>
      <c r="J62" t="s">
        <v>192</v>
      </c>
      <c r="K62" t="s">
        <v>611</v>
      </c>
      <c r="L62" s="96">
        <v>-297433</v>
      </c>
    </row>
    <row r="63" spans="1:12" x14ac:dyDescent="0.25">
      <c r="A63" s="31" t="str">
        <f t="shared" si="1"/>
        <v>BPA</v>
      </c>
      <c r="B63" s="32">
        <f t="shared" si="2"/>
        <v>-165628</v>
      </c>
      <c r="C63" s="93">
        <f t="shared" si="3"/>
        <v>963.42025100000001</v>
      </c>
      <c r="D63" s="9">
        <f t="shared" si="0"/>
        <v>-72379.436000000002</v>
      </c>
      <c r="J63" t="s">
        <v>173</v>
      </c>
      <c r="K63" t="s">
        <v>611</v>
      </c>
      <c r="L63" s="96">
        <v>-165628</v>
      </c>
    </row>
    <row r="64" spans="1:12" x14ac:dyDescent="0.25">
      <c r="A64" s="31" t="str">
        <f t="shared" si="1"/>
        <v>British Columbia Transmission Corp</v>
      </c>
      <c r="B64" s="32">
        <f t="shared" si="2"/>
        <v>-65</v>
      </c>
      <c r="C64" s="93">
        <f t="shared" si="3"/>
        <v>963.42025100000001</v>
      </c>
      <c r="D64" s="9">
        <f t="shared" si="0"/>
        <v>-28.405000000000001</v>
      </c>
      <c r="J64" t="s">
        <v>193</v>
      </c>
      <c r="K64" t="s">
        <v>611</v>
      </c>
      <c r="L64" s="96">
        <v>-65</v>
      </c>
    </row>
    <row r="65" spans="1:12" x14ac:dyDescent="0.25">
      <c r="A65" s="31" t="str">
        <f t="shared" si="1"/>
        <v>Brookfield Energy Marketing</v>
      </c>
      <c r="B65" s="32">
        <f t="shared" si="2"/>
        <v>-800</v>
      </c>
      <c r="C65" s="93">
        <f t="shared" si="3"/>
        <v>963.42025100000001</v>
      </c>
      <c r="D65" s="9">
        <f t="shared" si="0"/>
        <v>-349.59999999999997</v>
      </c>
      <c r="J65" t="s">
        <v>194</v>
      </c>
      <c r="K65" t="s">
        <v>611</v>
      </c>
      <c r="L65" s="96">
        <v>-800</v>
      </c>
    </row>
    <row r="66" spans="1:12" x14ac:dyDescent="0.25">
      <c r="A66" s="31" t="str">
        <f t="shared" si="1"/>
        <v>Burbank, City of</v>
      </c>
      <c r="B66" s="32">
        <f t="shared" si="2"/>
        <v>-2200</v>
      </c>
      <c r="C66" s="93">
        <f t="shared" si="3"/>
        <v>963.42025100000001</v>
      </c>
      <c r="D66" s="9">
        <f t="shared" si="0"/>
        <v>-961.39999999999986</v>
      </c>
      <c r="J66" t="s">
        <v>195</v>
      </c>
      <c r="K66" t="s">
        <v>611</v>
      </c>
      <c r="L66" s="96">
        <v>-2200</v>
      </c>
    </row>
    <row r="67" spans="1:12" x14ac:dyDescent="0.25">
      <c r="A67" s="31" t="str">
        <f t="shared" si="1"/>
        <v>California ISO</v>
      </c>
      <c r="B67" s="32">
        <f t="shared" si="2"/>
        <v>-8579</v>
      </c>
      <c r="C67" s="93">
        <f t="shared" si="3"/>
        <v>963.42025100000001</v>
      </c>
      <c r="D67" s="9">
        <f t="shared" si="0"/>
        <v>-3749.0230000000001</v>
      </c>
      <c r="J67" t="s">
        <v>197</v>
      </c>
      <c r="K67" t="s">
        <v>611</v>
      </c>
      <c r="L67" s="96">
        <v>-8579</v>
      </c>
    </row>
    <row r="68" spans="1:12" x14ac:dyDescent="0.25">
      <c r="A68" s="31" t="str">
        <f t="shared" si="1"/>
        <v>Calpine Energy Services</v>
      </c>
      <c r="B68" s="32">
        <f t="shared" si="2"/>
        <v>-390795</v>
      </c>
      <c r="C68" s="93">
        <f t="shared" si="3"/>
        <v>963.42025100000001</v>
      </c>
      <c r="D68" s="9">
        <f t="shared" ref="D68:D114" si="4">(+B68*C68)/2204.623</f>
        <v>-170777.41499999998</v>
      </c>
      <c r="J68" t="s">
        <v>198</v>
      </c>
      <c r="K68" t="s">
        <v>611</v>
      </c>
      <c r="L68" s="96">
        <v>-390795</v>
      </c>
    </row>
    <row r="69" spans="1:12" x14ac:dyDescent="0.25">
      <c r="A69" s="31" t="str">
        <f t="shared" ref="A69:A114" si="5">J69</f>
        <v>Cargill Power Markets</v>
      </c>
      <c r="B69" s="32">
        <f t="shared" ref="B69:B114" si="6">L69</f>
        <v>-158112</v>
      </c>
      <c r="C69" s="93">
        <f t="shared" ref="C69:C114" si="7">IF(B69&lt;&gt;0,$H$1,"")</f>
        <v>963.42025100000001</v>
      </c>
      <c r="D69" s="9">
        <f t="shared" si="4"/>
        <v>-69094.944000000003</v>
      </c>
      <c r="J69" t="s">
        <v>174</v>
      </c>
      <c r="K69" t="s">
        <v>611</v>
      </c>
      <c r="L69" s="96">
        <v>-158112</v>
      </c>
    </row>
    <row r="70" spans="1:12" x14ac:dyDescent="0.25">
      <c r="A70" s="31" t="str">
        <f t="shared" si="5"/>
        <v>Chelan County PUD #1</v>
      </c>
      <c r="B70" s="32">
        <f t="shared" si="6"/>
        <v>-25371</v>
      </c>
      <c r="C70" s="93">
        <f t="shared" si="7"/>
        <v>963.42025100000001</v>
      </c>
      <c r="D70" s="9">
        <f t="shared" si="4"/>
        <v>-11087.126999999999</v>
      </c>
      <c r="J70" t="s">
        <v>199</v>
      </c>
      <c r="K70" t="s">
        <v>611</v>
      </c>
      <c r="L70" s="96">
        <v>-25371</v>
      </c>
    </row>
    <row r="71" spans="1:12" x14ac:dyDescent="0.25">
      <c r="A71" s="31" t="str">
        <f t="shared" si="5"/>
        <v>Citigroup Energy Inc</v>
      </c>
      <c r="B71" s="32">
        <f t="shared" si="6"/>
        <v>-60746</v>
      </c>
      <c r="C71" s="93">
        <f t="shared" si="7"/>
        <v>963.42025100000001</v>
      </c>
      <c r="D71" s="9">
        <f t="shared" si="4"/>
        <v>-26546.001999999997</v>
      </c>
      <c r="J71" t="s">
        <v>185</v>
      </c>
      <c r="K71" t="s">
        <v>611</v>
      </c>
      <c r="L71" s="96">
        <v>-60746</v>
      </c>
    </row>
    <row r="72" spans="1:12" x14ac:dyDescent="0.25">
      <c r="A72" s="31" t="str">
        <f t="shared" si="5"/>
        <v>Clark Public Utilities</v>
      </c>
      <c r="B72" s="32">
        <f t="shared" si="6"/>
        <v>-18922</v>
      </c>
      <c r="C72" s="93">
        <f t="shared" si="7"/>
        <v>963.42025100000001</v>
      </c>
      <c r="D72" s="9">
        <f t="shared" si="4"/>
        <v>-8268.9140000000007</v>
      </c>
      <c r="J72" t="s">
        <v>201</v>
      </c>
      <c r="K72" t="s">
        <v>611</v>
      </c>
      <c r="L72" s="96">
        <v>-18922</v>
      </c>
    </row>
    <row r="73" spans="1:12" x14ac:dyDescent="0.25">
      <c r="A73" s="31" t="str">
        <f t="shared" si="5"/>
        <v>Clatskanie PUD</v>
      </c>
      <c r="B73" s="32">
        <f t="shared" si="6"/>
        <v>-5659</v>
      </c>
      <c r="C73" s="93">
        <f t="shared" si="7"/>
        <v>963.42025100000001</v>
      </c>
      <c r="D73" s="9">
        <f t="shared" si="4"/>
        <v>-2472.9829999999997</v>
      </c>
      <c r="J73" t="s">
        <v>202</v>
      </c>
      <c r="K73" t="s">
        <v>611</v>
      </c>
      <c r="L73" s="96">
        <v>-5659</v>
      </c>
    </row>
    <row r="74" spans="1:12" x14ac:dyDescent="0.25">
      <c r="A74" s="31" t="str">
        <f t="shared" si="5"/>
        <v>Constellation Power Source, Inc.</v>
      </c>
      <c r="B74" s="32">
        <f t="shared" si="6"/>
        <v>-1</v>
      </c>
      <c r="C74" s="93">
        <f t="shared" si="7"/>
        <v>963.42025100000001</v>
      </c>
      <c r="D74" s="9">
        <f t="shared" si="4"/>
        <v>-0.437</v>
      </c>
      <c r="J74" t="s">
        <v>175</v>
      </c>
      <c r="K74" t="s">
        <v>611</v>
      </c>
      <c r="L74" s="96">
        <v>-1</v>
      </c>
    </row>
    <row r="75" spans="1:12" x14ac:dyDescent="0.25">
      <c r="A75" s="31" t="str">
        <f t="shared" si="5"/>
        <v>CP Energy Marketing (Epcor)</v>
      </c>
      <c r="B75" s="32">
        <f t="shared" si="6"/>
        <v>-1115</v>
      </c>
      <c r="C75" s="93">
        <f t="shared" si="7"/>
        <v>963.42025100000001</v>
      </c>
      <c r="D75" s="9">
        <f t="shared" si="4"/>
        <v>-487.255</v>
      </c>
      <c r="J75" t="s">
        <v>204</v>
      </c>
      <c r="K75" t="s">
        <v>611</v>
      </c>
      <c r="L75" s="96">
        <v>-1115</v>
      </c>
    </row>
    <row r="76" spans="1:12" x14ac:dyDescent="0.25">
      <c r="A76" s="31" t="str">
        <f t="shared" si="5"/>
        <v>DB Energy Trading LLC</v>
      </c>
      <c r="B76" s="32">
        <f t="shared" si="6"/>
        <v>8</v>
      </c>
      <c r="C76" s="93">
        <f t="shared" si="7"/>
        <v>963.42025100000001</v>
      </c>
      <c r="D76" s="9">
        <f t="shared" si="4"/>
        <v>3.496</v>
      </c>
      <c r="J76" t="s">
        <v>206</v>
      </c>
      <c r="K76" t="s">
        <v>611</v>
      </c>
      <c r="L76" s="96">
        <v>8</v>
      </c>
    </row>
    <row r="77" spans="1:12" x14ac:dyDescent="0.25">
      <c r="A77" s="31" t="str">
        <f t="shared" si="5"/>
        <v>Douglas County PUD #1</v>
      </c>
      <c r="B77" s="32">
        <f t="shared" si="6"/>
        <v>-3025</v>
      </c>
      <c r="C77" s="93">
        <f t="shared" si="7"/>
        <v>963.42025100000001</v>
      </c>
      <c r="D77" s="9">
        <f t="shared" si="4"/>
        <v>-1321.925</v>
      </c>
      <c r="J77" t="s">
        <v>177</v>
      </c>
      <c r="K77" t="s">
        <v>611</v>
      </c>
      <c r="L77" s="96">
        <v>-3025</v>
      </c>
    </row>
    <row r="78" spans="1:12" x14ac:dyDescent="0.25">
      <c r="A78" s="31" t="str">
        <f t="shared" si="5"/>
        <v>EDF Trading NA LLC</v>
      </c>
      <c r="B78" s="32">
        <f t="shared" si="6"/>
        <v>-40695</v>
      </c>
      <c r="C78" s="93">
        <f t="shared" si="7"/>
        <v>963.42025100000001</v>
      </c>
      <c r="D78" s="9">
        <f t="shared" si="4"/>
        <v>-17783.715</v>
      </c>
      <c r="J78" t="s">
        <v>208</v>
      </c>
      <c r="K78" t="s">
        <v>611</v>
      </c>
      <c r="L78" s="96">
        <v>-40695</v>
      </c>
    </row>
    <row r="79" spans="1:12" x14ac:dyDescent="0.25">
      <c r="A79" s="31" t="str">
        <f t="shared" si="5"/>
        <v>Eugene Water &amp; Electric</v>
      </c>
      <c r="B79" s="32">
        <f t="shared" si="6"/>
        <v>-35479</v>
      </c>
      <c r="C79" s="93">
        <f t="shared" si="7"/>
        <v>963.42025100000001</v>
      </c>
      <c r="D79" s="9">
        <f t="shared" si="4"/>
        <v>-15504.323</v>
      </c>
      <c r="J79" t="s">
        <v>211</v>
      </c>
      <c r="K79" t="s">
        <v>611</v>
      </c>
      <c r="L79" s="96">
        <v>-35479</v>
      </c>
    </row>
    <row r="80" spans="1:12" x14ac:dyDescent="0.25">
      <c r="A80" s="31" t="str">
        <f t="shared" si="5"/>
        <v>Exelon Generation Co LLC</v>
      </c>
      <c r="B80" s="32">
        <f t="shared" si="6"/>
        <v>-34998</v>
      </c>
      <c r="C80" s="93">
        <f t="shared" si="7"/>
        <v>963.42025100000001</v>
      </c>
      <c r="D80" s="9">
        <f t="shared" si="4"/>
        <v>-15294.126</v>
      </c>
      <c r="J80" t="s">
        <v>186</v>
      </c>
      <c r="K80" t="s">
        <v>611</v>
      </c>
      <c r="L80" s="96">
        <v>-34998</v>
      </c>
    </row>
    <row r="81" spans="1:12" x14ac:dyDescent="0.25">
      <c r="A81" s="31" t="str">
        <f t="shared" si="5"/>
        <v>Fortis BC</v>
      </c>
      <c r="B81" s="32">
        <f t="shared" si="6"/>
        <v>-144215</v>
      </c>
      <c r="C81" s="93">
        <f t="shared" si="7"/>
        <v>963.42025100000001</v>
      </c>
      <c r="D81" s="9">
        <f t="shared" si="4"/>
        <v>-63021.955000000002</v>
      </c>
      <c r="J81" t="s">
        <v>260</v>
      </c>
      <c r="K81" t="s">
        <v>611</v>
      </c>
      <c r="L81" s="96">
        <v>-144215</v>
      </c>
    </row>
    <row r="82" spans="1:12" x14ac:dyDescent="0.25">
      <c r="A82" s="31" t="str">
        <f t="shared" si="5"/>
        <v>Grant County PUD #2</v>
      </c>
      <c r="B82" s="32">
        <f t="shared" si="6"/>
        <v>-26969</v>
      </c>
      <c r="C82" s="93">
        <f t="shared" si="7"/>
        <v>963.42025100000001</v>
      </c>
      <c r="D82" s="9">
        <f t="shared" si="4"/>
        <v>-11785.453</v>
      </c>
      <c r="J82" t="s">
        <v>213</v>
      </c>
      <c r="K82" t="s">
        <v>611</v>
      </c>
      <c r="L82" s="96">
        <v>-26969</v>
      </c>
    </row>
    <row r="83" spans="1:12" x14ac:dyDescent="0.25">
      <c r="A83" s="31" t="str">
        <f t="shared" si="5"/>
        <v>Iberdrola Renewables (PPM Energy)</v>
      </c>
      <c r="B83" s="32">
        <f t="shared" si="6"/>
        <v>-646518</v>
      </c>
      <c r="C83" s="93">
        <f t="shared" si="7"/>
        <v>963.42025100000001</v>
      </c>
      <c r="D83" s="9">
        <f t="shared" si="4"/>
        <v>-282528.36599999998</v>
      </c>
      <c r="J83" t="s">
        <v>215</v>
      </c>
      <c r="K83" t="s">
        <v>611</v>
      </c>
      <c r="L83" s="96">
        <v>-646518</v>
      </c>
    </row>
    <row r="84" spans="1:12" x14ac:dyDescent="0.25">
      <c r="A84" s="31" t="str">
        <f t="shared" si="5"/>
        <v>Idaho Power Company</v>
      </c>
      <c r="B84" s="32">
        <f t="shared" si="6"/>
        <v>-27009</v>
      </c>
      <c r="C84" s="93">
        <f t="shared" si="7"/>
        <v>963.42025100000001</v>
      </c>
      <c r="D84" s="9">
        <f t="shared" si="4"/>
        <v>-11802.933000000001</v>
      </c>
      <c r="J84" t="s">
        <v>217</v>
      </c>
      <c r="K84" t="s">
        <v>611</v>
      </c>
      <c r="L84" s="96">
        <v>-27009</v>
      </c>
    </row>
    <row r="85" spans="1:12" x14ac:dyDescent="0.25">
      <c r="A85" s="31" t="str">
        <f t="shared" si="5"/>
        <v>J. Aron &amp; Company</v>
      </c>
      <c r="B85" s="32">
        <f t="shared" si="6"/>
        <v>-52425</v>
      </c>
      <c r="C85" s="93">
        <f t="shared" si="7"/>
        <v>963.42025100000001</v>
      </c>
      <c r="D85" s="9">
        <f t="shared" si="4"/>
        <v>-22909.724999999999</v>
      </c>
      <c r="J85" t="s">
        <v>220</v>
      </c>
      <c r="K85" t="s">
        <v>611</v>
      </c>
      <c r="L85" s="96">
        <v>-52425</v>
      </c>
    </row>
    <row r="86" spans="1:12" x14ac:dyDescent="0.25">
      <c r="A86" s="31" t="str">
        <f t="shared" si="5"/>
        <v>JP Morgan Ventures Energy</v>
      </c>
      <c r="B86" s="32">
        <f t="shared" si="6"/>
        <v>-54818</v>
      </c>
      <c r="C86" s="93">
        <f t="shared" si="7"/>
        <v>963.42025100000001</v>
      </c>
      <c r="D86" s="9">
        <f t="shared" si="4"/>
        <v>-23955.466</v>
      </c>
      <c r="J86" t="s">
        <v>221</v>
      </c>
      <c r="K86" t="s">
        <v>611</v>
      </c>
      <c r="L86" s="96">
        <v>-54818</v>
      </c>
    </row>
    <row r="87" spans="1:12" x14ac:dyDescent="0.25">
      <c r="A87" s="31" t="str">
        <f t="shared" si="5"/>
        <v>Morgan Stanley CG</v>
      </c>
      <c r="B87" s="32">
        <f t="shared" si="6"/>
        <v>-389258</v>
      </c>
      <c r="C87" s="93">
        <f t="shared" si="7"/>
        <v>963.42025100000001</v>
      </c>
      <c r="D87" s="9">
        <f t="shared" si="4"/>
        <v>-170105.74600000001</v>
      </c>
      <c r="J87" t="s">
        <v>178</v>
      </c>
      <c r="K87" t="s">
        <v>611</v>
      </c>
      <c r="L87" s="96">
        <v>-389258</v>
      </c>
    </row>
    <row r="88" spans="1:12" x14ac:dyDescent="0.25">
      <c r="A88" s="31" t="str">
        <f t="shared" si="5"/>
        <v>Natur Ener USA</v>
      </c>
      <c r="B88" s="32">
        <f t="shared" si="6"/>
        <v>-9</v>
      </c>
      <c r="C88" s="93">
        <f t="shared" si="7"/>
        <v>963.42025100000001</v>
      </c>
      <c r="D88" s="9">
        <f t="shared" si="4"/>
        <v>-3.9329999999999998</v>
      </c>
      <c r="J88" t="s">
        <v>226</v>
      </c>
      <c r="K88" t="s">
        <v>611</v>
      </c>
      <c r="L88" s="96">
        <v>-9</v>
      </c>
    </row>
    <row r="89" spans="1:12" x14ac:dyDescent="0.25">
      <c r="A89" s="31" t="str">
        <f t="shared" si="5"/>
        <v>NextEra Energy Power Marketing</v>
      </c>
      <c r="B89" s="32">
        <f t="shared" si="6"/>
        <v>-1181</v>
      </c>
      <c r="C89" s="93">
        <f t="shared" si="7"/>
        <v>963.42025100000001</v>
      </c>
      <c r="D89" s="9">
        <f t="shared" si="4"/>
        <v>-516.09699999999998</v>
      </c>
      <c r="J89" t="s">
        <v>227</v>
      </c>
      <c r="K89" t="s">
        <v>611</v>
      </c>
      <c r="L89" s="96">
        <v>-1181</v>
      </c>
    </row>
    <row r="90" spans="1:12" x14ac:dyDescent="0.25">
      <c r="A90" s="31" t="str">
        <f t="shared" si="5"/>
        <v>Noble Americas Energy Solutions</v>
      </c>
      <c r="B90" s="32">
        <f t="shared" si="6"/>
        <v>-5999</v>
      </c>
      <c r="C90" s="93">
        <f t="shared" si="7"/>
        <v>963.42025100000001</v>
      </c>
      <c r="D90" s="9">
        <f t="shared" si="4"/>
        <v>-2621.5630000000001</v>
      </c>
      <c r="J90" t="s">
        <v>228</v>
      </c>
      <c r="K90" t="s">
        <v>611</v>
      </c>
      <c r="L90" s="96">
        <v>-5999</v>
      </c>
    </row>
    <row r="91" spans="1:12" x14ac:dyDescent="0.25">
      <c r="A91" s="31" t="str">
        <f t="shared" si="5"/>
        <v>Noble Americas Gas &amp; Power</v>
      </c>
      <c r="B91" s="32">
        <f t="shared" si="6"/>
        <v>-6600</v>
      </c>
      <c r="C91" s="93">
        <f t="shared" si="7"/>
        <v>963.42025100000001</v>
      </c>
      <c r="D91" s="9">
        <f t="shared" si="4"/>
        <v>-2884.2000000000003</v>
      </c>
      <c r="J91" t="s">
        <v>229</v>
      </c>
      <c r="K91" t="s">
        <v>611</v>
      </c>
      <c r="L91" s="96">
        <v>-6600</v>
      </c>
    </row>
    <row r="92" spans="1:12" x14ac:dyDescent="0.25">
      <c r="A92" s="31" t="str">
        <f t="shared" si="5"/>
        <v>NorthPoint Energy Solutions, Inc.</v>
      </c>
      <c r="B92" s="32">
        <f t="shared" si="6"/>
        <v>-23745</v>
      </c>
      <c r="C92" s="93">
        <f t="shared" si="7"/>
        <v>963.42025100000001</v>
      </c>
      <c r="D92" s="9">
        <f t="shared" si="4"/>
        <v>-10376.565000000001</v>
      </c>
      <c r="J92" t="s">
        <v>230</v>
      </c>
      <c r="K92" t="s">
        <v>611</v>
      </c>
      <c r="L92" s="96">
        <v>-23745</v>
      </c>
    </row>
    <row r="93" spans="1:12" x14ac:dyDescent="0.25">
      <c r="A93" s="31" t="str">
        <f t="shared" si="5"/>
        <v>Northwestern Energy</v>
      </c>
      <c r="B93" s="32">
        <f t="shared" si="6"/>
        <v>-83310</v>
      </c>
      <c r="C93" s="93">
        <f t="shared" si="7"/>
        <v>963.42025100000001</v>
      </c>
      <c r="D93" s="9">
        <f t="shared" si="4"/>
        <v>-36406.47</v>
      </c>
      <c r="J93" t="s">
        <v>231</v>
      </c>
      <c r="K93" t="s">
        <v>611</v>
      </c>
      <c r="L93" s="96">
        <v>-83310</v>
      </c>
    </row>
    <row r="94" spans="1:12" x14ac:dyDescent="0.25">
      <c r="A94" s="31" t="str">
        <f t="shared" si="5"/>
        <v>Okanogan PUD</v>
      </c>
      <c r="B94" s="32">
        <f t="shared" si="6"/>
        <v>-2675</v>
      </c>
      <c r="C94" s="93">
        <f t="shared" si="7"/>
        <v>963.42025100000001</v>
      </c>
      <c r="D94" s="9">
        <f t="shared" si="4"/>
        <v>-1168.9749999999999</v>
      </c>
      <c r="J94" t="s">
        <v>233</v>
      </c>
      <c r="K94" t="s">
        <v>611</v>
      </c>
      <c r="L94" s="96">
        <v>-2675</v>
      </c>
    </row>
    <row r="95" spans="1:12" x14ac:dyDescent="0.25">
      <c r="A95" s="31" t="str">
        <f t="shared" si="5"/>
        <v>Pacificorp</v>
      </c>
      <c r="B95" s="32">
        <f t="shared" si="6"/>
        <v>-277031</v>
      </c>
      <c r="C95" s="93">
        <f t="shared" si="7"/>
        <v>963.42025100000001</v>
      </c>
      <c r="D95" s="9">
        <f t="shared" si="4"/>
        <v>-121062.54699999999</v>
      </c>
      <c r="J95" t="s">
        <v>236</v>
      </c>
      <c r="K95" t="s">
        <v>611</v>
      </c>
      <c r="L95" s="96">
        <v>-277031</v>
      </c>
    </row>
    <row r="96" spans="1:12" x14ac:dyDescent="0.25">
      <c r="A96" s="31" t="str">
        <f t="shared" si="5"/>
        <v>Portland General Electric</v>
      </c>
      <c r="B96" s="32">
        <f t="shared" si="6"/>
        <v>-192170</v>
      </c>
      <c r="C96" s="93">
        <f t="shared" si="7"/>
        <v>963.42025100000001</v>
      </c>
      <c r="D96" s="9">
        <f t="shared" si="4"/>
        <v>-83978.29</v>
      </c>
      <c r="J96" t="s">
        <v>238</v>
      </c>
      <c r="K96" t="s">
        <v>611</v>
      </c>
      <c r="L96" s="96">
        <v>-192170</v>
      </c>
    </row>
    <row r="97" spans="1:12" x14ac:dyDescent="0.25">
      <c r="A97" s="31" t="str">
        <f t="shared" si="5"/>
        <v>Powerex Corp.</v>
      </c>
      <c r="B97" s="32">
        <f t="shared" si="6"/>
        <v>-403044</v>
      </c>
      <c r="C97" s="93">
        <f t="shared" si="7"/>
        <v>963.42025100000001</v>
      </c>
      <c r="D97" s="9">
        <f t="shared" si="4"/>
        <v>-176130.22799999997</v>
      </c>
      <c r="J97" t="s">
        <v>180</v>
      </c>
      <c r="K97" t="s">
        <v>611</v>
      </c>
      <c r="L97" s="96">
        <v>-403044</v>
      </c>
    </row>
    <row r="98" spans="1:12" x14ac:dyDescent="0.25">
      <c r="A98" s="31" t="str">
        <f t="shared" si="5"/>
        <v>Rainbow Energy Marketing</v>
      </c>
      <c r="B98" s="32">
        <f t="shared" si="6"/>
        <v>-35434</v>
      </c>
      <c r="C98" s="93">
        <f t="shared" si="7"/>
        <v>963.42025100000001</v>
      </c>
      <c r="D98" s="9">
        <f t="shared" si="4"/>
        <v>-15484.657999999999</v>
      </c>
      <c r="J98" t="s">
        <v>240</v>
      </c>
      <c r="K98" t="s">
        <v>611</v>
      </c>
      <c r="L98" s="96">
        <v>-35434</v>
      </c>
    </row>
    <row r="99" spans="1:12" x14ac:dyDescent="0.25">
      <c r="A99" s="31" t="str">
        <f t="shared" si="5"/>
        <v>Sacramento Municipal</v>
      </c>
      <c r="B99" s="32">
        <f t="shared" si="6"/>
        <v>-7107</v>
      </c>
      <c r="C99" s="93">
        <f t="shared" si="7"/>
        <v>963.42025100000001</v>
      </c>
      <c r="D99" s="9">
        <f t="shared" si="4"/>
        <v>-3105.759</v>
      </c>
      <c r="J99" t="s">
        <v>242</v>
      </c>
      <c r="K99" t="s">
        <v>611</v>
      </c>
      <c r="L99" s="96">
        <v>-7107</v>
      </c>
    </row>
    <row r="100" spans="1:12" x14ac:dyDescent="0.25">
      <c r="A100" s="31" t="str">
        <f t="shared" si="5"/>
        <v>San Diego Gas &amp; Electric</v>
      </c>
      <c r="B100" s="32">
        <f t="shared" si="6"/>
        <v>-975</v>
      </c>
      <c r="C100" s="93">
        <f t="shared" si="7"/>
        <v>963.42025100000001</v>
      </c>
      <c r="D100" s="9">
        <f t="shared" si="4"/>
        <v>-426.07499999999999</v>
      </c>
      <c r="J100" t="s">
        <v>243</v>
      </c>
      <c r="K100" t="s">
        <v>611</v>
      </c>
      <c r="L100" s="96">
        <v>-975</v>
      </c>
    </row>
    <row r="101" spans="1:12" x14ac:dyDescent="0.25">
      <c r="A101" s="31" t="str">
        <f t="shared" si="5"/>
        <v>Seattle City Light Marketing</v>
      </c>
      <c r="B101" s="32">
        <f t="shared" si="6"/>
        <v>-23533</v>
      </c>
      <c r="C101" s="93">
        <f t="shared" si="7"/>
        <v>963.42025100000001</v>
      </c>
      <c r="D101" s="9">
        <f t="shared" si="4"/>
        <v>-10283.920999999998</v>
      </c>
      <c r="J101" t="s">
        <v>181</v>
      </c>
      <c r="K101" t="s">
        <v>611</v>
      </c>
      <c r="L101" s="96">
        <v>-23533</v>
      </c>
    </row>
    <row r="102" spans="1:12" x14ac:dyDescent="0.25">
      <c r="A102" s="31" t="str">
        <f t="shared" si="5"/>
        <v>Shell Energy (Coral Pwr)</v>
      </c>
      <c r="B102" s="32">
        <f t="shared" si="6"/>
        <v>-279421</v>
      </c>
      <c r="C102" s="93">
        <f t="shared" si="7"/>
        <v>963.42025100000001</v>
      </c>
      <c r="D102" s="9">
        <f t="shared" si="4"/>
        <v>-122106.97700000001</v>
      </c>
      <c r="J102" t="s">
        <v>182</v>
      </c>
      <c r="K102" t="s">
        <v>611</v>
      </c>
      <c r="L102" s="96">
        <v>-279421</v>
      </c>
    </row>
    <row r="103" spans="1:12" x14ac:dyDescent="0.25">
      <c r="A103" s="31" t="str">
        <f t="shared" si="5"/>
        <v>Sierra Pacific Power</v>
      </c>
      <c r="B103" s="32">
        <f t="shared" si="6"/>
        <v>-2095</v>
      </c>
      <c r="C103" s="93">
        <f t="shared" si="7"/>
        <v>963.42025100000001</v>
      </c>
      <c r="D103" s="9">
        <f t="shared" si="4"/>
        <v>-915.51499999999999</v>
      </c>
      <c r="J103" t="s">
        <v>245</v>
      </c>
      <c r="K103" t="s">
        <v>611</v>
      </c>
      <c r="L103" s="96">
        <v>-2095</v>
      </c>
    </row>
    <row r="104" spans="1:12" x14ac:dyDescent="0.25">
      <c r="A104" s="31" t="str">
        <f t="shared" si="5"/>
        <v>Snohomish County PUD #1</v>
      </c>
      <c r="B104" s="32">
        <f t="shared" si="6"/>
        <v>-30000</v>
      </c>
      <c r="C104" s="93">
        <f t="shared" si="7"/>
        <v>963.42025100000001</v>
      </c>
      <c r="D104" s="9">
        <f t="shared" si="4"/>
        <v>-13110</v>
      </c>
      <c r="J104" t="s">
        <v>247</v>
      </c>
      <c r="K104" t="s">
        <v>611</v>
      </c>
      <c r="L104" s="96">
        <v>-30000</v>
      </c>
    </row>
    <row r="105" spans="1:12" x14ac:dyDescent="0.25">
      <c r="A105" s="31" t="str">
        <f t="shared" si="5"/>
        <v>Southern Cal - Edison</v>
      </c>
      <c r="B105" s="32">
        <f t="shared" si="6"/>
        <v>-175</v>
      </c>
      <c r="C105" s="93">
        <f t="shared" si="7"/>
        <v>963.42025100000001</v>
      </c>
      <c r="D105" s="9">
        <f t="shared" si="4"/>
        <v>-76.474999999999994</v>
      </c>
      <c r="J105" t="s">
        <v>248</v>
      </c>
      <c r="K105" t="s">
        <v>611</v>
      </c>
      <c r="L105" s="96">
        <v>-175</v>
      </c>
    </row>
    <row r="106" spans="1:12" x14ac:dyDescent="0.25">
      <c r="A106" s="31" t="str">
        <f t="shared" si="5"/>
        <v>Tacoma Power</v>
      </c>
      <c r="B106" s="32">
        <f t="shared" si="6"/>
        <v>-36049</v>
      </c>
      <c r="C106" s="93">
        <f t="shared" si="7"/>
        <v>963.42025100000001</v>
      </c>
      <c r="D106" s="9">
        <f t="shared" si="4"/>
        <v>-15753.412999999999</v>
      </c>
      <c r="J106" t="s">
        <v>183</v>
      </c>
      <c r="K106" t="s">
        <v>611</v>
      </c>
      <c r="L106" s="96">
        <v>-36049</v>
      </c>
    </row>
    <row r="107" spans="1:12" x14ac:dyDescent="0.25">
      <c r="A107" s="31" t="str">
        <f t="shared" si="5"/>
        <v>Talen Energy (PPL Energy Plus)</v>
      </c>
      <c r="B107" s="32">
        <f t="shared" si="6"/>
        <v>-64235</v>
      </c>
      <c r="C107" s="93">
        <f t="shared" si="7"/>
        <v>963.42025100000001</v>
      </c>
      <c r="D107" s="9">
        <f t="shared" si="4"/>
        <v>-28070.695</v>
      </c>
      <c r="J107" t="s">
        <v>249</v>
      </c>
      <c r="K107" t="s">
        <v>611</v>
      </c>
      <c r="L107" s="96">
        <v>-64235</v>
      </c>
    </row>
    <row r="108" spans="1:12" x14ac:dyDescent="0.25">
      <c r="A108" s="31" t="str">
        <f t="shared" si="5"/>
        <v>Tenaska Power Services Co.</v>
      </c>
      <c r="B108" s="32">
        <f t="shared" si="6"/>
        <v>-870</v>
      </c>
      <c r="C108" s="93">
        <f t="shared" si="7"/>
        <v>963.42025100000001</v>
      </c>
      <c r="D108" s="9">
        <f t="shared" si="4"/>
        <v>-380.19</v>
      </c>
      <c r="J108" t="s">
        <v>251</v>
      </c>
      <c r="K108" t="s">
        <v>611</v>
      </c>
      <c r="L108" s="96">
        <v>-870</v>
      </c>
    </row>
    <row r="109" spans="1:12" x14ac:dyDescent="0.25">
      <c r="A109" s="31" t="str">
        <f t="shared" si="5"/>
        <v>The Energy Authority</v>
      </c>
      <c r="B109" s="32">
        <f t="shared" si="6"/>
        <v>-43118</v>
      </c>
      <c r="C109" s="93">
        <f t="shared" si="7"/>
        <v>963.42025100000001</v>
      </c>
      <c r="D109" s="9">
        <f t="shared" si="4"/>
        <v>-18842.566000000003</v>
      </c>
      <c r="J109" t="s">
        <v>252</v>
      </c>
      <c r="K109" t="s">
        <v>611</v>
      </c>
      <c r="L109" s="96">
        <v>-43118</v>
      </c>
    </row>
    <row r="110" spans="1:12" x14ac:dyDescent="0.25">
      <c r="A110" s="31" t="str">
        <f t="shared" si="5"/>
        <v>TransAlta Energy Marketing</v>
      </c>
      <c r="B110" s="32">
        <f t="shared" si="6"/>
        <v>-391631</v>
      </c>
      <c r="C110" s="93">
        <f t="shared" si="7"/>
        <v>963.42025100000001</v>
      </c>
      <c r="D110" s="9">
        <f t="shared" si="4"/>
        <v>-171142.747</v>
      </c>
      <c r="J110" t="s">
        <v>184</v>
      </c>
      <c r="K110" t="s">
        <v>611</v>
      </c>
      <c r="L110" s="96">
        <v>-391631</v>
      </c>
    </row>
    <row r="111" spans="1:12" x14ac:dyDescent="0.25">
      <c r="A111" s="31" t="str">
        <f t="shared" si="5"/>
        <v>TransCanada Energy Marketing</v>
      </c>
      <c r="B111" s="32">
        <f t="shared" si="6"/>
        <v>-3692</v>
      </c>
      <c r="C111" s="93">
        <f t="shared" si="7"/>
        <v>963.42025100000001</v>
      </c>
      <c r="D111" s="9">
        <f t="shared" si="4"/>
        <v>-1613.404</v>
      </c>
      <c r="J111" t="s">
        <v>253</v>
      </c>
      <c r="K111" t="s">
        <v>611</v>
      </c>
      <c r="L111" s="96">
        <v>-3692</v>
      </c>
    </row>
    <row r="112" spans="1:12" x14ac:dyDescent="0.25">
      <c r="A112" s="31" t="str">
        <f t="shared" si="5"/>
        <v>TransCanada Energy Sales Ltd</v>
      </c>
      <c r="B112" s="32">
        <f t="shared" si="6"/>
        <v>-27429</v>
      </c>
      <c r="C112" s="93">
        <f t="shared" si="7"/>
        <v>963.42025100000001</v>
      </c>
      <c r="D112" s="9">
        <f t="shared" si="4"/>
        <v>-11986.473</v>
      </c>
      <c r="J112" t="s">
        <v>254</v>
      </c>
      <c r="K112" t="s">
        <v>611</v>
      </c>
      <c r="L112" s="96">
        <v>-27429</v>
      </c>
    </row>
    <row r="113" spans="1:12" x14ac:dyDescent="0.25">
      <c r="A113" s="31" t="str">
        <f t="shared" si="5"/>
        <v>Turlock Irrigation District</v>
      </c>
      <c r="B113" s="32">
        <f t="shared" si="6"/>
        <v>-3960</v>
      </c>
      <c r="C113" s="93">
        <f t="shared" si="7"/>
        <v>963.42025100000001</v>
      </c>
      <c r="D113" s="9">
        <f t="shared" si="4"/>
        <v>-1730.52</v>
      </c>
      <c r="J113" t="s">
        <v>256</v>
      </c>
      <c r="K113" t="s">
        <v>611</v>
      </c>
      <c r="L113" s="96">
        <v>-3960</v>
      </c>
    </row>
    <row r="114" spans="1:12" x14ac:dyDescent="0.25">
      <c r="A114" s="31" t="str">
        <f t="shared" si="5"/>
        <v>Vitol Inc.</v>
      </c>
      <c r="B114" s="32">
        <f t="shared" si="6"/>
        <v>-466011</v>
      </c>
      <c r="C114" s="93">
        <f t="shared" si="7"/>
        <v>963.42025100000001</v>
      </c>
      <c r="D114" s="9">
        <f t="shared" si="4"/>
        <v>-203646.807</v>
      </c>
      <c r="J114" t="s">
        <v>257</v>
      </c>
      <c r="K114" t="s">
        <v>611</v>
      </c>
      <c r="L114" s="96">
        <v>-466011</v>
      </c>
    </row>
    <row r="115" spans="1:12" x14ac:dyDescent="0.25">
      <c r="A115" s="31"/>
      <c r="B115" s="32"/>
      <c r="C115" s="93"/>
      <c r="D115" s="9"/>
      <c r="L115" s="96">
        <f>SUM(L4:L114)</f>
        <v>5877232.977</v>
      </c>
    </row>
    <row r="116" spans="1:12" ht="15.75" thickBot="1" x14ac:dyDescent="0.3">
      <c r="A116" s="33"/>
      <c r="B116" s="34"/>
      <c r="C116" s="14"/>
      <c r="D116" s="15"/>
    </row>
    <row r="117" spans="1:12" ht="16.5" thickTop="1" thickBot="1" x14ac:dyDescent="0.3">
      <c r="A117" s="12"/>
      <c r="B117" s="91">
        <f>SUM(B4:B116)</f>
        <v>5673077.977</v>
      </c>
      <c r="C117" s="13"/>
      <c r="D117" s="92">
        <f>SUM(D4:D116)</f>
        <v>2479135.0759489988</v>
      </c>
    </row>
  </sheetData>
  <hyperlinks>
    <hyperlink ref="D1" r:id="rId1"/>
  </hyperlinks>
  <pageMargins left="0.7" right="0.7" top="0.75" bottom="0.75" header="0.3" footer="0.3"/>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2" t="s">
        <v>11</v>
      </c>
    </row>
    <row r="2" spans="1:7" ht="15.75" thickBot="1" x14ac:dyDescent="0.3"/>
    <row r="3" spans="1:7" x14ac:dyDescent="0.25">
      <c r="A3" s="59"/>
      <c r="B3" s="60" t="s">
        <v>15</v>
      </c>
      <c r="C3" s="61" t="s">
        <v>25</v>
      </c>
      <c r="D3" s="65"/>
      <c r="E3" s="63"/>
    </row>
    <row r="4" spans="1:7" x14ac:dyDescent="0.25">
      <c r="A4" s="650" t="s">
        <v>16</v>
      </c>
      <c r="B4" s="652"/>
      <c r="C4" s="35">
        <v>2012</v>
      </c>
      <c r="D4" s="68" t="s">
        <v>39</v>
      </c>
      <c r="E4" s="64"/>
    </row>
    <row r="5" spans="1:7" ht="15.75" thickBot="1" x14ac:dyDescent="0.3">
      <c r="A5" s="653" t="s">
        <v>21</v>
      </c>
      <c r="B5" s="654"/>
      <c r="C5" s="74">
        <f>+F10*'Census Stats'!$L$38</f>
        <v>2396763.2060900475</v>
      </c>
      <c r="D5" s="62">
        <f>+D13/C5</f>
        <v>8.8227268118390558</v>
      </c>
    </row>
    <row r="6" spans="1:7" x14ac:dyDescent="0.25">
      <c r="A6" s="5"/>
      <c r="B6" s="5"/>
      <c r="C6" s="21"/>
      <c r="E6" s="20"/>
    </row>
    <row r="7" spans="1:7" ht="19.5" thickBot="1" x14ac:dyDescent="0.35">
      <c r="A7" s="5"/>
      <c r="B7" s="57" t="s">
        <v>36</v>
      </c>
      <c r="C7" s="21"/>
      <c r="E7" s="20"/>
    </row>
    <row r="8" spans="1:7" x14ac:dyDescent="0.25">
      <c r="A8" s="39"/>
      <c r="B8" s="40"/>
      <c r="C8" s="40"/>
      <c r="D8" s="40"/>
      <c r="E8" s="40"/>
      <c r="F8" s="41" t="s">
        <v>20</v>
      </c>
      <c r="G8" s="52" t="s">
        <v>40</v>
      </c>
    </row>
    <row r="9" spans="1:7" x14ac:dyDescent="0.25">
      <c r="A9" s="42"/>
      <c r="B9" s="16"/>
      <c r="C9" s="16"/>
      <c r="D9" s="18" t="s">
        <v>14</v>
      </c>
      <c r="E9" s="30" t="s">
        <v>28</v>
      </c>
      <c r="F9" s="23" t="s">
        <v>35</v>
      </c>
      <c r="G9" s="53" t="s">
        <v>20</v>
      </c>
    </row>
    <row r="10" spans="1:7" x14ac:dyDescent="0.25">
      <c r="A10" s="650" t="s">
        <v>12</v>
      </c>
      <c r="B10" s="651"/>
      <c r="C10" s="652"/>
      <c r="D10" s="66">
        <v>10744641</v>
      </c>
      <c r="E10" s="17">
        <f>+D10/D13</f>
        <v>0.50811726120894707</v>
      </c>
      <c r="F10" s="38">
        <v>961914</v>
      </c>
      <c r="G10" s="54">
        <f>+D10/F10</f>
        <v>11.170064059780811</v>
      </c>
    </row>
    <row r="11" spans="1:7" x14ac:dyDescent="0.25">
      <c r="A11" s="650" t="s">
        <v>17</v>
      </c>
      <c r="B11" s="651"/>
      <c r="C11" s="652"/>
      <c r="D11" s="66">
        <f>9098951+93594</f>
        <v>9192545</v>
      </c>
      <c r="E11" s="17">
        <f>+D11/D13</f>
        <v>0.43471818080659935</v>
      </c>
      <c r="F11" s="32">
        <f>120261+3496</f>
        <v>123757</v>
      </c>
      <c r="G11" s="54">
        <f>+D11/F11</f>
        <v>74.278990279337734</v>
      </c>
    </row>
    <row r="12" spans="1:7" x14ac:dyDescent="0.25">
      <c r="A12" s="650" t="s">
        <v>18</v>
      </c>
      <c r="B12" s="651"/>
      <c r="C12" s="652"/>
      <c r="D12" s="66">
        <v>1208801</v>
      </c>
      <c r="E12" s="17">
        <f>+D12/D13</f>
        <v>5.7164557984453503E-2</v>
      </c>
      <c r="F12" s="5"/>
      <c r="G12" s="43"/>
    </row>
    <row r="13" spans="1:7" ht="15.75" thickBot="1" x14ac:dyDescent="0.3">
      <c r="A13" s="44"/>
      <c r="B13" s="655" t="s">
        <v>13</v>
      </c>
      <c r="C13" s="654"/>
      <c r="D13" s="67">
        <f>SUM(D10:D12)</f>
        <v>21145987</v>
      </c>
      <c r="E13" s="45"/>
      <c r="F13" s="46"/>
      <c r="G13" s="47"/>
    </row>
    <row r="15" spans="1:7" ht="19.5" thickBot="1" x14ac:dyDescent="0.35">
      <c r="B15" s="58" t="s">
        <v>37</v>
      </c>
    </row>
    <row r="16" spans="1:7" x14ac:dyDescent="0.25">
      <c r="A16" s="39"/>
      <c r="B16" s="40"/>
      <c r="C16" s="40"/>
      <c r="D16" s="40"/>
      <c r="E16" s="41" t="s">
        <v>29</v>
      </c>
      <c r="F16" s="48" t="s">
        <v>522</v>
      </c>
      <c r="G16" s="49"/>
    </row>
    <row r="17" spans="1:8" ht="18" x14ac:dyDescent="0.35">
      <c r="A17" s="50"/>
      <c r="B17" s="5"/>
      <c r="C17" s="5"/>
      <c r="D17" s="30" t="s">
        <v>19</v>
      </c>
      <c r="E17" s="23" t="s">
        <v>30</v>
      </c>
      <c r="F17" s="19" t="s">
        <v>8</v>
      </c>
      <c r="G17" s="43"/>
    </row>
    <row r="18" spans="1:8" x14ac:dyDescent="0.25">
      <c r="A18" s="637" t="s">
        <v>542</v>
      </c>
      <c r="B18" s="638"/>
      <c r="C18" s="639"/>
      <c r="D18" s="9">
        <f>'2012 Known'!B65</f>
        <v>14688684.153999999</v>
      </c>
      <c r="E18" s="17">
        <f>+D18/(D18+D20)</f>
        <v>0.66868159076321665</v>
      </c>
      <c r="F18" s="9">
        <f>'2012 Known'!C65</f>
        <v>5801645.6894999724</v>
      </c>
      <c r="G18" s="43"/>
    </row>
    <row r="19" spans="1:8" ht="15.75" thickBot="1" x14ac:dyDescent="0.3">
      <c r="A19" s="463"/>
      <c r="B19" s="464"/>
      <c r="C19" s="337" t="s">
        <v>543</v>
      </c>
      <c r="D19" s="323">
        <v>0</v>
      </c>
      <c r="E19" s="276">
        <v>0</v>
      </c>
      <c r="F19" s="323">
        <v>0</v>
      </c>
      <c r="G19" s="43"/>
    </row>
    <row r="20" spans="1:8" ht="18" x14ac:dyDescent="0.35">
      <c r="A20" s="650" t="s">
        <v>34</v>
      </c>
      <c r="B20" s="651"/>
      <c r="C20" s="652"/>
      <c r="D20" s="55">
        <f>'2012 Unknown'!B127</f>
        <v>7277950.4249999989</v>
      </c>
      <c r="E20" s="56">
        <f>+D20/(D18+D20)</f>
        <v>0.33131840923678346</v>
      </c>
      <c r="F20" s="70">
        <f>'2012 Unknown'!D127</f>
        <v>3180464.3357250034</v>
      </c>
      <c r="G20" s="72" t="s">
        <v>38</v>
      </c>
    </row>
    <row r="21" spans="1:8" ht="18.75" thickBot="1" x14ac:dyDescent="0.4">
      <c r="A21" s="44"/>
      <c r="B21" s="46"/>
      <c r="C21" s="46"/>
      <c r="D21" s="69">
        <f>+C4</f>
        <v>2012</v>
      </c>
      <c r="E21" s="51" t="s">
        <v>4</v>
      </c>
      <c r="F21" s="71">
        <f>SUM(F18:F20)</f>
        <v>8982110.0252249762</v>
      </c>
      <c r="G21" s="73">
        <f>+F21/G23</f>
        <v>1.4254233639851022</v>
      </c>
    </row>
    <row r="23" spans="1:8" ht="18" x14ac:dyDescent="0.35">
      <c r="F23" s="22" t="s">
        <v>524</v>
      </c>
      <c r="G23" s="32">
        <f>+G30</f>
        <v>6301362.9860207997</v>
      </c>
      <c r="H23" s="29"/>
    </row>
    <row r="25" spans="1:8" x14ac:dyDescent="0.25">
      <c r="E25" s="29" t="s">
        <v>22</v>
      </c>
      <c r="F25" s="24"/>
      <c r="G25" s="24"/>
    </row>
    <row r="26" spans="1:8" x14ac:dyDescent="0.25">
      <c r="E26" s="24"/>
      <c r="F26" s="24"/>
      <c r="G26" s="27" t="s">
        <v>26</v>
      </c>
    </row>
    <row r="27" spans="1:8" ht="18" x14ac:dyDescent="0.35">
      <c r="E27" s="24"/>
      <c r="F27" s="24"/>
      <c r="G27" s="28" t="s">
        <v>525</v>
      </c>
    </row>
    <row r="28" spans="1:8" x14ac:dyDescent="0.25">
      <c r="E28" s="24"/>
      <c r="F28" s="25" t="s">
        <v>23</v>
      </c>
      <c r="G28" s="26">
        <f>1131957*0.9071847</f>
        <v>1026894.0714579</v>
      </c>
    </row>
    <row r="29" spans="1:8" x14ac:dyDescent="0.25">
      <c r="E29" s="24"/>
      <c r="F29" s="25" t="s">
        <v>24</v>
      </c>
      <c r="G29" s="26">
        <f>2399078*0.9071847</f>
        <v>2176406.8557066</v>
      </c>
    </row>
    <row r="30" spans="1:8" x14ac:dyDescent="0.25">
      <c r="E30" s="24"/>
      <c r="F30" s="25" t="s">
        <v>25</v>
      </c>
      <c r="G30" s="26">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workbookViewId="0">
      <pane ySplit="1860" activePane="bottomLeft"/>
      <selection activeCell="I3" sqref="I3"/>
      <selection pane="bottomLeft" activeCell="I54" sqref="I54"/>
    </sheetView>
  </sheetViews>
  <sheetFormatPr defaultColWidth="9.140625" defaultRowHeight="12.75" x14ac:dyDescent="0.2"/>
  <cols>
    <col min="1" max="1" width="47.5703125" style="416" customWidth="1"/>
    <col min="2" max="2" width="13.140625" style="416" customWidth="1"/>
    <col min="3" max="3" width="12.7109375" style="416" customWidth="1"/>
    <col min="4" max="5" width="9.140625" style="417"/>
    <col min="6" max="6" width="9.7109375" style="417" customWidth="1"/>
    <col min="7" max="7" width="20.42578125" style="416" customWidth="1"/>
    <col min="8" max="8" width="17.5703125" style="416" bestFit="1" customWidth="1"/>
    <col min="9" max="9" width="11.28515625" style="416" bestFit="1" customWidth="1"/>
    <col min="10" max="10" width="9.28515625" style="416" bestFit="1" customWidth="1"/>
    <col min="11" max="11" width="9.7109375" style="416" bestFit="1" customWidth="1"/>
    <col min="12" max="12" width="3.5703125" style="377" customWidth="1"/>
    <col min="13" max="14" width="9.85546875" style="373" customWidth="1"/>
    <col min="15" max="16" width="9.140625" style="373"/>
    <col min="17" max="16384" width="9.140625" style="416"/>
  </cols>
  <sheetData>
    <row r="1" spans="1:17" x14ac:dyDescent="0.2">
      <c r="A1" s="414" t="s">
        <v>10</v>
      </c>
      <c r="B1" s="415">
        <v>2012</v>
      </c>
      <c r="G1" s="376"/>
      <c r="H1" s="373"/>
      <c r="I1" s="373"/>
      <c r="J1" s="373">
        <f>'EFs &amp; Rates'!I11</f>
        <v>25</v>
      </c>
      <c r="K1" s="373">
        <f>'EFs &amp; Rates'!J11</f>
        <v>298</v>
      </c>
    </row>
    <row r="2" spans="1:17" ht="14.25" x14ac:dyDescent="0.2">
      <c r="A2" s="378"/>
      <c r="B2" s="379"/>
      <c r="C2" s="380" t="s">
        <v>522</v>
      </c>
      <c r="D2" s="380"/>
      <c r="E2" s="379"/>
      <c r="F2" s="373"/>
      <c r="G2" s="376">
        <v>2012</v>
      </c>
      <c r="H2" s="381" t="s">
        <v>462</v>
      </c>
      <c r="I2" s="382">
        <f>'EFs &amp; Rates'!J5</f>
        <v>963.42025100000001</v>
      </c>
      <c r="J2" s="383" t="s">
        <v>561</v>
      </c>
      <c r="K2" s="373"/>
      <c r="N2" s="485" t="s">
        <v>578</v>
      </c>
    </row>
    <row r="3" spans="1:17" ht="51" x14ac:dyDescent="0.2">
      <c r="A3" s="384" t="s">
        <v>0</v>
      </c>
      <c r="B3" s="385" t="s">
        <v>31</v>
      </c>
      <c r="C3" s="386" t="s">
        <v>562</v>
      </c>
      <c r="D3" s="386" t="s">
        <v>424</v>
      </c>
      <c r="E3" s="385" t="s">
        <v>425</v>
      </c>
      <c r="F3" s="387" t="s">
        <v>472</v>
      </c>
      <c r="G3" s="481" t="s">
        <v>576</v>
      </c>
      <c r="H3" s="387" t="s">
        <v>469</v>
      </c>
      <c r="I3" s="388" t="s">
        <v>537</v>
      </c>
      <c r="J3" s="388" t="s">
        <v>538</v>
      </c>
      <c r="K3" s="388" t="s">
        <v>539</v>
      </c>
      <c r="M3" s="439" t="s">
        <v>575</v>
      </c>
      <c r="N3" s="439" t="s">
        <v>577</v>
      </c>
      <c r="O3" s="407" t="s">
        <v>558</v>
      </c>
      <c r="P3" s="407" t="s">
        <v>559</v>
      </c>
      <c r="Q3" s="389" t="s">
        <v>452</v>
      </c>
    </row>
    <row r="4" spans="1:17" x14ac:dyDescent="0.2">
      <c r="A4" s="418" t="s">
        <v>262</v>
      </c>
      <c r="B4" s="419">
        <v>49582.500999999997</v>
      </c>
      <c r="C4" s="419">
        <f>G4</f>
        <v>0</v>
      </c>
      <c r="D4" s="373" t="s">
        <v>464</v>
      </c>
      <c r="E4" s="417" t="s">
        <v>426</v>
      </c>
      <c r="F4" s="417" t="s">
        <v>463</v>
      </c>
      <c r="G4" s="181"/>
      <c r="K4" s="373"/>
    </row>
    <row r="5" spans="1:17" x14ac:dyDescent="0.2">
      <c r="A5" s="418" t="s">
        <v>263</v>
      </c>
      <c r="B5" s="419">
        <v>349273.41600000003</v>
      </c>
      <c r="C5" s="419">
        <f t="shared" ref="C5:C62" si="0">G5</f>
        <v>0</v>
      </c>
      <c r="D5" s="373" t="s">
        <v>464</v>
      </c>
      <c r="E5" s="417" t="s">
        <v>426</v>
      </c>
      <c r="F5" s="417" t="s">
        <v>463</v>
      </c>
      <c r="G5" s="181"/>
      <c r="K5" s="373"/>
    </row>
    <row r="6" spans="1:17" x14ac:dyDescent="0.2">
      <c r="A6" s="418" t="s">
        <v>264</v>
      </c>
      <c r="B6" s="419">
        <v>-1203.3699999999999</v>
      </c>
      <c r="C6" s="419">
        <f t="shared" si="0"/>
        <v>0</v>
      </c>
      <c r="D6" s="373" t="s">
        <v>464</v>
      </c>
      <c r="E6" s="417" t="s">
        <v>426</v>
      </c>
      <c r="F6" s="417" t="s">
        <v>463</v>
      </c>
      <c r="G6" s="181"/>
      <c r="K6" s="373"/>
    </row>
    <row r="7" spans="1:17" x14ac:dyDescent="0.2">
      <c r="A7" s="418" t="s">
        <v>265</v>
      </c>
      <c r="B7" s="419">
        <v>-636.02</v>
      </c>
      <c r="C7" s="419">
        <f t="shared" si="0"/>
        <v>0</v>
      </c>
      <c r="D7" s="373" t="s">
        <v>464</v>
      </c>
      <c r="E7" s="417" t="s">
        <v>426</v>
      </c>
      <c r="F7" s="417" t="s">
        <v>463</v>
      </c>
      <c r="G7" s="181"/>
      <c r="K7" s="373"/>
    </row>
    <row r="8" spans="1:17" x14ac:dyDescent="0.2">
      <c r="A8" s="418" t="s">
        <v>266</v>
      </c>
      <c r="B8" s="419">
        <v>349723.13699999999</v>
      </c>
      <c r="C8" s="419">
        <f t="shared" si="0"/>
        <v>0</v>
      </c>
      <c r="D8" s="373" t="s">
        <v>464</v>
      </c>
      <c r="E8" s="417" t="s">
        <v>426</v>
      </c>
      <c r="F8" s="417" t="s">
        <v>463</v>
      </c>
      <c r="G8" s="181"/>
      <c r="K8" s="373"/>
    </row>
    <row r="9" spans="1:17" x14ac:dyDescent="0.2">
      <c r="A9" s="418" t="s">
        <v>572</v>
      </c>
      <c r="B9" s="473">
        <f>1424335.012+2385189</f>
        <v>3809524.0120000001</v>
      </c>
      <c r="C9" s="419">
        <f t="shared" si="0"/>
        <v>4135425.0249789529</v>
      </c>
      <c r="D9" s="373" t="s">
        <v>464</v>
      </c>
      <c r="E9" s="417" t="s">
        <v>427</v>
      </c>
      <c r="F9" s="417" t="s">
        <v>427</v>
      </c>
      <c r="G9" s="356">
        <f t="shared" ref="G9" si="1">I9+(J9*$J$1)+(K9*$K$1)</f>
        <v>4135425.0249789529</v>
      </c>
      <c r="H9" s="470"/>
      <c r="I9" s="475">
        <v>4107969.4502230003</v>
      </c>
      <c r="J9" s="416">
        <v>401.71764074950812</v>
      </c>
      <c r="K9" s="373">
        <v>58.431656836292099</v>
      </c>
    </row>
    <row r="10" spans="1:17" x14ac:dyDescent="0.2">
      <c r="A10" s="418" t="s">
        <v>268</v>
      </c>
      <c r="B10" s="419">
        <v>108457.06999999999</v>
      </c>
      <c r="C10" s="419">
        <f t="shared" si="0"/>
        <v>51680.103999999999</v>
      </c>
      <c r="D10" s="373" t="s">
        <v>464</v>
      </c>
      <c r="E10" s="417" t="s">
        <v>429</v>
      </c>
      <c r="F10" s="417" t="s">
        <v>429</v>
      </c>
      <c r="G10" s="475">
        <v>51680.103999999999</v>
      </c>
      <c r="H10" s="470"/>
      <c r="I10" s="475"/>
      <c r="K10" s="373"/>
    </row>
    <row r="11" spans="1:17" x14ac:dyDescent="0.2">
      <c r="A11" s="418" t="s">
        <v>269</v>
      </c>
      <c r="B11" s="419">
        <v>1607.07</v>
      </c>
      <c r="C11" s="419">
        <f t="shared" si="0"/>
        <v>14719.108</v>
      </c>
      <c r="D11" s="373" t="s">
        <v>464</v>
      </c>
      <c r="E11" s="417" t="s">
        <v>429</v>
      </c>
      <c r="F11" s="417" t="s">
        <v>429</v>
      </c>
      <c r="G11" s="475">
        <v>14719.108</v>
      </c>
      <c r="H11" s="470"/>
      <c r="I11" s="475"/>
    </row>
    <row r="12" spans="1:17" x14ac:dyDescent="0.2">
      <c r="A12" s="418" t="s">
        <v>270</v>
      </c>
      <c r="B12" s="419">
        <v>175177.486</v>
      </c>
      <c r="C12" s="419">
        <f t="shared" si="0"/>
        <v>69361.531273999994</v>
      </c>
      <c r="D12" s="373" t="s">
        <v>464</v>
      </c>
      <c r="E12" s="417" t="s">
        <v>429</v>
      </c>
      <c r="F12" s="417" t="s">
        <v>429</v>
      </c>
      <c r="G12" s="475">
        <f>139140.484*0.4985</f>
        <v>69361.531273999994</v>
      </c>
      <c r="H12" s="470"/>
      <c r="I12" s="475"/>
    </row>
    <row r="13" spans="1:17" x14ac:dyDescent="0.2">
      <c r="A13" s="418" t="s">
        <v>274</v>
      </c>
      <c r="B13" s="419">
        <v>909496.56500000006</v>
      </c>
      <c r="C13" s="419">
        <f t="shared" si="0"/>
        <v>325690.44400000002</v>
      </c>
      <c r="D13" s="373" t="s">
        <v>464</v>
      </c>
      <c r="E13" s="417" t="s">
        <v>429</v>
      </c>
      <c r="F13" s="417" t="s">
        <v>429</v>
      </c>
      <c r="G13" s="475">
        <v>325690.44400000002</v>
      </c>
      <c r="H13" s="470"/>
      <c r="I13" s="475"/>
    </row>
    <row r="14" spans="1:17" x14ac:dyDescent="0.2">
      <c r="A14" s="418" t="s">
        <v>277</v>
      </c>
      <c r="B14" s="419">
        <v>1098069.3709999998</v>
      </c>
      <c r="C14" s="419">
        <f t="shared" si="0"/>
        <v>433875.39199999999</v>
      </c>
      <c r="D14" s="373" t="s">
        <v>464</v>
      </c>
      <c r="E14" s="417" t="s">
        <v>429</v>
      </c>
      <c r="F14" s="417" t="s">
        <v>429</v>
      </c>
      <c r="G14" s="475">
        <v>433875.39199999999</v>
      </c>
      <c r="H14" s="470"/>
      <c r="I14" s="475"/>
    </row>
    <row r="15" spans="1:17" x14ac:dyDescent="0.2">
      <c r="A15" s="418" t="s">
        <v>278</v>
      </c>
      <c r="B15" s="419">
        <v>223749.87400000001</v>
      </c>
      <c r="C15" s="419">
        <f t="shared" si="0"/>
        <v>106647.40399999999</v>
      </c>
      <c r="D15" s="373" t="s">
        <v>464</v>
      </c>
      <c r="E15" s="417" t="s">
        <v>429</v>
      </c>
      <c r="F15" s="417" t="s">
        <v>429</v>
      </c>
      <c r="G15" s="475">
        <v>106647.40399999999</v>
      </c>
      <c r="H15" s="470"/>
      <c r="I15" s="475"/>
    </row>
    <row r="16" spans="1:17" x14ac:dyDescent="0.2">
      <c r="A16" s="418" t="s">
        <v>267</v>
      </c>
      <c r="B16" s="473">
        <v>298.26</v>
      </c>
      <c r="C16" s="419">
        <f t="shared" si="0"/>
        <v>9852.490904160908</v>
      </c>
      <c r="D16" s="373" t="s">
        <v>464</v>
      </c>
      <c r="E16" s="417" t="s">
        <v>428</v>
      </c>
      <c r="F16" s="417" t="s">
        <v>429</v>
      </c>
      <c r="G16" s="356">
        <f t="shared" ref="G16" si="2">I16+(J16*$J$1)+(K16*$K$1)</f>
        <v>9852.490904160908</v>
      </c>
      <c r="H16" s="470"/>
      <c r="I16" s="475">
        <v>9818.7968716295454</v>
      </c>
      <c r="J16" s="416">
        <v>0.39827461620996002</v>
      </c>
      <c r="K16" s="416">
        <v>7.9654923241991998E-2</v>
      </c>
    </row>
    <row r="17" spans="1:9" x14ac:dyDescent="0.2">
      <c r="A17" s="418" t="s">
        <v>271</v>
      </c>
      <c r="B17" s="419">
        <f>17192.718+25360</f>
        <v>42552.718000000001</v>
      </c>
      <c r="C17" s="419">
        <f t="shared" si="0"/>
        <v>28513.758000000002</v>
      </c>
      <c r="D17" s="373" t="s">
        <v>464</v>
      </c>
      <c r="E17" s="417" t="s">
        <v>429</v>
      </c>
      <c r="F17" s="417" t="s">
        <v>429</v>
      </c>
      <c r="G17" s="475">
        <v>28513.758000000002</v>
      </c>
      <c r="I17" s="476"/>
    </row>
    <row r="18" spans="1:9" x14ac:dyDescent="0.2">
      <c r="A18" s="418" t="s">
        <v>273</v>
      </c>
      <c r="B18" s="419">
        <v>31650.31</v>
      </c>
      <c r="C18" s="419">
        <f t="shared" si="0"/>
        <v>30729.124</v>
      </c>
      <c r="D18" s="373" t="s">
        <v>464</v>
      </c>
      <c r="E18" s="417" t="s">
        <v>429</v>
      </c>
      <c r="F18" s="417" t="s">
        <v>429</v>
      </c>
      <c r="G18" s="475">
        <v>30729.124</v>
      </c>
    </row>
    <row r="19" spans="1:9" x14ac:dyDescent="0.2">
      <c r="A19" s="418" t="s">
        <v>275</v>
      </c>
      <c r="B19" s="419">
        <v>430639.962</v>
      </c>
      <c r="C19" s="419">
        <f t="shared" si="0"/>
        <v>0</v>
      </c>
      <c r="D19" s="373" t="s">
        <v>464</v>
      </c>
      <c r="E19" s="417" t="s">
        <v>430</v>
      </c>
      <c r="F19" s="417" t="s">
        <v>463</v>
      </c>
      <c r="G19" s="181"/>
    </row>
    <row r="20" spans="1:9" x14ac:dyDescent="0.2">
      <c r="A20" s="418" t="s">
        <v>276</v>
      </c>
      <c r="B20" s="419">
        <v>714783.17700000003</v>
      </c>
      <c r="C20" s="419">
        <f t="shared" si="0"/>
        <v>0</v>
      </c>
      <c r="D20" s="373" t="s">
        <v>464</v>
      </c>
      <c r="E20" s="417" t="s">
        <v>430</v>
      </c>
      <c r="F20" s="417" t="s">
        <v>463</v>
      </c>
      <c r="G20" s="181"/>
    </row>
    <row r="21" spans="1:9" x14ac:dyDescent="0.2">
      <c r="A21" s="418" t="s">
        <v>279</v>
      </c>
      <c r="B21" s="419">
        <v>29277.7</v>
      </c>
      <c r="C21" s="419">
        <f t="shared" si="0"/>
        <v>27310.482</v>
      </c>
      <c r="D21" s="373" t="s">
        <v>464</v>
      </c>
      <c r="E21" s="417" t="s">
        <v>429</v>
      </c>
      <c r="F21" s="417" t="s">
        <v>429</v>
      </c>
      <c r="G21" s="475">
        <v>27310.482</v>
      </c>
    </row>
    <row r="22" spans="1:9" x14ac:dyDescent="0.2">
      <c r="A22" s="418" t="s">
        <v>280</v>
      </c>
      <c r="B22" s="419">
        <v>677389.93</v>
      </c>
      <c r="C22" s="419">
        <f t="shared" si="0"/>
        <v>0</v>
      </c>
      <c r="D22" s="373" t="s">
        <v>464</v>
      </c>
      <c r="E22" s="417" t="s">
        <v>430</v>
      </c>
      <c r="F22" s="373" t="s">
        <v>463</v>
      </c>
      <c r="G22" s="477"/>
    </row>
    <row r="23" spans="1:9" x14ac:dyDescent="0.2">
      <c r="A23" s="418" t="s">
        <v>283</v>
      </c>
      <c r="B23" s="419">
        <v>190.13800000000001</v>
      </c>
      <c r="C23" s="419">
        <f t="shared" si="0"/>
        <v>0</v>
      </c>
      <c r="D23" s="373" t="s">
        <v>465</v>
      </c>
      <c r="E23" s="417" t="s">
        <v>430</v>
      </c>
      <c r="F23" s="373" t="s">
        <v>463</v>
      </c>
      <c r="G23" s="181"/>
    </row>
    <row r="24" spans="1:9" x14ac:dyDescent="0.2">
      <c r="A24" s="418" t="s">
        <v>188</v>
      </c>
      <c r="B24" s="419">
        <v>217875</v>
      </c>
      <c r="C24" s="419">
        <f t="shared" si="0"/>
        <v>95211.375</v>
      </c>
      <c r="D24" s="373" t="s">
        <v>465</v>
      </c>
      <c r="E24" s="417" t="s">
        <v>432</v>
      </c>
      <c r="F24" s="373" t="s">
        <v>432</v>
      </c>
      <c r="G24" s="466">
        <f t="shared" ref="G24:G29" si="3">(B24*$I$2)/2204.623</f>
        <v>95211.375</v>
      </c>
    </row>
    <row r="25" spans="1:9" x14ac:dyDescent="0.2">
      <c r="A25" s="418" t="s">
        <v>284</v>
      </c>
      <c r="B25" s="419">
        <v>21416.769</v>
      </c>
      <c r="C25" s="419">
        <f t="shared" si="0"/>
        <v>9359.1280530000004</v>
      </c>
      <c r="D25" s="373" t="s">
        <v>465</v>
      </c>
      <c r="E25" s="373" t="s">
        <v>432</v>
      </c>
      <c r="F25" s="373" t="s">
        <v>432</v>
      </c>
      <c r="G25" s="466">
        <f t="shared" si="3"/>
        <v>9359.1280530000004</v>
      </c>
    </row>
    <row r="26" spans="1:9" x14ac:dyDescent="0.2">
      <c r="A26" s="418" t="s">
        <v>286</v>
      </c>
      <c r="B26" s="419">
        <v>11481.12</v>
      </c>
      <c r="C26" s="419">
        <f t="shared" si="0"/>
        <v>0</v>
      </c>
      <c r="D26" s="373" t="s">
        <v>465</v>
      </c>
      <c r="E26" s="373" t="s">
        <v>426</v>
      </c>
      <c r="F26" s="417" t="s">
        <v>463</v>
      </c>
      <c r="G26" s="181"/>
    </row>
    <row r="27" spans="1:9" x14ac:dyDescent="0.2">
      <c r="A27" s="418" t="s">
        <v>191</v>
      </c>
      <c r="B27" s="419">
        <v>-449210</v>
      </c>
      <c r="C27" s="419">
        <f t="shared" si="0"/>
        <v>-196304.77</v>
      </c>
      <c r="D27" s="373" t="s">
        <v>465</v>
      </c>
      <c r="E27" s="373" t="s">
        <v>432</v>
      </c>
      <c r="F27" s="417" t="s">
        <v>432</v>
      </c>
      <c r="G27" s="466">
        <f t="shared" si="3"/>
        <v>-196304.77</v>
      </c>
    </row>
    <row r="28" spans="1:9" x14ac:dyDescent="0.2">
      <c r="A28" s="418" t="s">
        <v>173</v>
      </c>
      <c r="B28" s="419">
        <v>6832</v>
      </c>
      <c r="C28" s="419">
        <f t="shared" si="0"/>
        <v>0</v>
      </c>
      <c r="D28" s="373" t="s">
        <v>465</v>
      </c>
      <c r="E28" s="373" t="s">
        <v>426</v>
      </c>
      <c r="F28" s="417" t="s">
        <v>463</v>
      </c>
      <c r="G28" s="181"/>
    </row>
    <row r="29" spans="1:9" x14ac:dyDescent="0.2">
      <c r="A29" s="418" t="s">
        <v>287</v>
      </c>
      <c r="B29" s="419">
        <v>400153</v>
      </c>
      <c r="C29" s="419">
        <f t="shared" si="0"/>
        <v>174866.861</v>
      </c>
      <c r="D29" s="373" t="s">
        <v>465</v>
      </c>
      <c r="E29" s="373" t="s">
        <v>432</v>
      </c>
      <c r="F29" s="417" t="s">
        <v>432</v>
      </c>
      <c r="G29" s="466">
        <f t="shared" si="3"/>
        <v>174866.861</v>
      </c>
    </row>
    <row r="30" spans="1:9" x14ac:dyDescent="0.2">
      <c r="A30" s="418" t="s">
        <v>288</v>
      </c>
      <c r="B30" s="419">
        <v>3.48</v>
      </c>
      <c r="C30" s="419">
        <f t="shared" si="0"/>
        <v>0</v>
      </c>
      <c r="D30" s="373" t="s">
        <v>465</v>
      </c>
      <c r="E30" s="373" t="s">
        <v>433</v>
      </c>
      <c r="F30" s="417" t="s">
        <v>463</v>
      </c>
      <c r="G30" s="181"/>
    </row>
    <row r="31" spans="1:9" x14ac:dyDescent="0.2">
      <c r="A31" s="418" t="s">
        <v>289</v>
      </c>
      <c r="B31" s="419">
        <v>2300840</v>
      </c>
      <c r="C31" s="419">
        <f t="shared" si="0"/>
        <v>0</v>
      </c>
      <c r="D31" s="373" t="s">
        <v>465</v>
      </c>
      <c r="E31" s="373" t="s">
        <v>426</v>
      </c>
      <c r="F31" s="417" t="s">
        <v>463</v>
      </c>
      <c r="G31" s="181"/>
    </row>
    <row r="32" spans="1:9" x14ac:dyDescent="0.2">
      <c r="A32" s="418" t="s">
        <v>290</v>
      </c>
      <c r="B32" s="419">
        <v>716417</v>
      </c>
      <c r="C32" s="419">
        <f t="shared" si="0"/>
        <v>0</v>
      </c>
      <c r="D32" s="373" t="s">
        <v>465</v>
      </c>
      <c r="E32" s="373" t="s">
        <v>426</v>
      </c>
      <c r="F32" s="417" t="s">
        <v>463</v>
      </c>
      <c r="G32" s="181"/>
    </row>
    <row r="33" spans="1:15" x14ac:dyDescent="0.2">
      <c r="A33" s="418" t="s">
        <v>291</v>
      </c>
      <c r="B33" s="419">
        <v>-80276</v>
      </c>
      <c r="C33" s="419">
        <f t="shared" si="0"/>
        <v>0</v>
      </c>
      <c r="D33" s="373" t="s">
        <v>465</v>
      </c>
      <c r="E33" s="417" t="s">
        <v>426</v>
      </c>
      <c r="F33" s="417" t="s">
        <v>463</v>
      </c>
      <c r="G33" s="181"/>
    </row>
    <row r="34" spans="1:15" x14ac:dyDescent="0.2">
      <c r="A34" s="418" t="s">
        <v>292</v>
      </c>
      <c r="B34" s="419">
        <v>979910</v>
      </c>
      <c r="C34" s="419">
        <f t="shared" si="0"/>
        <v>0</v>
      </c>
      <c r="D34" s="373" t="s">
        <v>465</v>
      </c>
      <c r="E34" s="417" t="s">
        <v>426</v>
      </c>
      <c r="F34" s="417" t="s">
        <v>463</v>
      </c>
      <c r="G34" s="181"/>
    </row>
    <row r="35" spans="1:15" x14ac:dyDescent="0.2">
      <c r="A35" s="418" t="s">
        <v>293</v>
      </c>
      <c r="B35" s="419">
        <v>1390.963</v>
      </c>
      <c r="C35" s="419">
        <f t="shared" si="0"/>
        <v>0</v>
      </c>
      <c r="D35" s="373" t="s">
        <v>465</v>
      </c>
      <c r="E35" s="373" t="s">
        <v>431</v>
      </c>
      <c r="F35" s="417" t="s">
        <v>463</v>
      </c>
      <c r="G35" s="181"/>
    </row>
    <row r="36" spans="1:15" x14ac:dyDescent="0.2">
      <c r="A36" s="418" t="s">
        <v>294</v>
      </c>
      <c r="B36" s="419">
        <v>4187.8609999999999</v>
      </c>
      <c r="C36" s="419">
        <f t="shared" si="0"/>
        <v>0</v>
      </c>
      <c r="D36" s="373" t="s">
        <v>465</v>
      </c>
      <c r="E36" s="417" t="s">
        <v>431</v>
      </c>
      <c r="F36" s="417" t="s">
        <v>463</v>
      </c>
      <c r="G36" s="181"/>
    </row>
    <row r="37" spans="1:15" x14ac:dyDescent="0.2">
      <c r="A37" s="418" t="s">
        <v>295</v>
      </c>
      <c r="B37" s="419">
        <v>5803.0730000000003</v>
      </c>
      <c r="C37" s="419">
        <f t="shared" si="0"/>
        <v>0</v>
      </c>
      <c r="D37" s="373" t="s">
        <v>465</v>
      </c>
      <c r="E37" s="417" t="s">
        <v>431</v>
      </c>
      <c r="F37" s="417" t="s">
        <v>463</v>
      </c>
      <c r="G37" s="181"/>
    </row>
    <row r="38" spans="1:15" x14ac:dyDescent="0.2">
      <c r="A38" s="418" t="s">
        <v>297</v>
      </c>
      <c r="B38" s="419">
        <v>75568</v>
      </c>
      <c r="C38" s="419">
        <f t="shared" si="0"/>
        <v>0</v>
      </c>
      <c r="D38" s="373" t="s">
        <v>465</v>
      </c>
      <c r="E38" s="417" t="s">
        <v>426</v>
      </c>
      <c r="F38" s="417" t="s">
        <v>463</v>
      </c>
      <c r="G38" s="181"/>
    </row>
    <row r="39" spans="1:15" x14ac:dyDescent="0.2">
      <c r="A39" s="418" t="s">
        <v>299</v>
      </c>
      <c r="B39" s="419">
        <v>57.93</v>
      </c>
      <c r="C39" s="419">
        <f t="shared" si="0"/>
        <v>0</v>
      </c>
      <c r="D39" s="373" t="s">
        <v>465</v>
      </c>
      <c r="E39" s="417" t="s">
        <v>433</v>
      </c>
      <c r="F39" s="417" t="s">
        <v>463</v>
      </c>
      <c r="G39" s="181"/>
    </row>
    <row r="40" spans="1:15" x14ac:dyDescent="0.2">
      <c r="A40" s="418" t="s">
        <v>221</v>
      </c>
      <c r="B40" s="419">
        <v>549589</v>
      </c>
      <c r="C40" s="419">
        <f t="shared" si="0"/>
        <v>240170.39300000001</v>
      </c>
      <c r="D40" s="373" t="s">
        <v>465</v>
      </c>
      <c r="E40" s="417" t="s">
        <v>432</v>
      </c>
      <c r="F40" s="417" t="s">
        <v>432</v>
      </c>
      <c r="G40" s="466">
        <f t="shared" ref="G40" si="4">(B40*$I$2)/2204.623</f>
        <v>240170.39300000001</v>
      </c>
    </row>
    <row r="41" spans="1:15" x14ac:dyDescent="0.2">
      <c r="A41" s="418" t="s">
        <v>300</v>
      </c>
      <c r="B41" s="419">
        <v>500</v>
      </c>
      <c r="C41" s="419">
        <f t="shared" si="0"/>
        <v>200.65128985758764</v>
      </c>
      <c r="D41" s="373" t="s">
        <v>465</v>
      </c>
      <c r="E41" s="417" t="s">
        <v>429</v>
      </c>
      <c r="F41" s="417" t="s">
        <v>429</v>
      </c>
      <c r="G41" s="449">
        <f>M41*B41</f>
        <v>200.65128985758764</v>
      </c>
      <c r="H41" s="373"/>
      <c r="I41" s="181"/>
      <c r="J41" s="181"/>
      <c r="K41" s="181"/>
      <c r="M41" s="373">
        <f>N41/O41</f>
        <v>0.4013025797151753</v>
      </c>
      <c r="N41" s="373">
        <v>899499.26599999995</v>
      </c>
      <c r="O41" s="373">
        <v>2241449</v>
      </c>
    </row>
    <row r="42" spans="1:15" x14ac:dyDescent="0.2">
      <c r="A42" s="418" t="s">
        <v>301</v>
      </c>
      <c r="B42" s="419">
        <v>124794</v>
      </c>
      <c r="C42" s="419">
        <f t="shared" si="0"/>
        <v>0</v>
      </c>
      <c r="D42" s="373" t="s">
        <v>465</v>
      </c>
      <c r="E42" s="417" t="s">
        <v>430</v>
      </c>
      <c r="F42" s="417" t="s">
        <v>463</v>
      </c>
      <c r="G42" s="181"/>
    </row>
    <row r="43" spans="1:15" x14ac:dyDescent="0.2">
      <c r="A43" s="418" t="s">
        <v>302</v>
      </c>
      <c r="B43" s="419">
        <v>134.72900000000001</v>
      </c>
      <c r="C43" s="419">
        <f t="shared" si="0"/>
        <v>0</v>
      </c>
      <c r="D43" s="373" t="s">
        <v>465</v>
      </c>
      <c r="E43" s="417" t="s">
        <v>430</v>
      </c>
      <c r="F43" s="417" t="s">
        <v>463</v>
      </c>
      <c r="G43" s="181"/>
    </row>
    <row r="44" spans="1:15" x14ac:dyDescent="0.2">
      <c r="A44" s="418" t="s">
        <v>180</v>
      </c>
      <c r="B44" s="419">
        <v>120000</v>
      </c>
      <c r="C44" s="419">
        <f t="shared" si="0"/>
        <v>52440</v>
      </c>
      <c r="D44" s="373" t="s">
        <v>465</v>
      </c>
      <c r="E44" s="417" t="s">
        <v>432</v>
      </c>
      <c r="F44" s="417" t="s">
        <v>432</v>
      </c>
      <c r="G44" s="466">
        <f t="shared" ref="G44" si="5">(B44*$I$2)/2204.623</f>
        <v>52440</v>
      </c>
    </row>
    <row r="45" spans="1:15" x14ac:dyDescent="0.2">
      <c r="A45" s="418" t="s">
        <v>304</v>
      </c>
      <c r="B45" s="419">
        <v>3402</v>
      </c>
      <c r="C45" s="419">
        <f t="shared" si="0"/>
        <v>0</v>
      </c>
      <c r="D45" s="373" t="s">
        <v>465</v>
      </c>
      <c r="E45" s="417" t="s">
        <v>431</v>
      </c>
      <c r="F45" s="417" t="s">
        <v>463</v>
      </c>
      <c r="G45" s="181"/>
    </row>
    <row r="46" spans="1:15" x14ac:dyDescent="0.2">
      <c r="A46" s="418" t="s">
        <v>305</v>
      </c>
      <c r="B46" s="419">
        <v>58.277000000000001</v>
      </c>
      <c r="C46" s="419">
        <f t="shared" si="0"/>
        <v>0</v>
      </c>
      <c r="D46" s="373" t="s">
        <v>465</v>
      </c>
      <c r="E46" s="417" t="s">
        <v>431</v>
      </c>
      <c r="F46" s="417" t="s">
        <v>463</v>
      </c>
      <c r="G46" s="181"/>
    </row>
    <row r="47" spans="1:15" x14ac:dyDescent="0.2">
      <c r="A47" s="418" t="s">
        <v>182</v>
      </c>
      <c r="B47" s="419">
        <v>439124</v>
      </c>
      <c r="C47" s="419">
        <f t="shared" si="0"/>
        <v>191897.18799999999</v>
      </c>
      <c r="D47" s="373" t="s">
        <v>465</v>
      </c>
      <c r="E47" s="417" t="s">
        <v>432</v>
      </c>
      <c r="F47" s="417" t="s">
        <v>432</v>
      </c>
      <c r="G47" s="466">
        <f t="shared" ref="G47" si="6">(B47*$I$2)/2204.623</f>
        <v>191897.18799999999</v>
      </c>
    </row>
    <row r="48" spans="1:15" x14ac:dyDescent="0.2">
      <c r="A48" s="418" t="s">
        <v>306</v>
      </c>
      <c r="B48" s="419">
        <v>6421.8</v>
      </c>
      <c r="C48" s="419">
        <f t="shared" si="0"/>
        <v>0</v>
      </c>
      <c r="D48" s="373" t="s">
        <v>465</v>
      </c>
      <c r="E48" s="417" t="s">
        <v>426</v>
      </c>
      <c r="F48" s="417" t="s">
        <v>463</v>
      </c>
      <c r="G48" s="181"/>
    </row>
    <row r="49" spans="1:7" x14ac:dyDescent="0.2">
      <c r="A49" s="418" t="s">
        <v>307</v>
      </c>
      <c r="B49" s="419">
        <v>215.179</v>
      </c>
      <c r="C49" s="419">
        <f t="shared" si="0"/>
        <v>0</v>
      </c>
      <c r="D49" s="373" t="s">
        <v>465</v>
      </c>
      <c r="E49" s="417" t="s">
        <v>426</v>
      </c>
      <c r="F49" s="417" t="s">
        <v>463</v>
      </c>
      <c r="G49" s="181"/>
    </row>
    <row r="50" spans="1:7" x14ac:dyDescent="0.2">
      <c r="A50" s="418" t="s">
        <v>309</v>
      </c>
      <c r="B50" s="419">
        <v>29.4</v>
      </c>
      <c r="C50" s="419">
        <f t="shared" si="0"/>
        <v>0</v>
      </c>
      <c r="D50" s="373" t="s">
        <v>465</v>
      </c>
      <c r="E50" s="417" t="s">
        <v>430</v>
      </c>
      <c r="F50" s="417" t="s">
        <v>463</v>
      </c>
      <c r="G50" s="181"/>
    </row>
    <row r="51" spans="1:7" x14ac:dyDescent="0.2">
      <c r="A51" s="418" t="s">
        <v>311</v>
      </c>
      <c r="B51" s="419">
        <v>2762.123</v>
      </c>
      <c r="C51" s="419">
        <f t="shared" si="0"/>
        <v>0</v>
      </c>
      <c r="D51" s="373" t="s">
        <v>465</v>
      </c>
      <c r="E51" s="417" t="s">
        <v>431</v>
      </c>
      <c r="F51" s="417" t="s">
        <v>463</v>
      </c>
      <c r="G51" s="181"/>
    </row>
    <row r="52" spans="1:7" x14ac:dyDescent="0.2">
      <c r="A52" s="418" t="s">
        <v>312</v>
      </c>
      <c r="B52" s="419">
        <v>3538.12</v>
      </c>
      <c r="C52" s="419">
        <f t="shared" si="0"/>
        <v>0</v>
      </c>
      <c r="D52" s="373" t="s">
        <v>465</v>
      </c>
      <c r="E52" s="417" t="s">
        <v>431</v>
      </c>
      <c r="F52" s="417" t="s">
        <v>463</v>
      </c>
      <c r="G52" s="181"/>
    </row>
    <row r="53" spans="1:7" x14ac:dyDescent="0.2">
      <c r="A53" s="418" t="s">
        <v>313</v>
      </c>
      <c r="B53" s="419">
        <v>38227</v>
      </c>
      <c r="C53" s="419">
        <f t="shared" si="0"/>
        <v>0</v>
      </c>
      <c r="D53" s="373" t="s">
        <v>465</v>
      </c>
      <c r="E53" s="417" t="s">
        <v>426</v>
      </c>
      <c r="F53" s="417" t="s">
        <v>463</v>
      </c>
      <c r="G53" s="181"/>
    </row>
    <row r="54" spans="1:7" x14ac:dyDescent="0.2">
      <c r="A54" s="418" t="s">
        <v>285</v>
      </c>
      <c r="B54" s="419">
        <v>2787.3119999999999</v>
      </c>
      <c r="C54" s="419">
        <f t="shared" si="0"/>
        <v>0</v>
      </c>
      <c r="D54" s="373" t="s">
        <v>465</v>
      </c>
      <c r="E54" s="417" t="s">
        <v>431</v>
      </c>
      <c r="F54" s="417" t="s">
        <v>463</v>
      </c>
      <c r="G54" s="181"/>
    </row>
    <row r="55" spans="1:7" x14ac:dyDescent="0.2">
      <c r="A55" s="418" t="s">
        <v>317</v>
      </c>
      <c r="B55" s="419">
        <v>1243.96</v>
      </c>
      <c r="C55" s="419">
        <f t="shared" si="0"/>
        <v>0</v>
      </c>
      <c r="D55" s="373" t="s">
        <v>465</v>
      </c>
      <c r="E55" s="417" t="s">
        <v>426</v>
      </c>
      <c r="F55" s="417" t="s">
        <v>463</v>
      </c>
      <c r="G55" s="181"/>
    </row>
    <row r="56" spans="1:7" x14ac:dyDescent="0.2">
      <c r="A56" s="418" t="s">
        <v>318</v>
      </c>
      <c r="B56" s="419">
        <v>42519.24</v>
      </c>
      <c r="C56" s="419">
        <f t="shared" si="0"/>
        <v>0</v>
      </c>
      <c r="D56" s="373" t="s">
        <v>465</v>
      </c>
      <c r="E56" s="417" t="s">
        <v>426</v>
      </c>
      <c r="F56" s="417" t="s">
        <v>463</v>
      </c>
      <c r="G56" s="181"/>
    </row>
    <row r="57" spans="1:7" x14ac:dyDescent="0.2">
      <c r="A57" s="418" t="s">
        <v>319</v>
      </c>
      <c r="B57" s="419">
        <v>95.68</v>
      </c>
      <c r="C57" s="419">
        <f t="shared" si="0"/>
        <v>0</v>
      </c>
      <c r="D57" s="373" t="s">
        <v>465</v>
      </c>
      <c r="E57" s="417" t="s">
        <v>431</v>
      </c>
      <c r="F57" s="417" t="s">
        <v>463</v>
      </c>
      <c r="G57" s="181"/>
    </row>
    <row r="58" spans="1:7" x14ac:dyDescent="0.2">
      <c r="A58" s="418" t="s">
        <v>321</v>
      </c>
      <c r="B58" s="419">
        <v>25294.784</v>
      </c>
      <c r="C58" s="419">
        <f t="shared" si="0"/>
        <v>0</v>
      </c>
      <c r="D58" s="373" t="s">
        <v>465</v>
      </c>
      <c r="E58" s="417" t="s">
        <v>426</v>
      </c>
      <c r="F58" s="417" t="s">
        <v>463</v>
      </c>
      <c r="G58" s="181"/>
    </row>
    <row r="59" spans="1:7" x14ac:dyDescent="0.2">
      <c r="A59" s="418" t="s">
        <v>322</v>
      </c>
      <c r="B59" s="419">
        <v>1475.0070000000001</v>
      </c>
      <c r="C59" s="419">
        <f t="shared" si="0"/>
        <v>0</v>
      </c>
      <c r="D59" s="373" t="s">
        <v>465</v>
      </c>
      <c r="E59" s="417" t="s">
        <v>431</v>
      </c>
      <c r="F59" s="417" t="s">
        <v>463</v>
      </c>
      <c r="G59" s="181"/>
    </row>
    <row r="60" spans="1:7" x14ac:dyDescent="0.2">
      <c r="A60" s="418" t="s">
        <v>325</v>
      </c>
      <c r="B60" s="419">
        <v>1478.24</v>
      </c>
      <c r="C60" s="419">
        <f t="shared" si="0"/>
        <v>0</v>
      </c>
      <c r="D60" s="373" t="s">
        <v>465</v>
      </c>
      <c r="E60" s="417" t="s">
        <v>426</v>
      </c>
      <c r="F60" s="417" t="s">
        <v>463</v>
      </c>
      <c r="G60" s="181"/>
    </row>
    <row r="61" spans="1:7" x14ac:dyDescent="0.2">
      <c r="A61" s="418" t="s">
        <v>326</v>
      </c>
      <c r="B61" s="419">
        <v>95827.199999999997</v>
      </c>
      <c r="C61" s="419">
        <f t="shared" si="0"/>
        <v>0</v>
      </c>
      <c r="D61" s="373" t="s">
        <v>465</v>
      </c>
      <c r="E61" s="417" t="s">
        <v>426</v>
      </c>
      <c r="F61" s="417" t="s">
        <v>463</v>
      </c>
      <c r="G61" s="181"/>
    </row>
    <row r="62" spans="1:7" x14ac:dyDescent="0.2">
      <c r="A62" s="418" t="s">
        <v>327</v>
      </c>
      <c r="B62" s="419">
        <v>17113.599999999999</v>
      </c>
      <c r="C62" s="419">
        <f t="shared" si="0"/>
        <v>0</v>
      </c>
      <c r="D62" s="373" t="s">
        <v>465</v>
      </c>
      <c r="E62" s="417" t="s">
        <v>426</v>
      </c>
      <c r="F62" s="417" t="s">
        <v>463</v>
      </c>
      <c r="G62" s="181"/>
    </row>
    <row r="63" spans="1:7" x14ac:dyDescent="0.2">
      <c r="A63" s="418"/>
      <c r="B63" s="419"/>
      <c r="C63" s="419"/>
    </row>
    <row r="64" spans="1:7" ht="13.5" thickBot="1" x14ac:dyDescent="0.25">
      <c r="A64" s="420"/>
      <c r="B64" s="421"/>
      <c r="C64" s="421"/>
    </row>
    <row r="65" spans="2:3" ht="14.25" thickTop="1" thickBot="1" x14ac:dyDescent="0.25">
      <c r="B65" s="422">
        <f>SUM(B4:B64)</f>
        <v>14688684.153999999</v>
      </c>
      <c r="C65" s="422">
        <f>SUM(C4:C64)</f>
        <v>5801645.6894999724</v>
      </c>
    </row>
  </sheetData>
  <autoFilter ref="A1:K62"/>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topLeftCell="A100" workbookViewId="0">
      <selection activeCell="I30" sqref="I30"/>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 min="10" max="11" width="29.7109375" customWidth="1"/>
    <col min="12" max="12" width="15.7109375" style="96" customWidth="1"/>
  </cols>
  <sheetData>
    <row r="1" spans="1:12" ht="19.5" x14ac:dyDescent="0.35">
      <c r="A1" s="2" t="s">
        <v>32</v>
      </c>
      <c r="B1" s="183">
        <v>2012</v>
      </c>
      <c r="D1" s="7" t="s">
        <v>2</v>
      </c>
      <c r="H1" s="121">
        <f>'EFs &amp; Rates'!J5</f>
        <v>963.42025100000001</v>
      </c>
      <c r="I1" t="s">
        <v>6</v>
      </c>
    </row>
    <row r="2" spans="1:12" ht="18.75" x14ac:dyDescent="0.3">
      <c r="A2" s="2"/>
      <c r="B2" s="10" t="s">
        <v>31</v>
      </c>
      <c r="C2" s="10" t="s">
        <v>1</v>
      </c>
      <c r="D2" s="10" t="s">
        <v>522</v>
      </c>
      <c r="E2" s="3"/>
      <c r="F2" s="36" t="s">
        <v>9</v>
      </c>
      <c r="G2" s="35">
        <v>2012</v>
      </c>
      <c r="H2" s="37"/>
    </row>
    <row r="3" spans="1:12" ht="19.5" x14ac:dyDescent="0.35">
      <c r="A3" s="4" t="s">
        <v>0</v>
      </c>
      <c r="B3" s="11"/>
      <c r="C3" s="11" t="s">
        <v>7</v>
      </c>
      <c r="D3" s="11" t="s">
        <v>8</v>
      </c>
      <c r="E3" s="6"/>
    </row>
    <row r="4" spans="1:12" x14ac:dyDescent="0.25">
      <c r="A4" s="31"/>
      <c r="B4" s="32"/>
      <c r="C4" s="93"/>
      <c r="D4" s="9"/>
      <c r="J4" s="89" t="s">
        <v>170</v>
      </c>
      <c r="K4" t="s">
        <v>612</v>
      </c>
      <c r="L4" s="96">
        <v>-52.36</v>
      </c>
    </row>
    <row r="5" spans="1:12" x14ac:dyDescent="0.25">
      <c r="A5" s="31"/>
      <c r="B5" s="32"/>
      <c r="C5" s="93"/>
      <c r="D5" s="9"/>
      <c r="J5" s="89" t="s">
        <v>170</v>
      </c>
      <c r="K5" t="s">
        <v>613</v>
      </c>
      <c r="L5" s="96">
        <v>-101.64</v>
      </c>
    </row>
    <row r="6" spans="1:12" x14ac:dyDescent="0.25">
      <c r="A6" s="31" t="str">
        <f t="shared" ref="A6:A68" si="0">J6</f>
        <v>Avista Corp. WWP Division</v>
      </c>
      <c r="B6" s="32">
        <f t="shared" ref="B6:B68" si="1">L6</f>
        <v>126962.18</v>
      </c>
      <c r="C6" s="93">
        <f t="shared" ref="C6:C68" si="2">IF(B6&lt;&gt;0,$H$1,"")</f>
        <v>963.42025100000001</v>
      </c>
      <c r="D6" s="9">
        <f t="shared" ref="D6:D68" si="3">(+B6*C6)/2204.623</f>
        <v>55482.472659999992</v>
      </c>
      <c r="J6" t="s">
        <v>187</v>
      </c>
      <c r="K6" t="s">
        <v>608</v>
      </c>
      <c r="L6" s="96">
        <v>126962.18</v>
      </c>
    </row>
    <row r="7" spans="1:12" x14ac:dyDescent="0.25">
      <c r="A7" s="31" t="str">
        <f t="shared" si="0"/>
        <v>Barclays Bank Plc</v>
      </c>
      <c r="B7" s="32">
        <f t="shared" si="1"/>
        <v>22000</v>
      </c>
      <c r="C7" s="93">
        <f t="shared" si="2"/>
        <v>963.42025100000001</v>
      </c>
      <c r="D7" s="9">
        <f t="shared" si="3"/>
        <v>9614</v>
      </c>
      <c r="J7" t="s">
        <v>188</v>
      </c>
      <c r="K7" t="s">
        <v>608</v>
      </c>
      <c r="L7" s="96">
        <v>22000</v>
      </c>
    </row>
    <row r="8" spans="1:12" x14ac:dyDescent="0.25">
      <c r="A8" s="31" t="str">
        <f t="shared" si="0"/>
        <v>Black Hills Power</v>
      </c>
      <c r="B8" s="32">
        <f t="shared" si="1"/>
        <v>1600</v>
      </c>
      <c r="C8" s="93">
        <f t="shared" si="2"/>
        <v>963.42025100000001</v>
      </c>
      <c r="D8" s="9">
        <f t="shared" si="3"/>
        <v>699.19999999999993</v>
      </c>
      <c r="J8" t="s">
        <v>189</v>
      </c>
      <c r="K8" t="s">
        <v>608</v>
      </c>
      <c r="L8" s="96">
        <v>1600</v>
      </c>
    </row>
    <row r="9" spans="1:12" x14ac:dyDescent="0.25">
      <c r="A9" s="31"/>
      <c r="B9" s="32"/>
      <c r="C9" s="93"/>
      <c r="D9" s="9"/>
      <c r="J9" s="89" t="s">
        <v>191</v>
      </c>
      <c r="K9" t="s">
        <v>608</v>
      </c>
      <c r="L9" s="96">
        <v>-2428057</v>
      </c>
    </row>
    <row r="10" spans="1:12" x14ac:dyDescent="0.25">
      <c r="A10" s="31" t="str">
        <f t="shared" si="0"/>
        <v>BP Energy Co.</v>
      </c>
      <c r="B10" s="32">
        <f t="shared" si="1"/>
        <v>1236010</v>
      </c>
      <c r="C10" s="93">
        <f t="shared" si="2"/>
        <v>963.42025100000001</v>
      </c>
      <c r="D10" s="9">
        <f t="shared" si="3"/>
        <v>540136.37</v>
      </c>
      <c r="J10" t="s">
        <v>192</v>
      </c>
      <c r="K10" t="s">
        <v>608</v>
      </c>
      <c r="L10" s="96">
        <v>1236010</v>
      </c>
    </row>
    <row r="11" spans="1:12" x14ac:dyDescent="0.25">
      <c r="A11" s="31" t="str">
        <f t="shared" si="0"/>
        <v>BPA</v>
      </c>
      <c r="B11" s="32">
        <f t="shared" si="1"/>
        <v>384112.7</v>
      </c>
      <c r="C11" s="93">
        <f t="shared" si="2"/>
        <v>963.42025100000001</v>
      </c>
      <c r="D11" s="9">
        <f t="shared" si="3"/>
        <v>167857.2499</v>
      </c>
      <c r="J11" t="s">
        <v>173</v>
      </c>
      <c r="K11" t="s">
        <v>608</v>
      </c>
      <c r="L11" s="96">
        <v>384112.7</v>
      </c>
    </row>
    <row r="12" spans="1:12" x14ac:dyDescent="0.25">
      <c r="A12" s="31" t="str">
        <f t="shared" si="0"/>
        <v>Brookfield Energy Marketing</v>
      </c>
      <c r="B12" s="32">
        <f t="shared" si="1"/>
        <v>1200</v>
      </c>
      <c r="C12" s="93">
        <f t="shared" si="2"/>
        <v>963.42025100000001</v>
      </c>
      <c r="D12" s="9">
        <f t="shared" si="3"/>
        <v>524.40000000000009</v>
      </c>
      <c r="J12" t="s">
        <v>194</v>
      </c>
      <c r="K12" t="s">
        <v>608</v>
      </c>
      <c r="L12" s="96">
        <v>1200</v>
      </c>
    </row>
    <row r="13" spans="1:12" x14ac:dyDescent="0.25">
      <c r="A13" s="31" t="str">
        <f t="shared" si="0"/>
        <v>Calpine Energy Services</v>
      </c>
      <c r="B13" s="32">
        <f t="shared" si="1"/>
        <v>467588</v>
      </c>
      <c r="C13" s="93">
        <f t="shared" si="2"/>
        <v>963.42025100000001</v>
      </c>
      <c r="D13" s="9">
        <f t="shared" si="3"/>
        <v>204335.95600000001</v>
      </c>
      <c r="J13" t="s">
        <v>198</v>
      </c>
      <c r="K13" t="s">
        <v>608</v>
      </c>
      <c r="L13" s="96">
        <v>467588</v>
      </c>
    </row>
    <row r="14" spans="1:12" x14ac:dyDescent="0.25">
      <c r="A14" s="31" t="str">
        <f t="shared" si="0"/>
        <v>Cargill Power Markets</v>
      </c>
      <c r="B14" s="32">
        <f t="shared" si="1"/>
        <v>252059</v>
      </c>
      <c r="C14" s="93">
        <f t="shared" si="2"/>
        <v>963.42025100000001</v>
      </c>
      <c r="D14" s="9">
        <f t="shared" si="3"/>
        <v>110149.783</v>
      </c>
      <c r="J14" t="s">
        <v>174</v>
      </c>
      <c r="K14" t="s">
        <v>608</v>
      </c>
      <c r="L14" s="96">
        <v>252059</v>
      </c>
    </row>
    <row r="15" spans="1:12" x14ac:dyDescent="0.25">
      <c r="A15" s="31" t="str">
        <f t="shared" si="0"/>
        <v>Chelan County PUD #1</v>
      </c>
      <c r="B15" s="32">
        <f t="shared" si="1"/>
        <v>124383</v>
      </c>
      <c r="C15" s="93">
        <f t="shared" si="2"/>
        <v>963.42025100000001</v>
      </c>
      <c r="D15" s="9">
        <f t="shared" si="3"/>
        <v>54355.370999999999</v>
      </c>
      <c r="J15" t="s">
        <v>199</v>
      </c>
      <c r="K15" t="s">
        <v>608</v>
      </c>
      <c r="L15" s="96">
        <v>124383</v>
      </c>
    </row>
    <row r="16" spans="1:12" x14ac:dyDescent="0.25">
      <c r="A16" s="31" t="str">
        <f t="shared" si="0"/>
        <v>Citigroup Energy Inc</v>
      </c>
      <c r="B16" s="32">
        <f t="shared" si="1"/>
        <v>1014046</v>
      </c>
      <c r="C16" s="93">
        <f t="shared" si="2"/>
        <v>963.42025100000001</v>
      </c>
      <c r="D16" s="9">
        <f t="shared" si="3"/>
        <v>443138.10200000001</v>
      </c>
      <c r="J16" t="s">
        <v>185</v>
      </c>
      <c r="K16" t="s">
        <v>608</v>
      </c>
      <c r="L16" s="96">
        <v>1014046</v>
      </c>
    </row>
    <row r="17" spans="1:12" x14ac:dyDescent="0.25">
      <c r="A17" s="31" t="str">
        <f t="shared" si="0"/>
        <v>Clark Public Utilities</v>
      </c>
      <c r="B17" s="32">
        <f t="shared" si="1"/>
        <v>26743</v>
      </c>
      <c r="C17" s="93">
        <f t="shared" si="2"/>
        <v>963.42025100000001</v>
      </c>
      <c r="D17" s="9">
        <f t="shared" si="3"/>
        <v>11686.691000000001</v>
      </c>
      <c r="J17" t="s">
        <v>201</v>
      </c>
      <c r="K17" t="s">
        <v>608</v>
      </c>
      <c r="L17" s="96">
        <v>26743</v>
      </c>
    </row>
    <row r="18" spans="1:12" x14ac:dyDescent="0.25">
      <c r="A18" s="31" t="str">
        <f t="shared" si="0"/>
        <v>Clatskanie PUD</v>
      </c>
      <c r="B18" s="32">
        <f t="shared" si="1"/>
        <v>11019</v>
      </c>
      <c r="C18" s="93">
        <f t="shared" si="2"/>
        <v>963.42025100000001</v>
      </c>
      <c r="D18" s="9">
        <f t="shared" si="3"/>
        <v>4815.3029999999999</v>
      </c>
      <c r="J18" t="s">
        <v>202</v>
      </c>
      <c r="K18" t="s">
        <v>608</v>
      </c>
      <c r="L18" s="96">
        <v>11019</v>
      </c>
    </row>
    <row r="19" spans="1:12" x14ac:dyDescent="0.25">
      <c r="A19" s="31" t="str">
        <f t="shared" si="0"/>
        <v>Constellation Power Source, Inc.</v>
      </c>
      <c r="B19" s="32">
        <f t="shared" si="1"/>
        <v>65386</v>
      </c>
      <c r="C19" s="93">
        <f t="shared" si="2"/>
        <v>963.42025100000001</v>
      </c>
      <c r="D19" s="9">
        <f t="shared" si="3"/>
        <v>28573.682000000001</v>
      </c>
      <c r="J19" t="s">
        <v>175</v>
      </c>
      <c r="K19" t="s">
        <v>608</v>
      </c>
      <c r="L19" s="96">
        <v>65386</v>
      </c>
    </row>
    <row r="20" spans="1:12" x14ac:dyDescent="0.25">
      <c r="A20" s="31" t="str">
        <f t="shared" si="0"/>
        <v>CP Energy Marketing (Epcor)</v>
      </c>
      <c r="B20" s="32">
        <f t="shared" si="1"/>
        <v>1133</v>
      </c>
      <c r="C20" s="93">
        <f t="shared" si="2"/>
        <v>963.42025100000001</v>
      </c>
      <c r="D20" s="9">
        <f t="shared" si="3"/>
        <v>495.12099999999998</v>
      </c>
      <c r="J20" t="s">
        <v>204</v>
      </c>
      <c r="K20" t="s">
        <v>608</v>
      </c>
      <c r="L20" s="96">
        <v>1133</v>
      </c>
    </row>
    <row r="21" spans="1:12" x14ac:dyDescent="0.25">
      <c r="A21" s="31" t="str">
        <f t="shared" si="0"/>
        <v>DB Energy Trading LLC</v>
      </c>
      <c r="B21" s="32">
        <f t="shared" si="1"/>
        <v>502043</v>
      </c>
      <c r="C21" s="93">
        <f t="shared" si="2"/>
        <v>963.42025100000001</v>
      </c>
      <c r="D21" s="9">
        <f t="shared" si="3"/>
        <v>219392.791</v>
      </c>
      <c r="J21" t="s">
        <v>206</v>
      </c>
      <c r="K21" t="s">
        <v>608</v>
      </c>
      <c r="L21" s="96">
        <v>502043</v>
      </c>
    </row>
    <row r="22" spans="1:12" x14ac:dyDescent="0.25">
      <c r="A22" s="31" t="str">
        <f t="shared" si="0"/>
        <v>Douglas County PUD #1</v>
      </c>
      <c r="B22" s="32">
        <f t="shared" si="1"/>
        <v>336342</v>
      </c>
      <c r="C22" s="93">
        <f t="shared" si="2"/>
        <v>963.42025100000001</v>
      </c>
      <c r="D22" s="9">
        <f t="shared" si="3"/>
        <v>146981.454</v>
      </c>
      <c r="J22" t="s">
        <v>177</v>
      </c>
      <c r="K22" t="s">
        <v>608</v>
      </c>
      <c r="L22" s="96">
        <v>336342</v>
      </c>
    </row>
    <row r="23" spans="1:12" x14ac:dyDescent="0.25">
      <c r="A23" s="31" t="str">
        <f t="shared" si="0"/>
        <v>EDF Trading NA LLC</v>
      </c>
      <c r="B23" s="32">
        <f t="shared" si="1"/>
        <v>222630</v>
      </c>
      <c r="C23" s="93">
        <f t="shared" si="2"/>
        <v>963.42025100000001</v>
      </c>
      <c r="D23" s="9">
        <f t="shared" si="3"/>
        <v>97289.31</v>
      </c>
      <c r="J23" t="s">
        <v>208</v>
      </c>
      <c r="K23" t="s">
        <v>608</v>
      </c>
      <c r="L23" s="96">
        <v>222630</v>
      </c>
    </row>
    <row r="24" spans="1:12" x14ac:dyDescent="0.25">
      <c r="A24" s="31" t="str">
        <f t="shared" si="0"/>
        <v>ENMAX Energy Marketing, Inc.</v>
      </c>
      <c r="B24" s="32">
        <f t="shared" si="1"/>
        <v>75</v>
      </c>
      <c r="C24" s="93">
        <f t="shared" si="2"/>
        <v>963.42025100000001</v>
      </c>
      <c r="D24" s="9">
        <f t="shared" si="3"/>
        <v>32.775000000000006</v>
      </c>
      <c r="J24" t="s">
        <v>210</v>
      </c>
      <c r="K24" t="s">
        <v>608</v>
      </c>
      <c r="L24" s="96">
        <v>75</v>
      </c>
    </row>
    <row r="25" spans="1:12" x14ac:dyDescent="0.25">
      <c r="A25" s="31" t="str">
        <f t="shared" si="0"/>
        <v>Eugene Water &amp; Electric</v>
      </c>
      <c r="B25" s="32">
        <f t="shared" si="1"/>
        <v>42962</v>
      </c>
      <c r="C25" s="93">
        <f t="shared" si="2"/>
        <v>963.42025100000001</v>
      </c>
      <c r="D25" s="9">
        <f t="shared" si="3"/>
        <v>18774.394</v>
      </c>
      <c r="J25" t="s">
        <v>211</v>
      </c>
      <c r="K25" t="s">
        <v>608</v>
      </c>
      <c r="L25" s="96">
        <v>42962</v>
      </c>
    </row>
    <row r="26" spans="1:12" x14ac:dyDescent="0.25">
      <c r="A26" s="31" t="str">
        <f t="shared" si="0"/>
        <v>Grant County PUD #2</v>
      </c>
      <c r="B26" s="32">
        <f t="shared" si="1"/>
        <v>36506</v>
      </c>
      <c r="C26" s="93">
        <f t="shared" si="2"/>
        <v>963.42025100000001</v>
      </c>
      <c r="D26" s="9">
        <f t="shared" si="3"/>
        <v>15953.122000000001</v>
      </c>
      <c r="J26" t="s">
        <v>213</v>
      </c>
      <c r="K26" t="s">
        <v>608</v>
      </c>
      <c r="L26" s="96">
        <v>36506</v>
      </c>
    </row>
    <row r="27" spans="1:12" x14ac:dyDescent="0.25">
      <c r="A27" s="31" t="str">
        <f t="shared" si="0"/>
        <v>Iberdrola Renewables (PPM Energy)</v>
      </c>
      <c r="B27" s="32">
        <f t="shared" si="1"/>
        <v>561582</v>
      </c>
      <c r="C27" s="93">
        <f t="shared" si="2"/>
        <v>963.42025100000001</v>
      </c>
      <c r="D27" s="9">
        <f t="shared" si="3"/>
        <v>245411.33399999997</v>
      </c>
      <c r="J27" t="s">
        <v>215</v>
      </c>
      <c r="K27" t="s">
        <v>608</v>
      </c>
      <c r="L27" s="96">
        <v>561582</v>
      </c>
    </row>
    <row r="28" spans="1:12" x14ac:dyDescent="0.25">
      <c r="A28" s="31" t="str">
        <f t="shared" si="0"/>
        <v>Idaho Falls Power</v>
      </c>
      <c r="B28" s="32">
        <f t="shared" si="1"/>
        <v>25</v>
      </c>
      <c r="C28" s="93">
        <f t="shared" si="2"/>
        <v>963.42025100000001</v>
      </c>
      <c r="D28" s="9">
        <f t="shared" si="3"/>
        <v>10.924999999999999</v>
      </c>
      <c r="J28" t="s">
        <v>216</v>
      </c>
      <c r="K28" t="s">
        <v>608</v>
      </c>
      <c r="L28" s="96">
        <v>25</v>
      </c>
    </row>
    <row r="29" spans="1:12" x14ac:dyDescent="0.25">
      <c r="A29" s="31" t="str">
        <f t="shared" si="0"/>
        <v>Idaho Power Company</v>
      </c>
      <c r="B29" s="32">
        <f t="shared" si="1"/>
        <v>10082</v>
      </c>
      <c r="C29" s="93">
        <f t="shared" si="2"/>
        <v>963.42025100000001</v>
      </c>
      <c r="D29" s="9">
        <f t="shared" si="3"/>
        <v>4405.8340000000007</v>
      </c>
      <c r="J29" t="s">
        <v>217</v>
      </c>
      <c r="K29" t="s">
        <v>608</v>
      </c>
      <c r="L29" s="96">
        <v>10082</v>
      </c>
    </row>
    <row r="30" spans="1:12" x14ac:dyDescent="0.25">
      <c r="A30" s="31" t="str">
        <f t="shared" si="0"/>
        <v>J. Aron &amp; Company</v>
      </c>
      <c r="B30" s="32">
        <f t="shared" si="1"/>
        <v>2400</v>
      </c>
      <c r="C30" s="93">
        <f t="shared" si="2"/>
        <v>963.42025100000001</v>
      </c>
      <c r="D30" s="9">
        <f t="shared" si="3"/>
        <v>1048.8000000000002</v>
      </c>
      <c r="J30" t="s">
        <v>220</v>
      </c>
      <c r="K30" t="s">
        <v>608</v>
      </c>
      <c r="L30" s="96">
        <v>2400</v>
      </c>
    </row>
    <row r="31" spans="1:12" x14ac:dyDescent="0.25">
      <c r="A31" s="31" t="str">
        <f t="shared" si="0"/>
        <v>JP Morgan Ventures Energy</v>
      </c>
      <c r="B31" s="32">
        <f t="shared" si="1"/>
        <v>1278611</v>
      </c>
      <c r="C31" s="93">
        <f t="shared" si="2"/>
        <v>963.42025100000001</v>
      </c>
      <c r="D31" s="9">
        <f t="shared" si="3"/>
        <v>558753.00699999998</v>
      </c>
      <c r="J31" t="s">
        <v>221</v>
      </c>
      <c r="K31" t="s">
        <v>608</v>
      </c>
      <c r="L31" s="96">
        <v>1278611</v>
      </c>
    </row>
    <row r="32" spans="1:12" x14ac:dyDescent="0.25">
      <c r="A32" s="31" t="str">
        <f t="shared" si="0"/>
        <v>Merrill Lynch Commodities</v>
      </c>
      <c r="B32" s="32">
        <f t="shared" si="1"/>
        <v>269356</v>
      </c>
      <c r="C32" s="93">
        <f t="shared" si="2"/>
        <v>963.42025100000001</v>
      </c>
      <c r="D32" s="9">
        <f t="shared" si="3"/>
        <v>117708.572</v>
      </c>
      <c r="J32" t="s">
        <v>223</v>
      </c>
      <c r="K32" t="s">
        <v>608</v>
      </c>
      <c r="L32" s="96">
        <v>269356</v>
      </c>
    </row>
    <row r="33" spans="1:12" x14ac:dyDescent="0.25">
      <c r="A33" s="31" t="str">
        <f t="shared" si="0"/>
        <v>Morgan Stanley CG</v>
      </c>
      <c r="B33" s="32">
        <f t="shared" si="1"/>
        <v>1078306</v>
      </c>
      <c r="C33" s="93">
        <f t="shared" si="2"/>
        <v>963.42025100000001</v>
      </c>
      <c r="D33" s="9">
        <f t="shared" si="3"/>
        <v>471219.72200000001</v>
      </c>
      <c r="J33" t="s">
        <v>178</v>
      </c>
      <c r="K33" t="s">
        <v>608</v>
      </c>
      <c r="L33" s="96">
        <v>1078306</v>
      </c>
    </row>
    <row r="34" spans="1:12" x14ac:dyDescent="0.25">
      <c r="A34" s="31" t="str">
        <f t="shared" si="0"/>
        <v>Natur Ener USA</v>
      </c>
      <c r="B34" s="32">
        <f t="shared" si="1"/>
        <v>448</v>
      </c>
      <c r="C34" s="93">
        <f t="shared" si="2"/>
        <v>963.42025100000001</v>
      </c>
      <c r="D34" s="9">
        <f t="shared" si="3"/>
        <v>195.77600000000001</v>
      </c>
      <c r="J34" t="s">
        <v>226</v>
      </c>
      <c r="K34" t="s">
        <v>608</v>
      </c>
      <c r="L34" s="96">
        <v>448</v>
      </c>
    </row>
    <row r="35" spans="1:12" x14ac:dyDescent="0.25">
      <c r="A35" s="31" t="str">
        <f t="shared" si="0"/>
        <v>NextEra Energy Power Marketing</v>
      </c>
      <c r="B35" s="32">
        <f t="shared" si="1"/>
        <v>113935</v>
      </c>
      <c r="C35" s="93">
        <f t="shared" si="2"/>
        <v>963.42025100000001</v>
      </c>
      <c r="D35" s="9">
        <f t="shared" si="3"/>
        <v>49789.595000000001</v>
      </c>
      <c r="J35" t="s">
        <v>227</v>
      </c>
      <c r="K35" t="s">
        <v>608</v>
      </c>
      <c r="L35" s="96">
        <v>113935</v>
      </c>
    </row>
    <row r="36" spans="1:12" x14ac:dyDescent="0.25">
      <c r="A36" s="31" t="str">
        <f t="shared" si="0"/>
        <v>Noble Americas Energy Solutions</v>
      </c>
      <c r="B36" s="32">
        <f t="shared" si="1"/>
        <v>800</v>
      </c>
      <c r="C36" s="93">
        <f t="shared" si="2"/>
        <v>963.42025100000001</v>
      </c>
      <c r="D36" s="9">
        <f t="shared" si="3"/>
        <v>349.59999999999997</v>
      </c>
      <c r="J36" t="s">
        <v>228</v>
      </c>
      <c r="K36" t="s">
        <v>608</v>
      </c>
      <c r="L36" s="96">
        <v>800</v>
      </c>
    </row>
    <row r="37" spans="1:12" x14ac:dyDescent="0.25">
      <c r="A37" s="31" t="str">
        <f t="shared" si="0"/>
        <v>Noble Americas Gas &amp; Power</v>
      </c>
      <c r="B37" s="32">
        <f t="shared" si="1"/>
        <v>800</v>
      </c>
      <c r="C37" s="93">
        <f t="shared" si="2"/>
        <v>963.42025100000001</v>
      </c>
      <c r="D37" s="9">
        <f t="shared" si="3"/>
        <v>349.59999999999997</v>
      </c>
      <c r="J37" t="s">
        <v>229</v>
      </c>
      <c r="K37" t="s">
        <v>608</v>
      </c>
      <c r="L37" s="96">
        <v>800</v>
      </c>
    </row>
    <row r="38" spans="1:12" x14ac:dyDescent="0.25">
      <c r="A38" s="31" t="str">
        <f t="shared" si="0"/>
        <v>NorthPoint Energy Solutions, Inc.</v>
      </c>
      <c r="B38" s="32">
        <f t="shared" si="1"/>
        <v>4</v>
      </c>
      <c r="C38" s="93">
        <f t="shared" si="2"/>
        <v>963.42025100000001</v>
      </c>
      <c r="D38" s="9">
        <f t="shared" si="3"/>
        <v>1.748</v>
      </c>
      <c r="J38" t="s">
        <v>230</v>
      </c>
      <c r="K38" t="s">
        <v>608</v>
      </c>
      <c r="L38" s="96">
        <v>4</v>
      </c>
    </row>
    <row r="39" spans="1:12" x14ac:dyDescent="0.25">
      <c r="A39" s="31" t="str">
        <f t="shared" si="0"/>
        <v>Northwestern Energy</v>
      </c>
      <c r="B39" s="32">
        <f t="shared" si="1"/>
        <v>3418</v>
      </c>
      <c r="C39" s="93">
        <f t="shared" si="2"/>
        <v>963.42025100000001</v>
      </c>
      <c r="D39" s="9">
        <f t="shared" si="3"/>
        <v>1493.6659999999999</v>
      </c>
      <c r="J39" t="s">
        <v>231</v>
      </c>
      <c r="K39" t="s">
        <v>608</v>
      </c>
      <c r="L39" s="96">
        <v>3418</v>
      </c>
    </row>
    <row r="40" spans="1:12" x14ac:dyDescent="0.25">
      <c r="A40" s="31" t="str">
        <f t="shared" si="0"/>
        <v>Okanogan PUD</v>
      </c>
      <c r="B40" s="32">
        <f t="shared" si="1"/>
        <v>1487</v>
      </c>
      <c r="C40" s="93">
        <f t="shared" si="2"/>
        <v>963.42025100000001</v>
      </c>
      <c r="D40" s="9">
        <f t="shared" si="3"/>
        <v>649.81900000000007</v>
      </c>
      <c r="J40" t="s">
        <v>233</v>
      </c>
      <c r="K40" t="s">
        <v>608</v>
      </c>
      <c r="L40" s="96">
        <v>1487</v>
      </c>
    </row>
    <row r="41" spans="1:12" x14ac:dyDescent="0.25">
      <c r="A41" s="31" t="str">
        <f t="shared" si="0"/>
        <v>Pacific Summit Energy LLC</v>
      </c>
      <c r="B41" s="32">
        <f t="shared" si="1"/>
        <v>1179</v>
      </c>
      <c r="C41" s="93">
        <f t="shared" si="2"/>
        <v>963.42025100000001</v>
      </c>
      <c r="D41" s="9">
        <f t="shared" si="3"/>
        <v>515.22299999999996</v>
      </c>
      <c r="J41" t="s">
        <v>235</v>
      </c>
      <c r="K41" t="s">
        <v>608</v>
      </c>
      <c r="L41" s="96">
        <v>1179</v>
      </c>
    </row>
    <row r="42" spans="1:12" x14ac:dyDescent="0.25">
      <c r="A42" s="31" t="str">
        <f t="shared" si="0"/>
        <v>Pacificorp</v>
      </c>
      <c r="B42" s="32">
        <f t="shared" si="1"/>
        <v>76562</v>
      </c>
      <c r="C42" s="93">
        <f t="shared" si="2"/>
        <v>963.42025100000001</v>
      </c>
      <c r="D42" s="9">
        <f t="shared" si="3"/>
        <v>33457.593999999997</v>
      </c>
      <c r="J42" t="s">
        <v>236</v>
      </c>
      <c r="K42" t="s">
        <v>608</v>
      </c>
      <c r="L42" s="96">
        <v>76562</v>
      </c>
    </row>
    <row r="43" spans="1:12" x14ac:dyDescent="0.25">
      <c r="A43" s="31" t="str">
        <f t="shared" si="0"/>
        <v>PG&amp;E Energy Trading</v>
      </c>
      <c r="B43" s="32">
        <f t="shared" si="1"/>
        <v>70000</v>
      </c>
      <c r="C43" s="93">
        <f t="shared" si="2"/>
        <v>963.42025100000001</v>
      </c>
      <c r="D43" s="9">
        <f t="shared" si="3"/>
        <v>30590.000000000004</v>
      </c>
      <c r="J43" t="s">
        <v>237</v>
      </c>
      <c r="K43" t="s">
        <v>608</v>
      </c>
      <c r="L43" s="96">
        <v>70000</v>
      </c>
    </row>
    <row r="44" spans="1:12" x14ac:dyDescent="0.25">
      <c r="A44" s="31" t="str">
        <f t="shared" si="0"/>
        <v>Portland General Electric</v>
      </c>
      <c r="B44" s="32">
        <f t="shared" si="1"/>
        <v>24419</v>
      </c>
      <c r="C44" s="93">
        <f t="shared" si="2"/>
        <v>963.42025100000001</v>
      </c>
      <c r="D44" s="9">
        <f t="shared" si="3"/>
        <v>10671.102999999999</v>
      </c>
      <c r="J44" t="s">
        <v>238</v>
      </c>
      <c r="K44" t="s">
        <v>608</v>
      </c>
      <c r="L44" s="96">
        <v>24419</v>
      </c>
    </row>
    <row r="45" spans="1:12" x14ac:dyDescent="0.25">
      <c r="A45" s="31" t="str">
        <f t="shared" si="0"/>
        <v>Powerex Corp.</v>
      </c>
      <c r="B45" s="32">
        <f t="shared" si="1"/>
        <v>231003</v>
      </c>
      <c r="C45" s="93">
        <f t="shared" si="2"/>
        <v>963.42025100000001</v>
      </c>
      <c r="D45" s="9">
        <f t="shared" si="3"/>
        <v>100948.311</v>
      </c>
      <c r="J45" t="s">
        <v>180</v>
      </c>
      <c r="K45" t="s">
        <v>608</v>
      </c>
      <c r="L45" s="96">
        <v>231003</v>
      </c>
    </row>
    <row r="46" spans="1:12" x14ac:dyDescent="0.25">
      <c r="A46" s="31" t="str">
        <f t="shared" si="0"/>
        <v>Rainbow Energy Marketing</v>
      </c>
      <c r="B46" s="32">
        <f t="shared" si="1"/>
        <v>23628</v>
      </c>
      <c r="C46" s="93">
        <f t="shared" si="2"/>
        <v>963.42025100000001</v>
      </c>
      <c r="D46" s="9">
        <f t="shared" si="3"/>
        <v>10325.436</v>
      </c>
      <c r="J46" t="s">
        <v>240</v>
      </c>
      <c r="K46" t="s">
        <v>608</v>
      </c>
      <c r="L46" s="96">
        <v>23628</v>
      </c>
    </row>
    <row r="47" spans="1:12" x14ac:dyDescent="0.25">
      <c r="A47" s="31" t="str">
        <f t="shared" si="0"/>
        <v>Sacramento Municipal</v>
      </c>
      <c r="B47" s="32">
        <f t="shared" si="1"/>
        <v>3654</v>
      </c>
      <c r="C47" s="93">
        <f t="shared" si="2"/>
        <v>963.42025100000001</v>
      </c>
      <c r="D47" s="9">
        <f t="shared" si="3"/>
        <v>1596.798</v>
      </c>
      <c r="J47" t="s">
        <v>242</v>
      </c>
      <c r="K47" t="s">
        <v>608</v>
      </c>
      <c r="L47" s="96">
        <v>3654</v>
      </c>
    </row>
    <row r="48" spans="1:12" x14ac:dyDescent="0.25">
      <c r="A48" s="31" t="str">
        <f t="shared" si="0"/>
        <v>San Diego Gas &amp; Electric</v>
      </c>
      <c r="B48" s="32">
        <f t="shared" si="1"/>
        <v>451</v>
      </c>
      <c r="C48" s="93">
        <f t="shared" si="2"/>
        <v>963.42025100000001</v>
      </c>
      <c r="D48" s="9">
        <f t="shared" si="3"/>
        <v>197.08699999999999</v>
      </c>
      <c r="J48" t="s">
        <v>243</v>
      </c>
      <c r="K48" t="s">
        <v>608</v>
      </c>
      <c r="L48" s="96">
        <v>451</v>
      </c>
    </row>
    <row r="49" spans="1:12" x14ac:dyDescent="0.25">
      <c r="A49" s="31" t="str">
        <f t="shared" si="0"/>
        <v>Seattle City Light Marketing</v>
      </c>
      <c r="B49" s="32">
        <f t="shared" si="1"/>
        <v>246052</v>
      </c>
      <c r="C49" s="93">
        <f t="shared" si="2"/>
        <v>963.42025100000001</v>
      </c>
      <c r="D49" s="9">
        <f t="shared" si="3"/>
        <v>107524.724</v>
      </c>
      <c r="J49" t="s">
        <v>181</v>
      </c>
      <c r="K49" t="s">
        <v>608</v>
      </c>
      <c r="L49" s="96">
        <v>246052</v>
      </c>
    </row>
    <row r="50" spans="1:12" x14ac:dyDescent="0.25">
      <c r="A50" s="31" t="str">
        <f t="shared" si="0"/>
        <v>Shell Energy (Coral Pwr)</v>
      </c>
      <c r="B50" s="32">
        <f t="shared" si="1"/>
        <v>182238</v>
      </c>
      <c r="C50" s="93">
        <f t="shared" si="2"/>
        <v>963.42025100000001</v>
      </c>
      <c r="D50" s="9">
        <f t="shared" si="3"/>
        <v>79638.005999999994</v>
      </c>
      <c r="J50" t="s">
        <v>182</v>
      </c>
      <c r="K50" t="s">
        <v>608</v>
      </c>
      <c r="L50" s="96">
        <v>182238</v>
      </c>
    </row>
    <row r="51" spans="1:12" x14ac:dyDescent="0.25">
      <c r="A51" s="31" t="str">
        <f t="shared" si="0"/>
        <v>Snohomish County PUD #1</v>
      </c>
      <c r="B51" s="32">
        <f t="shared" si="1"/>
        <v>176041</v>
      </c>
      <c r="C51" s="93">
        <f t="shared" si="2"/>
        <v>963.42025100000001</v>
      </c>
      <c r="D51" s="9">
        <f t="shared" si="3"/>
        <v>76929.917000000001</v>
      </c>
      <c r="J51" t="s">
        <v>247</v>
      </c>
      <c r="K51" t="s">
        <v>608</v>
      </c>
      <c r="L51" s="96">
        <v>176041</v>
      </c>
    </row>
    <row r="52" spans="1:12" x14ac:dyDescent="0.25">
      <c r="A52" s="31" t="str">
        <f t="shared" si="0"/>
        <v>Southern Cal - Edison</v>
      </c>
      <c r="B52" s="32">
        <f t="shared" si="1"/>
        <v>62658</v>
      </c>
      <c r="C52" s="93">
        <f t="shared" si="2"/>
        <v>963.42025100000001</v>
      </c>
      <c r="D52" s="9">
        <f t="shared" si="3"/>
        <v>27381.546000000002</v>
      </c>
      <c r="J52" t="s">
        <v>248</v>
      </c>
      <c r="K52" t="s">
        <v>608</v>
      </c>
      <c r="L52" s="96">
        <v>62658</v>
      </c>
    </row>
    <row r="53" spans="1:12" x14ac:dyDescent="0.25">
      <c r="A53" s="31" t="str">
        <f t="shared" si="0"/>
        <v>Tacoma Power</v>
      </c>
      <c r="B53" s="32">
        <f t="shared" si="1"/>
        <v>200033</v>
      </c>
      <c r="C53" s="93">
        <f t="shared" si="2"/>
        <v>963.42025100000001</v>
      </c>
      <c r="D53" s="9">
        <f t="shared" si="3"/>
        <v>87414.420999999988</v>
      </c>
      <c r="J53" t="s">
        <v>183</v>
      </c>
      <c r="K53" t="s">
        <v>608</v>
      </c>
      <c r="L53" s="96">
        <v>200033</v>
      </c>
    </row>
    <row r="54" spans="1:12" x14ac:dyDescent="0.25">
      <c r="A54" s="31" t="str">
        <f t="shared" si="0"/>
        <v>Talen Energy (PPL Energy Plus)</v>
      </c>
      <c r="B54" s="32">
        <f t="shared" si="1"/>
        <v>109330</v>
      </c>
      <c r="C54" s="93">
        <f t="shared" si="2"/>
        <v>963.42025100000001</v>
      </c>
      <c r="D54" s="9">
        <f t="shared" si="3"/>
        <v>47777.21</v>
      </c>
      <c r="J54" t="s">
        <v>249</v>
      </c>
      <c r="K54" t="s">
        <v>608</v>
      </c>
      <c r="L54" s="96">
        <v>109330</v>
      </c>
    </row>
    <row r="55" spans="1:12" x14ac:dyDescent="0.25">
      <c r="A55" s="31" t="str">
        <f t="shared" si="0"/>
        <v>Tenaska Power Services Co.</v>
      </c>
      <c r="B55" s="32">
        <f t="shared" si="1"/>
        <v>32812</v>
      </c>
      <c r="C55" s="93">
        <f t="shared" si="2"/>
        <v>963.42025100000001</v>
      </c>
      <c r="D55" s="9">
        <f t="shared" si="3"/>
        <v>14338.843999999999</v>
      </c>
      <c r="J55" t="s">
        <v>251</v>
      </c>
      <c r="K55" t="s">
        <v>608</v>
      </c>
      <c r="L55" s="96">
        <v>32812</v>
      </c>
    </row>
    <row r="56" spans="1:12" x14ac:dyDescent="0.25">
      <c r="A56" s="31" t="str">
        <f t="shared" si="0"/>
        <v>The Energy Authority</v>
      </c>
      <c r="B56" s="32">
        <f t="shared" si="1"/>
        <v>457673</v>
      </c>
      <c r="C56" s="93">
        <f t="shared" si="2"/>
        <v>963.42025100000001</v>
      </c>
      <c r="D56" s="9">
        <f t="shared" si="3"/>
        <v>200003.101</v>
      </c>
      <c r="J56" t="s">
        <v>252</v>
      </c>
      <c r="K56" t="s">
        <v>608</v>
      </c>
      <c r="L56" s="96">
        <v>457673</v>
      </c>
    </row>
    <row r="57" spans="1:12" x14ac:dyDescent="0.25">
      <c r="A57" s="31" t="str">
        <f t="shared" si="0"/>
        <v>TransAlta Energy Marketing</v>
      </c>
      <c r="B57" s="32">
        <f t="shared" si="1"/>
        <v>1404952</v>
      </c>
      <c r="C57" s="93">
        <f t="shared" si="2"/>
        <v>963.42025100000001</v>
      </c>
      <c r="D57" s="9">
        <f t="shared" si="3"/>
        <v>613964.02400000009</v>
      </c>
      <c r="J57" t="s">
        <v>184</v>
      </c>
      <c r="K57" t="s">
        <v>608</v>
      </c>
      <c r="L57" s="96">
        <v>1404952</v>
      </c>
    </row>
    <row r="58" spans="1:12" x14ac:dyDescent="0.25">
      <c r="A58" s="31" t="str">
        <f t="shared" si="0"/>
        <v>TransCanada Energy Marketing</v>
      </c>
      <c r="B58" s="32">
        <f t="shared" si="1"/>
        <v>200</v>
      </c>
      <c r="C58" s="93">
        <f t="shared" si="2"/>
        <v>963.42025100000001</v>
      </c>
      <c r="D58" s="9">
        <f t="shared" si="3"/>
        <v>87.399999999999991</v>
      </c>
      <c r="J58" t="s">
        <v>253</v>
      </c>
      <c r="K58" t="s">
        <v>608</v>
      </c>
      <c r="L58" s="96">
        <v>200</v>
      </c>
    </row>
    <row r="59" spans="1:12" x14ac:dyDescent="0.25">
      <c r="A59" s="31" t="str">
        <f t="shared" si="0"/>
        <v>TransCanada Energy Sales Ltd</v>
      </c>
      <c r="B59" s="32">
        <f t="shared" si="1"/>
        <v>-200</v>
      </c>
      <c r="C59" s="93">
        <f t="shared" si="2"/>
        <v>963.42025100000001</v>
      </c>
      <c r="D59" s="9">
        <f t="shared" si="3"/>
        <v>-87.399999999999991</v>
      </c>
      <c r="J59" t="s">
        <v>254</v>
      </c>
      <c r="K59" t="s">
        <v>608</v>
      </c>
      <c r="L59" s="96">
        <v>-200</v>
      </c>
    </row>
    <row r="60" spans="1:12" x14ac:dyDescent="0.25">
      <c r="A60" s="31" t="str">
        <f t="shared" si="0"/>
        <v>Tri-State Generation and Transmissi</v>
      </c>
      <c r="B60" s="32">
        <f t="shared" si="1"/>
        <v>124</v>
      </c>
      <c r="C60" s="93">
        <f t="shared" si="2"/>
        <v>963.42025100000001</v>
      </c>
      <c r="D60" s="9">
        <f t="shared" si="3"/>
        <v>54.188000000000002</v>
      </c>
      <c r="J60" t="s">
        <v>255</v>
      </c>
      <c r="K60" t="s">
        <v>608</v>
      </c>
      <c r="L60" s="96">
        <v>124</v>
      </c>
    </row>
    <row r="61" spans="1:12" x14ac:dyDescent="0.25">
      <c r="A61" s="31" t="str">
        <f t="shared" si="0"/>
        <v>Turlock Irrigation District</v>
      </c>
      <c r="B61" s="32">
        <f t="shared" si="1"/>
        <v>3343</v>
      </c>
      <c r="C61" s="93">
        <f t="shared" si="2"/>
        <v>963.42025100000001</v>
      </c>
      <c r="D61" s="9">
        <f t="shared" si="3"/>
        <v>1460.8910000000001</v>
      </c>
      <c r="J61" t="s">
        <v>256</v>
      </c>
      <c r="K61" t="s">
        <v>608</v>
      </c>
      <c r="L61" s="96">
        <v>3343</v>
      </c>
    </row>
    <row r="62" spans="1:12" x14ac:dyDescent="0.25">
      <c r="A62" s="31" t="str">
        <f t="shared" si="0"/>
        <v>BPA</v>
      </c>
      <c r="B62" s="32">
        <f t="shared" si="1"/>
        <v>35599</v>
      </c>
      <c r="C62" s="93">
        <f t="shared" si="2"/>
        <v>963.42025100000001</v>
      </c>
      <c r="D62" s="9">
        <f t="shared" si="3"/>
        <v>15556.763000000001</v>
      </c>
      <c r="J62" t="s">
        <v>173</v>
      </c>
      <c r="K62" t="s">
        <v>609</v>
      </c>
      <c r="L62" s="96">
        <v>35599</v>
      </c>
    </row>
    <row r="63" spans="1:12" x14ac:dyDescent="0.25">
      <c r="A63" s="31" t="str">
        <f t="shared" si="0"/>
        <v>Pacific Gas &amp; Elec - Exchange</v>
      </c>
      <c r="B63" s="32">
        <f t="shared" si="1"/>
        <v>413000</v>
      </c>
      <c r="C63" s="93">
        <f t="shared" si="2"/>
        <v>963.42025100000001</v>
      </c>
      <c r="D63" s="9">
        <f t="shared" si="3"/>
        <v>180481</v>
      </c>
      <c r="J63" t="s">
        <v>179</v>
      </c>
      <c r="K63" t="s">
        <v>609</v>
      </c>
      <c r="L63" s="96">
        <v>413000</v>
      </c>
    </row>
    <row r="64" spans="1:12" x14ac:dyDescent="0.25">
      <c r="A64" s="31" t="str">
        <f t="shared" si="0"/>
        <v>BPA</v>
      </c>
      <c r="B64" s="32">
        <f t="shared" si="1"/>
        <v>-35375</v>
      </c>
      <c r="C64" s="93">
        <f t="shared" si="2"/>
        <v>963.42025100000001</v>
      </c>
      <c r="D64" s="9">
        <f t="shared" si="3"/>
        <v>-15458.875</v>
      </c>
      <c r="J64" t="s">
        <v>173</v>
      </c>
      <c r="K64" t="s">
        <v>610</v>
      </c>
      <c r="L64" s="96">
        <v>-35375</v>
      </c>
    </row>
    <row r="65" spans="1:12" x14ac:dyDescent="0.25">
      <c r="A65" s="31" t="str">
        <f t="shared" si="0"/>
        <v>Deviation</v>
      </c>
      <c r="B65" s="32">
        <f t="shared" si="1"/>
        <v>42716.544999999998</v>
      </c>
      <c r="C65" s="93">
        <f t="shared" si="2"/>
        <v>963.42025100000001</v>
      </c>
      <c r="D65" s="9">
        <f t="shared" si="3"/>
        <v>18667.130164999999</v>
      </c>
      <c r="J65" t="s">
        <v>176</v>
      </c>
      <c r="K65" t="s">
        <v>610</v>
      </c>
      <c r="L65" s="96">
        <v>42716.544999999998</v>
      </c>
    </row>
    <row r="66" spans="1:12" x14ac:dyDescent="0.25">
      <c r="A66" s="31" t="str">
        <f t="shared" si="0"/>
        <v>Pacific Gas &amp; Elec - Exchange</v>
      </c>
      <c r="B66" s="32">
        <f t="shared" si="1"/>
        <v>-412995</v>
      </c>
      <c r="C66" s="93">
        <f t="shared" si="2"/>
        <v>963.42025100000001</v>
      </c>
      <c r="D66" s="9">
        <f t="shared" si="3"/>
        <v>-180478.815</v>
      </c>
      <c r="J66" t="s">
        <v>179</v>
      </c>
      <c r="K66" t="s">
        <v>610</v>
      </c>
      <c r="L66" s="96">
        <v>-412995</v>
      </c>
    </row>
    <row r="67" spans="1:12" x14ac:dyDescent="0.25">
      <c r="A67" s="31" t="str">
        <f t="shared" si="0"/>
        <v>Avista Corp. WWP Division</v>
      </c>
      <c r="B67" s="32">
        <f t="shared" si="1"/>
        <v>-37126</v>
      </c>
      <c r="C67" s="93">
        <f t="shared" si="2"/>
        <v>963.42025100000001</v>
      </c>
      <c r="D67" s="9">
        <f t="shared" si="3"/>
        <v>-16224.062000000002</v>
      </c>
      <c r="J67" t="s">
        <v>187</v>
      </c>
      <c r="K67" t="s">
        <v>611</v>
      </c>
      <c r="L67" s="96">
        <v>-37126</v>
      </c>
    </row>
    <row r="68" spans="1:12" x14ac:dyDescent="0.25">
      <c r="A68" s="31" t="str">
        <f t="shared" si="0"/>
        <v>Barclays Bank Plc</v>
      </c>
      <c r="B68" s="32">
        <f t="shared" si="1"/>
        <v>-2400</v>
      </c>
      <c r="C68" s="93">
        <f t="shared" si="2"/>
        <v>963.42025100000001</v>
      </c>
      <c r="D68" s="9">
        <f t="shared" si="3"/>
        <v>-1048.8000000000002</v>
      </c>
      <c r="J68" t="s">
        <v>188</v>
      </c>
      <c r="K68" t="s">
        <v>611</v>
      </c>
      <c r="L68" s="96">
        <v>-2400</v>
      </c>
    </row>
    <row r="69" spans="1:12" x14ac:dyDescent="0.25">
      <c r="A69" s="31" t="str">
        <f t="shared" ref="A69:A124" si="4">J69</f>
        <v>Black Hills Power</v>
      </c>
      <c r="B69" s="32">
        <f t="shared" ref="B69:B124" si="5">L69</f>
        <v>-18302</v>
      </c>
      <c r="C69" s="93">
        <f t="shared" ref="C69:C124" si="6">IF(B69&lt;&gt;0,$H$1,"")</f>
        <v>963.42025100000001</v>
      </c>
      <c r="D69" s="9">
        <f t="shared" ref="D69:D124" si="7">(+B69*C69)/2204.623</f>
        <v>-7997.9740000000002</v>
      </c>
      <c r="J69" t="s">
        <v>189</v>
      </c>
      <c r="K69" t="s">
        <v>611</v>
      </c>
      <c r="L69" s="96">
        <v>-18302</v>
      </c>
    </row>
    <row r="70" spans="1:12" x14ac:dyDescent="0.25">
      <c r="A70" s="31"/>
      <c r="B70" s="32"/>
      <c r="C70" s="93"/>
      <c r="D70" s="9"/>
      <c r="J70" s="89" t="s">
        <v>191</v>
      </c>
      <c r="K70" t="s">
        <v>611</v>
      </c>
      <c r="L70" s="96">
        <v>2877267</v>
      </c>
    </row>
    <row r="71" spans="1:12" x14ac:dyDescent="0.25">
      <c r="A71" s="31" t="str">
        <f t="shared" si="4"/>
        <v>BP Energy Co.</v>
      </c>
      <c r="B71" s="32">
        <f t="shared" si="5"/>
        <v>-97731</v>
      </c>
      <c r="C71" s="93">
        <f t="shared" si="6"/>
        <v>963.42025100000001</v>
      </c>
      <c r="D71" s="9">
        <f t="shared" si="7"/>
        <v>-42708.447</v>
      </c>
      <c r="J71" t="s">
        <v>192</v>
      </c>
      <c r="K71" t="s">
        <v>611</v>
      </c>
      <c r="L71" s="96">
        <v>-97731</v>
      </c>
    </row>
    <row r="72" spans="1:12" x14ac:dyDescent="0.25">
      <c r="A72" s="31" t="str">
        <f t="shared" si="4"/>
        <v>BPA</v>
      </c>
      <c r="B72" s="32">
        <f t="shared" si="5"/>
        <v>-147151</v>
      </c>
      <c r="C72" s="93">
        <f t="shared" si="6"/>
        <v>963.42025100000001</v>
      </c>
      <c r="D72" s="9">
        <f t="shared" si="7"/>
        <v>-64304.987000000008</v>
      </c>
      <c r="J72" t="s">
        <v>173</v>
      </c>
      <c r="K72" t="s">
        <v>611</v>
      </c>
      <c r="L72" s="96">
        <v>-147151</v>
      </c>
    </row>
    <row r="73" spans="1:12" x14ac:dyDescent="0.25">
      <c r="A73" s="31" t="str">
        <f t="shared" si="4"/>
        <v>British Columbia Transmission Corp</v>
      </c>
      <c r="B73" s="32">
        <f t="shared" si="5"/>
        <v>-57</v>
      </c>
      <c r="C73" s="93">
        <f t="shared" si="6"/>
        <v>963.42025100000001</v>
      </c>
      <c r="D73" s="9">
        <f t="shared" si="7"/>
        <v>-24.908999999999999</v>
      </c>
      <c r="J73" t="s">
        <v>193</v>
      </c>
      <c r="K73" t="s">
        <v>611</v>
      </c>
      <c r="L73" s="96">
        <v>-57</v>
      </c>
    </row>
    <row r="74" spans="1:12" x14ac:dyDescent="0.25">
      <c r="A74" s="31" t="str">
        <f t="shared" si="4"/>
        <v>Brookfield Energy Marketing</v>
      </c>
      <c r="B74" s="32">
        <f t="shared" si="5"/>
        <v>-2000</v>
      </c>
      <c r="C74" s="93">
        <f t="shared" si="6"/>
        <v>963.42025100000001</v>
      </c>
      <c r="D74" s="9">
        <f t="shared" si="7"/>
        <v>-874</v>
      </c>
      <c r="J74" t="s">
        <v>194</v>
      </c>
      <c r="K74" t="s">
        <v>611</v>
      </c>
      <c r="L74" s="96">
        <v>-2000</v>
      </c>
    </row>
    <row r="75" spans="1:12" x14ac:dyDescent="0.25">
      <c r="A75" s="31" t="str">
        <f t="shared" si="4"/>
        <v>Calpine Energy Services</v>
      </c>
      <c r="B75" s="32">
        <f t="shared" si="5"/>
        <v>-142467</v>
      </c>
      <c r="C75" s="93">
        <f t="shared" si="6"/>
        <v>963.42025100000001</v>
      </c>
      <c r="D75" s="9">
        <f t="shared" si="7"/>
        <v>-62258.079000000005</v>
      </c>
      <c r="J75" t="s">
        <v>198</v>
      </c>
      <c r="K75" t="s">
        <v>611</v>
      </c>
      <c r="L75" s="96">
        <v>-142467</v>
      </c>
    </row>
    <row r="76" spans="1:12" x14ac:dyDescent="0.25">
      <c r="A76" s="31" t="str">
        <f t="shared" si="4"/>
        <v>Cargill Power Markets</v>
      </c>
      <c r="B76" s="32">
        <f t="shared" si="5"/>
        <v>-311820</v>
      </c>
      <c r="C76" s="93">
        <f t="shared" si="6"/>
        <v>963.42025100000001</v>
      </c>
      <c r="D76" s="9">
        <f t="shared" si="7"/>
        <v>-136265.34</v>
      </c>
      <c r="J76" t="s">
        <v>174</v>
      </c>
      <c r="K76" t="s">
        <v>611</v>
      </c>
      <c r="L76" s="96">
        <v>-311820</v>
      </c>
    </row>
    <row r="77" spans="1:12" x14ac:dyDescent="0.25">
      <c r="A77" s="31" t="str">
        <f t="shared" si="4"/>
        <v>Chelan County PUD #1</v>
      </c>
      <c r="B77" s="32">
        <f t="shared" si="5"/>
        <v>-6435</v>
      </c>
      <c r="C77" s="93">
        <f t="shared" si="6"/>
        <v>963.42025100000001</v>
      </c>
      <c r="D77" s="9">
        <f t="shared" si="7"/>
        <v>-2812.0949999999998</v>
      </c>
      <c r="J77" t="s">
        <v>199</v>
      </c>
      <c r="K77" t="s">
        <v>611</v>
      </c>
      <c r="L77" s="96">
        <v>-6435</v>
      </c>
    </row>
    <row r="78" spans="1:12" x14ac:dyDescent="0.25">
      <c r="A78" s="31" t="str">
        <f t="shared" si="4"/>
        <v>Citigroup Energy Inc</v>
      </c>
      <c r="B78" s="32">
        <f t="shared" si="5"/>
        <v>-93176</v>
      </c>
      <c r="C78" s="93">
        <f t="shared" si="6"/>
        <v>963.42025100000001</v>
      </c>
      <c r="D78" s="9">
        <f t="shared" si="7"/>
        <v>-40717.911999999997</v>
      </c>
      <c r="J78" t="s">
        <v>185</v>
      </c>
      <c r="K78" t="s">
        <v>611</v>
      </c>
      <c r="L78" s="96">
        <v>-93176</v>
      </c>
    </row>
    <row r="79" spans="1:12" x14ac:dyDescent="0.25">
      <c r="A79" s="31" t="str">
        <f t="shared" si="4"/>
        <v>Clark Public Utilities</v>
      </c>
      <c r="B79" s="32">
        <f t="shared" si="5"/>
        <v>-13840</v>
      </c>
      <c r="C79" s="93">
        <f t="shared" si="6"/>
        <v>963.42025100000001</v>
      </c>
      <c r="D79" s="9">
        <f t="shared" si="7"/>
        <v>-6048.08</v>
      </c>
      <c r="J79" t="s">
        <v>201</v>
      </c>
      <c r="K79" t="s">
        <v>611</v>
      </c>
      <c r="L79" s="96">
        <v>-13840</v>
      </c>
    </row>
    <row r="80" spans="1:12" x14ac:dyDescent="0.25">
      <c r="A80" s="31" t="str">
        <f t="shared" si="4"/>
        <v>Clatskanie PUD</v>
      </c>
      <c r="B80" s="32">
        <f t="shared" si="5"/>
        <v>-5387</v>
      </c>
      <c r="C80" s="93">
        <f t="shared" si="6"/>
        <v>963.42025100000001</v>
      </c>
      <c r="D80" s="9">
        <f t="shared" si="7"/>
        <v>-2354.1190000000001</v>
      </c>
      <c r="J80" t="s">
        <v>202</v>
      </c>
      <c r="K80" t="s">
        <v>611</v>
      </c>
      <c r="L80" s="96">
        <v>-5387</v>
      </c>
    </row>
    <row r="81" spans="1:12" x14ac:dyDescent="0.25">
      <c r="A81" s="31" t="str">
        <f t="shared" si="4"/>
        <v>Constellation Power Source, Inc.</v>
      </c>
      <c r="B81" s="32">
        <f t="shared" si="5"/>
        <v>-22185</v>
      </c>
      <c r="C81" s="93">
        <f t="shared" si="6"/>
        <v>963.42025100000001</v>
      </c>
      <c r="D81" s="9">
        <f t="shared" si="7"/>
        <v>-9694.8450000000012</v>
      </c>
      <c r="J81" t="s">
        <v>175</v>
      </c>
      <c r="K81" t="s">
        <v>611</v>
      </c>
      <c r="L81" s="96">
        <v>-22185</v>
      </c>
    </row>
    <row r="82" spans="1:12" x14ac:dyDescent="0.25">
      <c r="A82" s="31" t="str">
        <f t="shared" si="4"/>
        <v>CP Energy Marketing (Epcor)</v>
      </c>
      <c r="B82" s="32">
        <f t="shared" si="5"/>
        <v>-1299</v>
      </c>
      <c r="C82" s="93">
        <f t="shared" si="6"/>
        <v>963.42025100000001</v>
      </c>
      <c r="D82" s="9">
        <f t="shared" si="7"/>
        <v>-567.66300000000001</v>
      </c>
      <c r="J82" t="s">
        <v>204</v>
      </c>
      <c r="K82" t="s">
        <v>611</v>
      </c>
      <c r="L82" s="96">
        <v>-1299</v>
      </c>
    </row>
    <row r="83" spans="1:12" x14ac:dyDescent="0.25">
      <c r="A83" s="31" t="str">
        <f t="shared" si="4"/>
        <v>DB Energy Trading LLC</v>
      </c>
      <c r="B83" s="32">
        <f t="shared" si="5"/>
        <v>-242964</v>
      </c>
      <c r="C83" s="93">
        <f t="shared" si="6"/>
        <v>963.42025100000001</v>
      </c>
      <c r="D83" s="9">
        <f t="shared" si="7"/>
        <v>-106175.268</v>
      </c>
      <c r="J83" t="s">
        <v>206</v>
      </c>
      <c r="K83" t="s">
        <v>611</v>
      </c>
      <c r="L83" s="96">
        <v>-242964</v>
      </c>
    </row>
    <row r="84" spans="1:12" x14ac:dyDescent="0.25">
      <c r="A84" s="31" t="str">
        <f t="shared" si="4"/>
        <v>Douglas County PUD #1</v>
      </c>
      <c r="B84" s="32">
        <f t="shared" si="5"/>
        <v>-1410</v>
      </c>
      <c r="C84" s="93">
        <f t="shared" si="6"/>
        <v>963.42025100000001</v>
      </c>
      <c r="D84" s="9">
        <f t="shared" si="7"/>
        <v>-616.16999999999996</v>
      </c>
      <c r="J84" t="s">
        <v>177</v>
      </c>
      <c r="K84" t="s">
        <v>611</v>
      </c>
      <c r="L84" s="96">
        <v>-1410</v>
      </c>
    </row>
    <row r="85" spans="1:12" x14ac:dyDescent="0.25">
      <c r="A85" s="31" t="str">
        <f t="shared" si="4"/>
        <v>EDF Trading NA LLC</v>
      </c>
      <c r="B85" s="32">
        <f t="shared" si="5"/>
        <v>-34355</v>
      </c>
      <c r="C85" s="93">
        <f t="shared" si="6"/>
        <v>963.42025100000001</v>
      </c>
      <c r="D85" s="9">
        <f t="shared" si="7"/>
        <v>-15013.134999999998</v>
      </c>
      <c r="J85" t="s">
        <v>208</v>
      </c>
      <c r="K85" t="s">
        <v>611</v>
      </c>
      <c r="L85" s="96">
        <v>-34355</v>
      </c>
    </row>
    <row r="86" spans="1:12" x14ac:dyDescent="0.25">
      <c r="A86" s="31" t="str">
        <f t="shared" si="4"/>
        <v>ENMAX Energy Marketing, Inc.</v>
      </c>
      <c r="B86" s="32">
        <f t="shared" si="5"/>
        <v>-225</v>
      </c>
      <c r="C86" s="93">
        <f t="shared" si="6"/>
        <v>963.42025100000001</v>
      </c>
      <c r="D86" s="9">
        <f t="shared" si="7"/>
        <v>-98.324999999999989</v>
      </c>
      <c r="J86" t="s">
        <v>210</v>
      </c>
      <c r="K86" t="s">
        <v>611</v>
      </c>
      <c r="L86" s="96">
        <v>-225</v>
      </c>
    </row>
    <row r="87" spans="1:12" x14ac:dyDescent="0.25">
      <c r="A87" s="31" t="str">
        <f t="shared" si="4"/>
        <v>Eugene Water &amp; Electric</v>
      </c>
      <c r="B87" s="32">
        <f t="shared" si="5"/>
        <v>-17869</v>
      </c>
      <c r="C87" s="93">
        <f t="shared" si="6"/>
        <v>963.42025100000001</v>
      </c>
      <c r="D87" s="9">
        <f t="shared" si="7"/>
        <v>-7808.7529999999997</v>
      </c>
      <c r="J87" t="s">
        <v>211</v>
      </c>
      <c r="K87" t="s">
        <v>611</v>
      </c>
      <c r="L87" s="96">
        <v>-17869</v>
      </c>
    </row>
    <row r="88" spans="1:12" x14ac:dyDescent="0.25">
      <c r="A88" s="31" t="str">
        <f t="shared" si="4"/>
        <v>Exelon Generation Co LLC</v>
      </c>
      <c r="B88" s="32">
        <f t="shared" si="5"/>
        <v>-2800</v>
      </c>
      <c r="C88" s="93">
        <f t="shared" si="6"/>
        <v>963.42025100000001</v>
      </c>
      <c r="D88" s="9">
        <f t="shared" si="7"/>
        <v>-1223.5999999999999</v>
      </c>
      <c r="J88" t="s">
        <v>186</v>
      </c>
      <c r="K88" t="s">
        <v>611</v>
      </c>
      <c r="L88" s="96">
        <v>-2800</v>
      </c>
    </row>
    <row r="89" spans="1:12" x14ac:dyDescent="0.25">
      <c r="A89" s="31" t="str">
        <f t="shared" si="4"/>
        <v>Fortis BC</v>
      </c>
      <c r="B89" s="32">
        <f t="shared" si="5"/>
        <v>-56236</v>
      </c>
      <c r="C89" s="93">
        <f t="shared" si="6"/>
        <v>963.42025100000001</v>
      </c>
      <c r="D89" s="9">
        <f t="shared" si="7"/>
        <v>-24575.132000000001</v>
      </c>
      <c r="J89" t="s">
        <v>260</v>
      </c>
      <c r="K89" t="s">
        <v>611</v>
      </c>
      <c r="L89" s="96">
        <v>-56236</v>
      </c>
    </row>
    <row r="90" spans="1:12" x14ac:dyDescent="0.25">
      <c r="A90" s="31" t="str">
        <f t="shared" si="4"/>
        <v>Grant County PUD #2</v>
      </c>
      <c r="B90" s="32">
        <f t="shared" si="5"/>
        <v>-11925</v>
      </c>
      <c r="C90" s="93">
        <f t="shared" si="6"/>
        <v>963.42025100000001</v>
      </c>
      <c r="D90" s="9">
        <f t="shared" si="7"/>
        <v>-5211.2249999999995</v>
      </c>
      <c r="J90" t="s">
        <v>213</v>
      </c>
      <c r="K90" t="s">
        <v>611</v>
      </c>
      <c r="L90" s="96">
        <v>-11925</v>
      </c>
    </row>
    <row r="91" spans="1:12" x14ac:dyDescent="0.25">
      <c r="A91" s="31" t="str">
        <f t="shared" si="4"/>
        <v>Iberdrola Renewables (PPM Energy)</v>
      </c>
      <c r="B91" s="32">
        <f t="shared" si="5"/>
        <v>-541878</v>
      </c>
      <c r="C91" s="93">
        <f t="shared" si="6"/>
        <v>963.42025100000001</v>
      </c>
      <c r="D91" s="9">
        <f t="shared" si="7"/>
        <v>-236800.68599999999</v>
      </c>
      <c r="J91" t="s">
        <v>215</v>
      </c>
      <c r="K91" t="s">
        <v>611</v>
      </c>
      <c r="L91" s="96">
        <v>-541878</v>
      </c>
    </row>
    <row r="92" spans="1:12" x14ac:dyDescent="0.25">
      <c r="A92" s="31" t="str">
        <f t="shared" si="4"/>
        <v>Idaho Power Company</v>
      </c>
      <c r="B92" s="32">
        <f t="shared" si="5"/>
        <v>-25835</v>
      </c>
      <c r="C92" s="93">
        <f t="shared" si="6"/>
        <v>963.42025100000001</v>
      </c>
      <c r="D92" s="9">
        <f t="shared" si="7"/>
        <v>-11289.895</v>
      </c>
      <c r="J92" t="s">
        <v>217</v>
      </c>
      <c r="K92" t="s">
        <v>611</v>
      </c>
      <c r="L92" s="96">
        <v>-25835</v>
      </c>
    </row>
    <row r="93" spans="1:12" x14ac:dyDescent="0.25">
      <c r="A93" s="31" t="str">
        <f t="shared" si="4"/>
        <v>J. Aron &amp; Company</v>
      </c>
      <c r="B93" s="32">
        <f t="shared" si="5"/>
        <v>-2800</v>
      </c>
      <c r="C93" s="93">
        <f t="shared" si="6"/>
        <v>963.42025100000001</v>
      </c>
      <c r="D93" s="9">
        <f t="shared" si="7"/>
        <v>-1223.5999999999999</v>
      </c>
      <c r="J93" t="s">
        <v>220</v>
      </c>
      <c r="K93" t="s">
        <v>611</v>
      </c>
      <c r="L93" s="96">
        <v>-2800</v>
      </c>
    </row>
    <row r="94" spans="1:12" x14ac:dyDescent="0.25">
      <c r="A94" s="31" t="str">
        <f t="shared" si="4"/>
        <v>JP Morgan Ventures Energy</v>
      </c>
      <c r="B94" s="32">
        <f t="shared" si="5"/>
        <v>-52134</v>
      </c>
      <c r="C94" s="93">
        <f t="shared" si="6"/>
        <v>963.42025100000001</v>
      </c>
      <c r="D94" s="9">
        <f t="shared" si="7"/>
        <v>-22782.558000000001</v>
      </c>
      <c r="J94" t="s">
        <v>221</v>
      </c>
      <c r="K94" t="s">
        <v>611</v>
      </c>
      <c r="L94" s="96">
        <v>-52134</v>
      </c>
    </row>
    <row r="95" spans="1:12" x14ac:dyDescent="0.25">
      <c r="A95" s="31" t="str">
        <f t="shared" si="4"/>
        <v>Morgan Stanley CG</v>
      </c>
      <c r="B95" s="32">
        <f t="shared" si="5"/>
        <v>-310918</v>
      </c>
      <c r="C95" s="93">
        <f t="shared" si="6"/>
        <v>963.42025100000001</v>
      </c>
      <c r="D95" s="9">
        <f t="shared" si="7"/>
        <v>-135871.166</v>
      </c>
      <c r="J95" t="s">
        <v>178</v>
      </c>
      <c r="K95" t="s">
        <v>611</v>
      </c>
      <c r="L95" s="96">
        <v>-310918</v>
      </c>
    </row>
    <row r="96" spans="1:12" x14ac:dyDescent="0.25">
      <c r="A96" s="31" t="str">
        <f t="shared" si="4"/>
        <v>Natur Ener USA</v>
      </c>
      <c r="B96" s="32">
        <f t="shared" si="5"/>
        <v>-6</v>
      </c>
      <c r="C96" s="93">
        <f t="shared" si="6"/>
        <v>963.42025100000001</v>
      </c>
      <c r="D96" s="9">
        <f t="shared" si="7"/>
        <v>-2.6219999999999999</v>
      </c>
      <c r="J96" t="s">
        <v>226</v>
      </c>
      <c r="K96" t="s">
        <v>611</v>
      </c>
      <c r="L96" s="96">
        <v>-6</v>
      </c>
    </row>
    <row r="97" spans="1:12" x14ac:dyDescent="0.25">
      <c r="A97" s="31" t="str">
        <f t="shared" si="4"/>
        <v>NextEra Energy Power Marketing</v>
      </c>
      <c r="B97" s="32">
        <f t="shared" si="5"/>
        <v>-2739</v>
      </c>
      <c r="C97" s="93">
        <f t="shared" si="6"/>
        <v>963.42025100000001</v>
      </c>
      <c r="D97" s="9">
        <f t="shared" si="7"/>
        <v>-1196.943</v>
      </c>
      <c r="J97" t="s">
        <v>227</v>
      </c>
      <c r="K97" t="s">
        <v>611</v>
      </c>
      <c r="L97" s="96">
        <v>-2739</v>
      </c>
    </row>
    <row r="98" spans="1:12" x14ac:dyDescent="0.25">
      <c r="A98" s="31" t="str">
        <f t="shared" si="4"/>
        <v>Noble Americas Energy Solutions</v>
      </c>
      <c r="B98" s="32">
        <f t="shared" si="5"/>
        <v>-2800</v>
      </c>
      <c r="C98" s="93">
        <f t="shared" si="6"/>
        <v>963.42025100000001</v>
      </c>
      <c r="D98" s="9">
        <f t="shared" si="7"/>
        <v>-1223.5999999999999</v>
      </c>
      <c r="J98" t="s">
        <v>228</v>
      </c>
      <c r="K98" t="s">
        <v>611</v>
      </c>
      <c r="L98" s="96">
        <v>-2800</v>
      </c>
    </row>
    <row r="99" spans="1:12" x14ac:dyDescent="0.25">
      <c r="A99" s="31" t="str">
        <f t="shared" si="4"/>
        <v>Noble Americas Gas &amp; Power</v>
      </c>
      <c r="B99" s="32">
        <f t="shared" si="5"/>
        <v>-7600</v>
      </c>
      <c r="C99" s="93">
        <f t="shared" si="6"/>
        <v>963.42025100000001</v>
      </c>
      <c r="D99" s="9">
        <f t="shared" si="7"/>
        <v>-3321.2000000000003</v>
      </c>
      <c r="J99" t="s">
        <v>229</v>
      </c>
      <c r="K99" t="s">
        <v>611</v>
      </c>
      <c r="L99" s="96">
        <v>-7600</v>
      </c>
    </row>
    <row r="100" spans="1:12" x14ac:dyDescent="0.25">
      <c r="A100" s="31" t="str">
        <f t="shared" si="4"/>
        <v>NorthPoint Energy Solutions, Inc.</v>
      </c>
      <c r="B100" s="32">
        <f t="shared" si="5"/>
        <v>-8404</v>
      </c>
      <c r="C100" s="93">
        <f t="shared" si="6"/>
        <v>963.42025100000001</v>
      </c>
      <c r="D100" s="9">
        <f t="shared" si="7"/>
        <v>-3672.5479999999998</v>
      </c>
      <c r="J100" t="s">
        <v>230</v>
      </c>
      <c r="K100" t="s">
        <v>611</v>
      </c>
      <c r="L100" s="96">
        <v>-8404</v>
      </c>
    </row>
    <row r="101" spans="1:12" x14ac:dyDescent="0.25">
      <c r="A101" s="31" t="str">
        <f t="shared" si="4"/>
        <v>Northwestern Energy</v>
      </c>
      <c r="B101" s="32">
        <f t="shared" si="5"/>
        <v>-84493</v>
      </c>
      <c r="C101" s="93">
        <f t="shared" si="6"/>
        <v>963.42025100000001</v>
      </c>
      <c r="D101" s="9">
        <f t="shared" si="7"/>
        <v>-36923.440999999999</v>
      </c>
      <c r="J101" t="s">
        <v>231</v>
      </c>
      <c r="K101" t="s">
        <v>611</v>
      </c>
      <c r="L101" s="96">
        <v>-84493</v>
      </c>
    </row>
    <row r="102" spans="1:12" x14ac:dyDescent="0.25">
      <c r="A102" s="31" t="str">
        <f t="shared" si="4"/>
        <v>Okanogan PUD</v>
      </c>
      <c r="B102" s="32">
        <f t="shared" si="5"/>
        <v>-470</v>
      </c>
      <c r="C102" s="93">
        <f t="shared" si="6"/>
        <v>963.42025100000001</v>
      </c>
      <c r="D102" s="9">
        <f t="shared" si="7"/>
        <v>-205.39</v>
      </c>
      <c r="J102" t="s">
        <v>233</v>
      </c>
      <c r="K102" t="s">
        <v>611</v>
      </c>
      <c r="L102" s="96">
        <v>-470</v>
      </c>
    </row>
    <row r="103" spans="1:12" x14ac:dyDescent="0.25">
      <c r="A103" s="31" t="str">
        <f t="shared" si="4"/>
        <v>Pacific Summit Energy LLC</v>
      </c>
      <c r="B103" s="32">
        <f t="shared" si="5"/>
        <v>-430</v>
      </c>
      <c r="C103" s="93">
        <f t="shared" si="6"/>
        <v>963.42025100000001</v>
      </c>
      <c r="D103" s="9">
        <f t="shared" si="7"/>
        <v>-187.91</v>
      </c>
      <c r="J103" t="s">
        <v>235</v>
      </c>
      <c r="K103" t="s">
        <v>611</v>
      </c>
      <c r="L103" s="96">
        <v>-430</v>
      </c>
    </row>
    <row r="104" spans="1:12" x14ac:dyDescent="0.25">
      <c r="A104" s="31" t="str">
        <f t="shared" si="4"/>
        <v>Pacificorp</v>
      </c>
      <c r="B104" s="32">
        <f t="shared" si="5"/>
        <v>-116892</v>
      </c>
      <c r="C104" s="93">
        <f t="shared" si="6"/>
        <v>963.42025100000001</v>
      </c>
      <c r="D104" s="9">
        <f t="shared" si="7"/>
        <v>-51081.803999999996</v>
      </c>
      <c r="J104" t="s">
        <v>236</v>
      </c>
      <c r="K104" t="s">
        <v>611</v>
      </c>
      <c r="L104" s="96">
        <v>-116892</v>
      </c>
    </row>
    <row r="105" spans="1:12" x14ac:dyDescent="0.25">
      <c r="A105" s="31" t="str">
        <f t="shared" si="4"/>
        <v>PG&amp;E Energy Trading</v>
      </c>
      <c r="B105" s="32">
        <f t="shared" si="5"/>
        <v>-216530</v>
      </c>
      <c r="C105" s="93">
        <f t="shared" si="6"/>
        <v>963.42025100000001</v>
      </c>
      <c r="D105" s="9">
        <f t="shared" si="7"/>
        <v>-94623.61</v>
      </c>
      <c r="J105" t="s">
        <v>237</v>
      </c>
      <c r="K105" t="s">
        <v>611</v>
      </c>
      <c r="L105" s="96">
        <v>-216530</v>
      </c>
    </row>
    <row r="106" spans="1:12" x14ac:dyDescent="0.25">
      <c r="A106" s="31" t="str">
        <f t="shared" si="4"/>
        <v>Portland General Electric</v>
      </c>
      <c r="B106" s="32">
        <f t="shared" si="5"/>
        <v>-72993</v>
      </c>
      <c r="C106" s="93">
        <f t="shared" si="6"/>
        <v>963.42025100000001</v>
      </c>
      <c r="D106" s="9">
        <f t="shared" si="7"/>
        <v>-31897.941000000003</v>
      </c>
      <c r="J106" t="s">
        <v>238</v>
      </c>
      <c r="K106" t="s">
        <v>611</v>
      </c>
      <c r="L106" s="96">
        <v>-72993</v>
      </c>
    </row>
    <row r="107" spans="1:12" x14ac:dyDescent="0.25">
      <c r="A107" s="31" t="str">
        <f t="shared" si="4"/>
        <v>Powerex Corp.</v>
      </c>
      <c r="B107" s="32">
        <f t="shared" si="5"/>
        <v>-406530</v>
      </c>
      <c r="C107" s="93">
        <f t="shared" si="6"/>
        <v>963.42025100000001</v>
      </c>
      <c r="D107" s="9">
        <f t="shared" si="7"/>
        <v>-177653.61</v>
      </c>
      <c r="J107" t="s">
        <v>180</v>
      </c>
      <c r="K107" t="s">
        <v>611</v>
      </c>
      <c r="L107" s="96">
        <v>-406530</v>
      </c>
    </row>
    <row r="108" spans="1:12" x14ac:dyDescent="0.25">
      <c r="A108" s="31" t="str">
        <f t="shared" si="4"/>
        <v>Rainbow Energy Marketing</v>
      </c>
      <c r="B108" s="32">
        <f t="shared" si="5"/>
        <v>-58846</v>
      </c>
      <c r="C108" s="93">
        <f t="shared" si="6"/>
        <v>963.42025100000001</v>
      </c>
      <c r="D108" s="9">
        <f t="shared" si="7"/>
        <v>-25715.702000000001</v>
      </c>
      <c r="J108" t="s">
        <v>240</v>
      </c>
      <c r="K108" t="s">
        <v>611</v>
      </c>
      <c r="L108" s="96">
        <v>-58846</v>
      </c>
    </row>
    <row r="109" spans="1:12" x14ac:dyDescent="0.25">
      <c r="A109" s="31" t="str">
        <f t="shared" si="4"/>
        <v>Sacramento Municipal</v>
      </c>
      <c r="B109" s="32">
        <f t="shared" si="5"/>
        <v>-10011</v>
      </c>
      <c r="C109" s="93">
        <f t="shared" si="6"/>
        <v>963.42025100000001</v>
      </c>
      <c r="D109" s="9">
        <f t="shared" si="7"/>
        <v>-4374.8069999999998</v>
      </c>
      <c r="J109" t="s">
        <v>242</v>
      </c>
      <c r="K109" t="s">
        <v>611</v>
      </c>
      <c r="L109" s="96">
        <v>-10011</v>
      </c>
    </row>
    <row r="110" spans="1:12" x14ac:dyDescent="0.25">
      <c r="A110" s="31" t="str">
        <f t="shared" si="4"/>
        <v>San Diego Gas &amp; Electric</v>
      </c>
      <c r="B110" s="32">
        <f t="shared" si="5"/>
        <v>-29918</v>
      </c>
      <c r="C110" s="93">
        <f t="shared" si="6"/>
        <v>963.42025100000001</v>
      </c>
      <c r="D110" s="9">
        <f t="shared" si="7"/>
        <v>-13074.166000000001</v>
      </c>
      <c r="J110" t="s">
        <v>243</v>
      </c>
      <c r="K110" t="s">
        <v>611</v>
      </c>
      <c r="L110" s="96">
        <v>-29918</v>
      </c>
    </row>
    <row r="111" spans="1:12" x14ac:dyDescent="0.25">
      <c r="A111" s="31" t="str">
        <f t="shared" si="4"/>
        <v>Seattle City Light Marketing</v>
      </c>
      <c r="B111" s="32">
        <f t="shared" si="5"/>
        <v>-46589</v>
      </c>
      <c r="C111" s="93">
        <f t="shared" si="6"/>
        <v>963.42025100000001</v>
      </c>
      <c r="D111" s="9">
        <f t="shared" si="7"/>
        <v>-20359.393</v>
      </c>
      <c r="J111" t="s">
        <v>181</v>
      </c>
      <c r="K111" t="s">
        <v>611</v>
      </c>
      <c r="L111" s="96">
        <v>-46589</v>
      </c>
    </row>
    <row r="112" spans="1:12" x14ac:dyDescent="0.25">
      <c r="A112" s="31" t="str">
        <f t="shared" si="4"/>
        <v>Shell Energy (Coral Pwr)</v>
      </c>
      <c r="B112" s="32">
        <f t="shared" si="5"/>
        <v>-299293</v>
      </c>
      <c r="C112" s="93">
        <f t="shared" si="6"/>
        <v>963.42025100000001</v>
      </c>
      <c r="D112" s="9">
        <f t="shared" si="7"/>
        <v>-130791.04099999998</v>
      </c>
      <c r="J112" t="s">
        <v>182</v>
      </c>
      <c r="K112" t="s">
        <v>611</v>
      </c>
      <c r="L112" s="96">
        <v>-299293</v>
      </c>
    </row>
    <row r="113" spans="1:12" x14ac:dyDescent="0.25">
      <c r="A113" s="31" t="str">
        <f t="shared" si="4"/>
        <v>Sierra Pacific Power</v>
      </c>
      <c r="B113" s="32">
        <f t="shared" si="5"/>
        <v>-1542</v>
      </c>
      <c r="C113" s="93">
        <f t="shared" si="6"/>
        <v>963.42025100000001</v>
      </c>
      <c r="D113" s="9">
        <f t="shared" si="7"/>
        <v>-673.85400000000004</v>
      </c>
      <c r="J113" t="s">
        <v>245</v>
      </c>
      <c r="K113" t="s">
        <v>611</v>
      </c>
      <c r="L113" s="96">
        <v>-1542</v>
      </c>
    </row>
    <row r="114" spans="1:12" x14ac:dyDescent="0.25">
      <c r="A114" s="31" t="str">
        <f t="shared" si="4"/>
        <v>Snohomish County PUD #1</v>
      </c>
      <c r="B114" s="32">
        <f t="shared" si="5"/>
        <v>-9531</v>
      </c>
      <c r="C114" s="93">
        <f t="shared" si="6"/>
        <v>963.42025100000001</v>
      </c>
      <c r="D114" s="9">
        <f t="shared" si="7"/>
        <v>-4165.0470000000005</v>
      </c>
      <c r="J114" t="s">
        <v>247</v>
      </c>
      <c r="K114" t="s">
        <v>611</v>
      </c>
      <c r="L114" s="96">
        <v>-9531</v>
      </c>
    </row>
    <row r="115" spans="1:12" x14ac:dyDescent="0.25">
      <c r="A115" s="31" t="str">
        <f t="shared" si="4"/>
        <v>Southern Cal - Edison</v>
      </c>
      <c r="B115" s="32">
        <f t="shared" si="5"/>
        <v>-20000</v>
      </c>
      <c r="C115" s="93">
        <f t="shared" si="6"/>
        <v>963.42025100000001</v>
      </c>
      <c r="D115" s="9">
        <f t="shared" si="7"/>
        <v>-8740</v>
      </c>
      <c r="J115" t="s">
        <v>248</v>
      </c>
      <c r="K115" t="s">
        <v>611</v>
      </c>
      <c r="L115" s="96">
        <v>-20000</v>
      </c>
    </row>
    <row r="116" spans="1:12" x14ac:dyDescent="0.25">
      <c r="A116" s="31" t="str">
        <f t="shared" si="4"/>
        <v>Tacoma Power</v>
      </c>
      <c r="B116" s="32">
        <f t="shared" si="5"/>
        <v>-19628</v>
      </c>
      <c r="C116" s="93">
        <f t="shared" si="6"/>
        <v>963.42025100000001</v>
      </c>
      <c r="D116" s="9">
        <f t="shared" si="7"/>
        <v>-8577.4359999999997</v>
      </c>
      <c r="J116" t="s">
        <v>183</v>
      </c>
      <c r="K116" t="s">
        <v>611</v>
      </c>
      <c r="L116" s="96">
        <v>-19628</v>
      </c>
    </row>
    <row r="117" spans="1:12" x14ac:dyDescent="0.25">
      <c r="A117" s="31" t="str">
        <f t="shared" si="4"/>
        <v>Talen Energy (PPL Energy Plus)</v>
      </c>
      <c r="B117" s="32">
        <f t="shared" si="5"/>
        <v>-67867</v>
      </c>
      <c r="C117" s="93">
        <f t="shared" si="6"/>
        <v>963.42025100000001</v>
      </c>
      <c r="D117" s="9">
        <f t="shared" si="7"/>
        <v>-29657.879000000001</v>
      </c>
      <c r="J117" t="s">
        <v>249</v>
      </c>
      <c r="K117" t="s">
        <v>611</v>
      </c>
      <c r="L117" s="96">
        <v>-67867</v>
      </c>
    </row>
    <row r="118" spans="1:12" x14ac:dyDescent="0.25">
      <c r="A118" s="31" t="str">
        <f t="shared" si="4"/>
        <v>Tenaska Power Services Co.</v>
      </c>
      <c r="B118" s="32">
        <f t="shared" si="5"/>
        <v>-36412</v>
      </c>
      <c r="C118" s="93">
        <f t="shared" si="6"/>
        <v>963.42025100000001</v>
      </c>
      <c r="D118" s="9">
        <f t="shared" si="7"/>
        <v>-15912.044</v>
      </c>
      <c r="J118" t="s">
        <v>251</v>
      </c>
      <c r="K118" t="s">
        <v>611</v>
      </c>
      <c r="L118" s="96">
        <v>-36412</v>
      </c>
    </row>
    <row r="119" spans="1:12" x14ac:dyDescent="0.25">
      <c r="A119" s="31" t="str">
        <f t="shared" si="4"/>
        <v>The Energy Authority</v>
      </c>
      <c r="B119" s="32">
        <f t="shared" si="5"/>
        <v>-34934</v>
      </c>
      <c r="C119" s="93">
        <f t="shared" si="6"/>
        <v>963.42025100000001</v>
      </c>
      <c r="D119" s="9">
        <f t="shared" si="7"/>
        <v>-15266.157999999998</v>
      </c>
      <c r="J119" t="s">
        <v>252</v>
      </c>
      <c r="K119" t="s">
        <v>611</v>
      </c>
      <c r="L119" s="96">
        <v>-34934</v>
      </c>
    </row>
    <row r="120" spans="1:12" x14ac:dyDescent="0.25">
      <c r="A120" s="31" t="str">
        <f t="shared" si="4"/>
        <v>TransAlta Energy Marketing</v>
      </c>
      <c r="B120" s="32">
        <f t="shared" si="5"/>
        <v>-443951</v>
      </c>
      <c r="C120" s="93">
        <f t="shared" si="6"/>
        <v>963.42025100000001</v>
      </c>
      <c r="D120" s="9">
        <f t="shared" si="7"/>
        <v>-194006.587</v>
      </c>
      <c r="J120" t="s">
        <v>184</v>
      </c>
      <c r="K120" t="s">
        <v>611</v>
      </c>
      <c r="L120" s="96">
        <v>-443951</v>
      </c>
    </row>
    <row r="121" spans="1:12" x14ac:dyDescent="0.25">
      <c r="A121" s="31" t="str">
        <f t="shared" si="4"/>
        <v>TransCanada Energy Sales Ltd</v>
      </c>
      <c r="B121" s="32">
        <f t="shared" si="5"/>
        <v>-49555</v>
      </c>
      <c r="C121" s="93">
        <f t="shared" si="6"/>
        <v>963.42025100000001</v>
      </c>
      <c r="D121" s="9">
        <f t="shared" si="7"/>
        <v>-21655.535</v>
      </c>
      <c r="J121" t="s">
        <v>254</v>
      </c>
      <c r="K121" t="s">
        <v>611</v>
      </c>
      <c r="L121" s="96">
        <v>-49555</v>
      </c>
    </row>
    <row r="122" spans="1:12" x14ac:dyDescent="0.25">
      <c r="A122" s="31" t="str">
        <f t="shared" si="4"/>
        <v>Tri-State Generation and Transmissi</v>
      </c>
      <c r="B122" s="32">
        <f t="shared" si="5"/>
        <v>-12499</v>
      </c>
      <c r="C122" s="93">
        <f t="shared" si="6"/>
        <v>963.42025100000001</v>
      </c>
      <c r="D122" s="9">
        <f t="shared" si="7"/>
        <v>-5462.0630000000001</v>
      </c>
      <c r="J122" t="s">
        <v>255</v>
      </c>
      <c r="K122" t="s">
        <v>611</v>
      </c>
      <c r="L122" s="96">
        <v>-12499</v>
      </c>
    </row>
    <row r="123" spans="1:12" x14ac:dyDescent="0.25">
      <c r="A123" s="31" t="str">
        <f t="shared" si="4"/>
        <v>Turlock Irrigation District</v>
      </c>
      <c r="B123" s="32">
        <f t="shared" si="5"/>
        <v>-3606</v>
      </c>
      <c r="C123" s="93">
        <f t="shared" si="6"/>
        <v>963.42025100000001</v>
      </c>
      <c r="D123" s="9">
        <f t="shared" si="7"/>
        <v>-1575.8220000000001</v>
      </c>
      <c r="J123" t="s">
        <v>256</v>
      </c>
      <c r="K123" t="s">
        <v>611</v>
      </c>
      <c r="L123" s="96">
        <v>-3606</v>
      </c>
    </row>
    <row r="124" spans="1:12" x14ac:dyDescent="0.25">
      <c r="A124" s="31" t="str">
        <f t="shared" si="4"/>
        <v>Western Area Power Association</v>
      </c>
      <c r="B124" s="32">
        <f t="shared" si="5"/>
        <v>-407</v>
      </c>
      <c r="C124" s="93">
        <f t="shared" si="6"/>
        <v>963.42025100000001</v>
      </c>
      <c r="D124" s="9">
        <f t="shared" si="7"/>
        <v>-177.85899999999998</v>
      </c>
      <c r="J124" t="s">
        <v>258</v>
      </c>
      <c r="K124" t="s">
        <v>611</v>
      </c>
      <c r="L124" s="96">
        <v>-407</v>
      </c>
    </row>
    <row r="125" spans="1:12" x14ac:dyDescent="0.25">
      <c r="A125" s="31"/>
      <c r="B125" s="32"/>
      <c r="C125" s="93"/>
      <c r="D125" s="9"/>
      <c r="L125" s="96">
        <f>SUM(L4:L124)</f>
        <v>7727006.4249999989</v>
      </c>
    </row>
    <row r="126" spans="1:12" ht="15.75" thickBot="1" x14ac:dyDescent="0.3">
      <c r="A126" s="33"/>
      <c r="B126" s="34"/>
      <c r="C126" s="14"/>
      <c r="D126" s="15"/>
    </row>
    <row r="127" spans="1:12" ht="16.5" thickTop="1" thickBot="1" x14ac:dyDescent="0.3">
      <c r="A127" s="12"/>
      <c r="B127" s="91">
        <f>SUM(B4:B126)</f>
        <v>7277950.4249999989</v>
      </c>
      <c r="C127" s="13"/>
      <c r="D127" s="92">
        <f>SUM(D4:D126)</f>
        <v>3180464.3357250034</v>
      </c>
    </row>
  </sheetData>
  <autoFilter ref="A3:I124"/>
  <hyperlinks>
    <hyperlink ref="D1" r:id="rId1"/>
  </hyperlinks>
  <pageMargins left="0.7" right="0.7" top="0.75" bottom="0.75" header="0.3" footer="0.3"/>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2" t="s">
        <v>11</v>
      </c>
    </row>
    <row r="2" spans="1:7" ht="15.75" thickBot="1" x14ac:dyDescent="0.3"/>
    <row r="3" spans="1:7" x14ac:dyDescent="0.25">
      <c r="A3" s="59"/>
      <c r="B3" s="60" t="s">
        <v>15</v>
      </c>
      <c r="C3" s="61" t="s">
        <v>25</v>
      </c>
      <c r="D3" s="65"/>
      <c r="E3" s="63"/>
    </row>
    <row r="4" spans="1:7" x14ac:dyDescent="0.25">
      <c r="A4" s="650" t="s">
        <v>16</v>
      </c>
      <c r="B4" s="652"/>
      <c r="C4" s="35">
        <v>2011</v>
      </c>
      <c r="D4" s="68" t="s">
        <v>39</v>
      </c>
      <c r="E4" s="64"/>
    </row>
    <row r="5" spans="1:7" ht="15.75" thickBot="1" x14ac:dyDescent="0.3">
      <c r="A5" s="653" t="s">
        <v>21</v>
      </c>
      <c r="B5" s="654"/>
      <c r="C5" s="74">
        <f>+F10*'Census Stats'!$L$38</f>
        <v>2384581.4774588249</v>
      </c>
      <c r="D5" s="62">
        <f>+D13/C5</f>
        <v>9.0306954086335427</v>
      </c>
    </row>
    <row r="6" spans="1:7" x14ac:dyDescent="0.25">
      <c r="A6" s="5"/>
      <c r="B6" s="5"/>
      <c r="C6" s="21"/>
      <c r="E6" s="20"/>
    </row>
    <row r="7" spans="1:7" ht="19.5" thickBot="1" x14ac:dyDescent="0.35">
      <c r="A7" s="5"/>
      <c r="B7" s="57" t="s">
        <v>36</v>
      </c>
      <c r="C7" s="21"/>
      <c r="E7" s="20"/>
    </row>
    <row r="8" spans="1:7" x14ac:dyDescent="0.25">
      <c r="A8" s="39"/>
      <c r="B8" s="40"/>
      <c r="C8" s="40"/>
      <c r="D8" s="40"/>
      <c r="E8" s="40"/>
      <c r="F8" s="41" t="s">
        <v>20</v>
      </c>
      <c r="G8" s="52" t="s">
        <v>40</v>
      </c>
    </row>
    <row r="9" spans="1:7" x14ac:dyDescent="0.25">
      <c r="A9" s="42"/>
      <c r="B9" s="16"/>
      <c r="C9" s="16"/>
      <c r="D9" s="18" t="s">
        <v>14</v>
      </c>
      <c r="E9" s="30" t="s">
        <v>28</v>
      </c>
      <c r="F9" s="23" t="s">
        <v>35</v>
      </c>
      <c r="G9" s="53" t="s">
        <v>20</v>
      </c>
    </row>
    <row r="10" spans="1:7" x14ac:dyDescent="0.25">
      <c r="A10" s="650" t="s">
        <v>12</v>
      </c>
      <c r="B10" s="651"/>
      <c r="C10" s="652"/>
      <c r="D10" s="66">
        <v>11045116</v>
      </c>
      <c r="E10" s="17">
        <f>+D10/D13</f>
        <v>0.5129049857788196</v>
      </c>
      <c r="F10" s="38">
        <v>957025</v>
      </c>
      <c r="G10" s="54">
        <f>+D10/F10</f>
        <v>11.541094537760246</v>
      </c>
    </row>
    <row r="11" spans="1:7" x14ac:dyDescent="0.25">
      <c r="A11" s="650" t="s">
        <v>17</v>
      </c>
      <c r="B11" s="651"/>
      <c r="C11" s="652"/>
      <c r="D11" s="66">
        <f>93821+9181260</f>
        <v>9275081</v>
      </c>
      <c r="E11" s="17">
        <f>+D11/D13</f>
        <v>0.43070940028175347</v>
      </c>
      <c r="F11" s="32">
        <f>119266+3454</f>
        <v>122720</v>
      </c>
      <c r="G11" s="54">
        <f>+D11/F11</f>
        <v>75.579212842242498</v>
      </c>
    </row>
    <row r="12" spans="1:7" x14ac:dyDescent="0.25">
      <c r="A12" s="650" t="s">
        <v>18</v>
      </c>
      <c r="B12" s="651"/>
      <c r="C12" s="652"/>
      <c r="D12" s="66">
        <v>1214232</v>
      </c>
      <c r="E12" s="17">
        <f>+D12/D13</f>
        <v>5.6385613939426954E-2</v>
      </c>
      <c r="F12" s="5"/>
      <c r="G12" s="43"/>
    </row>
    <row r="13" spans="1:7" ht="15.75" thickBot="1" x14ac:dyDescent="0.3">
      <c r="A13" s="44"/>
      <c r="B13" s="655" t="s">
        <v>13</v>
      </c>
      <c r="C13" s="654"/>
      <c r="D13" s="67">
        <f>SUM(D10:D12)</f>
        <v>21534429</v>
      </c>
      <c r="E13" s="45"/>
      <c r="F13" s="46"/>
      <c r="G13" s="47"/>
    </row>
    <row r="15" spans="1:7" ht="19.5" thickBot="1" x14ac:dyDescent="0.35">
      <c r="B15" s="58" t="s">
        <v>37</v>
      </c>
    </row>
    <row r="16" spans="1:7" x14ac:dyDescent="0.25">
      <c r="A16" s="39"/>
      <c r="B16" s="40"/>
      <c r="C16" s="40"/>
      <c r="D16" s="40"/>
      <c r="E16" s="41" t="s">
        <v>29</v>
      </c>
      <c r="F16" s="48" t="s">
        <v>522</v>
      </c>
      <c r="G16" s="49"/>
    </row>
    <row r="17" spans="1:8" ht="18" x14ac:dyDescent="0.35">
      <c r="A17" s="50"/>
      <c r="B17" s="5"/>
      <c r="C17" s="5"/>
      <c r="D17" s="30" t="s">
        <v>19</v>
      </c>
      <c r="E17" s="23" t="s">
        <v>30</v>
      </c>
      <c r="F17" s="19" t="s">
        <v>8</v>
      </c>
      <c r="G17" s="43"/>
    </row>
    <row r="18" spans="1:8" x14ac:dyDescent="0.25">
      <c r="A18" s="637" t="s">
        <v>542</v>
      </c>
      <c r="B18" s="638"/>
      <c r="C18" s="639"/>
      <c r="D18" s="9">
        <f>'2011 Known'!B61</f>
        <v>16075429.309999995</v>
      </c>
      <c r="E18" s="17">
        <f>+D18/(D18+D20)</f>
        <v>0.71955551603921364</v>
      </c>
      <c r="F18" s="9">
        <f>'2011 Known'!C61</f>
        <v>6164788.3432202796</v>
      </c>
      <c r="G18" s="43"/>
    </row>
    <row r="19" spans="1:8" ht="15.75" thickBot="1" x14ac:dyDescent="0.3">
      <c r="A19" s="463"/>
      <c r="B19" s="464"/>
      <c r="C19" s="337" t="s">
        <v>543</v>
      </c>
      <c r="D19" s="323">
        <v>0</v>
      </c>
      <c r="E19" s="276">
        <v>0</v>
      </c>
      <c r="F19" s="323">
        <v>0</v>
      </c>
      <c r="G19" s="43"/>
    </row>
    <row r="20" spans="1:8" ht="18" x14ac:dyDescent="0.35">
      <c r="A20" s="650" t="s">
        <v>34</v>
      </c>
      <c r="B20" s="651"/>
      <c r="C20" s="652"/>
      <c r="D20" s="55">
        <f>'2011 Unknown'!B146</f>
        <v>6265347.6720000021</v>
      </c>
      <c r="E20" s="56">
        <f>+D20/(D18+D20)</f>
        <v>0.28044448396078631</v>
      </c>
      <c r="F20" s="70">
        <f>'2011 Unknown'!D146</f>
        <v>2737956.932663999</v>
      </c>
      <c r="G20" s="72" t="s">
        <v>38</v>
      </c>
    </row>
    <row r="21" spans="1:8" ht="18.75" thickBot="1" x14ac:dyDescent="0.4">
      <c r="A21" s="44"/>
      <c r="B21" s="46"/>
      <c r="C21" s="46"/>
      <c r="D21" s="69">
        <f>+C4</f>
        <v>2011</v>
      </c>
      <c r="E21" s="51" t="s">
        <v>4</v>
      </c>
      <c r="F21" s="71">
        <f>SUM(F18:F20)</f>
        <v>8902745.2758842781</v>
      </c>
      <c r="G21" s="73">
        <f>+F21/G23</f>
        <v>1.4128285095834807</v>
      </c>
    </row>
    <row r="23" spans="1:8" ht="18" x14ac:dyDescent="0.35">
      <c r="F23" s="22" t="s">
        <v>524</v>
      </c>
      <c r="G23" s="32">
        <f>+G30</f>
        <v>6301362.9860207997</v>
      </c>
      <c r="H23" s="29"/>
    </row>
    <row r="25" spans="1:8" x14ac:dyDescent="0.25">
      <c r="E25" s="29" t="s">
        <v>22</v>
      </c>
      <c r="F25" s="24"/>
      <c r="G25" s="24"/>
    </row>
    <row r="26" spans="1:8" x14ac:dyDescent="0.25">
      <c r="E26" s="24"/>
      <c r="F26" s="24"/>
      <c r="G26" s="27" t="s">
        <v>26</v>
      </c>
    </row>
    <row r="27" spans="1:8" ht="18" x14ac:dyDescent="0.35">
      <c r="E27" s="24"/>
      <c r="F27" s="24"/>
      <c r="G27" s="28" t="s">
        <v>525</v>
      </c>
    </row>
    <row r="28" spans="1:8" x14ac:dyDescent="0.25">
      <c r="E28" s="24"/>
      <c r="F28" s="25" t="s">
        <v>23</v>
      </c>
      <c r="G28" s="26">
        <f>1131957*0.9071847</f>
        <v>1026894.0714579</v>
      </c>
    </row>
    <row r="29" spans="1:8" x14ac:dyDescent="0.25">
      <c r="E29" s="24"/>
      <c r="F29" s="25" t="s">
        <v>24</v>
      </c>
      <c r="G29" s="26">
        <f>2399078*0.9071847</f>
        <v>2176406.8557066</v>
      </c>
    </row>
    <row r="30" spans="1:8" x14ac:dyDescent="0.25">
      <c r="E30" s="24"/>
      <c r="F30" s="25" t="s">
        <v>25</v>
      </c>
      <c r="G30" s="26">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4"/>
  <sheetViews>
    <sheetView workbookViewId="0">
      <pane ySplit="1605" topLeftCell="A46" activePane="bottomLeft"/>
      <selection activeCell="I2" sqref="I2"/>
      <selection pane="bottomLeft" activeCell="I56" sqref="I56"/>
    </sheetView>
  </sheetViews>
  <sheetFormatPr defaultColWidth="9.140625" defaultRowHeight="12.75" x14ac:dyDescent="0.2"/>
  <cols>
    <col min="1" max="1" width="47.5703125" style="406" customWidth="1"/>
    <col min="2" max="2" width="13.140625" style="406" customWidth="1"/>
    <col min="3" max="3" width="12.7109375" style="406" customWidth="1"/>
    <col min="4" max="5" width="9.140625" style="392"/>
    <col min="6" max="6" width="9.7109375" style="392" customWidth="1"/>
    <col min="7" max="7" width="20.42578125" style="472" bestFit="1" customWidth="1"/>
    <col min="8" max="8" width="17.5703125" style="109" bestFit="1" customWidth="1"/>
    <col min="9" max="9" width="12.42578125" style="109" bestFit="1" customWidth="1"/>
    <col min="10" max="10" width="9.42578125" style="109" bestFit="1" customWidth="1"/>
    <col min="11" max="11" width="9.85546875" style="109" bestFit="1" customWidth="1"/>
    <col min="12" max="12" width="3.5703125" style="377" customWidth="1"/>
    <col min="13" max="13" width="10.5703125" style="406" customWidth="1"/>
    <col min="14" max="14" width="13.28515625" style="392" customWidth="1"/>
    <col min="15" max="15" width="9.140625" style="392"/>
    <col min="16" max="16384" width="9.140625" style="406"/>
  </cols>
  <sheetData>
    <row r="1" spans="1:16" x14ac:dyDescent="0.25">
      <c r="A1" s="404" t="s">
        <v>10</v>
      </c>
      <c r="B1" s="405">
        <v>2011</v>
      </c>
      <c r="G1" s="376"/>
      <c r="H1" s="373"/>
      <c r="I1" s="373"/>
      <c r="J1" s="373">
        <f>'EFs &amp; Rates'!I11</f>
        <v>25</v>
      </c>
      <c r="K1" s="373">
        <f>'EFs &amp; Rates'!J11</f>
        <v>298</v>
      </c>
    </row>
    <row r="2" spans="1:16" ht="14.25" x14ac:dyDescent="0.25">
      <c r="A2" s="378"/>
      <c r="B2" s="379"/>
      <c r="C2" s="380" t="s">
        <v>522</v>
      </c>
      <c r="D2" s="380"/>
      <c r="E2" s="379"/>
      <c r="F2" s="373"/>
      <c r="G2" s="376">
        <v>2011</v>
      </c>
      <c r="H2" s="381" t="s">
        <v>462</v>
      </c>
      <c r="I2" s="382">
        <f>'EFs &amp; Rates'!I5</f>
        <v>963.42025100000001</v>
      </c>
      <c r="J2" s="383" t="s">
        <v>561</v>
      </c>
      <c r="K2" s="373"/>
    </row>
    <row r="3" spans="1:16" ht="38.25" x14ac:dyDescent="0.25">
      <c r="A3" s="384" t="s">
        <v>0</v>
      </c>
      <c r="B3" s="385" t="s">
        <v>31</v>
      </c>
      <c r="C3" s="386" t="s">
        <v>562</v>
      </c>
      <c r="D3" s="386" t="s">
        <v>424</v>
      </c>
      <c r="E3" s="385" t="s">
        <v>425</v>
      </c>
      <c r="F3" s="387" t="s">
        <v>472</v>
      </c>
      <c r="G3" s="481" t="s">
        <v>576</v>
      </c>
      <c r="H3" s="481" t="s">
        <v>469</v>
      </c>
      <c r="I3" s="482" t="s">
        <v>537</v>
      </c>
      <c r="J3" s="482" t="s">
        <v>538</v>
      </c>
      <c r="K3" s="482" t="s">
        <v>539</v>
      </c>
      <c r="L3" s="483"/>
      <c r="M3" s="439" t="s">
        <v>575</v>
      </c>
      <c r="N3" s="407" t="s">
        <v>558</v>
      </c>
      <c r="O3" s="407" t="s">
        <v>559</v>
      </c>
      <c r="P3" s="484" t="s">
        <v>452</v>
      </c>
    </row>
    <row r="4" spans="1:16" x14ac:dyDescent="0.2">
      <c r="A4" s="408" t="s">
        <v>262</v>
      </c>
      <c r="B4" s="409">
        <v>50340.805</v>
      </c>
      <c r="C4" s="409">
        <f t="shared" ref="C4:C59" si="0">G4</f>
        <v>0</v>
      </c>
      <c r="D4" s="373" t="s">
        <v>464</v>
      </c>
      <c r="E4" s="392" t="s">
        <v>426</v>
      </c>
      <c r="F4" s="392" t="s">
        <v>463</v>
      </c>
      <c r="G4" s="472">
        <v>0</v>
      </c>
      <c r="M4" s="181"/>
      <c r="N4" s="373"/>
      <c r="O4" s="373"/>
    </row>
    <row r="5" spans="1:16" x14ac:dyDescent="0.2">
      <c r="A5" s="408" t="s">
        <v>263</v>
      </c>
      <c r="B5" s="409">
        <v>332792.353</v>
      </c>
      <c r="C5" s="409">
        <f t="shared" si="0"/>
        <v>0</v>
      </c>
      <c r="D5" s="373" t="s">
        <v>464</v>
      </c>
      <c r="E5" s="392" t="s">
        <v>426</v>
      </c>
      <c r="F5" s="392" t="s">
        <v>463</v>
      </c>
      <c r="G5" s="472">
        <v>0</v>
      </c>
      <c r="M5" s="181"/>
      <c r="N5" s="373"/>
      <c r="O5" s="373"/>
    </row>
    <row r="6" spans="1:16" x14ac:dyDescent="0.2">
      <c r="A6" s="408" t="s">
        <v>264</v>
      </c>
      <c r="B6" s="409">
        <v>-290.36</v>
      </c>
      <c r="C6" s="409">
        <f t="shared" si="0"/>
        <v>0</v>
      </c>
      <c r="D6" s="373" t="s">
        <v>464</v>
      </c>
      <c r="E6" s="392" t="s">
        <v>426</v>
      </c>
      <c r="F6" s="392" t="s">
        <v>463</v>
      </c>
      <c r="G6" s="472">
        <v>0</v>
      </c>
      <c r="M6" s="181"/>
      <c r="N6" s="373"/>
      <c r="O6" s="373"/>
    </row>
    <row r="7" spans="1:16" x14ac:dyDescent="0.2">
      <c r="A7" s="408" t="s">
        <v>265</v>
      </c>
      <c r="B7" s="409">
        <v>-174.56</v>
      </c>
      <c r="C7" s="409">
        <f t="shared" si="0"/>
        <v>0</v>
      </c>
      <c r="D7" s="373" t="s">
        <v>464</v>
      </c>
      <c r="E7" s="392" t="s">
        <v>426</v>
      </c>
      <c r="F7" s="392" t="s">
        <v>463</v>
      </c>
      <c r="G7" s="472">
        <v>0</v>
      </c>
      <c r="M7" s="181"/>
      <c r="N7" s="373"/>
      <c r="O7" s="373"/>
    </row>
    <row r="8" spans="1:16" x14ac:dyDescent="0.2">
      <c r="A8" s="408" t="s">
        <v>266</v>
      </c>
      <c r="B8" s="409">
        <v>301309.36599999998</v>
      </c>
      <c r="C8" s="409">
        <f t="shared" si="0"/>
        <v>0</v>
      </c>
      <c r="D8" s="373" t="s">
        <v>464</v>
      </c>
      <c r="E8" s="392" t="s">
        <v>426</v>
      </c>
      <c r="F8" s="392" t="s">
        <v>463</v>
      </c>
      <c r="G8" s="472">
        <v>0</v>
      </c>
      <c r="M8" s="181"/>
      <c r="N8" s="373"/>
      <c r="O8" s="373"/>
    </row>
    <row r="9" spans="1:16" x14ac:dyDescent="0.2">
      <c r="A9" s="408" t="s">
        <v>281</v>
      </c>
      <c r="B9" s="409">
        <v>1897910</v>
      </c>
      <c r="C9" s="409">
        <f t="shared" si="0"/>
        <v>2019144.0927105008</v>
      </c>
      <c r="D9" s="373" t="s">
        <v>464</v>
      </c>
      <c r="E9" s="392" t="s">
        <v>427</v>
      </c>
      <c r="F9" s="392" t="s">
        <v>427</v>
      </c>
      <c r="G9" s="356">
        <f t="shared" ref="G9:G19" si="1">I9+(J9*$J$1)+(K9*$K$1)</f>
        <v>2019144.0927105008</v>
      </c>
      <c r="I9" s="459">
        <v>2003314.6529556098</v>
      </c>
      <c r="J9" s="459">
        <v>231.60925419500001</v>
      </c>
      <c r="K9" s="459">
        <v>33.688618792</v>
      </c>
      <c r="M9" s="181"/>
      <c r="N9" s="373"/>
      <c r="O9" s="373"/>
    </row>
    <row r="10" spans="1:16" x14ac:dyDescent="0.2">
      <c r="A10" s="408" t="s">
        <v>282</v>
      </c>
      <c r="B10" s="409">
        <v>2312673</v>
      </c>
      <c r="C10" s="409">
        <f t="shared" si="0"/>
        <v>2515865.6759153572</v>
      </c>
      <c r="D10" s="373" t="s">
        <v>464</v>
      </c>
      <c r="E10" s="392" t="s">
        <v>427</v>
      </c>
      <c r="F10" s="392" t="s">
        <v>427</v>
      </c>
      <c r="G10" s="356">
        <f t="shared" si="1"/>
        <v>2515865.6759153572</v>
      </c>
      <c r="I10" s="459">
        <v>2496142.1043733601</v>
      </c>
      <c r="J10" s="459">
        <v>288.58644182224998</v>
      </c>
      <c r="K10" s="459">
        <v>41.9762097196</v>
      </c>
      <c r="M10" s="181"/>
      <c r="N10" s="373"/>
      <c r="O10" s="373"/>
    </row>
    <row r="11" spans="1:16" x14ac:dyDescent="0.2">
      <c r="A11" s="408" t="s">
        <v>268</v>
      </c>
      <c r="B11" s="409">
        <v>88887.6</v>
      </c>
      <c r="C11" s="409">
        <f t="shared" si="0"/>
        <v>44185.358821524802</v>
      </c>
      <c r="D11" s="373" t="s">
        <v>464</v>
      </c>
      <c r="E11" s="392" t="s">
        <v>429</v>
      </c>
      <c r="F11" s="392" t="s">
        <v>429</v>
      </c>
      <c r="G11" s="356">
        <f t="shared" si="1"/>
        <v>44185.358821524802</v>
      </c>
      <c r="I11" s="460">
        <v>44140.708969259998</v>
      </c>
      <c r="J11" s="460">
        <v>0.814778326</v>
      </c>
      <c r="K11" s="460">
        <v>8.1477832600000008E-2</v>
      </c>
      <c r="M11" s="181"/>
      <c r="N11" s="373"/>
      <c r="O11" s="373"/>
    </row>
    <row r="12" spans="1:16" x14ac:dyDescent="0.2">
      <c r="A12" s="408" t="s">
        <v>270</v>
      </c>
      <c r="B12" s="409">
        <v>135217.96400000001</v>
      </c>
      <c r="C12" s="409">
        <f t="shared" si="0"/>
        <v>53298.601875271677</v>
      </c>
      <c r="D12" s="373" t="s">
        <v>464</v>
      </c>
      <c r="E12" s="392" t="s">
        <v>429</v>
      </c>
      <c r="F12" s="392" t="s">
        <v>429</v>
      </c>
      <c r="G12" s="356">
        <f t="shared" si="1"/>
        <v>53298.601875271677</v>
      </c>
      <c r="I12" s="460">
        <v>53244.483228249366</v>
      </c>
      <c r="J12" s="460">
        <v>0.9875665515019999</v>
      </c>
      <c r="K12" s="460">
        <v>9.8756655150200004E-2</v>
      </c>
      <c r="M12" s="181"/>
    </row>
    <row r="13" spans="1:16" x14ac:dyDescent="0.2">
      <c r="A13" s="408" t="s">
        <v>274</v>
      </c>
      <c r="B13" s="409">
        <v>609012.73499999999</v>
      </c>
      <c r="C13" s="409">
        <f t="shared" si="0"/>
        <v>219762.3197806252</v>
      </c>
      <c r="D13" s="373" t="s">
        <v>464</v>
      </c>
      <c r="E13" s="392" t="s">
        <v>429</v>
      </c>
      <c r="F13" s="392" t="s">
        <v>429</v>
      </c>
      <c r="G13" s="356">
        <f t="shared" si="1"/>
        <v>219762.3197806252</v>
      </c>
      <c r="I13" s="460">
        <v>219539.16570859999</v>
      </c>
      <c r="J13" s="460">
        <v>4.0721545990000001</v>
      </c>
      <c r="K13" s="460">
        <v>0.40721545989999997</v>
      </c>
      <c r="M13" s="181"/>
    </row>
    <row r="14" spans="1:16" x14ac:dyDescent="0.2">
      <c r="A14" s="408" t="s">
        <v>277</v>
      </c>
      <c r="B14" s="409">
        <v>702080.6</v>
      </c>
      <c r="C14" s="409">
        <f t="shared" si="0"/>
        <v>277602.12535356474</v>
      </c>
      <c r="D14" s="373" t="s">
        <v>464</v>
      </c>
      <c r="E14" s="392" t="s">
        <v>429</v>
      </c>
      <c r="F14" s="392" t="s">
        <v>429</v>
      </c>
      <c r="G14" s="356">
        <f t="shared" si="1"/>
        <v>277602.12535356474</v>
      </c>
      <c r="I14" s="460">
        <v>277320.24222965998</v>
      </c>
      <c r="J14" s="460">
        <v>5.1438526260000001</v>
      </c>
      <c r="K14" s="460">
        <v>0.51438526260000006</v>
      </c>
      <c r="M14" s="181"/>
    </row>
    <row r="15" spans="1:16" x14ac:dyDescent="0.2">
      <c r="A15" s="408" t="s">
        <v>278</v>
      </c>
      <c r="B15" s="409">
        <v>178397.424</v>
      </c>
      <c r="C15" s="409">
        <f t="shared" si="0"/>
        <v>82301.293085886398</v>
      </c>
      <c r="D15" s="373" t="s">
        <v>464</v>
      </c>
      <c r="E15" s="392" t="s">
        <v>429</v>
      </c>
      <c r="F15" s="392" t="s">
        <v>429</v>
      </c>
      <c r="G15" s="356">
        <f t="shared" si="1"/>
        <v>82301.293085886398</v>
      </c>
      <c r="I15" s="460">
        <v>82217.723400000003</v>
      </c>
      <c r="J15" s="460">
        <v>1.5249942679999999</v>
      </c>
      <c r="K15" s="460">
        <v>0.1524994268</v>
      </c>
      <c r="M15" s="181"/>
    </row>
    <row r="16" spans="1:16" x14ac:dyDescent="0.2">
      <c r="A16" s="408" t="s">
        <v>267</v>
      </c>
      <c r="B16" s="409">
        <v>273.13</v>
      </c>
      <c r="C16" s="409">
        <f t="shared" si="0"/>
        <v>228.08619878713793</v>
      </c>
      <c r="D16" s="373" t="s">
        <v>464</v>
      </c>
      <c r="E16" s="392" t="s">
        <v>428</v>
      </c>
      <c r="F16" s="392" t="s">
        <v>429</v>
      </c>
      <c r="G16" s="356">
        <f t="shared" si="1"/>
        <v>228.08619878713793</v>
      </c>
      <c r="I16" s="460">
        <v>227.30617839669605</v>
      </c>
      <c r="J16" s="460">
        <v>9.2200991778000028E-3</v>
      </c>
      <c r="K16" s="460">
        <v>1.8440198355600004E-3</v>
      </c>
      <c r="M16" s="181"/>
    </row>
    <row r="17" spans="1:13" x14ac:dyDescent="0.2">
      <c r="A17" s="408" t="s">
        <v>271</v>
      </c>
      <c r="B17" s="409">
        <v>27939.9</v>
      </c>
      <c r="C17" s="409">
        <f t="shared" si="0"/>
        <v>20714.039085969845</v>
      </c>
      <c r="D17" s="373" t="s">
        <v>464</v>
      </c>
      <c r="E17" s="392" t="s">
        <v>429</v>
      </c>
      <c r="F17" s="392" t="s">
        <v>429</v>
      </c>
      <c r="G17" s="356">
        <f t="shared" si="1"/>
        <v>20714.039085969845</v>
      </c>
      <c r="I17" s="460">
        <v>20689.14469172887</v>
      </c>
      <c r="J17" s="460">
        <v>0.42198500439919595</v>
      </c>
      <c r="K17" s="460">
        <v>4.8136809164419592E-2</v>
      </c>
      <c r="M17" s="181"/>
    </row>
    <row r="18" spans="1:13" x14ac:dyDescent="0.2">
      <c r="A18" s="408" t="s">
        <v>272</v>
      </c>
      <c r="B18" s="409">
        <v>48850.400000000001</v>
      </c>
      <c r="C18" s="409">
        <f t="shared" si="0"/>
        <v>27316.736393205199</v>
      </c>
      <c r="D18" s="373" t="s">
        <v>464</v>
      </c>
      <c r="E18" s="392" t="s">
        <v>429</v>
      </c>
      <c r="F18" s="392" t="s">
        <v>429</v>
      </c>
      <c r="G18" s="356">
        <f t="shared" si="1"/>
        <v>27316.736393205199</v>
      </c>
      <c r="I18" s="460">
        <v>27289.412280299999</v>
      </c>
      <c r="J18" s="460">
        <v>0.49861519900000006</v>
      </c>
      <c r="K18" s="460">
        <v>4.9861519900000005E-2</v>
      </c>
      <c r="M18" s="181"/>
    </row>
    <row r="19" spans="1:13" x14ac:dyDescent="0.2">
      <c r="A19" s="408" t="s">
        <v>273</v>
      </c>
      <c r="B19" s="409">
        <v>9975.6</v>
      </c>
      <c r="C19" s="409">
        <f t="shared" si="0"/>
        <v>10982.81701751447</v>
      </c>
      <c r="D19" s="373" t="s">
        <v>464</v>
      </c>
      <c r="E19" s="392" t="s">
        <v>429</v>
      </c>
      <c r="F19" s="392" t="s">
        <v>429</v>
      </c>
      <c r="G19" s="356">
        <f t="shared" si="1"/>
        <v>10982.81701751447</v>
      </c>
      <c r="I19" s="460">
        <v>10970.109420643479</v>
      </c>
      <c r="J19" s="460">
        <v>0.21929614435086908</v>
      </c>
      <c r="K19" s="460">
        <v>2.4245614973886904E-2</v>
      </c>
      <c r="M19" s="181"/>
    </row>
    <row r="20" spans="1:13" x14ac:dyDescent="0.2">
      <c r="A20" s="408" t="s">
        <v>275</v>
      </c>
      <c r="B20" s="409">
        <v>433218.60800000001</v>
      </c>
      <c r="C20" s="409">
        <f t="shared" si="0"/>
        <v>0</v>
      </c>
      <c r="D20" s="373" t="s">
        <v>464</v>
      </c>
      <c r="E20" s="392" t="s">
        <v>430</v>
      </c>
      <c r="F20" s="392" t="s">
        <v>463</v>
      </c>
      <c r="G20" s="472">
        <v>0</v>
      </c>
      <c r="M20" s="181"/>
    </row>
    <row r="21" spans="1:13" x14ac:dyDescent="0.2">
      <c r="A21" s="408" t="s">
        <v>564</v>
      </c>
      <c r="B21" s="409">
        <v>22501</v>
      </c>
      <c r="C21" s="409">
        <f t="shared" si="0"/>
        <v>19420.510083079684</v>
      </c>
      <c r="D21" s="373" t="s">
        <v>464</v>
      </c>
      <c r="E21" s="392" t="s">
        <v>429</v>
      </c>
      <c r="F21" s="392" t="s">
        <v>429</v>
      </c>
      <c r="G21" s="356">
        <f t="shared" ref="G21" si="2">I21+(J21*$J$1)+(K21*$K$1)</f>
        <v>19420.510083079684</v>
      </c>
      <c r="I21" s="460">
        <v>19399.129235758948</v>
      </c>
      <c r="J21" s="460">
        <v>0.37792357677736976</v>
      </c>
      <c r="K21" s="460">
        <v>4.0042811749336979E-2</v>
      </c>
      <c r="M21" s="181"/>
    </row>
    <row r="22" spans="1:13" x14ac:dyDescent="0.2">
      <c r="A22" s="408" t="s">
        <v>280</v>
      </c>
      <c r="B22" s="409">
        <v>730658.80599999998</v>
      </c>
      <c r="C22" s="409">
        <f t="shared" si="0"/>
        <v>0</v>
      </c>
      <c r="D22" s="373" t="s">
        <v>464</v>
      </c>
      <c r="E22" s="373" t="s">
        <v>430</v>
      </c>
      <c r="F22" s="392" t="s">
        <v>463</v>
      </c>
      <c r="G22" s="472">
        <v>0</v>
      </c>
      <c r="M22" s="181"/>
    </row>
    <row r="23" spans="1:13" x14ac:dyDescent="0.2">
      <c r="A23" s="408" t="s">
        <v>283</v>
      </c>
      <c r="B23" s="409">
        <v>105.014</v>
      </c>
      <c r="C23" s="409">
        <f t="shared" si="0"/>
        <v>0</v>
      </c>
      <c r="D23" s="373" t="s">
        <v>465</v>
      </c>
      <c r="E23" s="373" t="s">
        <v>430</v>
      </c>
      <c r="F23" s="392" t="s">
        <v>463</v>
      </c>
      <c r="G23" s="472">
        <v>0</v>
      </c>
      <c r="M23" s="181"/>
    </row>
    <row r="24" spans="1:13" x14ac:dyDescent="0.2">
      <c r="A24" s="408" t="s">
        <v>286</v>
      </c>
      <c r="B24" s="409">
        <v>9716.4599999999991</v>
      </c>
      <c r="C24" s="409">
        <f t="shared" si="0"/>
        <v>0</v>
      </c>
      <c r="D24" s="373" t="s">
        <v>465</v>
      </c>
      <c r="E24" s="373" t="s">
        <v>426</v>
      </c>
      <c r="F24" s="392" t="s">
        <v>463</v>
      </c>
      <c r="G24" s="472">
        <v>0</v>
      </c>
      <c r="M24" s="181"/>
    </row>
    <row r="25" spans="1:13" x14ac:dyDescent="0.2">
      <c r="A25" s="408" t="s">
        <v>289</v>
      </c>
      <c r="B25" s="409">
        <v>129926</v>
      </c>
      <c r="C25" s="409">
        <f t="shared" si="0"/>
        <v>0</v>
      </c>
      <c r="D25" s="373" t="s">
        <v>465</v>
      </c>
      <c r="E25" s="392" t="s">
        <v>426</v>
      </c>
      <c r="F25" s="392" t="s">
        <v>463</v>
      </c>
      <c r="G25" s="472">
        <v>0</v>
      </c>
      <c r="M25" s="181"/>
    </row>
    <row r="26" spans="1:13" x14ac:dyDescent="0.2">
      <c r="A26" s="408" t="s">
        <v>290</v>
      </c>
      <c r="B26" s="409">
        <v>1647786</v>
      </c>
      <c r="C26" s="409">
        <f t="shared" si="0"/>
        <v>0</v>
      </c>
      <c r="D26" s="373" t="s">
        <v>465</v>
      </c>
      <c r="E26" s="392" t="s">
        <v>426</v>
      </c>
      <c r="F26" s="392" t="s">
        <v>463</v>
      </c>
      <c r="G26" s="472">
        <v>0</v>
      </c>
      <c r="M26" s="181"/>
    </row>
    <row r="27" spans="1:13" x14ac:dyDescent="0.2">
      <c r="A27" s="408" t="s">
        <v>291</v>
      </c>
      <c r="B27" s="409">
        <v>2517798</v>
      </c>
      <c r="C27" s="409">
        <f t="shared" si="0"/>
        <v>0</v>
      </c>
      <c r="D27" s="373" t="s">
        <v>465</v>
      </c>
      <c r="E27" s="392" t="s">
        <v>426</v>
      </c>
      <c r="F27" s="392" t="s">
        <v>463</v>
      </c>
      <c r="G27" s="472">
        <v>0</v>
      </c>
      <c r="M27" s="181"/>
    </row>
    <row r="28" spans="1:13" x14ac:dyDescent="0.2">
      <c r="A28" s="408" t="s">
        <v>292</v>
      </c>
      <c r="B28" s="409">
        <v>1061183</v>
      </c>
      <c r="C28" s="409">
        <f t="shared" si="0"/>
        <v>0</v>
      </c>
      <c r="D28" s="373" t="s">
        <v>465</v>
      </c>
      <c r="E28" s="392" t="s">
        <v>426</v>
      </c>
      <c r="F28" s="392" t="s">
        <v>463</v>
      </c>
      <c r="G28" s="472">
        <v>0</v>
      </c>
      <c r="M28" s="181"/>
    </row>
    <row r="29" spans="1:13" x14ac:dyDescent="0.2">
      <c r="A29" s="408" t="s">
        <v>294</v>
      </c>
      <c r="B29" s="409">
        <v>3412.36</v>
      </c>
      <c r="C29" s="409">
        <f t="shared" si="0"/>
        <v>0</v>
      </c>
      <c r="D29" s="373" t="s">
        <v>465</v>
      </c>
      <c r="E29" s="373" t="s">
        <v>431</v>
      </c>
      <c r="F29" s="392" t="s">
        <v>463</v>
      </c>
      <c r="G29" s="472">
        <v>0</v>
      </c>
      <c r="M29" s="181"/>
    </row>
    <row r="30" spans="1:13" x14ac:dyDescent="0.2">
      <c r="A30" s="408" t="s">
        <v>295</v>
      </c>
      <c r="B30" s="409">
        <v>4903.5690000000004</v>
      </c>
      <c r="C30" s="409">
        <f t="shared" si="0"/>
        <v>0</v>
      </c>
      <c r="D30" s="373" t="s">
        <v>465</v>
      </c>
      <c r="E30" s="392" t="s">
        <v>431</v>
      </c>
      <c r="F30" s="392" t="s">
        <v>463</v>
      </c>
      <c r="G30" s="472">
        <v>0</v>
      </c>
      <c r="M30" s="181"/>
    </row>
    <row r="31" spans="1:13" x14ac:dyDescent="0.2">
      <c r="A31" s="408" t="s">
        <v>297</v>
      </c>
      <c r="B31" s="409">
        <v>253731</v>
      </c>
      <c r="C31" s="409">
        <f t="shared" si="0"/>
        <v>0</v>
      </c>
      <c r="D31" s="373" t="s">
        <v>465</v>
      </c>
      <c r="E31" s="392" t="s">
        <v>426</v>
      </c>
      <c r="F31" s="392" t="s">
        <v>463</v>
      </c>
      <c r="G31" s="472">
        <v>0</v>
      </c>
      <c r="M31" s="181"/>
    </row>
    <row r="32" spans="1:13" x14ac:dyDescent="0.2">
      <c r="A32" s="408" t="s">
        <v>299</v>
      </c>
      <c r="B32" s="409">
        <v>15.23</v>
      </c>
      <c r="C32" s="409">
        <f t="shared" si="0"/>
        <v>0</v>
      </c>
      <c r="D32" s="373" t="s">
        <v>465</v>
      </c>
      <c r="E32" s="373" t="s">
        <v>433</v>
      </c>
      <c r="F32" s="392" t="s">
        <v>463</v>
      </c>
      <c r="G32" s="472">
        <v>0</v>
      </c>
      <c r="M32" s="181"/>
    </row>
    <row r="33" spans="1:16" x14ac:dyDescent="0.2">
      <c r="A33" s="408" t="s">
        <v>301</v>
      </c>
      <c r="B33" s="409">
        <v>132950</v>
      </c>
      <c r="C33" s="409">
        <f t="shared" si="0"/>
        <v>0</v>
      </c>
      <c r="D33" s="373" t="s">
        <v>465</v>
      </c>
      <c r="E33" s="392" t="s">
        <v>430</v>
      </c>
      <c r="F33" s="392" t="s">
        <v>463</v>
      </c>
      <c r="G33" s="472">
        <v>0</v>
      </c>
      <c r="M33" s="181"/>
    </row>
    <row r="34" spans="1:16" x14ac:dyDescent="0.2">
      <c r="A34" s="408" t="s">
        <v>302</v>
      </c>
      <c r="B34" s="409">
        <v>85.938000000000002</v>
      </c>
      <c r="C34" s="409">
        <f t="shared" si="0"/>
        <v>0</v>
      </c>
      <c r="D34" s="373" t="s">
        <v>465</v>
      </c>
      <c r="E34" s="392" t="s">
        <v>430</v>
      </c>
      <c r="F34" s="392" t="s">
        <v>463</v>
      </c>
      <c r="G34" s="472">
        <v>0</v>
      </c>
      <c r="M34" s="181"/>
    </row>
    <row r="35" spans="1:16" x14ac:dyDescent="0.2">
      <c r="A35" s="408" t="s">
        <v>304</v>
      </c>
      <c r="B35" s="409">
        <v>3315</v>
      </c>
      <c r="C35" s="409">
        <f t="shared" si="0"/>
        <v>0</v>
      </c>
      <c r="D35" s="373" t="s">
        <v>465</v>
      </c>
      <c r="E35" s="392" t="s">
        <v>431</v>
      </c>
      <c r="F35" s="392" t="s">
        <v>463</v>
      </c>
      <c r="G35" s="472">
        <v>0</v>
      </c>
      <c r="M35" s="181"/>
    </row>
    <row r="36" spans="1:16" x14ac:dyDescent="0.2">
      <c r="A36" s="408" t="s">
        <v>306</v>
      </c>
      <c r="B36" s="409">
        <v>5017.3999999999996</v>
      </c>
      <c r="C36" s="409">
        <f t="shared" si="0"/>
        <v>0</v>
      </c>
      <c r="D36" s="373" t="s">
        <v>465</v>
      </c>
      <c r="E36" s="392" t="s">
        <v>426</v>
      </c>
      <c r="F36" s="392" t="s">
        <v>463</v>
      </c>
      <c r="G36" s="472">
        <v>0</v>
      </c>
      <c r="M36" s="181"/>
    </row>
    <row r="37" spans="1:16" x14ac:dyDescent="0.2">
      <c r="A37" s="408" t="s">
        <v>307</v>
      </c>
      <c r="B37" s="409">
        <v>169.59399999999999</v>
      </c>
      <c r="C37" s="409">
        <f t="shared" si="0"/>
        <v>0</v>
      </c>
      <c r="D37" s="373" t="s">
        <v>465</v>
      </c>
      <c r="E37" s="392" t="s">
        <v>426</v>
      </c>
      <c r="F37" s="392" t="s">
        <v>463</v>
      </c>
      <c r="G37" s="472">
        <v>0</v>
      </c>
      <c r="M37" s="181"/>
    </row>
    <row r="38" spans="1:16" x14ac:dyDescent="0.2">
      <c r="A38" s="408" t="s">
        <v>311</v>
      </c>
      <c r="B38" s="409">
        <v>749.88199999999995</v>
      </c>
      <c r="C38" s="409">
        <f t="shared" si="0"/>
        <v>0</v>
      </c>
      <c r="D38" s="373" t="s">
        <v>465</v>
      </c>
      <c r="E38" s="392" t="s">
        <v>431</v>
      </c>
      <c r="F38" s="392" t="s">
        <v>463</v>
      </c>
      <c r="G38" s="472">
        <v>0</v>
      </c>
      <c r="M38" s="181"/>
    </row>
    <row r="39" spans="1:16" x14ac:dyDescent="0.2">
      <c r="A39" s="408" t="s">
        <v>312</v>
      </c>
      <c r="B39" s="409">
        <v>3919</v>
      </c>
      <c r="C39" s="409">
        <f t="shared" si="0"/>
        <v>0</v>
      </c>
      <c r="D39" s="373" t="s">
        <v>465</v>
      </c>
      <c r="E39" s="392" t="s">
        <v>431</v>
      </c>
      <c r="F39" s="392" t="s">
        <v>463</v>
      </c>
      <c r="G39" s="472">
        <v>0</v>
      </c>
      <c r="M39" s="181"/>
    </row>
    <row r="40" spans="1:16" x14ac:dyDescent="0.2">
      <c r="A40" s="408" t="s">
        <v>313</v>
      </c>
      <c r="B40" s="409">
        <v>38437</v>
      </c>
      <c r="C40" s="409">
        <f t="shared" si="0"/>
        <v>0</v>
      </c>
      <c r="D40" s="373" t="s">
        <v>465</v>
      </c>
      <c r="E40" s="392" t="s">
        <v>426</v>
      </c>
      <c r="F40" s="392" t="s">
        <v>463</v>
      </c>
      <c r="G40" s="472">
        <v>0</v>
      </c>
      <c r="M40" s="181"/>
    </row>
    <row r="41" spans="1:16" x14ac:dyDescent="0.2">
      <c r="A41" s="408" t="s">
        <v>317</v>
      </c>
      <c r="B41" s="409">
        <v>1180.2</v>
      </c>
      <c r="C41" s="409">
        <f t="shared" si="0"/>
        <v>0</v>
      </c>
      <c r="D41" s="373" t="s">
        <v>465</v>
      </c>
      <c r="E41" s="392" t="s">
        <v>426</v>
      </c>
      <c r="F41" s="392" t="s">
        <v>463</v>
      </c>
      <c r="G41" s="472">
        <v>0</v>
      </c>
      <c r="M41" s="181"/>
    </row>
    <row r="42" spans="1:16" x14ac:dyDescent="0.2">
      <c r="A42" s="408" t="s">
        <v>318</v>
      </c>
      <c r="B42" s="409">
        <v>41094.68</v>
      </c>
      <c r="C42" s="409">
        <f t="shared" si="0"/>
        <v>0</v>
      </c>
      <c r="D42" s="373" t="s">
        <v>465</v>
      </c>
      <c r="E42" s="392" t="s">
        <v>426</v>
      </c>
      <c r="F42" s="392" t="s">
        <v>463</v>
      </c>
      <c r="G42" s="472">
        <v>0</v>
      </c>
      <c r="M42" s="181"/>
    </row>
    <row r="43" spans="1:16" x14ac:dyDescent="0.2">
      <c r="A43" s="408" t="s">
        <v>320</v>
      </c>
      <c r="B43" s="409">
        <v>769775.10599999991</v>
      </c>
      <c r="C43" s="409">
        <f t="shared" si="0"/>
        <v>211301.4807120715</v>
      </c>
      <c r="D43" s="373" t="s">
        <v>465</v>
      </c>
      <c r="E43" s="392" t="s">
        <v>429</v>
      </c>
      <c r="F43" s="392" t="s">
        <v>429</v>
      </c>
      <c r="G43" s="461">
        <f>M43*B43</f>
        <v>211301.4807120715</v>
      </c>
      <c r="I43" s="410">
        <f>(53.06/1000)*O43</f>
        <v>260556.64824000001</v>
      </c>
      <c r="J43" s="410">
        <f>(0.001/1000)*O43</f>
        <v>4.9106040000000002</v>
      </c>
      <c r="K43" s="410">
        <f>(0.0001/1000)*O43</f>
        <v>0.49106040000000006</v>
      </c>
      <c r="M43" s="480">
        <f>(I43+(J43*$J$1)+(K43*$K$1))/N43</f>
        <v>0.2744976799913188</v>
      </c>
      <c r="N43" s="391">
        <v>950192.91</v>
      </c>
      <c r="O43" s="391">
        <v>4910604</v>
      </c>
      <c r="P43" s="406" t="s">
        <v>567</v>
      </c>
    </row>
    <row r="44" spans="1:16" x14ac:dyDescent="0.2">
      <c r="A44" s="408" t="s">
        <v>321</v>
      </c>
      <c r="B44" s="409">
        <v>24528.506000000001</v>
      </c>
      <c r="C44" s="409">
        <f t="shared" si="0"/>
        <v>0</v>
      </c>
      <c r="D44" s="373" t="s">
        <v>465</v>
      </c>
      <c r="E44" s="392" t="s">
        <v>426</v>
      </c>
      <c r="F44" s="392" t="s">
        <v>463</v>
      </c>
      <c r="G44" s="472">
        <v>0</v>
      </c>
      <c r="M44" s="181"/>
      <c r="N44" s="391"/>
      <c r="O44" s="391"/>
    </row>
    <row r="45" spans="1:16" x14ac:dyDescent="0.2">
      <c r="A45" s="408" t="s">
        <v>322</v>
      </c>
      <c r="B45" s="409">
        <v>2962.03</v>
      </c>
      <c r="C45" s="409">
        <f t="shared" si="0"/>
        <v>0</v>
      </c>
      <c r="D45" s="373" t="s">
        <v>465</v>
      </c>
      <c r="E45" s="392" t="s">
        <v>431</v>
      </c>
      <c r="F45" s="392" t="s">
        <v>463</v>
      </c>
      <c r="G45" s="472">
        <v>0</v>
      </c>
      <c r="M45" s="181"/>
      <c r="N45" s="391"/>
      <c r="O45" s="391"/>
    </row>
    <row r="46" spans="1:16" x14ac:dyDescent="0.2">
      <c r="A46" s="408" t="s">
        <v>324</v>
      </c>
      <c r="B46" s="409">
        <v>143386</v>
      </c>
      <c r="C46" s="409">
        <f t="shared" si="0"/>
        <v>100855.06414459176</v>
      </c>
      <c r="D46" s="373" t="s">
        <v>465</v>
      </c>
      <c r="E46" s="392" t="s">
        <v>429</v>
      </c>
      <c r="F46" s="392" t="s">
        <v>429</v>
      </c>
      <c r="G46" s="461">
        <f>M46*B46</f>
        <v>100855.06414459176</v>
      </c>
      <c r="I46" s="460"/>
      <c r="J46" s="460"/>
      <c r="K46" s="460"/>
      <c r="M46" s="461">
        <f>100852.954/N46</f>
        <v>0.70338153058591324</v>
      </c>
      <c r="N46" s="356">
        <v>143383</v>
      </c>
      <c r="O46" s="391"/>
      <c r="P46" s="406" t="s">
        <v>563</v>
      </c>
    </row>
    <row r="47" spans="1:16" x14ac:dyDescent="0.2">
      <c r="A47" s="408" t="s">
        <v>325</v>
      </c>
      <c r="B47" s="409">
        <v>1153.68</v>
      </c>
      <c r="C47" s="409">
        <f t="shared" si="0"/>
        <v>0</v>
      </c>
      <c r="D47" s="373" t="s">
        <v>465</v>
      </c>
      <c r="E47" s="392" t="s">
        <v>426</v>
      </c>
      <c r="F47" s="392" t="s">
        <v>463</v>
      </c>
      <c r="G47" s="472">
        <v>0</v>
      </c>
      <c r="M47" s="181"/>
      <c r="N47" s="391"/>
      <c r="O47" s="391"/>
    </row>
    <row r="48" spans="1:16" x14ac:dyDescent="0.2">
      <c r="A48" s="408" t="s">
        <v>250</v>
      </c>
      <c r="B48" s="409">
        <v>81307.08</v>
      </c>
      <c r="C48" s="409">
        <f>G48</f>
        <v>33410.014472329705</v>
      </c>
      <c r="D48" s="373" t="s">
        <v>465</v>
      </c>
      <c r="E48" s="392" t="s">
        <v>429</v>
      </c>
      <c r="F48" s="392" t="s">
        <v>429</v>
      </c>
      <c r="G48" s="479">
        <f>B48*M48</f>
        <v>33410.014472329705</v>
      </c>
      <c r="I48" s="460">
        <v>35840.9</v>
      </c>
      <c r="J48" s="460">
        <v>17</v>
      </c>
      <c r="K48" s="460">
        <v>20.263999999999999</v>
      </c>
      <c r="M48" s="480">
        <f>(I48+(J48*$J$1)+(K48*$K$1))/N48</f>
        <v>0.41091150330733439</v>
      </c>
      <c r="N48" s="392">
        <v>102953</v>
      </c>
      <c r="P48" s="406" t="s">
        <v>573</v>
      </c>
    </row>
    <row r="49" spans="1:13" x14ac:dyDescent="0.2">
      <c r="A49" s="408" t="s">
        <v>326</v>
      </c>
      <c r="B49" s="409">
        <v>90259.6</v>
      </c>
      <c r="C49" s="409">
        <f t="shared" si="0"/>
        <v>0</v>
      </c>
      <c r="D49" s="373" t="s">
        <v>465</v>
      </c>
      <c r="E49" s="392" t="s">
        <v>426</v>
      </c>
      <c r="F49" s="392" t="s">
        <v>463</v>
      </c>
      <c r="G49" s="472">
        <v>0</v>
      </c>
      <c r="M49" s="471"/>
    </row>
    <row r="50" spans="1:13" x14ac:dyDescent="0.2">
      <c r="A50" s="408" t="s">
        <v>327</v>
      </c>
      <c r="B50" s="409">
        <v>15834</v>
      </c>
      <c r="C50" s="409">
        <f t="shared" si="0"/>
        <v>0</v>
      </c>
      <c r="D50" s="373" t="s">
        <v>465</v>
      </c>
      <c r="E50" s="392" t="s">
        <v>426</v>
      </c>
      <c r="F50" s="392" t="s">
        <v>463</v>
      </c>
      <c r="G50" s="472">
        <v>0</v>
      </c>
      <c r="M50" s="181"/>
    </row>
    <row r="51" spans="1:13" x14ac:dyDescent="0.2">
      <c r="A51" s="408" t="s">
        <v>188</v>
      </c>
      <c r="B51" s="409">
        <v>109875</v>
      </c>
      <c r="C51" s="409">
        <f t="shared" si="0"/>
        <v>48015.374999999993</v>
      </c>
      <c r="D51" s="373" t="s">
        <v>465</v>
      </c>
      <c r="E51" s="417" t="s">
        <v>432</v>
      </c>
      <c r="F51" s="417" t="s">
        <v>432</v>
      </c>
      <c r="G51" s="466">
        <f>(B51*$I$2)/2204.623</f>
        <v>48015.374999999993</v>
      </c>
      <c r="M51" s="471"/>
    </row>
    <row r="52" spans="1:13" x14ac:dyDescent="0.2">
      <c r="A52" s="408" t="s">
        <v>284</v>
      </c>
      <c r="B52" s="409">
        <v>22073.61</v>
      </c>
      <c r="C52" s="409">
        <f t="shared" si="0"/>
        <v>9646.1675699999996</v>
      </c>
      <c r="D52" s="373" t="s">
        <v>465</v>
      </c>
      <c r="E52" s="417" t="s">
        <v>432</v>
      </c>
      <c r="F52" s="417" t="s">
        <v>432</v>
      </c>
      <c r="G52" s="466">
        <f t="shared" ref="G52:G59" si="3">(B52*$I$2)/2204.623</f>
        <v>9646.1675699999996</v>
      </c>
      <c r="M52" s="181"/>
    </row>
    <row r="53" spans="1:13" x14ac:dyDescent="0.2">
      <c r="A53" s="408" t="s">
        <v>191</v>
      </c>
      <c r="B53" s="409">
        <v>-509390</v>
      </c>
      <c r="C53" s="409">
        <f t="shared" si="0"/>
        <v>-222603.43</v>
      </c>
      <c r="D53" s="373" t="s">
        <v>465</v>
      </c>
      <c r="E53" s="417" t="s">
        <v>432</v>
      </c>
      <c r="F53" s="417" t="s">
        <v>432</v>
      </c>
      <c r="G53" s="466">
        <f t="shared" si="3"/>
        <v>-222603.43</v>
      </c>
      <c r="M53" s="181"/>
    </row>
    <row r="54" spans="1:13" x14ac:dyDescent="0.2">
      <c r="A54" s="408" t="s">
        <v>287</v>
      </c>
      <c r="B54" s="409">
        <v>413808</v>
      </c>
      <c r="C54" s="409">
        <f t="shared" si="0"/>
        <v>180834.09600000002</v>
      </c>
      <c r="D54" s="373" t="s">
        <v>465</v>
      </c>
      <c r="E54" s="417" t="s">
        <v>432</v>
      </c>
      <c r="F54" s="417" t="s">
        <v>432</v>
      </c>
      <c r="G54" s="466">
        <f t="shared" si="3"/>
        <v>180834.09600000002</v>
      </c>
      <c r="M54" s="181"/>
    </row>
    <row r="55" spans="1:13" x14ac:dyDescent="0.2">
      <c r="A55" s="408" t="s">
        <v>221</v>
      </c>
      <c r="B55" s="409">
        <v>385873</v>
      </c>
      <c r="C55" s="409">
        <f t="shared" si="0"/>
        <v>168626.50100000002</v>
      </c>
      <c r="D55" s="373" t="s">
        <v>465</v>
      </c>
      <c r="E55" s="417" t="s">
        <v>432</v>
      </c>
      <c r="F55" s="417" t="s">
        <v>432</v>
      </c>
      <c r="G55" s="466">
        <f t="shared" si="3"/>
        <v>168626.50100000002</v>
      </c>
      <c r="M55" s="181"/>
    </row>
    <row r="56" spans="1:13" x14ac:dyDescent="0.2">
      <c r="A56" s="408" t="s">
        <v>180</v>
      </c>
      <c r="B56" s="409">
        <v>180000</v>
      </c>
      <c r="C56" s="409">
        <f t="shared" si="0"/>
        <v>78660</v>
      </c>
      <c r="D56" s="373" t="s">
        <v>465</v>
      </c>
      <c r="E56" s="417" t="s">
        <v>432</v>
      </c>
      <c r="F56" s="417" t="s">
        <v>432</v>
      </c>
      <c r="G56" s="466">
        <f t="shared" si="3"/>
        <v>78660</v>
      </c>
      <c r="M56" s="181"/>
    </row>
    <row r="57" spans="1:13" x14ac:dyDescent="0.2">
      <c r="A57" s="408" t="s">
        <v>244</v>
      </c>
      <c r="B57" s="409">
        <v>161925</v>
      </c>
      <c r="C57" s="409">
        <f t="shared" si="0"/>
        <v>70761.225000000006</v>
      </c>
      <c r="D57" s="373" t="s">
        <v>465</v>
      </c>
      <c r="E57" s="417" t="s">
        <v>432</v>
      </c>
      <c r="F57" s="417" t="s">
        <v>432</v>
      </c>
      <c r="G57" s="466">
        <f t="shared" si="3"/>
        <v>70761.225000000006</v>
      </c>
      <c r="M57" s="181"/>
    </row>
    <row r="58" spans="1:13" x14ac:dyDescent="0.2">
      <c r="A58" s="408" t="s">
        <v>182</v>
      </c>
      <c r="B58" s="409">
        <v>437989</v>
      </c>
      <c r="C58" s="409">
        <f t="shared" si="0"/>
        <v>191401.193</v>
      </c>
      <c r="D58" s="373" t="s">
        <v>465</v>
      </c>
      <c r="E58" s="417" t="s">
        <v>432</v>
      </c>
      <c r="F58" s="417" t="s">
        <v>432</v>
      </c>
      <c r="G58" s="466">
        <f t="shared" si="3"/>
        <v>191401.193</v>
      </c>
      <c r="M58" s="181"/>
    </row>
    <row r="59" spans="1:13" x14ac:dyDescent="0.2">
      <c r="A59" s="408" t="s">
        <v>173</v>
      </c>
      <c r="B59" s="409">
        <v>7000</v>
      </c>
      <c r="C59" s="409">
        <f t="shared" si="0"/>
        <v>3059</v>
      </c>
      <c r="D59" s="373" t="s">
        <v>465</v>
      </c>
      <c r="E59" s="417" t="s">
        <v>432</v>
      </c>
      <c r="F59" s="417" t="s">
        <v>432</v>
      </c>
      <c r="G59" s="466">
        <f t="shared" si="3"/>
        <v>3059</v>
      </c>
      <c r="I59" s="460"/>
      <c r="J59" s="460"/>
      <c r="K59" s="460"/>
    </row>
    <row r="60" spans="1:13" ht="13.5" thickBot="1" x14ac:dyDescent="0.25">
      <c r="A60" s="411"/>
      <c r="B60" s="412"/>
      <c r="C60" s="412"/>
    </row>
    <row r="61" spans="1:13" ht="14.25" thickTop="1" thickBot="1" x14ac:dyDescent="0.25">
      <c r="B61" s="413">
        <f>SUM(B4:B60)</f>
        <v>16075429.309999995</v>
      </c>
      <c r="C61" s="413">
        <f>SUM(C4:C60)</f>
        <v>6164788.3432202796</v>
      </c>
      <c r="G61" s="468">
        <f>SUBTOTAL(9,G3:G60)</f>
        <v>6164788.3432202796</v>
      </c>
    </row>
    <row r="63" spans="1:13" x14ac:dyDescent="0.2">
      <c r="C63" s="458">
        <f>SUM(C51:C59)</f>
        <v>528400.12757000001</v>
      </c>
      <c r="D63" s="467" t="s">
        <v>566</v>
      </c>
    </row>
    <row r="64" spans="1:13" x14ac:dyDescent="0.2">
      <c r="B64" s="458"/>
    </row>
  </sheetData>
  <autoFilter ref="A1:K58"/>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workbookViewId="0">
      <selection activeCell="L103" sqref="L103"/>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 min="10" max="11" width="29.7109375" customWidth="1"/>
    <col min="12" max="12" width="15.7109375" customWidth="1"/>
  </cols>
  <sheetData>
    <row r="1" spans="1:12" ht="19.5" x14ac:dyDescent="0.35">
      <c r="A1" s="2" t="s">
        <v>32</v>
      </c>
      <c r="B1" s="183">
        <v>2011</v>
      </c>
      <c r="D1" s="7" t="s">
        <v>2</v>
      </c>
      <c r="H1" s="121">
        <f>'EFs &amp; Rates'!I5</f>
        <v>963.42025100000001</v>
      </c>
      <c r="I1" t="s">
        <v>6</v>
      </c>
    </row>
    <row r="2" spans="1:12" ht="18.75" x14ac:dyDescent="0.3">
      <c r="A2" s="2"/>
      <c r="B2" s="10" t="s">
        <v>31</v>
      </c>
      <c r="C2" s="10" t="s">
        <v>1</v>
      </c>
      <c r="D2" s="10" t="s">
        <v>522</v>
      </c>
      <c r="E2" s="3"/>
      <c r="F2" s="36" t="s">
        <v>9</v>
      </c>
      <c r="G2" s="35">
        <v>2011</v>
      </c>
      <c r="H2" s="37"/>
    </row>
    <row r="3" spans="1:12" ht="19.5" x14ac:dyDescent="0.35">
      <c r="A3" s="4" t="s">
        <v>0</v>
      </c>
      <c r="B3" s="11"/>
      <c r="C3" s="11" t="s">
        <v>7</v>
      </c>
      <c r="D3" s="11" t="s">
        <v>8</v>
      </c>
      <c r="E3" s="6"/>
    </row>
    <row r="4" spans="1:12" x14ac:dyDescent="0.25">
      <c r="A4" s="31" t="str">
        <f>J4</f>
        <v>Avista Corp. WWP Division</v>
      </c>
      <c r="B4" s="32">
        <f>L4</f>
        <v>117376.28</v>
      </c>
      <c r="C4" s="93">
        <f>IF(B4&lt;&gt;0,$H$1,"")</f>
        <v>963.42025100000001</v>
      </c>
      <c r="D4" s="9">
        <f>(+B4*C4)/2204.623</f>
        <v>51293.434359999999</v>
      </c>
      <c r="J4" t="s">
        <v>187</v>
      </c>
      <c r="K4" t="s">
        <v>608</v>
      </c>
      <c r="L4" s="96">
        <v>117376.28</v>
      </c>
    </row>
    <row r="5" spans="1:12" x14ac:dyDescent="0.25">
      <c r="A5" s="31" t="str">
        <f t="shared" ref="A5:A68" si="0">J5</f>
        <v>Barclays Bank Plc</v>
      </c>
      <c r="B5" s="32">
        <f t="shared" ref="B5:B68" si="1">L5</f>
        <v>27750</v>
      </c>
      <c r="C5" s="93">
        <f t="shared" ref="C5:C68" si="2">IF(B5&lt;&gt;0,$H$1,"")</f>
        <v>963.42025100000001</v>
      </c>
      <c r="D5" s="9">
        <f t="shared" ref="D5:D68" si="3">(+B5*C5)/2204.623</f>
        <v>12126.75</v>
      </c>
      <c r="J5" t="s">
        <v>188</v>
      </c>
      <c r="K5" t="s">
        <v>608</v>
      </c>
      <c r="L5" s="96">
        <v>27750</v>
      </c>
    </row>
    <row r="6" spans="1:12" x14ac:dyDescent="0.25">
      <c r="A6" s="31" t="str">
        <f t="shared" si="0"/>
        <v>Black Hills Power</v>
      </c>
      <c r="B6" s="32">
        <f t="shared" si="1"/>
        <v>3515</v>
      </c>
      <c r="C6" s="93">
        <f t="shared" si="2"/>
        <v>963.42025100000001</v>
      </c>
      <c r="D6" s="9">
        <f t="shared" si="3"/>
        <v>1536.0549999999998</v>
      </c>
      <c r="J6" t="s">
        <v>189</v>
      </c>
      <c r="K6" t="s">
        <v>608</v>
      </c>
      <c r="L6" s="96">
        <v>3515</v>
      </c>
    </row>
    <row r="7" spans="1:12" x14ac:dyDescent="0.25">
      <c r="A7" s="31" t="str">
        <f t="shared" si="0"/>
        <v>BNP Paribas Energy Trading</v>
      </c>
      <c r="B7" s="32">
        <f t="shared" si="1"/>
        <v>119000</v>
      </c>
      <c r="C7" s="93">
        <f t="shared" si="2"/>
        <v>963.42025100000001</v>
      </c>
      <c r="D7" s="9">
        <f t="shared" si="3"/>
        <v>52003</v>
      </c>
      <c r="J7" t="s">
        <v>190</v>
      </c>
      <c r="K7" t="s">
        <v>608</v>
      </c>
      <c r="L7" s="96">
        <v>119000</v>
      </c>
    </row>
    <row r="8" spans="1:12" x14ac:dyDescent="0.25">
      <c r="A8" s="31"/>
      <c r="B8" s="32"/>
      <c r="C8" s="93"/>
      <c r="D8" s="9"/>
      <c r="J8" s="89" t="s">
        <v>191</v>
      </c>
      <c r="K8" t="s">
        <v>608</v>
      </c>
      <c r="L8" s="96">
        <v>-3113284</v>
      </c>
    </row>
    <row r="9" spans="1:12" x14ac:dyDescent="0.25">
      <c r="A9" s="31" t="str">
        <f t="shared" si="0"/>
        <v>BP Energy Co.</v>
      </c>
      <c r="B9" s="32">
        <f t="shared" si="1"/>
        <v>345552</v>
      </c>
      <c r="C9" s="93">
        <f t="shared" si="2"/>
        <v>963.42025100000001</v>
      </c>
      <c r="D9" s="9">
        <f t="shared" si="3"/>
        <v>151006.22400000002</v>
      </c>
      <c r="J9" t="s">
        <v>192</v>
      </c>
      <c r="K9" t="s">
        <v>608</v>
      </c>
      <c r="L9" s="96">
        <v>345552</v>
      </c>
    </row>
    <row r="10" spans="1:12" x14ac:dyDescent="0.25">
      <c r="A10" s="31" t="str">
        <f t="shared" si="0"/>
        <v>BPA</v>
      </c>
      <c r="B10" s="32">
        <f t="shared" si="1"/>
        <v>382105</v>
      </c>
      <c r="C10" s="93">
        <f t="shared" si="2"/>
        <v>963.42025100000001</v>
      </c>
      <c r="D10" s="9">
        <f t="shared" si="3"/>
        <v>166979.88500000001</v>
      </c>
      <c r="J10" t="s">
        <v>173</v>
      </c>
      <c r="K10" t="s">
        <v>608</v>
      </c>
      <c r="L10" s="96">
        <v>382105</v>
      </c>
    </row>
    <row r="11" spans="1:12" x14ac:dyDescent="0.25">
      <c r="A11" s="31" t="str">
        <f t="shared" si="0"/>
        <v>British Columbia Transmission Corp</v>
      </c>
      <c r="B11" s="32">
        <f t="shared" si="1"/>
        <v>9</v>
      </c>
      <c r="C11" s="93">
        <f t="shared" si="2"/>
        <v>963.42025100000001</v>
      </c>
      <c r="D11" s="9">
        <f t="shared" si="3"/>
        <v>3.9329999999999998</v>
      </c>
      <c r="J11" t="s">
        <v>193</v>
      </c>
      <c r="K11" t="s">
        <v>608</v>
      </c>
      <c r="L11" s="96">
        <v>9</v>
      </c>
    </row>
    <row r="12" spans="1:12" x14ac:dyDescent="0.25">
      <c r="A12" s="31" t="str">
        <f t="shared" si="0"/>
        <v>Burbank, City of</v>
      </c>
      <c r="B12" s="32">
        <f t="shared" si="1"/>
        <v>2000</v>
      </c>
      <c r="C12" s="93">
        <f t="shared" si="2"/>
        <v>963.42025100000001</v>
      </c>
      <c r="D12" s="9">
        <f t="shared" si="3"/>
        <v>874</v>
      </c>
      <c r="J12" t="s">
        <v>195</v>
      </c>
      <c r="K12" t="s">
        <v>608</v>
      </c>
      <c r="L12" s="96">
        <v>2000</v>
      </c>
    </row>
    <row r="13" spans="1:12" x14ac:dyDescent="0.25">
      <c r="A13" s="31" t="str">
        <f t="shared" si="0"/>
        <v>Cargill Power Markets</v>
      </c>
      <c r="B13" s="32">
        <f t="shared" si="1"/>
        <v>318865</v>
      </c>
      <c r="C13" s="93">
        <f t="shared" si="2"/>
        <v>963.42025100000001</v>
      </c>
      <c r="D13" s="9">
        <f t="shared" si="3"/>
        <v>139344.005</v>
      </c>
      <c r="J13" t="s">
        <v>174</v>
      </c>
      <c r="K13" t="s">
        <v>608</v>
      </c>
      <c r="L13" s="96">
        <v>318865</v>
      </c>
    </row>
    <row r="14" spans="1:12" x14ac:dyDescent="0.25">
      <c r="A14" s="31" t="str">
        <f t="shared" si="0"/>
        <v>Chelan County PUD #1</v>
      </c>
      <c r="B14" s="32">
        <f t="shared" si="1"/>
        <v>8620</v>
      </c>
      <c r="C14" s="93">
        <f t="shared" si="2"/>
        <v>963.42025100000001</v>
      </c>
      <c r="D14" s="9">
        <f t="shared" si="3"/>
        <v>3766.94</v>
      </c>
      <c r="J14" t="s">
        <v>199</v>
      </c>
      <c r="K14" t="s">
        <v>608</v>
      </c>
      <c r="L14" s="96">
        <v>8620</v>
      </c>
    </row>
    <row r="15" spans="1:12" x14ac:dyDescent="0.25">
      <c r="A15" s="31" t="str">
        <f t="shared" si="0"/>
        <v>Citigroup Energy Inc</v>
      </c>
      <c r="B15" s="32">
        <f t="shared" si="1"/>
        <v>1028188</v>
      </c>
      <c r="C15" s="93">
        <f t="shared" si="2"/>
        <v>963.42025100000001</v>
      </c>
      <c r="D15" s="9">
        <f t="shared" si="3"/>
        <v>449318.15599999996</v>
      </c>
      <c r="J15" t="s">
        <v>185</v>
      </c>
      <c r="K15" t="s">
        <v>608</v>
      </c>
      <c r="L15" s="96">
        <v>1028188</v>
      </c>
    </row>
    <row r="16" spans="1:12" x14ac:dyDescent="0.25">
      <c r="A16" s="31" t="str">
        <f t="shared" si="0"/>
        <v>Clark Public Utilities</v>
      </c>
      <c r="B16" s="32">
        <f t="shared" si="1"/>
        <v>8570</v>
      </c>
      <c r="C16" s="93">
        <f t="shared" si="2"/>
        <v>963.42025100000001</v>
      </c>
      <c r="D16" s="9">
        <f t="shared" si="3"/>
        <v>3745.09</v>
      </c>
      <c r="J16" t="s">
        <v>201</v>
      </c>
      <c r="K16" t="s">
        <v>608</v>
      </c>
      <c r="L16" s="96">
        <v>8570</v>
      </c>
    </row>
    <row r="17" spans="1:12" x14ac:dyDescent="0.25">
      <c r="A17" s="31" t="str">
        <f t="shared" si="0"/>
        <v>Clatskanie PUD</v>
      </c>
      <c r="B17" s="32">
        <f t="shared" si="1"/>
        <v>15878</v>
      </c>
      <c r="C17" s="93">
        <f t="shared" si="2"/>
        <v>963.42025100000001</v>
      </c>
      <c r="D17" s="9">
        <f t="shared" si="3"/>
        <v>6938.6860000000006</v>
      </c>
      <c r="J17" t="s">
        <v>202</v>
      </c>
      <c r="K17" t="s">
        <v>608</v>
      </c>
      <c r="L17" s="96">
        <v>15878</v>
      </c>
    </row>
    <row r="18" spans="1:12" x14ac:dyDescent="0.25">
      <c r="A18" s="31" t="str">
        <f t="shared" si="0"/>
        <v>Constellation Power Source, Inc.</v>
      </c>
      <c r="B18" s="32">
        <f t="shared" si="1"/>
        <v>298689</v>
      </c>
      <c r="C18" s="93">
        <f t="shared" si="2"/>
        <v>963.42025100000001</v>
      </c>
      <c r="D18" s="9">
        <f t="shared" si="3"/>
        <v>130527.09299999999</v>
      </c>
      <c r="J18" t="s">
        <v>175</v>
      </c>
      <c r="K18" t="s">
        <v>608</v>
      </c>
      <c r="L18" s="96">
        <v>298689</v>
      </c>
    </row>
    <row r="19" spans="1:12" x14ac:dyDescent="0.25">
      <c r="A19" s="31" t="str">
        <f t="shared" si="0"/>
        <v>CP Energy Marketing (Epcor)</v>
      </c>
      <c r="B19" s="32">
        <f t="shared" si="1"/>
        <v>5848</v>
      </c>
      <c r="C19" s="93">
        <f t="shared" si="2"/>
        <v>963.42025100000001</v>
      </c>
      <c r="D19" s="9">
        <f t="shared" si="3"/>
        <v>2555.576</v>
      </c>
      <c r="J19" t="s">
        <v>204</v>
      </c>
      <c r="K19" t="s">
        <v>608</v>
      </c>
      <c r="L19" s="96">
        <v>5848</v>
      </c>
    </row>
    <row r="20" spans="1:12" x14ac:dyDescent="0.25">
      <c r="A20" s="31" t="str">
        <f t="shared" si="0"/>
        <v>DB Energy Trading LLC</v>
      </c>
      <c r="B20" s="32">
        <f t="shared" si="1"/>
        <v>197398</v>
      </c>
      <c r="C20" s="93">
        <f t="shared" si="2"/>
        <v>963.42025100000001</v>
      </c>
      <c r="D20" s="9">
        <f t="shared" si="3"/>
        <v>86262.926000000007</v>
      </c>
      <c r="J20" t="s">
        <v>206</v>
      </c>
      <c r="K20" t="s">
        <v>608</v>
      </c>
      <c r="L20" s="96">
        <v>197398</v>
      </c>
    </row>
    <row r="21" spans="1:12" x14ac:dyDescent="0.25">
      <c r="A21" s="31" t="str">
        <f t="shared" si="0"/>
        <v>Douglas County PUD #1</v>
      </c>
      <c r="B21" s="32">
        <f t="shared" si="1"/>
        <v>277494</v>
      </c>
      <c r="C21" s="93">
        <f t="shared" si="2"/>
        <v>963.42025100000001</v>
      </c>
      <c r="D21" s="9">
        <f t="shared" si="3"/>
        <v>121264.878</v>
      </c>
      <c r="J21" t="s">
        <v>177</v>
      </c>
      <c r="K21" t="s">
        <v>608</v>
      </c>
      <c r="L21" s="96">
        <v>277494</v>
      </c>
    </row>
    <row r="22" spans="1:12" x14ac:dyDescent="0.25">
      <c r="A22" s="31" t="str">
        <f t="shared" si="0"/>
        <v>EDF Trading NA LLC</v>
      </c>
      <c r="B22" s="32">
        <f t="shared" si="1"/>
        <v>585729</v>
      </c>
      <c r="C22" s="93">
        <f t="shared" si="2"/>
        <v>963.42025100000001</v>
      </c>
      <c r="D22" s="9">
        <f t="shared" si="3"/>
        <v>255963.57299999997</v>
      </c>
      <c r="J22" t="s">
        <v>208</v>
      </c>
      <c r="K22" t="s">
        <v>608</v>
      </c>
      <c r="L22" s="96">
        <v>585729</v>
      </c>
    </row>
    <row r="23" spans="1:12" x14ac:dyDescent="0.25">
      <c r="A23" s="31" t="str">
        <f t="shared" si="0"/>
        <v>Eugene Water &amp; Electric</v>
      </c>
      <c r="B23" s="32">
        <f t="shared" si="1"/>
        <v>63900</v>
      </c>
      <c r="C23" s="93">
        <f t="shared" si="2"/>
        <v>963.42025100000001</v>
      </c>
      <c r="D23" s="9">
        <f t="shared" si="3"/>
        <v>27924.3</v>
      </c>
      <c r="J23" t="s">
        <v>211</v>
      </c>
      <c r="K23" t="s">
        <v>608</v>
      </c>
      <c r="L23" s="96">
        <v>63900</v>
      </c>
    </row>
    <row r="24" spans="1:12" x14ac:dyDescent="0.25">
      <c r="A24" s="31" t="str">
        <f t="shared" si="0"/>
        <v>Exelon Generation Co LLC</v>
      </c>
      <c r="B24" s="32">
        <f t="shared" si="1"/>
        <v>10000</v>
      </c>
      <c r="C24" s="93">
        <f t="shared" si="2"/>
        <v>963.42025100000001</v>
      </c>
      <c r="D24" s="9">
        <f t="shared" si="3"/>
        <v>4370</v>
      </c>
      <c r="J24" t="s">
        <v>186</v>
      </c>
      <c r="K24" t="s">
        <v>608</v>
      </c>
      <c r="L24" s="96">
        <v>10000</v>
      </c>
    </row>
    <row r="25" spans="1:12" x14ac:dyDescent="0.25">
      <c r="A25" s="31" t="str">
        <f t="shared" si="0"/>
        <v>Grant County PUD #2</v>
      </c>
      <c r="B25" s="32">
        <f t="shared" si="1"/>
        <v>57335</v>
      </c>
      <c r="C25" s="93">
        <f t="shared" si="2"/>
        <v>963.42025100000001</v>
      </c>
      <c r="D25" s="9">
        <f t="shared" si="3"/>
        <v>25055.395</v>
      </c>
      <c r="J25" t="s">
        <v>213</v>
      </c>
      <c r="K25" t="s">
        <v>608</v>
      </c>
      <c r="L25" s="96">
        <v>57335</v>
      </c>
    </row>
    <row r="26" spans="1:12" x14ac:dyDescent="0.25">
      <c r="A26" s="31" t="str">
        <f t="shared" si="0"/>
        <v>Hinson Power Company</v>
      </c>
      <c r="B26" s="32">
        <f t="shared" si="1"/>
        <v>20800</v>
      </c>
      <c r="C26" s="93">
        <f t="shared" si="2"/>
        <v>963.42025100000001</v>
      </c>
      <c r="D26" s="9">
        <f t="shared" si="3"/>
        <v>9089.6</v>
      </c>
      <c r="J26" t="s">
        <v>214</v>
      </c>
      <c r="K26" t="s">
        <v>608</v>
      </c>
      <c r="L26" s="96">
        <v>20800</v>
      </c>
    </row>
    <row r="27" spans="1:12" x14ac:dyDescent="0.25">
      <c r="A27" s="31" t="str">
        <f t="shared" si="0"/>
        <v>Iberdrola Renewables (PPM Energy)</v>
      </c>
      <c r="B27" s="32">
        <f t="shared" si="1"/>
        <v>587403</v>
      </c>
      <c r="C27" s="93">
        <f t="shared" si="2"/>
        <v>963.42025100000001</v>
      </c>
      <c r="D27" s="9">
        <f t="shared" si="3"/>
        <v>256695.111</v>
      </c>
      <c r="J27" t="s">
        <v>215</v>
      </c>
      <c r="K27" t="s">
        <v>608</v>
      </c>
      <c r="L27" s="96">
        <v>587403</v>
      </c>
    </row>
    <row r="28" spans="1:12" x14ac:dyDescent="0.25">
      <c r="A28" s="31" t="str">
        <f t="shared" si="0"/>
        <v>Idaho Power Company</v>
      </c>
      <c r="B28" s="32">
        <f t="shared" si="1"/>
        <v>73320</v>
      </c>
      <c r="C28" s="93">
        <f t="shared" si="2"/>
        <v>963.42025100000001</v>
      </c>
      <c r="D28" s="9">
        <f t="shared" si="3"/>
        <v>32040.84</v>
      </c>
      <c r="J28" t="s">
        <v>217</v>
      </c>
      <c r="K28" t="s">
        <v>608</v>
      </c>
      <c r="L28" s="96">
        <v>73320</v>
      </c>
    </row>
    <row r="29" spans="1:12" x14ac:dyDescent="0.25">
      <c r="A29" s="31" t="str">
        <f t="shared" si="0"/>
        <v>J. Aron &amp; Company</v>
      </c>
      <c r="B29" s="32">
        <f t="shared" si="1"/>
        <v>400</v>
      </c>
      <c r="C29" s="93">
        <f t="shared" si="2"/>
        <v>963.42025100000001</v>
      </c>
      <c r="D29" s="9">
        <f t="shared" si="3"/>
        <v>174.79999999999998</v>
      </c>
      <c r="J29" t="s">
        <v>220</v>
      </c>
      <c r="K29" t="s">
        <v>608</v>
      </c>
      <c r="L29" s="96">
        <v>400</v>
      </c>
    </row>
    <row r="30" spans="1:12" x14ac:dyDescent="0.25">
      <c r="A30" s="31" t="str">
        <f t="shared" si="0"/>
        <v>JP Morgan Ventures Energy</v>
      </c>
      <c r="B30" s="32">
        <f t="shared" si="1"/>
        <v>1148676</v>
      </c>
      <c r="C30" s="93">
        <f t="shared" si="2"/>
        <v>963.42025100000001</v>
      </c>
      <c r="D30" s="9">
        <f t="shared" si="3"/>
        <v>501971.41199999995</v>
      </c>
      <c r="J30" t="s">
        <v>221</v>
      </c>
      <c r="K30" t="s">
        <v>608</v>
      </c>
      <c r="L30" s="96">
        <v>1148676</v>
      </c>
    </row>
    <row r="31" spans="1:12" x14ac:dyDescent="0.25">
      <c r="A31" s="31" t="str">
        <f t="shared" si="0"/>
        <v>Merrill Lynch Commodities</v>
      </c>
      <c r="B31" s="32">
        <f t="shared" si="1"/>
        <v>350800</v>
      </c>
      <c r="C31" s="93">
        <f t="shared" si="2"/>
        <v>963.42025100000001</v>
      </c>
      <c r="D31" s="9">
        <f t="shared" si="3"/>
        <v>153299.6</v>
      </c>
      <c r="J31" t="s">
        <v>223</v>
      </c>
      <c r="K31" t="s">
        <v>608</v>
      </c>
      <c r="L31" s="96">
        <v>350800</v>
      </c>
    </row>
    <row r="32" spans="1:12" x14ac:dyDescent="0.25">
      <c r="A32" s="31" t="str">
        <f t="shared" si="0"/>
        <v>Morgan Stanley CG</v>
      </c>
      <c r="B32" s="32">
        <f t="shared" si="1"/>
        <v>1335550</v>
      </c>
      <c r="C32" s="93">
        <f t="shared" si="2"/>
        <v>963.42025100000001</v>
      </c>
      <c r="D32" s="9">
        <f t="shared" si="3"/>
        <v>583635.35000000009</v>
      </c>
      <c r="J32" t="s">
        <v>178</v>
      </c>
      <c r="K32" t="s">
        <v>608</v>
      </c>
      <c r="L32" s="96">
        <v>1335550</v>
      </c>
    </row>
    <row r="33" spans="1:12" x14ac:dyDescent="0.25">
      <c r="A33" s="31" t="str">
        <f t="shared" si="0"/>
        <v>NextEra Energy Power Marketing</v>
      </c>
      <c r="B33" s="32">
        <f t="shared" si="1"/>
        <v>30168</v>
      </c>
      <c r="C33" s="93">
        <f t="shared" si="2"/>
        <v>963.42025100000001</v>
      </c>
      <c r="D33" s="9">
        <f t="shared" si="3"/>
        <v>13183.415999999999</v>
      </c>
      <c r="J33" t="s">
        <v>227</v>
      </c>
      <c r="K33" t="s">
        <v>608</v>
      </c>
      <c r="L33" s="96">
        <v>30168</v>
      </c>
    </row>
    <row r="34" spans="1:12" x14ac:dyDescent="0.25">
      <c r="A34" s="31" t="str">
        <f t="shared" si="0"/>
        <v>Noble Americas Energy Solutions</v>
      </c>
      <c r="B34" s="32">
        <f t="shared" si="1"/>
        <v>10800</v>
      </c>
      <c r="C34" s="93">
        <f t="shared" si="2"/>
        <v>963.42025100000001</v>
      </c>
      <c r="D34" s="9">
        <f t="shared" si="3"/>
        <v>4719.5999999999995</v>
      </c>
      <c r="J34" t="s">
        <v>228</v>
      </c>
      <c r="K34" t="s">
        <v>608</v>
      </c>
      <c r="L34" s="96">
        <v>10800</v>
      </c>
    </row>
    <row r="35" spans="1:12" x14ac:dyDescent="0.25">
      <c r="A35" s="31" t="str">
        <f t="shared" si="0"/>
        <v>Noble Americas Gas &amp; Power</v>
      </c>
      <c r="B35" s="32">
        <f t="shared" si="1"/>
        <v>3200</v>
      </c>
      <c r="C35" s="93">
        <f t="shared" si="2"/>
        <v>963.42025100000001</v>
      </c>
      <c r="D35" s="9">
        <f t="shared" si="3"/>
        <v>1398.3999999999999</v>
      </c>
      <c r="J35" t="s">
        <v>229</v>
      </c>
      <c r="K35" t="s">
        <v>608</v>
      </c>
      <c r="L35" s="96">
        <v>3200</v>
      </c>
    </row>
    <row r="36" spans="1:12" x14ac:dyDescent="0.25">
      <c r="A36" s="31" t="str">
        <f t="shared" si="0"/>
        <v>NorthPoint Energy Solutions, Inc.</v>
      </c>
      <c r="B36" s="32">
        <f t="shared" si="1"/>
        <v>430</v>
      </c>
      <c r="C36" s="93">
        <f t="shared" si="2"/>
        <v>963.42025100000001</v>
      </c>
      <c r="D36" s="9">
        <f t="shared" si="3"/>
        <v>187.91</v>
      </c>
      <c r="J36" t="s">
        <v>230</v>
      </c>
      <c r="K36" t="s">
        <v>608</v>
      </c>
      <c r="L36" s="96">
        <v>430</v>
      </c>
    </row>
    <row r="37" spans="1:12" x14ac:dyDescent="0.25">
      <c r="A37" s="31" t="str">
        <f t="shared" si="0"/>
        <v>Northwestern Energy</v>
      </c>
      <c r="B37" s="32">
        <f t="shared" si="1"/>
        <v>6224</v>
      </c>
      <c r="C37" s="93">
        <f t="shared" si="2"/>
        <v>963.42025100000001</v>
      </c>
      <c r="D37" s="9">
        <f t="shared" si="3"/>
        <v>2719.8879999999999</v>
      </c>
      <c r="J37" t="s">
        <v>231</v>
      </c>
      <c r="K37" t="s">
        <v>608</v>
      </c>
      <c r="L37" s="96">
        <v>6224</v>
      </c>
    </row>
    <row r="38" spans="1:12" x14ac:dyDescent="0.25">
      <c r="A38" s="31" t="str">
        <f t="shared" si="0"/>
        <v>Okanogan PUD</v>
      </c>
      <c r="B38" s="32">
        <f t="shared" si="1"/>
        <v>4945</v>
      </c>
      <c r="C38" s="93">
        <f t="shared" si="2"/>
        <v>963.42025100000001</v>
      </c>
      <c r="D38" s="9">
        <f t="shared" si="3"/>
        <v>2160.9650000000001</v>
      </c>
      <c r="J38" t="s">
        <v>233</v>
      </c>
      <c r="K38" t="s">
        <v>608</v>
      </c>
      <c r="L38" s="96">
        <v>4945</v>
      </c>
    </row>
    <row r="39" spans="1:12" x14ac:dyDescent="0.25">
      <c r="A39" s="31" t="str">
        <f t="shared" si="0"/>
        <v>Pacific Northwest Generatin Coop.</v>
      </c>
      <c r="B39" s="32">
        <f t="shared" si="1"/>
        <v>337472</v>
      </c>
      <c r="C39" s="93">
        <f t="shared" si="2"/>
        <v>963.42025100000001</v>
      </c>
      <c r="D39" s="9">
        <f t="shared" si="3"/>
        <v>147475.264</v>
      </c>
      <c r="J39" t="s">
        <v>234</v>
      </c>
      <c r="K39" t="s">
        <v>608</v>
      </c>
      <c r="L39" s="96">
        <v>337472</v>
      </c>
    </row>
    <row r="40" spans="1:12" x14ac:dyDescent="0.25">
      <c r="A40" s="31" t="str">
        <f t="shared" si="0"/>
        <v>Pacific Summit Energy LLC</v>
      </c>
      <c r="B40" s="32">
        <f t="shared" si="1"/>
        <v>1952</v>
      </c>
      <c r="C40" s="93">
        <f t="shared" si="2"/>
        <v>963.42025100000001</v>
      </c>
      <c r="D40" s="9">
        <f t="shared" si="3"/>
        <v>853.024</v>
      </c>
      <c r="J40" t="s">
        <v>235</v>
      </c>
      <c r="K40" t="s">
        <v>608</v>
      </c>
      <c r="L40" s="96">
        <v>1952</v>
      </c>
    </row>
    <row r="41" spans="1:12" x14ac:dyDescent="0.25">
      <c r="A41" s="31" t="str">
        <f t="shared" si="0"/>
        <v>Pacificorp</v>
      </c>
      <c r="B41" s="32">
        <f t="shared" si="1"/>
        <v>78506</v>
      </c>
      <c r="C41" s="93">
        <f t="shared" si="2"/>
        <v>963.42025100000001</v>
      </c>
      <c r="D41" s="9">
        <f t="shared" si="3"/>
        <v>34307.121999999996</v>
      </c>
      <c r="J41" t="s">
        <v>236</v>
      </c>
      <c r="K41" t="s">
        <v>608</v>
      </c>
      <c r="L41" s="96">
        <v>78506</v>
      </c>
    </row>
    <row r="42" spans="1:12" x14ac:dyDescent="0.25">
      <c r="A42" s="31" t="str">
        <f t="shared" si="0"/>
        <v>PG&amp;E Energy Trading</v>
      </c>
      <c r="B42" s="32">
        <f t="shared" si="1"/>
        <v>104400</v>
      </c>
      <c r="C42" s="93">
        <f t="shared" si="2"/>
        <v>963.42025100000001</v>
      </c>
      <c r="D42" s="9">
        <f t="shared" si="3"/>
        <v>45622.8</v>
      </c>
      <c r="J42" t="s">
        <v>237</v>
      </c>
      <c r="K42" t="s">
        <v>608</v>
      </c>
      <c r="L42" s="96">
        <v>104400</v>
      </c>
    </row>
    <row r="43" spans="1:12" x14ac:dyDescent="0.25">
      <c r="A43" s="31" t="str">
        <f t="shared" si="0"/>
        <v>Portland General Electric</v>
      </c>
      <c r="B43" s="32">
        <f t="shared" si="1"/>
        <v>41895</v>
      </c>
      <c r="C43" s="93">
        <f t="shared" si="2"/>
        <v>963.42025100000001</v>
      </c>
      <c r="D43" s="9">
        <f t="shared" si="3"/>
        <v>18308.115000000002</v>
      </c>
      <c r="J43" t="s">
        <v>238</v>
      </c>
      <c r="K43" t="s">
        <v>608</v>
      </c>
      <c r="L43" s="96">
        <v>41895</v>
      </c>
    </row>
    <row r="44" spans="1:12" x14ac:dyDescent="0.25">
      <c r="A44" s="31" t="str">
        <f t="shared" si="0"/>
        <v>Powerex Corp.</v>
      </c>
      <c r="B44" s="32">
        <f t="shared" si="1"/>
        <v>168076</v>
      </c>
      <c r="C44" s="93">
        <f t="shared" si="2"/>
        <v>963.42025100000001</v>
      </c>
      <c r="D44" s="9">
        <f t="shared" si="3"/>
        <v>73449.212</v>
      </c>
      <c r="J44" t="s">
        <v>180</v>
      </c>
      <c r="K44" t="s">
        <v>608</v>
      </c>
      <c r="L44" s="96">
        <v>168076</v>
      </c>
    </row>
    <row r="45" spans="1:12" x14ac:dyDescent="0.25">
      <c r="A45" s="31" t="str">
        <f t="shared" si="0"/>
        <v>Public Service of Colorado</v>
      </c>
      <c r="B45" s="32">
        <f t="shared" si="1"/>
        <v>800</v>
      </c>
      <c r="C45" s="93">
        <f t="shared" si="2"/>
        <v>963.42025100000001</v>
      </c>
      <c r="D45" s="9">
        <f t="shared" si="3"/>
        <v>349.59999999999997</v>
      </c>
      <c r="J45" t="s">
        <v>239</v>
      </c>
      <c r="K45" t="s">
        <v>608</v>
      </c>
      <c r="L45" s="96">
        <v>800</v>
      </c>
    </row>
    <row r="46" spans="1:12" x14ac:dyDescent="0.25">
      <c r="A46" s="31" t="str">
        <f t="shared" si="0"/>
        <v>Rainbow Energy Marketing</v>
      </c>
      <c r="B46" s="32">
        <f t="shared" si="1"/>
        <v>48216</v>
      </c>
      <c r="C46" s="93">
        <f t="shared" si="2"/>
        <v>963.42025100000001</v>
      </c>
      <c r="D46" s="9">
        <f t="shared" si="3"/>
        <v>21070.392</v>
      </c>
      <c r="J46" t="s">
        <v>240</v>
      </c>
      <c r="K46" t="s">
        <v>608</v>
      </c>
      <c r="L46" s="96">
        <v>48216</v>
      </c>
    </row>
    <row r="47" spans="1:12" x14ac:dyDescent="0.25">
      <c r="A47" s="31" t="str">
        <f t="shared" si="0"/>
        <v>Sacramento Municipal</v>
      </c>
      <c r="B47" s="32">
        <f t="shared" si="1"/>
        <v>5763</v>
      </c>
      <c r="C47" s="93">
        <f t="shared" si="2"/>
        <v>963.42025100000001</v>
      </c>
      <c r="D47" s="9">
        <f t="shared" si="3"/>
        <v>2518.431</v>
      </c>
      <c r="J47" t="s">
        <v>242</v>
      </c>
      <c r="K47" t="s">
        <v>608</v>
      </c>
      <c r="L47" s="96">
        <v>5763</v>
      </c>
    </row>
    <row r="48" spans="1:12" x14ac:dyDescent="0.25">
      <c r="A48" s="31" t="str">
        <f t="shared" si="0"/>
        <v>San Diego Gas &amp; Electric</v>
      </c>
      <c r="B48" s="32">
        <f t="shared" si="1"/>
        <v>556</v>
      </c>
      <c r="C48" s="93">
        <f t="shared" si="2"/>
        <v>963.42025100000001</v>
      </c>
      <c r="D48" s="9">
        <f t="shared" si="3"/>
        <v>242.97200000000001</v>
      </c>
      <c r="J48" t="s">
        <v>243</v>
      </c>
      <c r="K48" t="s">
        <v>608</v>
      </c>
      <c r="L48" s="96">
        <v>556</v>
      </c>
    </row>
    <row r="49" spans="1:12" x14ac:dyDescent="0.25">
      <c r="A49" s="31" t="str">
        <f t="shared" si="0"/>
        <v>Seattle City Light Marketing</v>
      </c>
      <c r="B49" s="32">
        <f t="shared" si="1"/>
        <v>251794</v>
      </c>
      <c r="C49" s="93">
        <f t="shared" si="2"/>
        <v>963.42025100000001</v>
      </c>
      <c r="D49" s="9">
        <f t="shared" si="3"/>
        <v>110033.978</v>
      </c>
      <c r="J49" t="s">
        <v>181</v>
      </c>
      <c r="K49" t="s">
        <v>608</v>
      </c>
      <c r="L49" s="96">
        <v>251794</v>
      </c>
    </row>
    <row r="50" spans="1:12" x14ac:dyDescent="0.25">
      <c r="A50" s="31" t="str">
        <f t="shared" si="0"/>
        <v>Sempra Energy Trading</v>
      </c>
      <c r="B50" s="32">
        <f t="shared" si="1"/>
        <v>77538</v>
      </c>
      <c r="C50" s="93">
        <f t="shared" si="2"/>
        <v>963.42025100000001</v>
      </c>
      <c r="D50" s="9">
        <f t="shared" si="3"/>
        <v>33884.106</v>
      </c>
      <c r="J50" t="s">
        <v>244</v>
      </c>
      <c r="K50" t="s">
        <v>608</v>
      </c>
      <c r="L50" s="96">
        <v>77538</v>
      </c>
    </row>
    <row r="51" spans="1:12" x14ac:dyDescent="0.25">
      <c r="A51" s="31" t="str">
        <f t="shared" si="0"/>
        <v>Shell Energy (Coral Pwr)</v>
      </c>
      <c r="B51" s="32">
        <f t="shared" si="1"/>
        <v>484678</v>
      </c>
      <c r="C51" s="93">
        <f t="shared" si="2"/>
        <v>963.42025100000001</v>
      </c>
      <c r="D51" s="9">
        <f t="shared" si="3"/>
        <v>211804.28599999999</v>
      </c>
      <c r="J51" t="s">
        <v>182</v>
      </c>
      <c r="K51" t="s">
        <v>608</v>
      </c>
      <c r="L51" s="96">
        <v>484678</v>
      </c>
    </row>
    <row r="52" spans="1:12" x14ac:dyDescent="0.25">
      <c r="A52" s="31" t="str">
        <f t="shared" si="0"/>
        <v>Sierra Pacific Power</v>
      </c>
      <c r="B52" s="32">
        <f t="shared" si="1"/>
        <v>125</v>
      </c>
      <c r="C52" s="93">
        <f t="shared" si="2"/>
        <v>963.42025100000001</v>
      </c>
      <c r="D52" s="9">
        <f t="shared" si="3"/>
        <v>54.625</v>
      </c>
      <c r="J52" t="s">
        <v>245</v>
      </c>
      <c r="K52" t="s">
        <v>608</v>
      </c>
      <c r="L52" s="96">
        <v>125</v>
      </c>
    </row>
    <row r="53" spans="1:12" x14ac:dyDescent="0.25">
      <c r="A53" s="31" t="str">
        <f t="shared" si="0"/>
        <v>Snohomish County PUD #1</v>
      </c>
      <c r="B53" s="32">
        <f t="shared" si="1"/>
        <v>43003</v>
      </c>
      <c r="C53" s="93">
        <f t="shared" si="2"/>
        <v>963.42025100000001</v>
      </c>
      <c r="D53" s="9">
        <f t="shared" si="3"/>
        <v>18792.311000000002</v>
      </c>
      <c r="J53" t="s">
        <v>247</v>
      </c>
      <c r="K53" t="s">
        <v>608</v>
      </c>
      <c r="L53" s="96">
        <v>43003</v>
      </c>
    </row>
    <row r="54" spans="1:12" x14ac:dyDescent="0.25">
      <c r="A54" s="31" t="str">
        <f t="shared" si="0"/>
        <v>Southern Cal - Edison</v>
      </c>
      <c r="B54" s="32">
        <f t="shared" si="1"/>
        <v>14057</v>
      </c>
      <c r="C54" s="93">
        <f t="shared" si="2"/>
        <v>963.42025100000001</v>
      </c>
      <c r="D54" s="9">
        <f t="shared" si="3"/>
        <v>6142.9089999999997</v>
      </c>
      <c r="J54" t="s">
        <v>248</v>
      </c>
      <c r="K54" t="s">
        <v>608</v>
      </c>
      <c r="L54" s="96">
        <v>14057</v>
      </c>
    </row>
    <row r="55" spans="1:12" x14ac:dyDescent="0.25">
      <c r="A55" s="31" t="str">
        <f t="shared" si="0"/>
        <v>Tacoma Power</v>
      </c>
      <c r="B55" s="32">
        <f t="shared" si="1"/>
        <v>108837</v>
      </c>
      <c r="C55" s="93">
        <f t="shared" si="2"/>
        <v>963.42025100000001</v>
      </c>
      <c r="D55" s="9">
        <f t="shared" si="3"/>
        <v>47561.769</v>
      </c>
      <c r="J55" t="s">
        <v>183</v>
      </c>
      <c r="K55" t="s">
        <v>608</v>
      </c>
      <c r="L55" s="96">
        <v>108837</v>
      </c>
    </row>
    <row r="56" spans="1:12" x14ac:dyDescent="0.25">
      <c r="A56" s="31" t="str">
        <f t="shared" si="0"/>
        <v>Talen Energy (PPL Energy Plus)</v>
      </c>
      <c r="B56" s="32">
        <f t="shared" si="1"/>
        <v>122522</v>
      </c>
      <c r="C56" s="93">
        <f t="shared" si="2"/>
        <v>963.42025100000001</v>
      </c>
      <c r="D56" s="9">
        <f t="shared" si="3"/>
        <v>53542.113999999994</v>
      </c>
      <c r="J56" t="s">
        <v>249</v>
      </c>
      <c r="K56" t="s">
        <v>608</v>
      </c>
      <c r="L56" s="96">
        <v>122522</v>
      </c>
    </row>
    <row r="57" spans="1:12" x14ac:dyDescent="0.25">
      <c r="A57" s="31" t="str">
        <f t="shared" si="0"/>
        <v>Tenaska</v>
      </c>
      <c r="B57" s="32">
        <f t="shared" si="1"/>
        <v>202</v>
      </c>
      <c r="C57" s="93">
        <f t="shared" si="2"/>
        <v>963.42025100000001</v>
      </c>
      <c r="D57" s="9">
        <f t="shared" si="3"/>
        <v>88.274000000000001</v>
      </c>
      <c r="J57" t="s">
        <v>250</v>
      </c>
      <c r="K57" t="s">
        <v>608</v>
      </c>
      <c r="L57" s="96">
        <v>202</v>
      </c>
    </row>
    <row r="58" spans="1:12" x14ac:dyDescent="0.25">
      <c r="A58" s="31" t="str">
        <f t="shared" si="0"/>
        <v>Tenaska Power Services Co.</v>
      </c>
      <c r="B58" s="32">
        <f t="shared" si="1"/>
        <v>400</v>
      </c>
      <c r="C58" s="93">
        <f t="shared" si="2"/>
        <v>963.42025100000001</v>
      </c>
      <c r="D58" s="9">
        <f t="shared" si="3"/>
        <v>174.79999999999998</v>
      </c>
      <c r="J58" t="s">
        <v>251</v>
      </c>
      <c r="K58" t="s">
        <v>608</v>
      </c>
      <c r="L58" s="96">
        <v>400</v>
      </c>
    </row>
    <row r="59" spans="1:12" x14ac:dyDescent="0.25">
      <c r="A59" s="31" t="str">
        <f t="shared" si="0"/>
        <v>The Energy Authority</v>
      </c>
      <c r="B59" s="32">
        <f t="shared" si="1"/>
        <v>55496</v>
      </c>
      <c r="C59" s="93">
        <f t="shared" si="2"/>
        <v>963.42025100000001</v>
      </c>
      <c r="D59" s="9">
        <f t="shared" si="3"/>
        <v>24251.751999999997</v>
      </c>
      <c r="J59" t="s">
        <v>252</v>
      </c>
      <c r="K59" t="s">
        <v>608</v>
      </c>
      <c r="L59" s="96">
        <v>55496</v>
      </c>
    </row>
    <row r="60" spans="1:12" x14ac:dyDescent="0.25">
      <c r="A60" s="31" t="str">
        <f t="shared" si="0"/>
        <v>TransAlta Energy Marketing</v>
      </c>
      <c r="B60" s="32">
        <f t="shared" si="1"/>
        <v>2238117</v>
      </c>
      <c r="C60" s="93">
        <f t="shared" si="2"/>
        <v>963.42025100000001</v>
      </c>
      <c r="D60" s="9">
        <f t="shared" si="3"/>
        <v>978057.12900000007</v>
      </c>
      <c r="J60" t="s">
        <v>184</v>
      </c>
      <c r="K60" t="s">
        <v>608</v>
      </c>
      <c r="L60" s="96">
        <v>2238117</v>
      </c>
    </row>
    <row r="61" spans="1:12" x14ac:dyDescent="0.25">
      <c r="A61" s="31" t="str">
        <f t="shared" si="0"/>
        <v>Turlock Irrigation District</v>
      </c>
      <c r="B61" s="32">
        <f t="shared" si="1"/>
        <v>37399</v>
      </c>
      <c r="C61" s="93">
        <f t="shared" si="2"/>
        <v>963.42025100000001</v>
      </c>
      <c r="D61" s="9">
        <f t="shared" si="3"/>
        <v>16343.362999999998</v>
      </c>
      <c r="J61" t="s">
        <v>256</v>
      </c>
      <c r="K61" t="s">
        <v>608</v>
      </c>
      <c r="L61" s="96">
        <v>37399</v>
      </c>
    </row>
    <row r="62" spans="1:12" x14ac:dyDescent="0.25">
      <c r="A62" s="31" t="str">
        <f t="shared" si="0"/>
        <v>Western Area Power Association</v>
      </c>
      <c r="B62" s="32">
        <f t="shared" si="1"/>
        <v>1669</v>
      </c>
      <c r="C62" s="93">
        <f t="shared" si="2"/>
        <v>963.42025100000001</v>
      </c>
      <c r="D62" s="9">
        <f t="shared" si="3"/>
        <v>729.35300000000007</v>
      </c>
      <c r="J62" t="s">
        <v>258</v>
      </c>
      <c r="K62" t="s">
        <v>608</v>
      </c>
      <c r="L62" s="96">
        <v>1669</v>
      </c>
    </row>
    <row r="63" spans="1:12" x14ac:dyDescent="0.25">
      <c r="A63" s="31" t="str">
        <f t="shared" si="0"/>
        <v>Black Creek Hydro</v>
      </c>
      <c r="B63" s="32">
        <f t="shared" si="1"/>
        <v>3049</v>
      </c>
      <c r="C63" s="93">
        <f t="shared" si="2"/>
        <v>963.42025100000001</v>
      </c>
      <c r="D63" s="9">
        <f t="shared" si="3"/>
        <v>1332.413</v>
      </c>
      <c r="J63" t="s">
        <v>172</v>
      </c>
      <c r="K63" t="s">
        <v>609</v>
      </c>
      <c r="L63" s="96">
        <v>3049</v>
      </c>
    </row>
    <row r="64" spans="1:12" x14ac:dyDescent="0.25">
      <c r="A64" s="31" t="str">
        <f t="shared" si="0"/>
        <v>BPA</v>
      </c>
      <c r="B64" s="32">
        <f t="shared" si="1"/>
        <v>45405</v>
      </c>
      <c r="C64" s="93">
        <f t="shared" si="2"/>
        <v>963.42025100000001</v>
      </c>
      <c r="D64" s="9">
        <f t="shared" si="3"/>
        <v>19841.985000000001</v>
      </c>
      <c r="J64" t="s">
        <v>173</v>
      </c>
      <c r="K64" t="s">
        <v>609</v>
      </c>
      <c r="L64" s="96">
        <v>45405</v>
      </c>
    </row>
    <row r="65" spans="1:12" x14ac:dyDescent="0.25">
      <c r="A65" s="31" t="str">
        <f t="shared" si="0"/>
        <v>Pacific Gas &amp; Elec - Exchange</v>
      </c>
      <c r="B65" s="32">
        <f t="shared" si="1"/>
        <v>413092</v>
      </c>
      <c r="C65" s="93">
        <f t="shared" si="2"/>
        <v>963.42025100000001</v>
      </c>
      <c r="D65" s="9">
        <f t="shared" si="3"/>
        <v>180521.204</v>
      </c>
      <c r="J65" t="s">
        <v>179</v>
      </c>
      <c r="K65" t="s">
        <v>609</v>
      </c>
      <c r="L65" s="96">
        <v>413092</v>
      </c>
    </row>
    <row r="66" spans="1:12" x14ac:dyDescent="0.25">
      <c r="A66" s="31" t="str">
        <f t="shared" si="0"/>
        <v>Black Creek Hydro</v>
      </c>
      <c r="B66" s="32">
        <f t="shared" si="1"/>
        <v>-6556</v>
      </c>
      <c r="C66" s="93">
        <f t="shared" si="2"/>
        <v>963.42025100000001</v>
      </c>
      <c r="D66" s="9">
        <f t="shared" si="3"/>
        <v>-2864.9719999999998</v>
      </c>
      <c r="J66" t="s">
        <v>172</v>
      </c>
      <c r="K66" t="s">
        <v>610</v>
      </c>
      <c r="L66" s="96">
        <v>-6556</v>
      </c>
    </row>
    <row r="67" spans="1:12" x14ac:dyDescent="0.25">
      <c r="A67" s="31" t="str">
        <f t="shared" si="0"/>
        <v>BPA</v>
      </c>
      <c r="B67" s="32">
        <f t="shared" si="1"/>
        <v>-46691</v>
      </c>
      <c r="C67" s="93">
        <f t="shared" si="2"/>
        <v>963.42025100000001</v>
      </c>
      <c r="D67" s="9">
        <f t="shared" si="3"/>
        <v>-20403.967000000001</v>
      </c>
      <c r="J67" t="s">
        <v>173</v>
      </c>
      <c r="K67" t="s">
        <v>610</v>
      </c>
      <c r="L67" s="96">
        <v>-46691</v>
      </c>
    </row>
    <row r="68" spans="1:12" x14ac:dyDescent="0.25">
      <c r="A68" s="31" t="str">
        <f t="shared" si="0"/>
        <v>Deviation</v>
      </c>
      <c r="B68" s="32">
        <f t="shared" si="1"/>
        <v>34040.392</v>
      </c>
      <c r="C68" s="93">
        <f t="shared" si="2"/>
        <v>963.42025100000001</v>
      </c>
      <c r="D68" s="9">
        <f t="shared" si="3"/>
        <v>14875.651303999999</v>
      </c>
      <c r="J68" t="s">
        <v>176</v>
      </c>
      <c r="K68" t="s">
        <v>610</v>
      </c>
      <c r="L68" s="96">
        <v>34040.392</v>
      </c>
    </row>
    <row r="69" spans="1:12" x14ac:dyDescent="0.25">
      <c r="A69" s="31" t="str">
        <f t="shared" ref="A69:A132" si="4">J69</f>
        <v>Pacific Gas &amp; Elec - Exchange</v>
      </c>
      <c r="B69" s="32">
        <f t="shared" ref="B69:B132" si="5">L69</f>
        <v>-413000</v>
      </c>
      <c r="C69" s="93">
        <f t="shared" ref="C69:C132" si="6">IF(B69&lt;&gt;0,$H$1,"")</f>
        <v>963.42025100000001</v>
      </c>
      <c r="D69" s="9">
        <f t="shared" ref="D69:D132" si="7">(+B69*C69)/2204.623</f>
        <v>-180481</v>
      </c>
      <c r="J69" t="s">
        <v>179</v>
      </c>
      <c r="K69" t="s">
        <v>610</v>
      </c>
      <c r="L69" s="96">
        <v>-413000</v>
      </c>
    </row>
    <row r="70" spans="1:12" x14ac:dyDescent="0.25">
      <c r="A70" s="31" t="str">
        <f t="shared" si="4"/>
        <v>Avista Corp. WWP Division</v>
      </c>
      <c r="B70" s="32">
        <f t="shared" si="5"/>
        <v>-30733</v>
      </c>
      <c r="C70" s="93">
        <f t="shared" si="6"/>
        <v>963.42025100000001</v>
      </c>
      <c r="D70" s="9">
        <f t="shared" si="7"/>
        <v>-13430.321</v>
      </c>
      <c r="J70" t="s">
        <v>187</v>
      </c>
      <c r="K70" t="s">
        <v>611</v>
      </c>
      <c r="L70" s="96">
        <v>-30733</v>
      </c>
    </row>
    <row r="71" spans="1:12" x14ac:dyDescent="0.25">
      <c r="A71" s="31" t="str">
        <f t="shared" si="4"/>
        <v>Barclays Bank Plc</v>
      </c>
      <c r="B71" s="32">
        <f t="shared" si="5"/>
        <v>-29465</v>
      </c>
      <c r="C71" s="93">
        <f t="shared" si="6"/>
        <v>963.42025100000001</v>
      </c>
      <c r="D71" s="9">
        <f t="shared" si="7"/>
        <v>-12876.205</v>
      </c>
      <c r="J71" t="s">
        <v>188</v>
      </c>
      <c r="K71" t="s">
        <v>611</v>
      </c>
      <c r="L71" s="96">
        <v>-29465</v>
      </c>
    </row>
    <row r="72" spans="1:12" x14ac:dyDescent="0.25">
      <c r="A72" s="31" t="str">
        <f t="shared" si="4"/>
        <v>Black Hills Power</v>
      </c>
      <c r="B72" s="32">
        <f t="shared" si="5"/>
        <v>-2654</v>
      </c>
      <c r="C72" s="93">
        <f t="shared" si="6"/>
        <v>963.42025100000001</v>
      </c>
      <c r="D72" s="9">
        <f t="shared" si="7"/>
        <v>-1159.798</v>
      </c>
      <c r="J72" t="s">
        <v>189</v>
      </c>
      <c r="K72" t="s">
        <v>611</v>
      </c>
      <c r="L72" s="96">
        <v>-2654</v>
      </c>
    </row>
    <row r="73" spans="1:12" x14ac:dyDescent="0.25">
      <c r="A73" s="31" t="str">
        <f t="shared" si="4"/>
        <v>BNP Paribas Energy Trading</v>
      </c>
      <c r="B73" s="32">
        <f t="shared" si="5"/>
        <v>-20616</v>
      </c>
      <c r="C73" s="93">
        <f t="shared" si="6"/>
        <v>963.42025100000001</v>
      </c>
      <c r="D73" s="9">
        <f t="shared" si="7"/>
        <v>-9009.1919999999991</v>
      </c>
      <c r="J73" t="s">
        <v>190</v>
      </c>
      <c r="K73" t="s">
        <v>611</v>
      </c>
      <c r="L73" s="96">
        <v>-20616</v>
      </c>
    </row>
    <row r="74" spans="1:12" x14ac:dyDescent="0.25">
      <c r="A74" s="31"/>
      <c r="B74" s="32"/>
      <c r="C74" s="93"/>
      <c r="D74" s="9"/>
      <c r="J74" s="89" t="s">
        <v>191</v>
      </c>
      <c r="K74" t="s">
        <v>611</v>
      </c>
      <c r="L74" s="96">
        <v>3622674</v>
      </c>
    </row>
    <row r="75" spans="1:12" x14ac:dyDescent="0.25">
      <c r="A75" s="31" t="str">
        <f t="shared" si="4"/>
        <v>BP Energy Co.</v>
      </c>
      <c r="B75" s="32">
        <f t="shared" si="5"/>
        <v>-148410</v>
      </c>
      <c r="C75" s="93">
        <f t="shared" si="6"/>
        <v>963.42025100000001</v>
      </c>
      <c r="D75" s="9">
        <f t="shared" si="7"/>
        <v>-64855.17</v>
      </c>
      <c r="J75" t="s">
        <v>192</v>
      </c>
      <c r="K75" t="s">
        <v>611</v>
      </c>
      <c r="L75" s="96">
        <v>-148410</v>
      </c>
    </row>
    <row r="76" spans="1:12" x14ac:dyDescent="0.25">
      <c r="A76" s="31" t="str">
        <f t="shared" si="4"/>
        <v>BPA</v>
      </c>
      <c r="B76" s="32">
        <f t="shared" si="5"/>
        <v>-84760</v>
      </c>
      <c r="C76" s="93">
        <f t="shared" si="6"/>
        <v>963.42025100000001</v>
      </c>
      <c r="D76" s="9">
        <f t="shared" si="7"/>
        <v>-37040.119999999995</v>
      </c>
      <c r="J76" t="s">
        <v>173</v>
      </c>
      <c r="K76" t="s">
        <v>611</v>
      </c>
      <c r="L76" s="96">
        <v>-84760</v>
      </c>
    </row>
    <row r="77" spans="1:12" x14ac:dyDescent="0.25">
      <c r="A77" s="31" t="str">
        <f t="shared" si="4"/>
        <v>British Columbia Transmission Corp</v>
      </c>
      <c r="B77" s="32">
        <f t="shared" si="5"/>
        <v>-1</v>
      </c>
      <c r="C77" s="93">
        <f t="shared" si="6"/>
        <v>963.42025100000001</v>
      </c>
      <c r="D77" s="9">
        <f t="shared" si="7"/>
        <v>-0.437</v>
      </c>
      <c r="J77" t="s">
        <v>193</v>
      </c>
      <c r="K77" t="s">
        <v>611</v>
      </c>
      <c r="L77" s="96">
        <v>-1</v>
      </c>
    </row>
    <row r="78" spans="1:12" x14ac:dyDescent="0.25">
      <c r="A78" s="31" t="str">
        <f t="shared" si="4"/>
        <v>Burbank, City of</v>
      </c>
      <c r="B78" s="32">
        <f t="shared" si="5"/>
        <v>-800</v>
      </c>
      <c r="C78" s="93">
        <f t="shared" si="6"/>
        <v>963.42025100000001</v>
      </c>
      <c r="D78" s="9">
        <f t="shared" si="7"/>
        <v>-349.59999999999997</v>
      </c>
      <c r="J78" t="s">
        <v>195</v>
      </c>
      <c r="K78" t="s">
        <v>611</v>
      </c>
      <c r="L78" s="96">
        <v>-800</v>
      </c>
    </row>
    <row r="79" spans="1:12" x14ac:dyDescent="0.25">
      <c r="A79" s="31" t="str">
        <f t="shared" si="4"/>
        <v>Cargill Power Markets</v>
      </c>
      <c r="B79" s="32">
        <f t="shared" si="5"/>
        <v>-141861</v>
      </c>
      <c r="C79" s="93">
        <f t="shared" si="6"/>
        <v>963.42025100000001</v>
      </c>
      <c r="D79" s="9">
        <f t="shared" si="7"/>
        <v>-61993.257000000005</v>
      </c>
      <c r="J79" t="s">
        <v>174</v>
      </c>
      <c r="K79" t="s">
        <v>611</v>
      </c>
      <c r="L79" s="96">
        <v>-141861</v>
      </c>
    </row>
    <row r="80" spans="1:12" x14ac:dyDescent="0.25">
      <c r="A80" s="31" t="str">
        <f t="shared" si="4"/>
        <v>Chelan County PUD #1</v>
      </c>
      <c r="B80" s="32">
        <f t="shared" si="5"/>
        <v>-1600</v>
      </c>
      <c r="C80" s="93">
        <f t="shared" si="6"/>
        <v>963.42025100000001</v>
      </c>
      <c r="D80" s="9">
        <f t="shared" si="7"/>
        <v>-699.19999999999993</v>
      </c>
      <c r="J80" t="s">
        <v>199</v>
      </c>
      <c r="K80" t="s">
        <v>611</v>
      </c>
      <c r="L80" s="96">
        <v>-1600</v>
      </c>
    </row>
    <row r="81" spans="1:12" x14ac:dyDescent="0.25">
      <c r="A81" s="31" t="str">
        <f t="shared" si="4"/>
        <v>Citigroup Energy Inc</v>
      </c>
      <c r="B81" s="32">
        <f t="shared" si="5"/>
        <v>-167241</v>
      </c>
      <c r="C81" s="93">
        <f t="shared" si="6"/>
        <v>963.42025100000001</v>
      </c>
      <c r="D81" s="9">
        <f t="shared" si="7"/>
        <v>-73084.316999999995</v>
      </c>
      <c r="J81" t="s">
        <v>185</v>
      </c>
      <c r="K81" t="s">
        <v>611</v>
      </c>
      <c r="L81" s="96">
        <v>-167241</v>
      </c>
    </row>
    <row r="82" spans="1:12" x14ac:dyDescent="0.25">
      <c r="A82" s="31" t="str">
        <f t="shared" si="4"/>
        <v>Clark Public Utilities</v>
      </c>
      <c r="B82" s="32">
        <f t="shared" si="5"/>
        <v>-6320</v>
      </c>
      <c r="C82" s="93">
        <f t="shared" si="6"/>
        <v>963.42025100000001</v>
      </c>
      <c r="D82" s="9">
        <f t="shared" si="7"/>
        <v>-2761.84</v>
      </c>
      <c r="J82" t="s">
        <v>201</v>
      </c>
      <c r="K82" t="s">
        <v>611</v>
      </c>
      <c r="L82" s="96">
        <v>-6320</v>
      </c>
    </row>
    <row r="83" spans="1:12" x14ac:dyDescent="0.25">
      <c r="A83" s="31" t="str">
        <f t="shared" si="4"/>
        <v>Clatskanie PUD</v>
      </c>
      <c r="B83" s="32">
        <f t="shared" si="5"/>
        <v>-8952</v>
      </c>
      <c r="C83" s="93">
        <f t="shared" si="6"/>
        <v>963.42025100000001</v>
      </c>
      <c r="D83" s="9">
        <f t="shared" si="7"/>
        <v>-3912.0240000000003</v>
      </c>
      <c r="J83" t="s">
        <v>202</v>
      </c>
      <c r="K83" t="s">
        <v>611</v>
      </c>
      <c r="L83" s="96">
        <v>-8952</v>
      </c>
    </row>
    <row r="84" spans="1:12" x14ac:dyDescent="0.25">
      <c r="A84" s="31" t="str">
        <f t="shared" si="4"/>
        <v>Conoco, Inc.</v>
      </c>
      <c r="B84" s="32">
        <f t="shared" si="5"/>
        <v>-40</v>
      </c>
      <c r="C84" s="93">
        <f t="shared" si="6"/>
        <v>963.42025100000001</v>
      </c>
      <c r="D84" s="9">
        <f t="shared" si="7"/>
        <v>-17.479999999999997</v>
      </c>
      <c r="J84" t="s">
        <v>203</v>
      </c>
      <c r="K84" t="s">
        <v>611</v>
      </c>
      <c r="L84" s="96">
        <v>-40</v>
      </c>
    </row>
    <row r="85" spans="1:12" x14ac:dyDescent="0.25">
      <c r="A85" s="31" t="str">
        <f t="shared" si="4"/>
        <v>Constellation Power Source, Inc.</v>
      </c>
      <c r="B85" s="32">
        <f t="shared" si="5"/>
        <v>-50578</v>
      </c>
      <c r="C85" s="93">
        <f t="shared" si="6"/>
        <v>963.42025100000001</v>
      </c>
      <c r="D85" s="9">
        <f t="shared" si="7"/>
        <v>-22102.585999999999</v>
      </c>
      <c r="J85" t="s">
        <v>175</v>
      </c>
      <c r="K85" t="s">
        <v>611</v>
      </c>
      <c r="L85" s="96">
        <v>-50578</v>
      </c>
    </row>
    <row r="86" spans="1:12" x14ac:dyDescent="0.25">
      <c r="A86" s="31" t="str">
        <f t="shared" si="4"/>
        <v>CP Energy Marketing (Epcor)</v>
      </c>
      <c r="B86" s="32">
        <f t="shared" si="5"/>
        <v>-9659</v>
      </c>
      <c r="C86" s="93">
        <f t="shared" si="6"/>
        <v>963.42025100000001</v>
      </c>
      <c r="D86" s="9">
        <f t="shared" si="7"/>
        <v>-4220.9829999999993</v>
      </c>
      <c r="J86" t="s">
        <v>204</v>
      </c>
      <c r="K86" t="s">
        <v>611</v>
      </c>
      <c r="L86" s="96">
        <v>-9659</v>
      </c>
    </row>
    <row r="87" spans="1:12" x14ac:dyDescent="0.25">
      <c r="A87" s="31" t="str">
        <f t="shared" si="4"/>
        <v>DB Energy Trading LLC</v>
      </c>
      <c r="B87" s="32">
        <f t="shared" si="5"/>
        <v>-73077</v>
      </c>
      <c r="C87" s="93">
        <f t="shared" si="6"/>
        <v>963.42025100000001</v>
      </c>
      <c r="D87" s="9">
        <f t="shared" si="7"/>
        <v>-31934.649000000001</v>
      </c>
      <c r="J87" t="s">
        <v>206</v>
      </c>
      <c r="K87" t="s">
        <v>611</v>
      </c>
      <c r="L87" s="96">
        <v>-73077</v>
      </c>
    </row>
    <row r="88" spans="1:12" x14ac:dyDescent="0.25">
      <c r="A88" s="31" t="str">
        <f t="shared" si="4"/>
        <v>Douglas County PUD #1</v>
      </c>
      <c r="B88" s="32">
        <f t="shared" si="5"/>
        <v>-1531</v>
      </c>
      <c r="C88" s="93">
        <f t="shared" si="6"/>
        <v>963.42025100000001</v>
      </c>
      <c r="D88" s="9">
        <f t="shared" si="7"/>
        <v>-669.04699999999991</v>
      </c>
      <c r="J88" t="s">
        <v>177</v>
      </c>
      <c r="K88" t="s">
        <v>611</v>
      </c>
      <c r="L88" s="96">
        <v>-1531</v>
      </c>
    </row>
    <row r="89" spans="1:12" x14ac:dyDescent="0.25">
      <c r="A89" s="31" t="str">
        <f t="shared" si="4"/>
        <v>EDF Trading NA LLC</v>
      </c>
      <c r="B89" s="32">
        <f t="shared" si="5"/>
        <v>-95429</v>
      </c>
      <c r="C89" s="93">
        <f t="shared" si="6"/>
        <v>963.42025100000001</v>
      </c>
      <c r="D89" s="9">
        <f t="shared" si="7"/>
        <v>-41702.472999999998</v>
      </c>
      <c r="J89" t="s">
        <v>208</v>
      </c>
      <c r="K89" t="s">
        <v>611</v>
      </c>
      <c r="L89" s="96">
        <v>-95429</v>
      </c>
    </row>
    <row r="90" spans="1:12" x14ac:dyDescent="0.25">
      <c r="A90" s="31" t="str">
        <f t="shared" si="4"/>
        <v>ENMAX Energy Marketing, Inc.</v>
      </c>
      <c r="B90" s="32">
        <f t="shared" si="5"/>
        <v>567</v>
      </c>
      <c r="C90" s="93">
        <f t="shared" si="6"/>
        <v>963.42025100000001</v>
      </c>
      <c r="D90" s="9">
        <f t="shared" si="7"/>
        <v>247.779</v>
      </c>
      <c r="J90" t="s">
        <v>210</v>
      </c>
      <c r="K90" t="s">
        <v>611</v>
      </c>
      <c r="L90" s="96">
        <v>567</v>
      </c>
    </row>
    <row r="91" spans="1:12" x14ac:dyDescent="0.25">
      <c r="A91" s="31" t="str">
        <f t="shared" si="4"/>
        <v>Eugene Water &amp; Electric</v>
      </c>
      <c r="B91" s="32">
        <f t="shared" si="5"/>
        <v>-33425</v>
      </c>
      <c r="C91" s="93">
        <f t="shared" si="6"/>
        <v>963.42025100000001</v>
      </c>
      <c r="D91" s="9">
        <f t="shared" si="7"/>
        <v>-14606.724999999999</v>
      </c>
      <c r="J91" t="s">
        <v>211</v>
      </c>
      <c r="K91" t="s">
        <v>611</v>
      </c>
      <c r="L91" s="96">
        <v>-33425</v>
      </c>
    </row>
    <row r="92" spans="1:12" x14ac:dyDescent="0.25">
      <c r="A92" s="31" t="str">
        <f t="shared" si="4"/>
        <v>Exelon Generation Co LLC</v>
      </c>
      <c r="B92" s="32">
        <f t="shared" si="5"/>
        <v>-15200</v>
      </c>
      <c r="C92" s="93">
        <f t="shared" si="6"/>
        <v>963.42025100000001</v>
      </c>
      <c r="D92" s="9">
        <f t="shared" si="7"/>
        <v>-6642.4000000000005</v>
      </c>
      <c r="J92" t="s">
        <v>186</v>
      </c>
      <c r="K92" t="s">
        <v>611</v>
      </c>
      <c r="L92" s="96">
        <v>-15200</v>
      </c>
    </row>
    <row r="93" spans="1:12" x14ac:dyDescent="0.25">
      <c r="A93" s="31" t="str">
        <f t="shared" si="4"/>
        <v>Grant County PUD #2</v>
      </c>
      <c r="B93" s="32">
        <f t="shared" si="5"/>
        <v>-27856</v>
      </c>
      <c r="C93" s="93">
        <f t="shared" si="6"/>
        <v>963.42025100000001</v>
      </c>
      <c r="D93" s="9">
        <f t="shared" si="7"/>
        <v>-12173.072</v>
      </c>
      <c r="J93" t="s">
        <v>213</v>
      </c>
      <c r="K93" t="s">
        <v>611</v>
      </c>
      <c r="L93" s="96">
        <v>-27856</v>
      </c>
    </row>
    <row r="94" spans="1:12" x14ac:dyDescent="0.25">
      <c r="A94" s="31" t="str">
        <f t="shared" si="4"/>
        <v>Iberdrola Renewables (PPM Energy)</v>
      </c>
      <c r="B94" s="32">
        <f t="shared" si="5"/>
        <v>-428020</v>
      </c>
      <c r="C94" s="93">
        <f t="shared" si="6"/>
        <v>963.42025100000001</v>
      </c>
      <c r="D94" s="9">
        <f t="shared" si="7"/>
        <v>-187044.74000000002</v>
      </c>
      <c r="J94" t="s">
        <v>215</v>
      </c>
      <c r="K94" t="s">
        <v>611</v>
      </c>
      <c r="L94" s="96">
        <v>-428020</v>
      </c>
    </row>
    <row r="95" spans="1:12" x14ac:dyDescent="0.25">
      <c r="A95" s="31" t="str">
        <f t="shared" si="4"/>
        <v>Idaho Power Company</v>
      </c>
      <c r="B95" s="32">
        <f t="shared" si="5"/>
        <v>-24625</v>
      </c>
      <c r="C95" s="93">
        <f t="shared" si="6"/>
        <v>963.42025100000001</v>
      </c>
      <c r="D95" s="9">
        <f t="shared" si="7"/>
        <v>-10761.125</v>
      </c>
      <c r="J95" t="s">
        <v>217</v>
      </c>
      <c r="K95" t="s">
        <v>611</v>
      </c>
      <c r="L95" s="96">
        <v>-24625</v>
      </c>
    </row>
    <row r="96" spans="1:12" x14ac:dyDescent="0.25">
      <c r="A96" s="31" t="str">
        <f t="shared" si="4"/>
        <v>J. Aron &amp; Company</v>
      </c>
      <c r="B96" s="32">
        <f t="shared" si="5"/>
        <v>-21600</v>
      </c>
      <c r="C96" s="93">
        <f t="shared" si="6"/>
        <v>963.42025100000001</v>
      </c>
      <c r="D96" s="9">
        <f t="shared" si="7"/>
        <v>-9439.1999999999989</v>
      </c>
      <c r="J96" t="s">
        <v>220</v>
      </c>
      <c r="K96" t="s">
        <v>611</v>
      </c>
      <c r="L96" s="96">
        <v>-21600</v>
      </c>
    </row>
    <row r="97" spans="1:12" x14ac:dyDescent="0.25">
      <c r="A97" s="31" t="str">
        <f t="shared" si="4"/>
        <v>JP Morgan Ventures Energy</v>
      </c>
      <c r="B97" s="32">
        <f t="shared" si="5"/>
        <v>-47261</v>
      </c>
      <c r="C97" s="93">
        <f t="shared" si="6"/>
        <v>963.42025100000001</v>
      </c>
      <c r="D97" s="9">
        <f t="shared" si="7"/>
        <v>-20653.057000000001</v>
      </c>
      <c r="J97" t="s">
        <v>221</v>
      </c>
      <c r="K97" t="s">
        <v>611</v>
      </c>
      <c r="L97" s="96">
        <v>-47261</v>
      </c>
    </row>
    <row r="98" spans="1:12" x14ac:dyDescent="0.25">
      <c r="A98" s="31" t="str">
        <f t="shared" si="4"/>
        <v>Los Angeles Dept. Water &amp; Power</v>
      </c>
      <c r="B98" s="32">
        <f t="shared" si="5"/>
        <v>-1150</v>
      </c>
      <c r="C98" s="93">
        <f t="shared" si="6"/>
        <v>963.42025100000001</v>
      </c>
      <c r="D98" s="9">
        <f t="shared" si="7"/>
        <v>-502.55</v>
      </c>
      <c r="J98" t="s">
        <v>222</v>
      </c>
      <c r="K98" t="s">
        <v>611</v>
      </c>
      <c r="L98" s="96">
        <v>-1150</v>
      </c>
    </row>
    <row r="99" spans="1:12" x14ac:dyDescent="0.25">
      <c r="A99" s="31" t="str">
        <f t="shared" si="4"/>
        <v>Merrill Lynch Commodities</v>
      </c>
      <c r="B99" s="32">
        <f t="shared" si="5"/>
        <v>-18800</v>
      </c>
      <c r="C99" s="93">
        <f t="shared" si="6"/>
        <v>963.42025100000001</v>
      </c>
      <c r="D99" s="9">
        <f t="shared" si="7"/>
        <v>-8215.6</v>
      </c>
      <c r="J99" t="s">
        <v>223</v>
      </c>
      <c r="K99" t="s">
        <v>611</v>
      </c>
      <c r="L99" s="96">
        <v>-18800</v>
      </c>
    </row>
    <row r="100" spans="1:12" x14ac:dyDescent="0.25">
      <c r="A100" s="31" t="str">
        <f t="shared" si="4"/>
        <v>Morgan Stanley CG</v>
      </c>
      <c r="B100" s="32">
        <f t="shared" si="5"/>
        <v>-586129</v>
      </c>
      <c r="C100" s="93">
        <f t="shared" si="6"/>
        <v>963.42025100000001</v>
      </c>
      <c r="D100" s="9">
        <f t="shared" si="7"/>
        <v>-256138.37300000002</v>
      </c>
      <c r="J100" t="s">
        <v>178</v>
      </c>
      <c r="K100" t="s">
        <v>611</v>
      </c>
      <c r="L100" s="96">
        <v>-586129</v>
      </c>
    </row>
    <row r="101" spans="1:12" x14ac:dyDescent="0.25">
      <c r="A101" s="31" t="str">
        <f t="shared" si="4"/>
        <v>N. California Power Agency</v>
      </c>
      <c r="B101" s="32">
        <f t="shared" si="5"/>
        <v>-482</v>
      </c>
      <c r="C101" s="93">
        <f t="shared" si="6"/>
        <v>963.42025100000001</v>
      </c>
      <c r="D101" s="9">
        <f t="shared" si="7"/>
        <v>-210.63400000000001</v>
      </c>
      <c r="J101" t="s">
        <v>225</v>
      </c>
      <c r="K101" t="s">
        <v>611</v>
      </c>
      <c r="L101" s="96">
        <v>-482</v>
      </c>
    </row>
    <row r="102" spans="1:12" x14ac:dyDescent="0.25">
      <c r="A102" s="31" t="str">
        <f t="shared" si="4"/>
        <v>Natur Ener USA</v>
      </c>
      <c r="B102" s="32">
        <f t="shared" si="5"/>
        <v>-30</v>
      </c>
      <c r="C102" s="93">
        <f t="shared" si="6"/>
        <v>963.42025100000001</v>
      </c>
      <c r="D102" s="9">
        <f t="shared" si="7"/>
        <v>-13.11</v>
      </c>
      <c r="J102" t="s">
        <v>226</v>
      </c>
      <c r="K102" t="s">
        <v>611</v>
      </c>
      <c r="L102" s="96">
        <v>-30</v>
      </c>
    </row>
    <row r="103" spans="1:12" x14ac:dyDescent="0.25">
      <c r="A103" s="31" t="str">
        <f t="shared" si="4"/>
        <v>NextEra Energy Power Marketing</v>
      </c>
      <c r="B103" s="32">
        <f t="shared" si="5"/>
        <v>-9250</v>
      </c>
      <c r="C103" s="93">
        <f t="shared" si="6"/>
        <v>963.42025100000001</v>
      </c>
      <c r="D103" s="9">
        <f t="shared" si="7"/>
        <v>-4042.25</v>
      </c>
      <c r="J103" t="s">
        <v>227</v>
      </c>
      <c r="K103" t="s">
        <v>611</v>
      </c>
      <c r="L103" s="96">
        <v>-9250</v>
      </c>
    </row>
    <row r="104" spans="1:12" x14ac:dyDescent="0.25">
      <c r="A104" s="31" t="str">
        <f t="shared" si="4"/>
        <v>Noble Americas Energy Solutions</v>
      </c>
      <c r="B104" s="32">
        <f t="shared" si="5"/>
        <v>-800</v>
      </c>
      <c r="C104" s="93">
        <f t="shared" si="6"/>
        <v>963.42025100000001</v>
      </c>
      <c r="D104" s="9">
        <f t="shared" si="7"/>
        <v>-349.59999999999997</v>
      </c>
      <c r="J104" t="s">
        <v>228</v>
      </c>
      <c r="K104" t="s">
        <v>611</v>
      </c>
      <c r="L104" s="96">
        <v>-800</v>
      </c>
    </row>
    <row r="105" spans="1:12" x14ac:dyDescent="0.25">
      <c r="A105" s="31" t="str">
        <f t="shared" si="4"/>
        <v>Noble Americas Gas &amp; Power</v>
      </c>
      <c r="B105" s="32">
        <f t="shared" si="5"/>
        <v>-3388</v>
      </c>
      <c r="C105" s="93">
        <f t="shared" si="6"/>
        <v>963.42025100000001</v>
      </c>
      <c r="D105" s="9">
        <f t="shared" si="7"/>
        <v>-1480.556</v>
      </c>
      <c r="J105" t="s">
        <v>229</v>
      </c>
      <c r="K105" t="s">
        <v>611</v>
      </c>
      <c r="L105" s="96">
        <v>-3388</v>
      </c>
    </row>
    <row r="106" spans="1:12" x14ac:dyDescent="0.25">
      <c r="A106" s="31" t="str">
        <f t="shared" si="4"/>
        <v>NorthPoint Energy Solutions, Inc.</v>
      </c>
      <c r="B106" s="32">
        <f t="shared" si="5"/>
        <v>-7683</v>
      </c>
      <c r="C106" s="93">
        <f t="shared" si="6"/>
        <v>963.42025100000001</v>
      </c>
      <c r="D106" s="9">
        <f t="shared" si="7"/>
        <v>-3357.471</v>
      </c>
      <c r="J106" t="s">
        <v>230</v>
      </c>
      <c r="K106" t="s">
        <v>611</v>
      </c>
      <c r="L106" s="96">
        <v>-7683</v>
      </c>
    </row>
    <row r="107" spans="1:12" x14ac:dyDescent="0.25">
      <c r="A107" s="31" t="str">
        <f t="shared" si="4"/>
        <v>Northwestern Energy</v>
      </c>
      <c r="B107" s="32">
        <f t="shared" si="5"/>
        <v>-56370</v>
      </c>
      <c r="C107" s="93">
        <f t="shared" si="6"/>
        <v>963.42025100000001</v>
      </c>
      <c r="D107" s="9">
        <f t="shared" si="7"/>
        <v>-24633.69</v>
      </c>
      <c r="J107" t="s">
        <v>231</v>
      </c>
      <c r="K107" t="s">
        <v>611</v>
      </c>
      <c r="L107" s="96">
        <v>-56370</v>
      </c>
    </row>
    <row r="108" spans="1:12" x14ac:dyDescent="0.25">
      <c r="A108" s="31" t="str">
        <f t="shared" si="4"/>
        <v>Okanogan PUD</v>
      </c>
      <c r="B108" s="32">
        <f t="shared" si="5"/>
        <v>-855</v>
      </c>
      <c r="C108" s="93">
        <f t="shared" si="6"/>
        <v>963.42025100000001</v>
      </c>
      <c r="D108" s="9">
        <f t="shared" si="7"/>
        <v>-373.63499999999999</v>
      </c>
      <c r="J108" t="s">
        <v>233</v>
      </c>
      <c r="K108" t="s">
        <v>611</v>
      </c>
      <c r="L108" s="96">
        <v>-855</v>
      </c>
    </row>
    <row r="109" spans="1:12" x14ac:dyDescent="0.25">
      <c r="A109" s="31" t="str">
        <f t="shared" si="4"/>
        <v>Pacific Northwest Generatin Coop.</v>
      </c>
      <c r="B109" s="32">
        <f t="shared" si="5"/>
        <v>-1655</v>
      </c>
      <c r="C109" s="93">
        <f t="shared" si="6"/>
        <v>963.42025100000001</v>
      </c>
      <c r="D109" s="9">
        <f t="shared" si="7"/>
        <v>-723.23500000000001</v>
      </c>
      <c r="J109" t="s">
        <v>234</v>
      </c>
      <c r="K109" t="s">
        <v>611</v>
      </c>
      <c r="L109" s="96">
        <v>-1655</v>
      </c>
    </row>
    <row r="110" spans="1:12" x14ac:dyDescent="0.25">
      <c r="A110" s="31" t="str">
        <f t="shared" si="4"/>
        <v>Pacific Summit Energy LLC</v>
      </c>
      <c r="B110" s="32">
        <f t="shared" si="5"/>
        <v>-57339</v>
      </c>
      <c r="C110" s="93">
        <f t="shared" si="6"/>
        <v>963.42025100000001</v>
      </c>
      <c r="D110" s="9">
        <f t="shared" si="7"/>
        <v>-25057.142999999996</v>
      </c>
      <c r="J110" t="s">
        <v>235</v>
      </c>
      <c r="K110" t="s">
        <v>611</v>
      </c>
      <c r="L110" s="96">
        <v>-57339</v>
      </c>
    </row>
    <row r="111" spans="1:12" x14ac:dyDescent="0.25">
      <c r="A111" s="31" t="str">
        <f t="shared" si="4"/>
        <v>Pacificorp</v>
      </c>
      <c r="B111" s="32">
        <f t="shared" si="5"/>
        <v>-246935</v>
      </c>
      <c r="C111" s="93">
        <f t="shared" si="6"/>
        <v>963.42025100000001</v>
      </c>
      <c r="D111" s="9">
        <f t="shared" si="7"/>
        <v>-107910.595</v>
      </c>
      <c r="J111" t="s">
        <v>236</v>
      </c>
      <c r="K111" t="s">
        <v>611</v>
      </c>
      <c r="L111" s="96">
        <v>-246935</v>
      </c>
    </row>
    <row r="112" spans="1:12" x14ac:dyDescent="0.25">
      <c r="A112" s="31" t="str">
        <f t="shared" si="4"/>
        <v>PG&amp;E Energy Trading</v>
      </c>
      <c r="B112" s="32">
        <f t="shared" si="5"/>
        <v>-790398</v>
      </c>
      <c r="C112" s="93">
        <f t="shared" si="6"/>
        <v>963.42025100000001</v>
      </c>
      <c r="D112" s="9">
        <f t="shared" si="7"/>
        <v>-345403.92599999998</v>
      </c>
      <c r="J112" t="s">
        <v>237</v>
      </c>
      <c r="K112" t="s">
        <v>611</v>
      </c>
      <c r="L112" s="96">
        <v>-790398</v>
      </c>
    </row>
    <row r="113" spans="1:12" x14ac:dyDescent="0.25">
      <c r="A113" s="31" t="str">
        <f t="shared" si="4"/>
        <v>Portland General Electric</v>
      </c>
      <c r="B113" s="32">
        <f t="shared" si="5"/>
        <v>-251716</v>
      </c>
      <c r="C113" s="93">
        <f t="shared" si="6"/>
        <v>963.42025100000001</v>
      </c>
      <c r="D113" s="9">
        <f t="shared" si="7"/>
        <v>-109999.89200000001</v>
      </c>
      <c r="J113" t="s">
        <v>238</v>
      </c>
      <c r="K113" t="s">
        <v>611</v>
      </c>
      <c r="L113" s="96">
        <v>-251716</v>
      </c>
    </row>
    <row r="114" spans="1:12" x14ac:dyDescent="0.25">
      <c r="A114" s="31" t="str">
        <f t="shared" si="4"/>
        <v>Powerex Corp.</v>
      </c>
      <c r="B114" s="32">
        <f t="shared" si="5"/>
        <v>-294366</v>
      </c>
      <c r="C114" s="93">
        <f t="shared" si="6"/>
        <v>963.42025100000001</v>
      </c>
      <c r="D114" s="9">
        <f t="shared" si="7"/>
        <v>-128637.94200000001</v>
      </c>
      <c r="J114" t="s">
        <v>180</v>
      </c>
      <c r="K114" t="s">
        <v>611</v>
      </c>
      <c r="L114" s="96">
        <v>-294366</v>
      </c>
    </row>
    <row r="115" spans="1:12" x14ac:dyDescent="0.25">
      <c r="A115" s="31" t="str">
        <f t="shared" si="4"/>
        <v>Public Service of Colorado</v>
      </c>
      <c r="B115" s="32">
        <f t="shared" si="5"/>
        <v>-1600</v>
      </c>
      <c r="C115" s="93">
        <f t="shared" si="6"/>
        <v>963.42025100000001</v>
      </c>
      <c r="D115" s="9">
        <f t="shared" si="7"/>
        <v>-699.19999999999993</v>
      </c>
      <c r="J115" t="s">
        <v>239</v>
      </c>
      <c r="K115" t="s">
        <v>611</v>
      </c>
      <c r="L115" s="96">
        <v>-1600</v>
      </c>
    </row>
    <row r="116" spans="1:12" x14ac:dyDescent="0.25">
      <c r="A116" s="31" t="str">
        <f t="shared" si="4"/>
        <v>Rainbow Energy Marketing</v>
      </c>
      <c r="B116" s="32">
        <f t="shared" si="5"/>
        <v>-69776</v>
      </c>
      <c r="C116" s="93">
        <f t="shared" si="6"/>
        <v>963.42025100000001</v>
      </c>
      <c r="D116" s="9">
        <f t="shared" si="7"/>
        <v>-30492.112000000001</v>
      </c>
      <c r="J116" t="s">
        <v>240</v>
      </c>
      <c r="K116" t="s">
        <v>611</v>
      </c>
      <c r="L116" s="96">
        <v>-69776</v>
      </c>
    </row>
    <row r="117" spans="1:12" x14ac:dyDescent="0.25">
      <c r="A117" s="31" t="str">
        <f t="shared" si="4"/>
        <v>Redding, City of</v>
      </c>
      <c r="B117" s="32">
        <f t="shared" si="5"/>
        <v>-69</v>
      </c>
      <c r="C117" s="93">
        <f t="shared" si="6"/>
        <v>963.42025100000001</v>
      </c>
      <c r="D117" s="9">
        <f t="shared" si="7"/>
        <v>-30.152999999999999</v>
      </c>
      <c r="J117" t="s">
        <v>241</v>
      </c>
      <c r="K117" t="s">
        <v>611</v>
      </c>
      <c r="L117" s="96">
        <v>-69</v>
      </c>
    </row>
    <row r="118" spans="1:12" x14ac:dyDescent="0.25">
      <c r="A118" s="31" t="str">
        <f t="shared" si="4"/>
        <v>Sacramento Municipal</v>
      </c>
      <c r="B118" s="32">
        <f t="shared" si="5"/>
        <v>-28531</v>
      </c>
      <c r="C118" s="93">
        <f t="shared" si="6"/>
        <v>963.42025100000001</v>
      </c>
      <c r="D118" s="9">
        <f t="shared" si="7"/>
        <v>-12468.047</v>
      </c>
      <c r="J118" t="s">
        <v>242</v>
      </c>
      <c r="K118" t="s">
        <v>611</v>
      </c>
      <c r="L118" s="96">
        <v>-28531</v>
      </c>
    </row>
    <row r="119" spans="1:12" x14ac:dyDescent="0.25">
      <c r="A119" s="31" t="str">
        <f t="shared" si="4"/>
        <v>San Diego Gas &amp; Electric</v>
      </c>
      <c r="B119" s="32">
        <f t="shared" si="5"/>
        <v>-22412</v>
      </c>
      <c r="C119" s="93">
        <f t="shared" si="6"/>
        <v>963.42025100000001</v>
      </c>
      <c r="D119" s="9">
        <f t="shared" si="7"/>
        <v>-9794.0439999999999</v>
      </c>
      <c r="J119" t="s">
        <v>243</v>
      </c>
      <c r="K119" t="s">
        <v>611</v>
      </c>
      <c r="L119" s="96">
        <v>-22412</v>
      </c>
    </row>
    <row r="120" spans="1:12" x14ac:dyDescent="0.25">
      <c r="A120" s="31" t="str">
        <f t="shared" si="4"/>
        <v>Seattle City Light Marketing</v>
      </c>
      <c r="B120" s="32">
        <f t="shared" si="5"/>
        <v>-23444</v>
      </c>
      <c r="C120" s="93">
        <f t="shared" si="6"/>
        <v>963.42025100000001</v>
      </c>
      <c r="D120" s="9">
        <f t="shared" si="7"/>
        <v>-10245.027999999998</v>
      </c>
      <c r="J120" t="s">
        <v>181</v>
      </c>
      <c r="K120" t="s">
        <v>611</v>
      </c>
      <c r="L120" s="96">
        <v>-23444</v>
      </c>
    </row>
    <row r="121" spans="1:12" x14ac:dyDescent="0.25">
      <c r="A121" s="31" t="str">
        <f t="shared" si="4"/>
        <v>Shell Energy (Coral Pwr)</v>
      </c>
      <c r="B121" s="32">
        <f t="shared" si="5"/>
        <v>-457267</v>
      </c>
      <c r="C121" s="93">
        <f t="shared" si="6"/>
        <v>963.42025100000001</v>
      </c>
      <c r="D121" s="9">
        <f t="shared" si="7"/>
        <v>-199825.679</v>
      </c>
      <c r="J121" t="s">
        <v>182</v>
      </c>
      <c r="K121" t="s">
        <v>611</v>
      </c>
      <c r="L121" s="96">
        <v>-457267</v>
      </c>
    </row>
    <row r="122" spans="1:12" x14ac:dyDescent="0.25">
      <c r="A122" s="31" t="str">
        <f t="shared" si="4"/>
        <v>Sierra Pacific Power</v>
      </c>
      <c r="B122" s="32">
        <f t="shared" si="5"/>
        <v>-14123</v>
      </c>
      <c r="C122" s="93">
        <f t="shared" si="6"/>
        <v>963.42025100000001</v>
      </c>
      <c r="D122" s="9">
        <f t="shared" si="7"/>
        <v>-6171.7509999999993</v>
      </c>
      <c r="J122" t="s">
        <v>245</v>
      </c>
      <c r="K122" t="s">
        <v>611</v>
      </c>
      <c r="L122" s="96">
        <v>-14123</v>
      </c>
    </row>
    <row r="123" spans="1:12" x14ac:dyDescent="0.25">
      <c r="A123" s="31" t="str">
        <f t="shared" si="4"/>
        <v>Snohomish County PUD #1</v>
      </c>
      <c r="B123" s="32">
        <f t="shared" si="5"/>
        <v>-9938</v>
      </c>
      <c r="C123" s="93">
        <f t="shared" si="6"/>
        <v>963.42025100000001</v>
      </c>
      <c r="D123" s="9">
        <f t="shared" si="7"/>
        <v>-4342.9059999999999</v>
      </c>
      <c r="J123" t="s">
        <v>247</v>
      </c>
      <c r="K123" t="s">
        <v>611</v>
      </c>
      <c r="L123" s="96">
        <v>-9938</v>
      </c>
    </row>
    <row r="124" spans="1:12" x14ac:dyDescent="0.25">
      <c r="A124" s="31" t="str">
        <f t="shared" si="4"/>
        <v>Southern Cal - Edison</v>
      </c>
      <c r="B124" s="32">
        <f t="shared" si="5"/>
        <v>-526126</v>
      </c>
      <c r="C124" s="93">
        <f t="shared" si="6"/>
        <v>963.42025100000001</v>
      </c>
      <c r="D124" s="9">
        <f t="shared" si="7"/>
        <v>-229917.06200000001</v>
      </c>
      <c r="J124" t="s">
        <v>248</v>
      </c>
      <c r="K124" t="s">
        <v>611</v>
      </c>
      <c r="L124" s="96">
        <v>-526126</v>
      </c>
    </row>
    <row r="125" spans="1:12" x14ac:dyDescent="0.25">
      <c r="A125" s="31" t="str">
        <f t="shared" si="4"/>
        <v>Tacoma Power</v>
      </c>
      <c r="B125" s="32">
        <f t="shared" si="5"/>
        <v>-19779</v>
      </c>
      <c r="C125" s="93">
        <f t="shared" si="6"/>
        <v>963.42025100000001</v>
      </c>
      <c r="D125" s="9">
        <f t="shared" si="7"/>
        <v>-8643.4230000000007</v>
      </c>
      <c r="J125" t="s">
        <v>183</v>
      </c>
      <c r="K125" t="s">
        <v>611</v>
      </c>
      <c r="L125" s="96">
        <v>-19779</v>
      </c>
    </row>
    <row r="126" spans="1:12" x14ac:dyDescent="0.25">
      <c r="A126" s="31" t="str">
        <f t="shared" si="4"/>
        <v>Talen Energy (PPL Energy Plus)</v>
      </c>
      <c r="B126" s="32">
        <f t="shared" si="5"/>
        <v>-185885</v>
      </c>
      <c r="C126" s="93">
        <f t="shared" si="6"/>
        <v>963.42025100000001</v>
      </c>
      <c r="D126" s="9">
        <f t="shared" si="7"/>
        <v>-81231.744999999995</v>
      </c>
      <c r="J126" t="s">
        <v>249</v>
      </c>
      <c r="K126" t="s">
        <v>611</v>
      </c>
      <c r="L126" s="96">
        <v>-185885</v>
      </c>
    </row>
    <row r="127" spans="1:12" x14ac:dyDescent="0.25">
      <c r="A127" s="31" t="str">
        <f t="shared" si="4"/>
        <v>Tenaska Power Services Co.</v>
      </c>
      <c r="B127" s="32">
        <f t="shared" si="5"/>
        <v>-3600</v>
      </c>
      <c r="C127" s="93">
        <f t="shared" si="6"/>
        <v>963.42025100000001</v>
      </c>
      <c r="D127" s="9">
        <f t="shared" si="7"/>
        <v>-1573.1999999999998</v>
      </c>
      <c r="J127" t="s">
        <v>251</v>
      </c>
      <c r="K127" t="s">
        <v>611</v>
      </c>
      <c r="L127" s="96">
        <v>-3600</v>
      </c>
    </row>
    <row r="128" spans="1:12" x14ac:dyDescent="0.25">
      <c r="A128" s="31" t="str">
        <f t="shared" si="4"/>
        <v>The Energy Authority</v>
      </c>
      <c r="B128" s="32">
        <f t="shared" si="5"/>
        <v>-19100</v>
      </c>
      <c r="C128" s="93">
        <f t="shared" si="6"/>
        <v>963.42025100000001</v>
      </c>
      <c r="D128" s="9">
        <f t="shared" si="7"/>
        <v>-8346.7000000000007</v>
      </c>
      <c r="J128" t="s">
        <v>252</v>
      </c>
      <c r="K128" t="s">
        <v>611</v>
      </c>
      <c r="L128" s="96">
        <v>-19100</v>
      </c>
    </row>
    <row r="129" spans="1:12" x14ac:dyDescent="0.25">
      <c r="A129" s="31" t="str">
        <f t="shared" si="4"/>
        <v>TransAlta Energy Marketing</v>
      </c>
      <c r="B129" s="32">
        <f t="shared" si="5"/>
        <v>-212919</v>
      </c>
      <c r="C129" s="93">
        <f t="shared" si="6"/>
        <v>963.42025100000001</v>
      </c>
      <c r="D129" s="9">
        <f t="shared" si="7"/>
        <v>-93045.602999999988</v>
      </c>
      <c r="J129" t="s">
        <v>184</v>
      </c>
      <c r="K129" t="s">
        <v>611</v>
      </c>
      <c r="L129" s="96">
        <v>-212919</v>
      </c>
    </row>
    <row r="130" spans="1:12" x14ac:dyDescent="0.25">
      <c r="A130" s="31" t="str">
        <f t="shared" si="4"/>
        <v>TransCanada Energy Sales Ltd</v>
      </c>
      <c r="B130" s="32">
        <f t="shared" si="5"/>
        <v>-14806</v>
      </c>
      <c r="C130" s="93">
        <f t="shared" si="6"/>
        <v>963.42025100000001</v>
      </c>
      <c r="D130" s="9">
        <f t="shared" si="7"/>
        <v>-6470.2219999999998</v>
      </c>
      <c r="J130" t="s">
        <v>254</v>
      </c>
      <c r="K130" t="s">
        <v>611</v>
      </c>
      <c r="L130" s="96">
        <v>-14806</v>
      </c>
    </row>
    <row r="131" spans="1:12" x14ac:dyDescent="0.25">
      <c r="A131" s="31" t="str">
        <f t="shared" si="4"/>
        <v>Turlock Irrigation District</v>
      </c>
      <c r="B131" s="32">
        <f t="shared" si="5"/>
        <v>-24869</v>
      </c>
      <c r="C131" s="93">
        <f t="shared" si="6"/>
        <v>963.42025100000001</v>
      </c>
      <c r="D131" s="9">
        <f t="shared" si="7"/>
        <v>-10867.752999999999</v>
      </c>
      <c r="J131" t="s">
        <v>256</v>
      </c>
      <c r="K131" t="s">
        <v>611</v>
      </c>
      <c r="L131" s="96">
        <v>-24869</v>
      </c>
    </row>
    <row r="132" spans="1:12" x14ac:dyDescent="0.25">
      <c r="A132" s="31" t="str">
        <f t="shared" si="4"/>
        <v>Western Area Power Association</v>
      </c>
      <c r="B132" s="32">
        <f t="shared" si="5"/>
        <v>-1265</v>
      </c>
      <c r="C132" s="93">
        <f t="shared" si="6"/>
        <v>963.42025100000001</v>
      </c>
      <c r="D132" s="9">
        <f t="shared" si="7"/>
        <v>-552.80500000000006</v>
      </c>
      <c r="E132" s="89" t="s">
        <v>607</v>
      </c>
      <c r="J132" t="s">
        <v>258</v>
      </c>
      <c r="K132" t="s">
        <v>611</v>
      </c>
      <c r="L132" s="96">
        <v>-1265</v>
      </c>
    </row>
    <row r="133" spans="1:12" x14ac:dyDescent="0.25">
      <c r="A133" s="31"/>
      <c r="B133" s="32"/>
      <c r="C133" s="93"/>
      <c r="D133" s="9"/>
      <c r="L133" s="96">
        <f>SUM(L4:L132)</f>
        <v>6774737.6720000021</v>
      </c>
    </row>
    <row r="134" spans="1:12" x14ac:dyDescent="0.25">
      <c r="A134" s="31"/>
      <c r="B134" s="32"/>
      <c r="C134" s="93"/>
      <c r="D134" s="9"/>
    </row>
    <row r="135" spans="1:12" x14ac:dyDescent="0.25">
      <c r="A135" s="31"/>
      <c r="B135" s="32"/>
      <c r="C135" s="93"/>
      <c r="D135" s="9"/>
    </row>
    <row r="136" spans="1:12" x14ac:dyDescent="0.25">
      <c r="A136" s="31"/>
      <c r="B136" s="32"/>
      <c r="C136" s="93"/>
      <c r="D136" s="9"/>
    </row>
    <row r="137" spans="1:12" x14ac:dyDescent="0.25">
      <c r="A137" s="31"/>
      <c r="B137" s="32"/>
      <c r="C137" s="93"/>
      <c r="D137" s="9"/>
    </row>
    <row r="138" spans="1:12" x14ac:dyDescent="0.25">
      <c r="A138" s="31"/>
      <c r="B138" s="32"/>
      <c r="C138" s="93"/>
      <c r="D138" s="9"/>
    </row>
    <row r="139" spans="1:12" x14ac:dyDescent="0.25">
      <c r="A139" s="31"/>
      <c r="B139" s="32"/>
      <c r="C139" s="93"/>
      <c r="D139" s="9"/>
    </row>
    <row r="140" spans="1:12" x14ac:dyDescent="0.25">
      <c r="A140" s="31"/>
      <c r="B140" s="32"/>
      <c r="C140" s="93"/>
      <c r="D140" s="9"/>
    </row>
    <row r="141" spans="1:12" x14ac:dyDescent="0.25">
      <c r="A141" s="31"/>
      <c r="B141" s="32"/>
      <c r="C141" s="93"/>
      <c r="D141" s="9"/>
    </row>
    <row r="142" spans="1:12" x14ac:dyDescent="0.25">
      <c r="A142" s="31"/>
      <c r="B142" s="32"/>
      <c r="C142" s="93"/>
      <c r="D142" s="9"/>
    </row>
    <row r="143" spans="1:12" x14ac:dyDescent="0.25">
      <c r="A143" s="31"/>
      <c r="B143" s="32"/>
      <c r="C143" s="93"/>
      <c r="D143" s="9"/>
    </row>
    <row r="144" spans="1:12" x14ac:dyDescent="0.25">
      <c r="A144" s="31"/>
      <c r="B144" s="32"/>
      <c r="C144" s="93"/>
      <c r="D144" s="9"/>
    </row>
    <row r="145" spans="1:4" ht="15.75" thickBot="1" x14ac:dyDescent="0.3">
      <c r="A145" s="33"/>
      <c r="B145" s="34"/>
      <c r="C145" s="14"/>
      <c r="D145" s="15"/>
    </row>
    <row r="146" spans="1:4" ht="16.5" thickTop="1" thickBot="1" x14ac:dyDescent="0.3">
      <c r="A146" s="12"/>
      <c r="B146" s="91">
        <f>SUM(B4:B145)</f>
        <v>6265347.6720000021</v>
      </c>
      <c r="C146" s="13"/>
      <c r="D146" s="92">
        <f>SUM(D4:D145)</f>
        <v>2737956.932663999</v>
      </c>
    </row>
  </sheetData>
  <hyperlinks>
    <hyperlink ref="D1" r:id="rId1"/>
  </hyperlinks>
  <pageMargins left="0.7" right="0.7" top="0.75" bottom="0.75" header="0.3" footer="0.3"/>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
  <sheetViews>
    <sheetView workbookViewId="0">
      <selection activeCell="J19" sqref="J19"/>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O26"/>
  <sheetViews>
    <sheetView topLeftCell="B1" workbookViewId="0">
      <selection activeCell="B26" sqref="B26"/>
    </sheetView>
  </sheetViews>
  <sheetFormatPr defaultRowHeight="15" x14ac:dyDescent="0.25"/>
  <cols>
    <col min="1" max="1" width="3.7109375" customWidth="1"/>
    <col min="2" max="2" width="46.85546875" customWidth="1"/>
    <col min="3" max="13" width="13.7109375" customWidth="1"/>
    <col min="14" max="14" width="13.7109375" style="125" customWidth="1"/>
    <col min="15" max="15" width="10.5703125" bestFit="1" customWidth="1"/>
  </cols>
  <sheetData>
    <row r="2" spans="2:15" x14ac:dyDescent="0.25">
      <c r="C2">
        <v>2009</v>
      </c>
      <c r="D2">
        <v>2010</v>
      </c>
      <c r="E2">
        <v>2011</v>
      </c>
      <c r="F2">
        <v>2012</v>
      </c>
      <c r="G2">
        <v>2013</v>
      </c>
      <c r="H2">
        <v>2014</v>
      </c>
      <c r="I2">
        <v>2015</v>
      </c>
      <c r="J2">
        <v>2016</v>
      </c>
      <c r="K2">
        <v>2017</v>
      </c>
      <c r="L2">
        <v>2018</v>
      </c>
      <c r="M2">
        <v>2019</v>
      </c>
      <c r="N2" s="125">
        <v>2020</v>
      </c>
      <c r="O2" s="125">
        <v>2021</v>
      </c>
    </row>
    <row r="3" spans="2:15" x14ac:dyDescent="0.25">
      <c r="B3" t="s">
        <v>328</v>
      </c>
      <c r="C3" s="94">
        <f>'2009 Summary'!G10</f>
        <v>11.784421814020705</v>
      </c>
      <c r="D3" s="94">
        <f>'2010 Summary'!G10</f>
        <v>11.201580181401802</v>
      </c>
      <c r="E3" s="94">
        <f>'2011 Summary'!G10</f>
        <v>11.541094537760246</v>
      </c>
      <c r="F3" s="94">
        <f>'2012 Summary'!G10</f>
        <v>11.170064059780811</v>
      </c>
      <c r="G3" s="94">
        <f>'2013 Summary'!G10</f>
        <v>11.202725385720049</v>
      </c>
      <c r="H3" s="94">
        <f>'2014 Summary'!G10</f>
        <v>10.838319239560825</v>
      </c>
      <c r="I3" s="94">
        <f>'2015 Summary'!G10</f>
        <v>10.47012247252351</v>
      </c>
      <c r="J3" s="124">
        <f>'2016 Summary'!G10</f>
        <v>10.404103016129147</v>
      </c>
      <c r="K3" s="124">
        <f>'2017 Summary'!G10</f>
        <v>10.888618742928173</v>
      </c>
      <c r="L3" s="124">
        <f>'2018 Summary'!G10</f>
        <v>10.387551035352185</v>
      </c>
      <c r="M3" s="124">
        <f>'2019 Summary'!G10</f>
        <v>10.494025505744256</v>
      </c>
      <c r="N3" s="124">
        <f>'2020 Summary'!G10</f>
        <v>10.558012920403696</v>
      </c>
      <c r="O3" s="124">
        <f>'2021 Summary'!G10</f>
        <v>10.900997790180119</v>
      </c>
    </row>
    <row r="4" spans="2:15" x14ac:dyDescent="0.25">
      <c r="B4" t="s">
        <v>329</v>
      </c>
      <c r="C4" s="94">
        <f>'2009 Summary'!G11</f>
        <v>78.68089018774063</v>
      </c>
      <c r="D4" s="94">
        <f>'2010 Summary'!G11</f>
        <v>75.342810310207767</v>
      </c>
      <c r="E4" s="94">
        <f>'2011 Summary'!G11</f>
        <v>75.579212842242498</v>
      </c>
      <c r="F4" s="94">
        <f>'2012 Summary'!G11</f>
        <v>74.278990279337734</v>
      </c>
      <c r="G4" s="94">
        <f>'2013 Summary'!G11</f>
        <v>72.631499852117116</v>
      </c>
      <c r="H4" s="94">
        <f>'2014 Summary'!G11</f>
        <v>71.015493223187221</v>
      </c>
      <c r="I4" s="94">
        <f>'2015 Summary'!G11</f>
        <v>70.253674225146312</v>
      </c>
      <c r="J4" s="124">
        <f>'2016 Summary'!G11</f>
        <v>65.073030573128406</v>
      </c>
      <c r="K4" s="124">
        <f>'2017 Summary'!G11</f>
        <v>67.486131321830541</v>
      </c>
      <c r="L4" s="124">
        <f>'2018 Summary'!G11</f>
        <v>69.328891303504207</v>
      </c>
      <c r="M4" s="124">
        <f>'2019 Summary'!G11</f>
        <v>68.009734962753186</v>
      </c>
      <c r="N4" s="124">
        <f>'2020 Summary'!G11</f>
        <v>60.663377226482538</v>
      </c>
      <c r="O4" s="124">
        <f>'2021 Summary'!G11</f>
        <v>63.37300970727329</v>
      </c>
    </row>
    <row r="5" spans="2:15" x14ac:dyDescent="0.25">
      <c r="B5" t="s">
        <v>330</v>
      </c>
      <c r="C5" s="94">
        <f>'2009 Summary'!D5</f>
        <v>9.2766426117905105</v>
      </c>
      <c r="D5" s="94">
        <f>'2010 Summary'!D5</f>
        <v>8.856740828627732</v>
      </c>
      <c r="E5" s="94">
        <f>'2011 Summary'!D5</f>
        <v>9.0306954086335427</v>
      </c>
      <c r="F5" s="94">
        <f>'2012 Summary'!D5</f>
        <v>8.8227268118390558</v>
      </c>
      <c r="G5" s="94">
        <f>'2013 Summary'!D5</f>
        <v>8.8172598907468096</v>
      </c>
      <c r="H5" s="94">
        <f>'2014 Summary'!D5</f>
        <v>8.6361694561803777</v>
      </c>
      <c r="I5" s="94">
        <f>'2015 Summary'!D5</f>
        <v>8.4786888416563748</v>
      </c>
      <c r="J5" s="124">
        <f>'2016 Summary'!D5</f>
        <v>8.2899454688770735</v>
      </c>
      <c r="K5" s="124">
        <f>'2017 Summary'!D5</f>
        <v>8.4125580571510721</v>
      </c>
      <c r="L5" s="124">
        <f>'2018 Summary'!D5</f>
        <v>8.1777274816219432</v>
      </c>
      <c r="M5" s="124">
        <f>'2019 Summary'!D5</f>
        <v>8.1499796301425764</v>
      </c>
      <c r="N5" s="124">
        <f>'2020 Summary'!D5</f>
        <v>7.7484830829288018</v>
      </c>
      <c r="O5" s="124">
        <f>'2021 Summary'!D5</f>
        <v>8.0423001851006433</v>
      </c>
    </row>
    <row r="6" spans="2:15" x14ac:dyDescent="0.25">
      <c r="B6" s="94"/>
      <c r="J6" s="125"/>
    </row>
    <row r="7" spans="2:15" x14ac:dyDescent="0.25">
      <c r="J7" s="125"/>
    </row>
    <row r="8" spans="2:15" x14ac:dyDescent="0.25">
      <c r="C8">
        <v>2009</v>
      </c>
      <c r="D8">
        <v>2010</v>
      </c>
      <c r="E8">
        <v>2011</v>
      </c>
      <c r="F8">
        <v>2012</v>
      </c>
      <c r="G8">
        <v>2013</v>
      </c>
      <c r="H8">
        <v>2014</v>
      </c>
      <c r="I8">
        <v>2015</v>
      </c>
      <c r="J8" s="125">
        <v>2016</v>
      </c>
      <c r="K8">
        <v>2017</v>
      </c>
      <c r="L8">
        <v>2018</v>
      </c>
      <c r="M8">
        <v>2019</v>
      </c>
      <c r="N8" s="125">
        <v>2020</v>
      </c>
      <c r="O8" s="125">
        <v>2021</v>
      </c>
    </row>
    <row r="9" spans="2:15" x14ac:dyDescent="0.25">
      <c r="B9" t="s">
        <v>331</v>
      </c>
      <c r="C9" s="95">
        <f>'2009 Summary'!G20</f>
        <v>1.7506995883079552</v>
      </c>
      <c r="D9" s="95">
        <f>'2010 Summary'!G20</f>
        <v>1.7721242590528548</v>
      </c>
      <c r="E9" s="95">
        <f>'2011 Summary'!G21</f>
        <v>1.4128285095834807</v>
      </c>
      <c r="F9" s="95">
        <f>'2012 Summary'!G21</f>
        <v>1.4254233639851022</v>
      </c>
      <c r="G9" s="95">
        <f>'2013 Summary'!G21</f>
        <v>1.5471425122091289</v>
      </c>
      <c r="H9" s="95">
        <f>'2014 Summary'!G21</f>
        <v>1.5523217179293789</v>
      </c>
      <c r="I9" s="95">
        <f>'2015 Summary'!G21</f>
        <v>1.7041161605575574</v>
      </c>
      <c r="J9" s="126">
        <f>'2016 Summary'!G21</f>
        <v>1.647545045681841</v>
      </c>
      <c r="K9" s="126">
        <f>'2017 Summary'!G21</f>
        <v>1.7639813881523514</v>
      </c>
      <c r="L9" s="126">
        <f>'2018 Summary'!G21</f>
        <v>1.6706483920108131</v>
      </c>
      <c r="M9" s="126">
        <f>'2019 Summary'!G22</f>
        <v>1.8650579450097211</v>
      </c>
      <c r="N9" s="126">
        <f>'2020 Summary'!G23</f>
        <v>1.3988035170151987</v>
      </c>
      <c r="O9" s="126">
        <f>'2021 Summary'!G23</f>
        <v>1.4301211122287318</v>
      </c>
    </row>
    <row r="10" spans="2:15" x14ac:dyDescent="0.25">
      <c r="J10" s="125"/>
    </row>
    <row r="11" spans="2:15" x14ac:dyDescent="0.25">
      <c r="B11" t="s">
        <v>332</v>
      </c>
      <c r="J11" s="125"/>
    </row>
    <row r="12" spans="2:15" x14ac:dyDescent="0.25">
      <c r="J12" s="125"/>
    </row>
    <row r="13" spans="2:15" x14ac:dyDescent="0.25">
      <c r="C13">
        <v>2009</v>
      </c>
      <c r="D13">
        <v>2010</v>
      </c>
      <c r="E13">
        <v>2011</v>
      </c>
      <c r="F13">
        <v>2012</v>
      </c>
      <c r="G13">
        <v>2013</v>
      </c>
      <c r="H13">
        <v>2014</v>
      </c>
      <c r="I13">
        <v>2015</v>
      </c>
      <c r="J13" s="125">
        <v>2016</v>
      </c>
      <c r="K13" s="125">
        <v>2017</v>
      </c>
      <c r="L13">
        <v>2018</v>
      </c>
      <c r="M13">
        <v>2019</v>
      </c>
      <c r="N13" s="125">
        <v>2020</v>
      </c>
      <c r="O13" s="125">
        <v>2021</v>
      </c>
    </row>
    <row r="14" spans="2:15" x14ac:dyDescent="0.25">
      <c r="B14" s="22" t="s">
        <v>555</v>
      </c>
      <c r="C14" s="80">
        <f>'2009 Summary'!F19</f>
        <v>2465915.6877966262</v>
      </c>
      <c r="D14" s="80">
        <f>'2010 Summary'!F19</f>
        <v>1897917.4716903227</v>
      </c>
      <c r="E14" s="80">
        <f>'2011 Summary'!F20</f>
        <v>2737956.932663999</v>
      </c>
      <c r="F14" s="80">
        <f>'2012 Summary'!F20</f>
        <v>3180464.3357250034</v>
      </c>
      <c r="G14" s="80">
        <f>'2013 Summary'!F20</f>
        <v>2479135.0759489988</v>
      </c>
      <c r="H14" s="80">
        <f>'2014 Summary'!F20</f>
        <v>2700474.7980889999</v>
      </c>
      <c r="I14" s="80">
        <f>'2015 Summary'!F20</f>
        <v>1505988.7890739983</v>
      </c>
      <c r="J14" s="127">
        <f>'2016 Summary'!F20</f>
        <v>1515124.9085044775</v>
      </c>
      <c r="K14" s="127">
        <f>'2017 Summary'!F20</f>
        <v>1958569.5986324535</v>
      </c>
      <c r="L14" s="127">
        <f>'2018 Summary'!F20</f>
        <v>1535394.7838640928</v>
      </c>
      <c r="M14" s="127">
        <f>'2019 Summary'!F21</f>
        <v>744608.3509279727</v>
      </c>
      <c r="N14" s="127">
        <f>'2020 Summary'!F22</f>
        <v>1040097.3339918386</v>
      </c>
      <c r="O14" s="127">
        <f>'2021 Summary'!F22</f>
        <v>550038.77191587386</v>
      </c>
    </row>
    <row r="15" spans="2:15" x14ac:dyDescent="0.25">
      <c r="B15" s="22" t="s">
        <v>333</v>
      </c>
      <c r="C15" s="80">
        <f>'2009 Summary'!D19</f>
        <v>4408167.4979999997</v>
      </c>
      <c r="D15" s="80">
        <f>'2010 Summary'!D19</f>
        <v>3185182.9120000005</v>
      </c>
      <c r="E15" s="80">
        <f>'2011 Summary'!D20</f>
        <v>6265347.6720000021</v>
      </c>
      <c r="F15" s="80">
        <f>'2012 Summary'!D20</f>
        <v>7277950.4249999989</v>
      </c>
      <c r="G15" s="80">
        <f>'2013 Summary'!D20</f>
        <v>5673077.977</v>
      </c>
      <c r="H15" s="80">
        <f>'2014 Summary'!D20</f>
        <v>6179576.1970000006</v>
      </c>
      <c r="I15" s="80">
        <f>'2015 Summary'!D20</f>
        <v>3446198.602</v>
      </c>
      <c r="J15" s="127">
        <f>'2016 Summary'!D20</f>
        <v>3547857.8350000004</v>
      </c>
      <c r="K15" s="127">
        <f>'2017 Summary'!D20</f>
        <v>4630460.3780000005</v>
      </c>
      <c r="L15" s="127">
        <f>'2018 Summary'!D20</f>
        <v>3726897.3210000005</v>
      </c>
      <c r="M15" s="127">
        <f>'2019 Summary'!D21</f>
        <v>2278882.9660000005</v>
      </c>
      <c r="N15" s="127">
        <f>'2020 Summary'!D22</f>
        <v>2182677.5130000003</v>
      </c>
      <c r="O15" s="127">
        <f>'2021 Summary'!D22</f>
        <v>1123056.8739999998</v>
      </c>
    </row>
    <row r="16" spans="2:15" x14ac:dyDescent="0.25">
      <c r="B16" s="22" t="s">
        <v>334</v>
      </c>
      <c r="C16" s="95">
        <f>'2009 Summary'!E19</f>
        <v>0.18804208399730252</v>
      </c>
      <c r="D16" s="95">
        <f>'2010 Summary'!E19</f>
        <v>0.14097301614139468</v>
      </c>
      <c r="E16" s="95">
        <f>'2011 Summary'!E20</f>
        <v>0.28044448396078631</v>
      </c>
      <c r="F16" s="95">
        <f>'2012 Summary'!E20</f>
        <v>0.33131840923678346</v>
      </c>
      <c r="G16" s="95">
        <f>'2013 Summary'!E20</f>
        <v>0.25103249591587212</v>
      </c>
      <c r="H16" s="95">
        <f>'2014 Summary'!E20</f>
        <v>0.27751751516322698</v>
      </c>
      <c r="I16" s="95">
        <f>'2015 Summary'!E20</f>
        <v>0.15644205200828806</v>
      </c>
      <c r="J16" s="128">
        <f>'2016 Summary'!E20</f>
        <v>0.16124529337124363</v>
      </c>
      <c r="K16" s="128">
        <f>'2017 Summary'!E20</f>
        <v>0.20137045808129767</v>
      </c>
      <c r="L16" s="128">
        <f>'2018 Summary'!E20</f>
        <v>0.16768038514241054</v>
      </c>
      <c r="M16" s="128">
        <f>'2019 Summary'!E21</f>
        <v>0.1021598575892345</v>
      </c>
      <c r="N16" s="128">
        <f>'2020 Summary'!E22</f>
        <v>9.9621422559809811E-2</v>
      </c>
      <c r="O16" s="128">
        <f>'2021 Summary'!E22</f>
        <v>5.0212565670009264E-2</v>
      </c>
    </row>
    <row r="17" spans="2:15" x14ac:dyDescent="0.25">
      <c r="J17" s="125"/>
    </row>
    <row r="18" spans="2:15" x14ac:dyDescent="0.25">
      <c r="C18" s="94"/>
      <c r="D18" s="94"/>
      <c r="E18" s="94"/>
      <c r="F18" s="94"/>
      <c r="G18" s="94"/>
      <c r="H18" s="94"/>
      <c r="I18" s="94"/>
      <c r="J18" s="125"/>
    </row>
    <row r="19" spans="2:15" x14ac:dyDescent="0.25">
      <c r="C19">
        <v>2009</v>
      </c>
      <c r="D19">
        <v>2010</v>
      </c>
      <c r="E19">
        <v>2011</v>
      </c>
      <c r="F19">
        <v>2012</v>
      </c>
      <c r="G19">
        <v>2013</v>
      </c>
      <c r="H19">
        <v>2014</v>
      </c>
      <c r="I19">
        <v>2015</v>
      </c>
      <c r="J19" s="125">
        <v>2016</v>
      </c>
      <c r="K19" s="125">
        <v>2017</v>
      </c>
      <c r="L19">
        <v>2018</v>
      </c>
      <c r="M19">
        <v>2019</v>
      </c>
      <c r="N19" s="125">
        <v>2020</v>
      </c>
      <c r="O19" s="125">
        <v>2021</v>
      </c>
    </row>
    <row r="20" spans="2:15" x14ac:dyDescent="0.25">
      <c r="B20" t="s">
        <v>335</v>
      </c>
      <c r="C20" s="96">
        <f>'2009 Summary'!C5</f>
        <v>2360347.5865471303</v>
      </c>
      <c r="D20" s="96">
        <f>'2010 Summary'!C5</f>
        <v>2374059.1947814561</v>
      </c>
      <c r="E20" s="96">
        <f>'2011 Summary'!C5</f>
        <v>2384581.4774588249</v>
      </c>
      <c r="F20" s="96">
        <f>'2012 Summary'!C5</f>
        <v>2396763.2060900475</v>
      </c>
      <c r="G20" s="96">
        <f>'2013 Summary'!C5</f>
        <v>2383976.003935121</v>
      </c>
      <c r="H20" s="96">
        <f>'2014 Summary'!C5</f>
        <v>2393758.2634168519</v>
      </c>
      <c r="I20" s="96">
        <f>'2015 Summary'!C5</f>
        <v>2418978.85192273</v>
      </c>
      <c r="J20" s="129">
        <f>'2016 Summary'!C5</f>
        <v>2466653.4993227008</v>
      </c>
      <c r="K20" s="129">
        <f>'2017 Summary'!C5</f>
        <v>2524399.6957557797</v>
      </c>
      <c r="L20" s="96">
        <f>'2018 Summary'!C5</f>
        <v>2521470.4263916505</v>
      </c>
      <c r="M20" s="96">
        <f>'2019 Summary'!C5</f>
        <v>2557127.3728</v>
      </c>
      <c r="N20" s="129">
        <f>'2020 Summary'!C5</f>
        <v>2593480.1412</v>
      </c>
      <c r="O20" s="129">
        <f>'2021 Summary'!C5</f>
        <v>2616641.6964870668</v>
      </c>
    </row>
    <row r="22" spans="2:15" x14ac:dyDescent="0.25">
      <c r="C22">
        <v>1990</v>
      </c>
    </row>
    <row r="23" spans="2:15" x14ac:dyDescent="0.25">
      <c r="B23" t="s">
        <v>337</v>
      </c>
      <c r="C23">
        <f>732291</f>
        <v>732291</v>
      </c>
      <c r="D23" t="s">
        <v>338</v>
      </c>
    </row>
    <row r="24" spans="2:15" x14ac:dyDescent="0.25">
      <c r="B24" t="s">
        <v>336</v>
      </c>
      <c r="C24" s="98">
        <f>C23*'Census Stats'!L38</f>
        <v>1824620.6261171864</v>
      </c>
    </row>
    <row r="26" spans="2:15" x14ac:dyDescent="0.25">
      <c r="B26" s="22"/>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F11" sqref="F11"/>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2" t="s">
        <v>11</v>
      </c>
    </row>
    <row r="2" spans="1:7" ht="15.75" thickBot="1" x14ac:dyDescent="0.3"/>
    <row r="3" spans="1:7" x14ac:dyDescent="0.25">
      <c r="A3" s="59"/>
      <c r="B3" s="60" t="s">
        <v>15</v>
      </c>
      <c r="C3" s="61" t="s">
        <v>25</v>
      </c>
      <c r="D3" s="65"/>
      <c r="E3" s="63"/>
    </row>
    <row r="4" spans="1:7" x14ac:dyDescent="0.25">
      <c r="A4" s="650" t="s">
        <v>16</v>
      </c>
      <c r="B4" s="652"/>
      <c r="C4" s="35">
        <v>2010</v>
      </c>
      <c r="D4" s="68" t="s">
        <v>39</v>
      </c>
      <c r="E4" s="64"/>
    </row>
    <row r="5" spans="1:7" ht="15.75" thickBot="1" x14ac:dyDescent="0.3">
      <c r="A5" s="653" t="s">
        <v>21</v>
      </c>
      <c r="B5" s="654"/>
      <c r="C5" s="74">
        <f>+F10*'Census Stats'!$L$38</f>
        <v>2374059.1947814561</v>
      </c>
      <c r="D5" s="62">
        <f>+D13/C5</f>
        <v>8.856740828627732</v>
      </c>
    </row>
    <row r="6" spans="1:7" x14ac:dyDescent="0.25">
      <c r="A6" s="5"/>
      <c r="B6" s="5"/>
      <c r="C6" s="21"/>
      <c r="E6" s="20"/>
    </row>
    <row r="7" spans="1:7" ht="19.5" thickBot="1" x14ac:dyDescent="0.35">
      <c r="A7" s="5"/>
      <c r="B7" s="57" t="s">
        <v>36</v>
      </c>
      <c r="C7" s="21"/>
      <c r="E7" s="20"/>
    </row>
    <row r="8" spans="1:7" x14ac:dyDescent="0.25">
      <c r="A8" s="39"/>
      <c r="B8" s="40"/>
      <c r="C8" s="40"/>
      <c r="D8" s="40"/>
      <c r="E8" s="40"/>
      <c r="F8" s="41" t="s">
        <v>20</v>
      </c>
      <c r="G8" s="52" t="s">
        <v>40</v>
      </c>
    </row>
    <row r="9" spans="1:7" x14ac:dyDescent="0.25">
      <c r="A9" s="42"/>
      <c r="B9" s="16"/>
      <c r="C9" s="16"/>
      <c r="D9" s="18" t="s">
        <v>14</v>
      </c>
      <c r="E9" s="30" t="s">
        <v>28</v>
      </c>
      <c r="F9" s="23" t="s">
        <v>35</v>
      </c>
      <c r="G9" s="53" t="s">
        <v>20</v>
      </c>
    </row>
    <row r="10" spans="1:7" x14ac:dyDescent="0.25">
      <c r="A10" s="650" t="s">
        <v>12</v>
      </c>
      <c r="B10" s="651"/>
      <c r="C10" s="652"/>
      <c r="D10" s="66">
        <v>10672888</v>
      </c>
      <c r="E10" s="17">
        <f>+D10/D13</f>
        <v>0.50759399112364645</v>
      </c>
      <c r="F10" s="38">
        <v>952802</v>
      </c>
      <c r="G10" s="54">
        <f>+D10/F10</f>
        <v>11.201580181401802</v>
      </c>
    </row>
    <row r="11" spans="1:7" x14ac:dyDescent="0.25">
      <c r="A11" s="650" t="s">
        <v>17</v>
      </c>
      <c r="B11" s="651"/>
      <c r="C11" s="652"/>
      <c r="D11" s="66">
        <f>92433+9100520</f>
        <v>9192953</v>
      </c>
      <c r="E11" s="17">
        <f>+D11/D13</f>
        <v>0.43720946977819863</v>
      </c>
      <c r="F11" s="32">
        <f>118596+3419</f>
        <v>122015</v>
      </c>
      <c r="G11" s="54">
        <f>+D11/F11</f>
        <v>75.342810310207767</v>
      </c>
    </row>
    <row r="12" spans="1:7" x14ac:dyDescent="0.25">
      <c r="A12" s="650" t="s">
        <v>18</v>
      </c>
      <c r="B12" s="651"/>
      <c r="C12" s="652"/>
      <c r="D12" s="66">
        <v>1160586</v>
      </c>
      <c r="E12" s="17">
        <f>+D12/D13</f>
        <v>5.5196539098154911E-2</v>
      </c>
      <c r="F12" s="5"/>
      <c r="G12" s="43"/>
    </row>
    <row r="13" spans="1:7" ht="15.75" thickBot="1" x14ac:dyDescent="0.3">
      <c r="A13" s="44"/>
      <c r="B13" s="655" t="s">
        <v>13</v>
      </c>
      <c r="C13" s="654"/>
      <c r="D13" s="67">
        <f>SUM(D10:D12)</f>
        <v>21026427</v>
      </c>
      <c r="E13" s="45"/>
      <c r="F13" s="46"/>
      <c r="G13" s="47"/>
    </row>
    <row r="15" spans="1:7" ht="19.5" thickBot="1" x14ac:dyDescent="0.35">
      <c r="B15" s="58" t="s">
        <v>37</v>
      </c>
    </row>
    <row r="16" spans="1:7" x14ac:dyDescent="0.25">
      <c r="A16" s="39"/>
      <c r="B16" s="40"/>
      <c r="C16" s="40"/>
      <c r="D16" s="40"/>
      <c r="E16" s="41" t="s">
        <v>29</v>
      </c>
      <c r="F16" s="48" t="s">
        <v>5</v>
      </c>
      <c r="G16" s="49"/>
    </row>
    <row r="17" spans="1:8" ht="18" x14ac:dyDescent="0.35">
      <c r="A17" s="50"/>
      <c r="B17" s="5"/>
      <c r="C17" s="5"/>
      <c r="D17" s="30" t="s">
        <v>19</v>
      </c>
      <c r="E17" s="23" t="s">
        <v>30</v>
      </c>
      <c r="F17" s="19" t="s">
        <v>8</v>
      </c>
      <c r="G17" s="43"/>
    </row>
    <row r="18" spans="1:8" ht="15.75" thickBot="1" x14ac:dyDescent="0.3">
      <c r="A18" s="650" t="s">
        <v>33</v>
      </c>
      <c r="B18" s="651"/>
      <c r="C18" s="652"/>
      <c r="D18" s="9">
        <f>'2010 Known'!B55</f>
        <v>19409090.795000002</v>
      </c>
      <c r="E18" s="17">
        <f>+D18/(D18+D19)</f>
        <v>0.85902698385860532</v>
      </c>
      <c r="F18" s="9">
        <f>'2010 Known'!C55</f>
        <v>10411371.047643386</v>
      </c>
      <c r="G18" s="43"/>
    </row>
    <row r="19" spans="1:8" ht="18" x14ac:dyDescent="0.35">
      <c r="A19" s="650" t="s">
        <v>34</v>
      </c>
      <c r="B19" s="651"/>
      <c r="C19" s="652"/>
      <c r="D19" s="55">
        <f>'2010 Unknown'!B136</f>
        <v>3185182.9120000005</v>
      </c>
      <c r="E19" s="56">
        <f>+D19/(D18+D19)</f>
        <v>0.14097301614139468</v>
      </c>
      <c r="F19" s="70">
        <f>'2010 Unknown'!D136</f>
        <v>1897917.4716903227</v>
      </c>
      <c r="G19" s="72" t="s">
        <v>38</v>
      </c>
    </row>
    <row r="20" spans="1:8" ht="18.75" thickBot="1" x14ac:dyDescent="0.4">
      <c r="A20" s="44"/>
      <c r="B20" s="46"/>
      <c r="C20" s="46"/>
      <c r="D20" s="69">
        <f>+C4</f>
        <v>2010</v>
      </c>
      <c r="E20" s="51" t="s">
        <v>4</v>
      </c>
      <c r="F20" s="71">
        <f>SUM(F18:F19)</f>
        <v>12309288.519333709</v>
      </c>
      <c r="G20" s="73">
        <f>+F20/G22</f>
        <v>1.7721242590528548</v>
      </c>
    </row>
    <row r="22" spans="1:8" ht="18" x14ac:dyDescent="0.35">
      <c r="F22" s="22" t="s">
        <v>27</v>
      </c>
      <c r="G22" s="32">
        <f>+G29</f>
        <v>6946064</v>
      </c>
      <c r="H22" s="29"/>
    </row>
    <row r="24" spans="1:8" x14ac:dyDescent="0.25">
      <c r="E24" s="29" t="s">
        <v>22</v>
      </c>
      <c r="F24" s="24"/>
      <c r="G24" s="24"/>
    </row>
    <row r="25" spans="1:8" x14ac:dyDescent="0.25">
      <c r="E25" s="24"/>
      <c r="F25" s="24"/>
      <c r="G25" s="27" t="s">
        <v>26</v>
      </c>
    </row>
    <row r="26" spans="1:8" ht="18" x14ac:dyDescent="0.35">
      <c r="E26" s="24"/>
      <c r="F26" s="24"/>
      <c r="G26" s="28" t="s">
        <v>3</v>
      </c>
    </row>
    <row r="27" spans="1:8" x14ac:dyDescent="0.25">
      <c r="E27" s="24"/>
      <c r="F27" s="25" t="s">
        <v>23</v>
      </c>
      <c r="G27" s="26">
        <v>1131957</v>
      </c>
    </row>
    <row r="28" spans="1:8" x14ac:dyDescent="0.25">
      <c r="E28" s="24"/>
      <c r="F28" s="25" t="s">
        <v>24</v>
      </c>
      <c r="G28" s="26">
        <v>2399078</v>
      </c>
    </row>
    <row r="29" spans="1:8" x14ac:dyDescent="0.25">
      <c r="E29" s="24"/>
      <c r="F29" s="25" t="s">
        <v>25</v>
      </c>
      <c r="G29" s="26">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G3" sqref="G3"/>
    </sheetView>
  </sheetViews>
  <sheetFormatPr defaultColWidth="9.140625" defaultRowHeight="15" x14ac:dyDescent="0.25"/>
  <cols>
    <col min="1" max="1" width="47.5703125" style="125" customWidth="1"/>
    <col min="2" max="2" width="13.140625" style="125" customWidth="1"/>
    <col min="3" max="3" width="12.7109375" style="125" customWidth="1"/>
    <col min="4" max="5" width="9.140625" style="217"/>
    <col min="6" max="6" width="9.7109375" style="217" customWidth="1"/>
    <col min="7" max="7" width="10.5703125" style="125" customWidth="1"/>
    <col min="8" max="16384" width="9.140625" style="125"/>
  </cols>
  <sheetData>
    <row r="1" spans="1:13" ht="18.75" x14ac:dyDescent="0.3">
      <c r="A1" s="203" t="s">
        <v>10</v>
      </c>
      <c r="B1" s="183">
        <v>2010</v>
      </c>
    </row>
    <row r="2" spans="1:13" ht="18.75" x14ac:dyDescent="0.25">
      <c r="A2" s="193"/>
      <c r="B2" s="212"/>
      <c r="C2" s="194" t="s">
        <v>5</v>
      </c>
      <c r="D2" s="194"/>
      <c r="E2" s="212"/>
      <c r="F2" s="136"/>
    </row>
    <row r="3" spans="1:13" ht="18.75" x14ac:dyDescent="0.25">
      <c r="A3" s="215" t="s">
        <v>0</v>
      </c>
      <c r="B3" s="213" t="s">
        <v>31</v>
      </c>
      <c r="C3" s="202" t="s">
        <v>8</v>
      </c>
      <c r="D3" s="202" t="s">
        <v>424</v>
      </c>
      <c r="E3" s="213" t="s">
        <v>425</v>
      </c>
      <c r="F3" s="216" t="s">
        <v>472</v>
      </c>
      <c r="G3" s="216"/>
      <c r="K3" s="217" t="s">
        <v>424</v>
      </c>
      <c r="L3" s="217" t="s">
        <v>425</v>
      </c>
      <c r="M3" s="217" t="s">
        <v>472</v>
      </c>
    </row>
    <row r="4" spans="1:13" x14ac:dyDescent="0.25">
      <c r="A4" s="204" t="s">
        <v>262</v>
      </c>
      <c r="B4" s="205">
        <v>88025.31</v>
      </c>
      <c r="C4" s="205">
        <v>0</v>
      </c>
      <c r="D4" s="136" t="s">
        <v>464</v>
      </c>
      <c r="E4" s="217" t="s">
        <v>426</v>
      </c>
      <c r="F4" s="136" t="s">
        <v>463</v>
      </c>
      <c r="K4" s="136" t="s">
        <v>464</v>
      </c>
      <c r="L4" s="136" t="s">
        <v>426</v>
      </c>
      <c r="M4" s="136" t="s">
        <v>463</v>
      </c>
    </row>
    <row r="5" spans="1:13" x14ac:dyDescent="0.25">
      <c r="A5" s="204" t="s">
        <v>263</v>
      </c>
      <c r="B5" s="205">
        <v>366338.20400000003</v>
      </c>
      <c r="C5" s="205">
        <v>0</v>
      </c>
      <c r="D5" s="136" t="s">
        <v>464</v>
      </c>
      <c r="E5" s="217" t="s">
        <v>426</v>
      </c>
      <c r="F5" s="136" t="s">
        <v>463</v>
      </c>
      <c r="K5" s="136" t="s">
        <v>465</v>
      </c>
      <c r="L5" s="136" t="s">
        <v>427</v>
      </c>
      <c r="M5" s="136" t="s">
        <v>427</v>
      </c>
    </row>
    <row r="6" spans="1:13" x14ac:dyDescent="0.25">
      <c r="A6" s="204" t="s">
        <v>264</v>
      </c>
      <c r="B6" s="205">
        <v>13051.4</v>
      </c>
      <c r="C6" s="205">
        <v>0</v>
      </c>
      <c r="D6" s="136" t="s">
        <v>464</v>
      </c>
      <c r="E6" s="64" t="s">
        <v>426</v>
      </c>
      <c r="F6" s="136" t="s">
        <v>463</v>
      </c>
      <c r="K6" s="136"/>
      <c r="L6" s="136" t="s">
        <v>428</v>
      </c>
      <c r="M6" s="136" t="s">
        <v>429</v>
      </c>
    </row>
    <row r="7" spans="1:13" x14ac:dyDescent="0.25">
      <c r="A7" s="204" t="s">
        <v>265</v>
      </c>
      <c r="B7" s="205">
        <v>101676.9</v>
      </c>
      <c r="C7" s="205">
        <v>0</v>
      </c>
      <c r="D7" s="136" t="s">
        <v>464</v>
      </c>
      <c r="E7" s="64" t="s">
        <v>426</v>
      </c>
      <c r="F7" s="136" t="s">
        <v>463</v>
      </c>
      <c r="K7" s="136"/>
      <c r="L7" s="136" t="s">
        <v>429</v>
      </c>
      <c r="M7" s="136" t="s">
        <v>432</v>
      </c>
    </row>
    <row r="8" spans="1:13" x14ac:dyDescent="0.25">
      <c r="A8" s="204" t="s">
        <v>266</v>
      </c>
      <c r="B8" s="205">
        <v>360504.88400000002</v>
      </c>
      <c r="C8" s="205">
        <v>0</v>
      </c>
      <c r="D8" s="136" t="s">
        <v>464</v>
      </c>
      <c r="E8" s="64" t="s">
        <v>426</v>
      </c>
      <c r="F8" s="136" t="s">
        <v>463</v>
      </c>
      <c r="K8" s="136"/>
      <c r="L8" s="136" t="s">
        <v>430</v>
      </c>
      <c r="M8" s="136"/>
    </row>
    <row r="9" spans="1:13" x14ac:dyDescent="0.25">
      <c r="A9" s="204" t="s">
        <v>281</v>
      </c>
      <c r="B9" s="205">
        <v>2293375</v>
      </c>
      <c r="C9" s="205">
        <v>2820139.3193508377</v>
      </c>
      <c r="D9" s="136" t="s">
        <v>464</v>
      </c>
      <c r="E9" s="64" t="s">
        <v>427</v>
      </c>
      <c r="F9" s="217" t="s">
        <v>427</v>
      </c>
      <c r="K9" s="136"/>
      <c r="L9" s="136" t="s">
        <v>432</v>
      </c>
      <c r="M9" s="136"/>
    </row>
    <row r="10" spans="1:13" x14ac:dyDescent="0.25">
      <c r="A10" s="204" t="s">
        <v>282</v>
      </c>
      <c r="B10" s="205">
        <v>2904730</v>
      </c>
      <c r="C10" s="205">
        <v>3273215.424237926</v>
      </c>
      <c r="D10" s="136" t="s">
        <v>464</v>
      </c>
      <c r="E10" s="64" t="s">
        <v>427</v>
      </c>
      <c r="F10" s="217" t="s">
        <v>427</v>
      </c>
      <c r="K10" s="136"/>
      <c r="L10" s="136" t="s">
        <v>431</v>
      </c>
      <c r="M10" s="136"/>
    </row>
    <row r="11" spans="1:13" x14ac:dyDescent="0.25">
      <c r="A11" s="204" t="s">
        <v>268</v>
      </c>
      <c r="B11" s="205">
        <v>197771.9</v>
      </c>
      <c r="C11" s="205">
        <v>103636.42926896828</v>
      </c>
      <c r="D11" s="136" t="s">
        <v>464</v>
      </c>
      <c r="E11" s="64" t="s">
        <v>429</v>
      </c>
      <c r="F11" s="217" t="s">
        <v>429</v>
      </c>
      <c r="K11" s="136"/>
      <c r="L11" s="136" t="s">
        <v>433</v>
      </c>
      <c r="M11" s="136"/>
    </row>
    <row r="12" spans="1:13" x14ac:dyDescent="0.25">
      <c r="A12" s="204" t="s">
        <v>270</v>
      </c>
      <c r="B12" s="205">
        <v>418445.701</v>
      </c>
      <c r="C12" s="205">
        <v>178267.05492435681</v>
      </c>
      <c r="D12" s="136" t="s">
        <v>464</v>
      </c>
      <c r="E12" s="64" t="s">
        <v>429</v>
      </c>
      <c r="F12" s="217" t="s">
        <v>429</v>
      </c>
    </row>
    <row r="13" spans="1:13" x14ac:dyDescent="0.25">
      <c r="A13" s="204" t="s">
        <v>274</v>
      </c>
      <c r="B13" s="205">
        <v>1541236</v>
      </c>
      <c r="C13" s="205">
        <v>618131.79591709084</v>
      </c>
      <c r="D13" s="136" t="s">
        <v>464</v>
      </c>
      <c r="E13" s="64" t="s">
        <v>429</v>
      </c>
      <c r="F13" s="217" t="s">
        <v>429</v>
      </c>
    </row>
    <row r="14" spans="1:13" x14ac:dyDescent="0.25">
      <c r="A14" s="204" t="s">
        <v>277</v>
      </c>
      <c r="B14" s="205">
        <v>1441302.4</v>
      </c>
      <c r="C14" s="205">
        <v>614818.61416294961</v>
      </c>
      <c r="D14" s="136" t="s">
        <v>464</v>
      </c>
      <c r="E14" s="64" t="s">
        <v>429</v>
      </c>
      <c r="F14" s="217" t="s">
        <v>429</v>
      </c>
    </row>
    <row r="15" spans="1:13" x14ac:dyDescent="0.25">
      <c r="A15" s="204" t="s">
        <v>278</v>
      </c>
      <c r="B15" s="205">
        <v>410625.5</v>
      </c>
      <c r="C15" s="205">
        <v>206118.36489579111</v>
      </c>
      <c r="D15" s="136" t="s">
        <v>464</v>
      </c>
      <c r="E15" s="64" t="s">
        <v>429</v>
      </c>
      <c r="F15" s="217" t="s">
        <v>429</v>
      </c>
    </row>
    <row r="16" spans="1:13" x14ac:dyDescent="0.25">
      <c r="A16" s="204" t="s">
        <v>267</v>
      </c>
      <c r="B16" s="205">
        <v>113.77</v>
      </c>
      <c r="C16" s="205">
        <v>119.08045835423978</v>
      </c>
      <c r="D16" s="136" t="s">
        <v>464</v>
      </c>
      <c r="E16" s="64" t="s">
        <v>428</v>
      </c>
      <c r="F16" s="217" t="s">
        <v>429</v>
      </c>
    </row>
    <row r="17" spans="1:6" x14ac:dyDescent="0.25">
      <c r="A17" s="204" t="s">
        <v>271</v>
      </c>
      <c r="B17" s="205">
        <v>11884.6</v>
      </c>
      <c r="C17" s="205">
        <v>10571.052163108727</v>
      </c>
      <c r="D17" s="136" t="s">
        <v>464</v>
      </c>
      <c r="E17" s="64" t="s">
        <v>429</v>
      </c>
      <c r="F17" s="217" t="s">
        <v>429</v>
      </c>
    </row>
    <row r="18" spans="1:6" x14ac:dyDescent="0.25">
      <c r="A18" s="204" t="s">
        <v>272</v>
      </c>
      <c r="B18" s="205">
        <v>62288.3</v>
      </c>
      <c r="C18" s="205">
        <v>38956.285465775371</v>
      </c>
      <c r="D18" s="136" t="s">
        <v>464</v>
      </c>
      <c r="E18" s="64" t="s">
        <v>429</v>
      </c>
      <c r="F18" s="217" t="s">
        <v>429</v>
      </c>
    </row>
    <row r="19" spans="1:6" x14ac:dyDescent="0.25">
      <c r="A19" s="204" t="s">
        <v>273</v>
      </c>
      <c r="B19" s="205">
        <v>10272.1</v>
      </c>
      <c r="C19" s="205">
        <v>10337.000704363212</v>
      </c>
      <c r="D19" s="136" t="s">
        <v>464</v>
      </c>
      <c r="E19" s="64" t="s">
        <v>429</v>
      </c>
      <c r="F19" s="217" t="s">
        <v>429</v>
      </c>
    </row>
    <row r="20" spans="1:6" x14ac:dyDescent="0.25">
      <c r="A20" s="204" t="s">
        <v>275</v>
      </c>
      <c r="B20" s="205">
        <v>381270.98800000001</v>
      </c>
      <c r="C20" s="205">
        <v>0</v>
      </c>
      <c r="D20" s="136" t="s">
        <v>464</v>
      </c>
      <c r="E20" s="64" t="s">
        <v>430</v>
      </c>
      <c r="F20" s="217" t="s">
        <v>463</v>
      </c>
    </row>
    <row r="21" spans="1:6" x14ac:dyDescent="0.25">
      <c r="A21" s="204" t="s">
        <v>279</v>
      </c>
      <c r="B21" s="205">
        <v>8366.7000000000007</v>
      </c>
      <c r="C21" s="205">
        <v>7824.3471549072965</v>
      </c>
      <c r="D21" s="136" t="s">
        <v>464</v>
      </c>
      <c r="E21" s="64" t="s">
        <v>429</v>
      </c>
      <c r="F21" s="217" t="s">
        <v>429</v>
      </c>
    </row>
    <row r="22" spans="1:6" x14ac:dyDescent="0.25">
      <c r="A22" s="204" t="s">
        <v>280</v>
      </c>
      <c r="B22" s="205">
        <v>609654.95499999996</v>
      </c>
      <c r="C22" s="205">
        <v>0</v>
      </c>
      <c r="D22" s="136" t="s">
        <v>464</v>
      </c>
      <c r="E22" s="64" t="s">
        <v>430</v>
      </c>
      <c r="F22" s="217" t="s">
        <v>463</v>
      </c>
    </row>
    <row r="23" spans="1:6" x14ac:dyDescent="0.25">
      <c r="A23" s="204" t="s">
        <v>284</v>
      </c>
      <c r="B23" s="205">
        <v>20921</v>
      </c>
      <c r="C23" s="205">
        <v>8813.8007676500001</v>
      </c>
      <c r="D23" s="136" t="s">
        <v>465</v>
      </c>
      <c r="E23" s="64" t="s">
        <v>432</v>
      </c>
      <c r="F23" s="217" t="s">
        <v>432</v>
      </c>
    </row>
    <row r="24" spans="1:6" x14ac:dyDescent="0.25">
      <c r="A24" s="204" t="s">
        <v>191</v>
      </c>
      <c r="B24" s="205">
        <v>-753803</v>
      </c>
      <c r="C24" s="205">
        <v>0</v>
      </c>
      <c r="D24" s="136" t="s">
        <v>465</v>
      </c>
      <c r="E24" s="136" t="s">
        <v>432</v>
      </c>
      <c r="F24" s="217" t="s">
        <v>432</v>
      </c>
    </row>
    <row r="25" spans="1:6" x14ac:dyDescent="0.25">
      <c r="A25" s="204" t="s">
        <v>173</v>
      </c>
      <c r="B25" s="205">
        <v>7000</v>
      </c>
      <c r="C25" s="205">
        <v>0</v>
      </c>
      <c r="D25" s="136" t="s">
        <v>465</v>
      </c>
      <c r="E25" s="136" t="s">
        <v>426</v>
      </c>
      <c r="F25" s="217" t="s">
        <v>463</v>
      </c>
    </row>
    <row r="26" spans="1:6" x14ac:dyDescent="0.25">
      <c r="A26" s="204" t="s">
        <v>287</v>
      </c>
      <c r="B26" s="205">
        <v>406710</v>
      </c>
      <c r="C26" s="205">
        <v>171342.7135515</v>
      </c>
      <c r="D26" s="136" t="s">
        <v>465</v>
      </c>
      <c r="E26" s="136" t="s">
        <v>432</v>
      </c>
      <c r="F26" s="217" t="s">
        <v>432</v>
      </c>
    </row>
    <row r="27" spans="1:6" x14ac:dyDescent="0.25">
      <c r="A27" s="204" t="s">
        <v>290</v>
      </c>
      <c r="B27" s="205">
        <v>1213235</v>
      </c>
      <c r="C27" s="205">
        <v>0</v>
      </c>
      <c r="D27" s="136" t="s">
        <v>465</v>
      </c>
      <c r="E27" s="136" t="s">
        <v>426</v>
      </c>
      <c r="F27" s="217" t="s">
        <v>463</v>
      </c>
    </row>
    <row r="28" spans="1:6" x14ac:dyDescent="0.25">
      <c r="A28" s="204" t="s">
        <v>291</v>
      </c>
      <c r="B28" s="205">
        <v>1914094</v>
      </c>
      <c r="C28" s="205">
        <v>0</v>
      </c>
      <c r="D28" s="136" t="s">
        <v>465</v>
      </c>
      <c r="E28" s="136" t="s">
        <v>426</v>
      </c>
      <c r="F28" s="217" t="s">
        <v>463</v>
      </c>
    </row>
    <row r="29" spans="1:6" x14ac:dyDescent="0.25">
      <c r="A29" s="204" t="s">
        <v>205</v>
      </c>
      <c r="B29" s="205">
        <v>107950</v>
      </c>
      <c r="C29" s="205">
        <v>45478.217717500003</v>
      </c>
      <c r="D29" s="136" t="s">
        <v>465</v>
      </c>
      <c r="E29" s="136" t="s">
        <v>432</v>
      </c>
      <c r="F29" s="217" t="s">
        <v>432</v>
      </c>
    </row>
    <row r="30" spans="1:6" x14ac:dyDescent="0.25">
      <c r="A30" s="204" t="s">
        <v>292</v>
      </c>
      <c r="B30" s="205">
        <v>871104</v>
      </c>
      <c r="C30" s="205">
        <v>0</v>
      </c>
      <c r="D30" s="136" t="s">
        <v>465</v>
      </c>
      <c r="E30" s="217" t="s">
        <v>426</v>
      </c>
      <c r="F30" s="217" t="s">
        <v>463</v>
      </c>
    </row>
    <row r="31" spans="1:6" x14ac:dyDescent="0.25">
      <c r="A31" s="204" t="s">
        <v>294</v>
      </c>
      <c r="B31" s="205">
        <v>204.023</v>
      </c>
      <c r="C31" s="205">
        <v>0</v>
      </c>
      <c r="D31" s="136" t="s">
        <v>465</v>
      </c>
      <c r="E31" s="217" t="s">
        <v>431</v>
      </c>
      <c r="F31" s="217" t="s">
        <v>463</v>
      </c>
    </row>
    <row r="32" spans="1:6" x14ac:dyDescent="0.25">
      <c r="A32" s="204" t="s">
        <v>295</v>
      </c>
      <c r="B32" s="205">
        <v>4873.87</v>
      </c>
      <c r="C32" s="205">
        <v>0</v>
      </c>
      <c r="D32" s="136" t="s">
        <v>465</v>
      </c>
      <c r="E32" s="136" t="s">
        <v>431</v>
      </c>
      <c r="F32" s="217" t="s">
        <v>463</v>
      </c>
    </row>
    <row r="33" spans="1:6" x14ac:dyDescent="0.25">
      <c r="A33" s="204" t="s">
        <v>297</v>
      </c>
      <c r="B33" s="205">
        <v>331731</v>
      </c>
      <c r="C33" s="205">
        <v>0</v>
      </c>
      <c r="D33" s="136" t="s">
        <v>465</v>
      </c>
      <c r="E33" s="217" t="s">
        <v>426</v>
      </c>
      <c r="F33" s="217" t="s">
        <v>463</v>
      </c>
    </row>
    <row r="34" spans="1:6" x14ac:dyDescent="0.25">
      <c r="A34" s="204" t="s">
        <v>301</v>
      </c>
      <c r="B34" s="205">
        <v>120632</v>
      </c>
      <c r="C34" s="205">
        <v>0</v>
      </c>
      <c r="D34" s="136" t="s">
        <v>465</v>
      </c>
      <c r="E34" s="217" t="s">
        <v>430</v>
      </c>
      <c r="F34" s="217" t="s">
        <v>463</v>
      </c>
    </row>
    <row r="35" spans="1:6" x14ac:dyDescent="0.25">
      <c r="A35" s="204" t="s">
        <v>303</v>
      </c>
      <c r="B35" s="205">
        <v>788313</v>
      </c>
      <c r="C35" s="205">
        <v>850105.93071991508</v>
      </c>
      <c r="D35" s="136" t="s">
        <v>465</v>
      </c>
      <c r="E35" s="217" t="s">
        <v>427</v>
      </c>
      <c r="F35" s="217" t="s">
        <v>427</v>
      </c>
    </row>
    <row r="36" spans="1:6" x14ac:dyDescent="0.25">
      <c r="A36" s="206" t="s">
        <v>180</v>
      </c>
      <c r="B36" s="205">
        <v>179999</v>
      </c>
      <c r="C36" s="205">
        <v>75831.715710349992</v>
      </c>
      <c r="D36" s="136" t="s">
        <v>465</v>
      </c>
      <c r="E36" s="217" t="s">
        <v>432</v>
      </c>
      <c r="F36" s="217" t="s">
        <v>432</v>
      </c>
    </row>
    <row r="37" spans="1:6" x14ac:dyDescent="0.25">
      <c r="A37" s="206" t="s">
        <v>304</v>
      </c>
      <c r="B37" s="205">
        <v>3520</v>
      </c>
      <c r="C37" s="205">
        <v>0</v>
      </c>
      <c r="D37" s="136" t="s">
        <v>465</v>
      </c>
      <c r="E37" s="217" t="s">
        <v>431</v>
      </c>
      <c r="F37" s="217" t="s">
        <v>463</v>
      </c>
    </row>
    <row r="38" spans="1:6" x14ac:dyDescent="0.25">
      <c r="A38" s="206" t="s">
        <v>244</v>
      </c>
      <c r="B38" s="205">
        <v>547795</v>
      </c>
      <c r="C38" s="205">
        <v>230780.36382174998</v>
      </c>
      <c r="D38" s="136" t="s">
        <v>465</v>
      </c>
      <c r="E38" s="217" t="s">
        <v>432</v>
      </c>
      <c r="F38" s="217" t="s">
        <v>432</v>
      </c>
    </row>
    <row r="39" spans="1:6" x14ac:dyDescent="0.25">
      <c r="A39" s="206" t="s">
        <v>182</v>
      </c>
      <c r="B39" s="205">
        <v>330050</v>
      </c>
      <c r="C39" s="205">
        <v>139046.64898249999</v>
      </c>
      <c r="D39" s="136" t="s">
        <v>465</v>
      </c>
      <c r="E39" s="217" t="s">
        <v>432</v>
      </c>
      <c r="F39" s="217" t="s">
        <v>432</v>
      </c>
    </row>
    <row r="40" spans="1:6" x14ac:dyDescent="0.25">
      <c r="A40" s="206" t="s">
        <v>308</v>
      </c>
      <c r="B40" s="205">
        <v>14464</v>
      </c>
      <c r="C40" s="205">
        <v>6093.5334976000004</v>
      </c>
      <c r="D40" s="136" t="s">
        <v>465</v>
      </c>
      <c r="E40" s="217" t="s">
        <v>432</v>
      </c>
      <c r="F40" s="217" t="s">
        <v>432</v>
      </c>
    </row>
    <row r="41" spans="1:6" x14ac:dyDescent="0.25">
      <c r="A41" s="206" t="s">
        <v>312</v>
      </c>
      <c r="B41" s="205">
        <v>2551.8000000000002</v>
      </c>
      <c r="C41" s="205">
        <v>0</v>
      </c>
      <c r="D41" s="136" t="s">
        <v>465</v>
      </c>
      <c r="E41" s="217" t="s">
        <v>431</v>
      </c>
      <c r="F41" s="217" t="s">
        <v>463</v>
      </c>
    </row>
    <row r="42" spans="1:6" x14ac:dyDescent="0.25">
      <c r="A42" s="206" t="s">
        <v>313</v>
      </c>
      <c r="B42" s="205">
        <v>40782</v>
      </c>
      <c r="C42" s="205">
        <v>0</v>
      </c>
      <c r="D42" s="136" t="s">
        <v>465</v>
      </c>
      <c r="E42" s="217" t="s">
        <v>426</v>
      </c>
      <c r="F42" s="217" t="s">
        <v>463</v>
      </c>
    </row>
    <row r="43" spans="1:6" x14ac:dyDescent="0.25">
      <c r="A43" s="206" t="s">
        <v>317</v>
      </c>
      <c r="B43" s="205">
        <v>1106.72</v>
      </c>
      <c r="C43" s="205">
        <v>0</v>
      </c>
      <c r="D43" s="136" t="s">
        <v>465</v>
      </c>
      <c r="E43" s="217" t="s">
        <v>426</v>
      </c>
      <c r="F43" s="217" t="s">
        <v>463</v>
      </c>
    </row>
    <row r="44" spans="1:6" x14ac:dyDescent="0.25">
      <c r="A44" s="206" t="s">
        <v>318</v>
      </c>
      <c r="B44" s="205">
        <v>42708.480000000003</v>
      </c>
      <c r="C44" s="205">
        <v>0</v>
      </c>
      <c r="D44" s="136" t="s">
        <v>465</v>
      </c>
      <c r="E44" s="217" t="s">
        <v>426</v>
      </c>
      <c r="F44" s="217" t="s">
        <v>463</v>
      </c>
    </row>
    <row r="45" spans="1:6" x14ac:dyDescent="0.25">
      <c r="A45" s="206" t="s">
        <v>320</v>
      </c>
      <c r="B45" s="205">
        <v>1081243.416</v>
      </c>
      <c r="C45" s="205">
        <v>385210.69772601721</v>
      </c>
      <c r="D45" s="136" t="s">
        <v>465</v>
      </c>
      <c r="E45" s="217" t="s">
        <v>429</v>
      </c>
      <c r="F45" s="217" t="s">
        <v>429</v>
      </c>
    </row>
    <row r="46" spans="1:6" x14ac:dyDescent="0.25">
      <c r="A46" s="206" t="s">
        <v>321</v>
      </c>
      <c r="B46" s="205">
        <v>25921.554</v>
      </c>
      <c r="C46" s="205">
        <v>0</v>
      </c>
      <c r="D46" s="136" t="s">
        <v>465</v>
      </c>
      <c r="E46" s="217" t="s">
        <v>426</v>
      </c>
      <c r="F46" s="217" t="s">
        <v>463</v>
      </c>
    </row>
    <row r="47" spans="1:6" x14ac:dyDescent="0.25">
      <c r="A47" s="206" t="s">
        <v>322</v>
      </c>
      <c r="B47" s="205">
        <v>2886.24</v>
      </c>
      <c r="C47" s="205">
        <v>1492.4700177178058</v>
      </c>
      <c r="D47" s="136" t="s">
        <v>465</v>
      </c>
      <c r="E47" s="217" t="s">
        <v>429</v>
      </c>
      <c r="F47" s="217" t="s">
        <v>429</v>
      </c>
    </row>
    <row r="48" spans="1:6" x14ac:dyDescent="0.25">
      <c r="A48" s="206" t="s">
        <v>324</v>
      </c>
      <c r="B48" s="205">
        <v>141480</v>
      </c>
      <c r="C48" s="205">
        <v>326048.28221025318</v>
      </c>
      <c r="D48" s="136" t="s">
        <v>465</v>
      </c>
      <c r="E48" s="217" t="s">
        <v>429</v>
      </c>
      <c r="F48" s="217" t="s">
        <v>429</v>
      </c>
    </row>
    <row r="49" spans="1:6" x14ac:dyDescent="0.25">
      <c r="A49" s="206" t="s">
        <v>325</v>
      </c>
      <c r="B49" s="205">
        <v>1227.8399999999999</v>
      </c>
      <c r="C49" s="205">
        <v>0</v>
      </c>
      <c r="D49" s="136" t="s">
        <v>465</v>
      </c>
      <c r="E49" s="217" t="s">
        <v>426</v>
      </c>
      <c r="F49" s="217" t="s">
        <v>463</v>
      </c>
    </row>
    <row r="50" spans="1:6" x14ac:dyDescent="0.25">
      <c r="A50" s="206" t="s">
        <v>250</v>
      </c>
      <c r="B50" s="205">
        <v>652723.43999999994</v>
      </c>
      <c r="C50" s="205">
        <v>288991.90421620279</v>
      </c>
      <c r="D50" s="136" t="s">
        <v>465</v>
      </c>
      <c r="E50" s="217" t="s">
        <v>429</v>
      </c>
      <c r="F50" s="217" t="s">
        <v>429</v>
      </c>
    </row>
    <row r="51" spans="1:6" x14ac:dyDescent="0.25">
      <c r="A51" s="206" t="s">
        <v>326</v>
      </c>
      <c r="B51" s="205">
        <v>73497.600000000006</v>
      </c>
      <c r="C51" s="205">
        <v>0</v>
      </c>
      <c r="D51" s="136" t="s">
        <v>465</v>
      </c>
      <c r="E51" s="217" t="s">
        <v>426</v>
      </c>
      <c r="F51" s="217" t="s">
        <v>463</v>
      </c>
    </row>
    <row r="52" spans="1:6" x14ac:dyDescent="0.25">
      <c r="A52" s="206" t="s">
        <v>327</v>
      </c>
      <c r="B52" s="205">
        <v>13234.2</v>
      </c>
      <c r="C52" s="205">
        <v>0</v>
      </c>
      <c r="D52" s="136" t="s">
        <v>465</v>
      </c>
      <c r="E52" s="136" t="s">
        <v>433</v>
      </c>
      <c r="F52" s="217" t="s">
        <v>463</v>
      </c>
    </row>
    <row r="53" spans="1:6" x14ac:dyDescent="0.25">
      <c r="A53" s="206"/>
      <c r="B53" s="205"/>
      <c r="C53" s="205"/>
    </row>
    <row r="54" spans="1:6" ht="15.75" thickBot="1" x14ac:dyDescent="0.3">
      <c r="A54" s="207"/>
      <c r="B54" s="208"/>
      <c r="C54" s="208"/>
    </row>
    <row r="55" spans="1:6" ht="16.5" thickTop="1" thickBot="1" x14ac:dyDescent="0.3">
      <c r="A55" s="209"/>
      <c r="B55" s="210">
        <f>SUM(B4:B54)</f>
        <v>19409090.795000002</v>
      </c>
      <c r="C55" s="210">
        <f>SUM(C4:C54)</f>
        <v>10411371.047643386</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topLeftCell="A112" workbookViewId="0">
      <selection activeCell="H1" sqref="H1"/>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2" t="s">
        <v>32</v>
      </c>
      <c r="B1" s="183">
        <v>2010</v>
      </c>
      <c r="D1" s="7" t="s">
        <v>2</v>
      </c>
      <c r="H1" s="121">
        <f>'EFs &amp; Rates'!H5</f>
        <v>1191.7164722565981</v>
      </c>
      <c r="I1" t="s">
        <v>6</v>
      </c>
    </row>
    <row r="2" spans="1:9" ht="18.75" x14ac:dyDescent="0.3">
      <c r="A2" s="2"/>
      <c r="B2" s="10" t="s">
        <v>31</v>
      </c>
      <c r="C2" s="10" t="s">
        <v>1</v>
      </c>
      <c r="D2" s="10" t="s">
        <v>5</v>
      </c>
      <c r="E2" s="3"/>
      <c r="F2" s="36" t="s">
        <v>9</v>
      </c>
      <c r="G2" s="35">
        <v>2010</v>
      </c>
      <c r="H2" s="37"/>
    </row>
    <row r="3" spans="1:9" ht="19.5" x14ac:dyDescent="0.35">
      <c r="A3" s="4" t="s">
        <v>0</v>
      </c>
      <c r="B3" s="11"/>
      <c r="C3" s="11" t="s">
        <v>7</v>
      </c>
      <c r="D3" s="11" t="s">
        <v>8</v>
      </c>
      <c r="E3" s="6"/>
    </row>
    <row r="4" spans="1:9" x14ac:dyDescent="0.25">
      <c r="A4" s="31" t="s">
        <v>187</v>
      </c>
      <c r="B4" s="32">
        <v>165694.6</v>
      </c>
      <c r="C4" s="93">
        <f>IF(B4&lt;&gt;0,$H$1,"")</f>
        <v>1191.7164722565981</v>
      </c>
      <c r="D4" s="9">
        <f>(+B4*C4)/2000</f>
        <v>98730.492091984066</v>
      </c>
    </row>
    <row r="5" spans="1:9" x14ac:dyDescent="0.25">
      <c r="A5" s="31" t="s">
        <v>188</v>
      </c>
      <c r="B5" s="32">
        <v>138700</v>
      </c>
      <c r="C5" s="93">
        <f t="shared" ref="C5:C68" si="0">IF(B5&lt;&gt;0,$H$1,"")</f>
        <v>1191.7164722565981</v>
      </c>
      <c r="D5" s="9">
        <f t="shared" ref="D5:D68" si="1">(+B5*C5)/2000</f>
        <v>82645.537350995073</v>
      </c>
    </row>
    <row r="6" spans="1:9" x14ac:dyDescent="0.25">
      <c r="A6" s="31" t="s">
        <v>189</v>
      </c>
      <c r="B6" s="32">
        <v>1224</v>
      </c>
      <c r="C6" s="93">
        <f t="shared" si="0"/>
        <v>1191.7164722565981</v>
      </c>
      <c r="D6" s="9">
        <f t="shared" si="1"/>
        <v>729.33048102103805</v>
      </c>
    </row>
    <row r="7" spans="1:9" x14ac:dyDescent="0.25">
      <c r="A7" s="31" t="s">
        <v>190</v>
      </c>
      <c r="B7" s="32">
        <v>15600</v>
      </c>
      <c r="C7" s="93">
        <f t="shared" si="0"/>
        <v>1191.7164722565981</v>
      </c>
      <c r="D7" s="9">
        <f t="shared" si="1"/>
        <v>9295.3884836014659</v>
      </c>
    </row>
    <row r="8" spans="1:9" x14ac:dyDescent="0.25">
      <c r="A8" s="31" t="s">
        <v>191</v>
      </c>
      <c r="B8" s="32">
        <v>-3094185</v>
      </c>
      <c r="C8" s="93">
        <f t="shared" si="0"/>
        <v>1191.7164722565981</v>
      </c>
      <c r="D8" s="9">
        <f t="shared" si="1"/>
        <v>-1843695.616354641</v>
      </c>
    </row>
    <row r="9" spans="1:9" x14ac:dyDescent="0.25">
      <c r="A9" s="31" t="s">
        <v>192</v>
      </c>
      <c r="B9" s="32">
        <v>78616</v>
      </c>
      <c r="C9" s="93">
        <f t="shared" si="0"/>
        <v>1191.7164722565981</v>
      </c>
      <c r="D9" s="9">
        <f t="shared" si="1"/>
        <v>46843.991091462362</v>
      </c>
    </row>
    <row r="10" spans="1:9" x14ac:dyDescent="0.25">
      <c r="A10" s="31" t="s">
        <v>173</v>
      </c>
      <c r="B10" s="32">
        <v>206160</v>
      </c>
      <c r="C10" s="93">
        <f t="shared" si="0"/>
        <v>1191.7164722565981</v>
      </c>
      <c r="D10" s="9">
        <f t="shared" si="1"/>
        <v>122842.13396021014</v>
      </c>
    </row>
    <row r="11" spans="1:9" x14ac:dyDescent="0.25">
      <c r="A11" s="31" t="s">
        <v>195</v>
      </c>
      <c r="B11" s="32">
        <v>59686</v>
      </c>
      <c r="C11" s="93">
        <f t="shared" si="0"/>
        <v>1191.7164722565981</v>
      </c>
      <c r="D11" s="9">
        <f t="shared" si="1"/>
        <v>35564.394681553655</v>
      </c>
    </row>
    <row r="12" spans="1:9" x14ac:dyDescent="0.25">
      <c r="A12" s="31" t="s">
        <v>174</v>
      </c>
      <c r="B12" s="32">
        <v>183821</v>
      </c>
      <c r="C12" s="93">
        <f t="shared" si="0"/>
        <v>1191.7164722565981</v>
      </c>
      <c r="D12" s="9">
        <f t="shared" si="1"/>
        <v>109531.25682334005</v>
      </c>
    </row>
    <row r="13" spans="1:9" x14ac:dyDescent="0.25">
      <c r="A13" s="31" t="s">
        <v>199</v>
      </c>
      <c r="B13" s="32">
        <v>15633</v>
      </c>
      <c r="C13" s="93">
        <f t="shared" si="0"/>
        <v>1191.7164722565981</v>
      </c>
      <c r="D13" s="9">
        <f t="shared" si="1"/>
        <v>9315.0518053936994</v>
      </c>
    </row>
    <row r="14" spans="1:9" x14ac:dyDescent="0.25">
      <c r="A14" s="31" t="s">
        <v>185</v>
      </c>
      <c r="B14" s="32">
        <v>775756</v>
      </c>
      <c r="C14" s="93">
        <f t="shared" si="0"/>
        <v>1191.7164722565981</v>
      </c>
      <c r="D14" s="9">
        <f t="shared" si="1"/>
        <v>462240.60182594473</v>
      </c>
    </row>
    <row r="15" spans="1:9" x14ac:dyDescent="0.25">
      <c r="A15" s="31" t="s">
        <v>202</v>
      </c>
      <c r="B15" s="32">
        <v>25594</v>
      </c>
      <c r="C15" s="93">
        <f t="shared" si="0"/>
        <v>1191.7164722565981</v>
      </c>
      <c r="D15" s="9">
        <f t="shared" si="1"/>
        <v>15250.395695467687</v>
      </c>
    </row>
    <row r="16" spans="1:9" x14ac:dyDescent="0.25">
      <c r="A16" s="31" t="s">
        <v>203</v>
      </c>
      <c r="B16" s="32">
        <v>82208</v>
      </c>
      <c r="C16" s="93">
        <f t="shared" si="0"/>
        <v>1191.7164722565981</v>
      </c>
      <c r="D16" s="9">
        <f t="shared" si="1"/>
        <v>48984.313875635205</v>
      </c>
    </row>
    <row r="17" spans="1:4" x14ac:dyDescent="0.25">
      <c r="A17" s="31" t="s">
        <v>175</v>
      </c>
      <c r="B17" s="32">
        <v>95234</v>
      </c>
      <c r="C17" s="93">
        <f t="shared" si="0"/>
        <v>1191.7164722565981</v>
      </c>
      <c r="D17" s="9">
        <f t="shared" si="1"/>
        <v>56745.963259442433</v>
      </c>
    </row>
    <row r="18" spans="1:4" x14ac:dyDescent="0.25">
      <c r="A18" s="31" t="s">
        <v>204</v>
      </c>
      <c r="B18" s="32">
        <v>10876</v>
      </c>
      <c r="C18" s="93">
        <f t="shared" si="0"/>
        <v>1191.7164722565981</v>
      </c>
      <c r="D18" s="9">
        <f t="shared" si="1"/>
        <v>6480.5541761313807</v>
      </c>
    </row>
    <row r="19" spans="1:4" x14ac:dyDescent="0.25">
      <c r="A19" s="31" t="s">
        <v>206</v>
      </c>
      <c r="B19" s="32">
        <v>117600</v>
      </c>
      <c r="C19" s="93">
        <f t="shared" si="0"/>
        <v>1191.7164722565981</v>
      </c>
      <c r="D19" s="9">
        <f t="shared" si="1"/>
        <v>70072.928568687959</v>
      </c>
    </row>
    <row r="20" spans="1:4" x14ac:dyDescent="0.25">
      <c r="A20" s="31" t="s">
        <v>177</v>
      </c>
      <c r="B20" s="32">
        <v>184451</v>
      </c>
      <c r="C20" s="93">
        <f t="shared" si="0"/>
        <v>1191.7164722565981</v>
      </c>
      <c r="D20" s="9">
        <f t="shared" si="1"/>
        <v>109906.64751210088</v>
      </c>
    </row>
    <row r="21" spans="1:4" x14ac:dyDescent="0.25">
      <c r="A21" s="31" t="s">
        <v>207</v>
      </c>
      <c r="B21" s="32">
        <v>31</v>
      </c>
      <c r="C21" s="93">
        <f t="shared" si="0"/>
        <v>1191.7164722565981</v>
      </c>
      <c r="D21" s="9">
        <f t="shared" si="1"/>
        <v>18.471605319977268</v>
      </c>
    </row>
    <row r="22" spans="1:4" x14ac:dyDescent="0.25">
      <c r="A22" s="31" t="s">
        <v>208</v>
      </c>
      <c r="B22" s="32">
        <v>320131</v>
      </c>
      <c r="C22" s="93">
        <f t="shared" si="0"/>
        <v>1191.7164722565981</v>
      </c>
      <c r="D22" s="9">
        <f t="shared" si="1"/>
        <v>190752.69298998851</v>
      </c>
    </row>
    <row r="23" spans="1:4" x14ac:dyDescent="0.25">
      <c r="A23" s="31" t="s">
        <v>209</v>
      </c>
      <c r="B23" s="32">
        <v>17600</v>
      </c>
      <c r="C23" s="93">
        <f t="shared" si="0"/>
        <v>1191.7164722565981</v>
      </c>
      <c r="D23" s="9">
        <f t="shared" si="1"/>
        <v>10487.104955858063</v>
      </c>
    </row>
    <row r="24" spans="1:4" x14ac:dyDescent="0.25">
      <c r="A24" s="31" t="s">
        <v>210</v>
      </c>
      <c r="B24" s="32">
        <v>430</v>
      </c>
      <c r="C24" s="93">
        <f t="shared" si="0"/>
        <v>1191.7164722565981</v>
      </c>
      <c r="D24" s="9">
        <f t="shared" si="1"/>
        <v>256.21904153516857</v>
      </c>
    </row>
    <row r="25" spans="1:4" x14ac:dyDescent="0.25">
      <c r="A25" s="31" t="s">
        <v>211</v>
      </c>
      <c r="B25" s="32">
        <v>63929</v>
      </c>
      <c r="C25" s="93">
        <f t="shared" si="0"/>
        <v>1191.7164722565981</v>
      </c>
      <c r="D25" s="9">
        <f t="shared" si="1"/>
        <v>38092.621177446032</v>
      </c>
    </row>
    <row r="26" spans="1:4" x14ac:dyDescent="0.25">
      <c r="A26" s="31" t="s">
        <v>212</v>
      </c>
      <c r="B26" s="32">
        <v>4000</v>
      </c>
      <c r="C26" s="93">
        <f t="shared" si="0"/>
        <v>1191.7164722565981</v>
      </c>
      <c r="D26" s="9">
        <f t="shared" si="1"/>
        <v>2383.4329445131962</v>
      </c>
    </row>
    <row r="27" spans="1:4" x14ac:dyDescent="0.25">
      <c r="A27" s="31" t="s">
        <v>213</v>
      </c>
      <c r="B27" s="32">
        <v>20495</v>
      </c>
      <c r="C27" s="93">
        <f t="shared" si="0"/>
        <v>1191.7164722565981</v>
      </c>
      <c r="D27" s="9">
        <f t="shared" si="1"/>
        <v>12212.114549449489</v>
      </c>
    </row>
    <row r="28" spans="1:4" x14ac:dyDescent="0.25">
      <c r="A28" s="31" t="s">
        <v>215</v>
      </c>
      <c r="B28" s="32">
        <v>682132</v>
      </c>
      <c r="C28" s="93">
        <f t="shared" si="0"/>
        <v>1191.7164722565981</v>
      </c>
      <c r="D28" s="9">
        <f t="shared" si="1"/>
        <v>406453.97032666887</v>
      </c>
    </row>
    <row r="29" spans="1:4" x14ac:dyDescent="0.25">
      <c r="A29" s="31" t="s">
        <v>217</v>
      </c>
      <c r="B29" s="32">
        <v>17382</v>
      </c>
      <c r="C29" s="93">
        <f t="shared" si="0"/>
        <v>1191.7164722565981</v>
      </c>
      <c r="D29" s="9">
        <f t="shared" si="1"/>
        <v>10357.207860382094</v>
      </c>
    </row>
    <row r="30" spans="1:4" x14ac:dyDescent="0.25">
      <c r="A30" s="31" t="s">
        <v>220</v>
      </c>
      <c r="B30" s="32">
        <v>32200</v>
      </c>
      <c r="C30" s="93">
        <f t="shared" si="0"/>
        <v>1191.7164722565981</v>
      </c>
      <c r="D30" s="9">
        <f t="shared" si="1"/>
        <v>19186.635203331229</v>
      </c>
    </row>
    <row r="31" spans="1:4" x14ac:dyDescent="0.25">
      <c r="A31" s="31" t="s">
        <v>221</v>
      </c>
      <c r="B31" s="32">
        <v>136924</v>
      </c>
      <c r="C31" s="93">
        <f t="shared" si="0"/>
        <v>1191.7164722565981</v>
      </c>
      <c r="D31" s="9">
        <f t="shared" si="1"/>
        <v>81587.293123631229</v>
      </c>
    </row>
    <row r="32" spans="1:4" x14ac:dyDescent="0.25">
      <c r="A32" s="31" t="s">
        <v>223</v>
      </c>
      <c r="B32" s="32">
        <v>55600</v>
      </c>
      <c r="C32" s="93">
        <f t="shared" si="0"/>
        <v>1191.7164722565981</v>
      </c>
      <c r="D32" s="9">
        <f t="shared" si="1"/>
        <v>33129.717928733429</v>
      </c>
    </row>
    <row r="33" spans="1:4" x14ac:dyDescent="0.25">
      <c r="A33" s="31" t="s">
        <v>224</v>
      </c>
      <c r="B33" s="32">
        <v>45</v>
      </c>
      <c r="C33" s="93">
        <f t="shared" si="0"/>
        <v>1191.7164722565981</v>
      </c>
      <c r="D33" s="9">
        <f t="shared" si="1"/>
        <v>26.813620625773456</v>
      </c>
    </row>
    <row r="34" spans="1:4" x14ac:dyDescent="0.25">
      <c r="A34" s="31" t="s">
        <v>178</v>
      </c>
      <c r="B34" s="32">
        <v>1135590</v>
      </c>
      <c r="C34" s="93">
        <f t="shared" si="0"/>
        <v>1191.7164722565981</v>
      </c>
      <c r="D34" s="9">
        <f t="shared" si="1"/>
        <v>676650.65436493512</v>
      </c>
    </row>
    <row r="35" spans="1:4" x14ac:dyDescent="0.25">
      <c r="A35" s="31" t="s">
        <v>227</v>
      </c>
      <c r="B35" s="32">
        <v>20186</v>
      </c>
      <c r="C35" s="93">
        <f t="shared" si="0"/>
        <v>1191.7164722565981</v>
      </c>
      <c r="D35" s="9">
        <f t="shared" si="1"/>
        <v>12027.994354485845</v>
      </c>
    </row>
    <row r="36" spans="1:4" x14ac:dyDescent="0.25">
      <c r="A36" s="31" t="s">
        <v>228</v>
      </c>
      <c r="B36" s="32">
        <v>24200</v>
      </c>
      <c r="C36" s="93">
        <f t="shared" si="0"/>
        <v>1191.7164722565981</v>
      </c>
      <c r="D36" s="9">
        <f t="shared" si="1"/>
        <v>14419.769314304836</v>
      </c>
    </row>
    <row r="37" spans="1:4" x14ac:dyDescent="0.25">
      <c r="A37" s="31" t="s">
        <v>230</v>
      </c>
      <c r="B37" s="32">
        <v>4037</v>
      </c>
      <c r="C37" s="93">
        <f t="shared" si="0"/>
        <v>1191.7164722565981</v>
      </c>
      <c r="D37" s="9">
        <f t="shared" si="1"/>
        <v>2405.4796992499432</v>
      </c>
    </row>
    <row r="38" spans="1:4" x14ac:dyDescent="0.25">
      <c r="A38" s="31" t="s">
        <v>231</v>
      </c>
      <c r="B38" s="32">
        <v>2854</v>
      </c>
      <c r="C38" s="93">
        <f t="shared" si="0"/>
        <v>1191.7164722565981</v>
      </c>
      <c r="D38" s="9">
        <f t="shared" si="1"/>
        <v>1700.5794059101654</v>
      </c>
    </row>
    <row r="39" spans="1:4" x14ac:dyDescent="0.25">
      <c r="A39" s="31" t="s">
        <v>232</v>
      </c>
      <c r="B39" s="32">
        <v>30400</v>
      </c>
      <c r="C39" s="93">
        <f t="shared" si="0"/>
        <v>1191.7164722565981</v>
      </c>
      <c r="D39" s="9">
        <f t="shared" si="1"/>
        <v>18114.09037830029</v>
      </c>
    </row>
    <row r="40" spans="1:4" x14ac:dyDescent="0.25">
      <c r="A40" s="31" t="s">
        <v>233</v>
      </c>
      <c r="B40" s="32">
        <v>2374</v>
      </c>
      <c r="C40" s="93">
        <f t="shared" si="0"/>
        <v>1191.7164722565981</v>
      </c>
      <c r="D40" s="9">
        <f t="shared" si="1"/>
        <v>1414.567452568582</v>
      </c>
    </row>
    <row r="41" spans="1:4" x14ac:dyDescent="0.25">
      <c r="A41" s="31" t="s">
        <v>234</v>
      </c>
      <c r="B41" s="32">
        <v>87811</v>
      </c>
      <c r="C41" s="93">
        <f t="shared" si="0"/>
        <v>1191.7164722565981</v>
      </c>
      <c r="D41" s="9">
        <f t="shared" si="1"/>
        <v>52322.907572662072</v>
      </c>
    </row>
    <row r="42" spans="1:4" x14ac:dyDescent="0.25">
      <c r="A42" s="31" t="s">
        <v>235</v>
      </c>
      <c r="B42" s="32">
        <v>46767</v>
      </c>
      <c r="C42" s="93">
        <f t="shared" si="0"/>
        <v>1191.7164722565981</v>
      </c>
      <c r="D42" s="9">
        <f t="shared" si="1"/>
        <v>27866.502129012159</v>
      </c>
    </row>
    <row r="43" spans="1:4" x14ac:dyDescent="0.25">
      <c r="A43" s="31" t="s">
        <v>236</v>
      </c>
      <c r="B43" s="32">
        <v>80243</v>
      </c>
      <c r="C43" s="93">
        <f t="shared" si="0"/>
        <v>1191.7164722565981</v>
      </c>
      <c r="D43" s="9">
        <f t="shared" si="1"/>
        <v>47813.452441643094</v>
      </c>
    </row>
    <row r="44" spans="1:4" x14ac:dyDescent="0.25">
      <c r="A44" s="31" t="s">
        <v>238</v>
      </c>
      <c r="B44" s="32">
        <v>292936</v>
      </c>
      <c r="C44" s="93">
        <f t="shared" si="0"/>
        <v>1191.7164722565981</v>
      </c>
      <c r="D44" s="9">
        <f t="shared" si="1"/>
        <v>174548.32825847942</v>
      </c>
    </row>
    <row r="45" spans="1:4" x14ac:dyDescent="0.25">
      <c r="A45" s="31" t="s">
        <v>180</v>
      </c>
      <c r="B45" s="32">
        <v>300036</v>
      </c>
      <c r="C45" s="93">
        <f t="shared" si="0"/>
        <v>1191.7164722565981</v>
      </c>
      <c r="D45" s="9">
        <f t="shared" si="1"/>
        <v>178778.92173499032</v>
      </c>
    </row>
    <row r="46" spans="1:4" x14ac:dyDescent="0.25">
      <c r="A46" s="31" t="s">
        <v>239</v>
      </c>
      <c r="B46" s="32">
        <v>6500</v>
      </c>
      <c r="C46" s="93">
        <f t="shared" si="0"/>
        <v>1191.7164722565981</v>
      </c>
      <c r="D46" s="9">
        <f t="shared" si="1"/>
        <v>3873.0785348339441</v>
      </c>
    </row>
    <row r="47" spans="1:4" x14ac:dyDescent="0.25">
      <c r="A47" s="31" t="s">
        <v>240</v>
      </c>
      <c r="B47" s="32">
        <v>98150</v>
      </c>
      <c r="C47" s="93">
        <f t="shared" si="0"/>
        <v>1191.7164722565981</v>
      </c>
      <c r="D47" s="9">
        <f t="shared" si="1"/>
        <v>58483.485875992548</v>
      </c>
    </row>
    <row r="48" spans="1:4" x14ac:dyDescent="0.25">
      <c r="A48" s="31" t="s">
        <v>241</v>
      </c>
      <c r="B48" s="32">
        <v>173</v>
      </c>
      <c r="C48" s="93">
        <f t="shared" si="0"/>
        <v>1191.7164722565981</v>
      </c>
      <c r="D48" s="9">
        <f t="shared" si="1"/>
        <v>103.08347485019574</v>
      </c>
    </row>
    <row r="49" spans="1:4" x14ac:dyDescent="0.25">
      <c r="A49" s="31" t="s">
        <v>242</v>
      </c>
      <c r="B49" s="32">
        <v>5475</v>
      </c>
      <c r="C49" s="93">
        <f t="shared" si="0"/>
        <v>1191.7164722565981</v>
      </c>
      <c r="D49" s="9">
        <f t="shared" si="1"/>
        <v>3262.323842802437</v>
      </c>
    </row>
    <row r="50" spans="1:4" x14ac:dyDescent="0.25">
      <c r="A50" s="31" t="s">
        <v>243</v>
      </c>
      <c r="B50" s="32">
        <v>684</v>
      </c>
      <c r="C50" s="93">
        <f t="shared" si="0"/>
        <v>1191.7164722565981</v>
      </c>
      <c r="D50" s="9">
        <f t="shared" si="1"/>
        <v>407.56703351175656</v>
      </c>
    </row>
    <row r="51" spans="1:4" x14ac:dyDescent="0.25">
      <c r="A51" s="31" t="s">
        <v>181</v>
      </c>
      <c r="B51" s="32">
        <v>249821</v>
      </c>
      <c r="C51" s="93">
        <f t="shared" si="0"/>
        <v>1191.7164722565981</v>
      </c>
      <c r="D51" s="9">
        <f t="shared" si="1"/>
        <v>148857.90040780779</v>
      </c>
    </row>
    <row r="52" spans="1:4" x14ac:dyDescent="0.25">
      <c r="A52" s="31" t="s">
        <v>244</v>
      </c>
      <c r="B52" s="32">
        <v>995085</v>
      </c>
      <c r="C52" s="93">
        <f t="shared" si="0"/>
        <v>1191.7164722565981</v>
      </c>
      <c r="D52" s="9">
        <f t="shared" si="1"/>
        <v>592929.59289772843</v>
      </c>
    </row>
    <row r="53" spans="1:4" x14ac:dyDescent="0.25">
      <c r="A53" s="31" t="s">
        <v>182</v>
      </c>
      <c r="B53" s="32">
        <v>355579</v>
      </c>
      <c r="C53" s="93">
        <f t="shared" si="0"/>
        <v>1191.7164722565981</v>
      </c>
      <c r="D53" s="9">
        <f t="shared" si="1"/>
        <v>211874.67574426444</v>
      </c>
    </row>
    <row r="54" spans="1:4" x14ac:dyDescent="0.25">
      <c r="A54" s="31" t="s">
        <v>245</v>
      </c>
      <c r="B54" s="32">
        <v>1600</v>
      </c>
      <c r="C54" s="93">
        <f t="shared" si="0"/>
        <v>1191.7164722565981</v>
      </c>
      <c r="D54" s="9">
        <f t="shared" si="1"/>
        <v>953.37317780527849</v>
      </c>
    </row>
    <row r="55" spans="1:4" x14ac:dyDescent="0.25">
      <c r="A55" s="31" t="s">
        <v>247</v>
      </c>
      <c r="B55" s="32">
        <v>45702</v>
      </c>
      <c r="C55" s="93">
        <f t="shared" si="0"/>
        <v>1191.7164722565981</v>
      </c>
      <c r="D55" s="9">
        <f t="shared" si="1"/>
        <v>27231.913107535522</v>
      </c>
    </row>
    <row r="56" spans="1:4" x14ac:dyDescent="0.25">
      <c r="A56" s="31" t="s">
        <v>248</v>
      </c>
      <c r="B56" s="32">
        <v>13647</v>
      </c>
      <c r="C56" s="93">
        <f t="shared" si="0"/>
        <v>1191.7164722565981</v>
      </c>
      <c r="D56" s="9">
        <f t="shared" si="1"/>
        <v>8131.6773484428968</v>
      </c>
    </row>
    <row r="57" spans="1:4" x14ac:dyDescent="0.25">
      <c r="A57" s="31" t="s">
        <v>183</v>
      </c>
      <c r="B57" s="32">
        <v>47836</v>
      </c>
      <c r="C57" s="93">
        <f t="shared" si="0"/>
        <v>1191.7164722565981</v>
      </c>
      <c r="D57" s="9">
        <f t="shared" si="1"/>
        <v>28503.474583433312</v>
      </c>
    </row>
    <row r="58" spans="1:4" x14ac:dyDescent="0.25">
      <c r="A58" s="31" t="s">
        <v>249</v>
      </c>
      <c r="B58" s="32">
        <v>147357</v>
      </c>
      <c r="C58" s="93">
        <f t="shared" si="0"/>
        <v>1191.7164722565981</v>
      </c>
      <c r="D58" s="9">
        <f t="shared" si="1"/>
        <v>87803.882101157753</v>
      </c>
    </row>
    <row r="59" spans="1:4" x14ac:dyDescent="0.25">
      <c r="A59" s="31" t="s">
        <v>250</v>
      </c>
      <c r="B59" s="32">
        <v>1038</v>
      </c>
      <c r="C59" s="93">
        <f t="shared" si="0"/>
        <v>1191.7164722565981</v>
      </c>
      <c r="D59" s="9">
        <f t="shared" si="1"/>
        <v>618.50084910117437</v>
      </c>
    </row>
    <row r="60" spans="1:4" x14ac:dyDescent="0.25">
      <c r="A60" s="31" t="s">
        <v>252</v>
      </c>
      <c r="B60" s="32">
        <v>78028</v>
      </c>
      <c r="C60" s="93">
        <f t="shared" si="0"/>
        <v>1191.7164722565981</v>
      </c>
      <c r="D60" s="9">
        <f t="shared" si="1"/>
        <v>46493.626448618917</v>
      </c>
    </row>
    <row r="61" spans="1:4" x14ac:dyDescent="0.25">
      <c r="A61" s="31" t="s">
        <v>184</v>
      </c>
      <c r="B61" s="32">
        <v>1107783</v>
      </c>
      <c r="C61" s="93">
        <f t="shared" si="0"/>
        <v>1191.7164722565981</v>
      </c>
      <c r="D61" s="9">
        <f t="shared" si="1"/>
        <v>660081.62439291552</v>
      </c>
    </row>
    <row r="62" spans="1:4" x14ac:dyDescent="0.25">
      <c r="A62" s="31" t="s">
        <v>254</v>
      </c>
      <c r="B62" s="32">
        <v>8791</v>
      </c>
      <c r="C62" s="93">
        <f t="shared" si="0"/>
        <v>1191.7164722565981</v>
      </c>
      <c r="D62" s="9">
        <f t="shared" si="1"/>
        <v>5238.1897538038775</v>
      </c>
    </row>
    <row r="63" spans="1:4" x14ac:dyDescent="0.25">
      <c r="A63" s="31" t="s">
        <v>256</v>
      </c>
      <c r="B63" s="32">
        <v>52383</v>
      </c>
      <c r="C63" s="93">
        <f t="shared" si="0"/>
        <v>1191.7164722565981</v>
      </c>
      <c r="D63" s="9">
        <f t="shared" si="1"/>
        <v>31212.841983108687</v>
      </c>
    </row>
    <row r="64" spans="1:4" x14ac:dyDescent="0.25">
      <c r="A64" s="31" t="s">
        <v>258</v>
      </c>
      <c r="B64" s="32">
        <v>20</v>
      </c>
      <c r="C64" s="93">
        <f t="shared" si="0"/>
        <v>1191.7164722565981</v>
      </c>
      <c r="D64" s="9">
        <f t="shared" si="1"/>
        <v>11.91716472256598</v>
      </c>
    </row>
    <row r="65" spans="1:4" x14ac:dyDescent="0.25">
      <c r="A65" s="31" t="s">
        <v>172</v>
      </c>
      <c r="B65" s="32">
        <v>11424</v>
      </c>
      <c r="C65" s="93">
        <f t="shared" si="0"/>
        <v>1191.7164722565981</v>
      </c>
      <c r="D65" s="9">
        <f t="shared" si="1"/>
        <v>6807.0844895296877</v>
      </c>
    </row>
    <row r="66" spans="1:4" x14ac:dyDescent="0.25">
      <c r="A66" s="31" t="s">
        <v>173</v>
      </c>
      <c r="B66" s="32">
        <v>65580</v>
      </c>
      <c r="C66" s="93">
        <f t="shared" si="0"/>
        <v>1191.7164722565981</v>
      </c>
      <c r="D66" s="9">
        <f t="shared" si="1"/>
        <v>39076.383125293854</v>
      </c>
    </row>
    <row r="67" spans="1:4" x14ac:dyDescent="0.25">
      <c r="A67" s="31" t="s">
        <v>179</v>
      </c>
      <c r="B67" s="32">
        <v>412908</v>
      </c>
      <c r="C67" s="93">
        <f t="shared" si="0"/>
        <v>1191.7164722565981</v>
      </c>
      <c r="D67" s="9">
        <f t="shared" si="1"/>
        <v>246034.6325632637</v>
      </c>
    </row>
    <row r="68" spans="1:4" x14ac:dyDescent="0.25">
      <c r="A68" s="31" t="s">
        <v>184</v>
      </c>
      <c r="B68" s="32">
        <v>1533400</v>
      </c>
      <c r="C68" s="93">
        <f t="shared" si="0"/>
        <v>1191.7164722565981</v>
      </c>
      <c r="D68" s="9">
        <f t="shared" si="1"/>
        <v>913689.01927913376</v>
      </c>
    </row>
    <row r="69" spans="1:4" x14ac:dyDescent="0.25">
      <c r="A69" s="31" t="s">
        <v>172</v>
      </c>
      <c r="B69" s="32">
        <v>-10438</v>
      </c>
      <c r="C69" s="93">
        <f t="shared" ref="C69:C132" si="2">IF(B69&lt;&gt;0,$H$1,"")</f>
        <v>1191.7164722565981</v>
      </c>
      <c r="D69" s="9">
        <f t="shared" ref="D69:D132" si="3">(+B69*C69)/2000</f>
        <v>-6219.5682687071849</v>
      </c>
    </row>
    <row r="70" spans="1:4" x14ac:dyDescent="0.25">
      <c r="A70" s="31" t="s">
        <v>173</v>
      </c>
      <c r="B70" s="32">
        <v>-57475</v>
      </c>
      <c r="C70" s="93">
        <f t="shared" si="2"/>
        <v>1191.7164722565981</v>
      </c>
      <c r="D70" s="9">
        <f t="shared" si="3"/>
        <v>-34246.952121473987</v>
      </c>
    </row>
    <row r="71" spans="1:4" x14ac:dyDescent="0.25">
      <c r="A71" s="31" t="s">
        <v>176</v>
      </c>
      <c r="B71" s="32">
        <v>20831.312000000002</v>
      </c>
      <c r="C71" s="93">
        <f t="shared" si="2"/>
        <v>1191.7164722565981</v>
      </c>
      <c r="D71" s="9">
        <f t="shared" si="3"/>
        <v>12412.508824558272</v>
      </c>
    </row>
    <row r="72" spans="1:4" x14ac:dyDescent="0.25">
      <c r="A72" s="31" t="s">
        <v>179</v>
      </c>
      <c r="B72" s="32">
        <v>-413000</v>
      </c>
      <c r="C72" s="93">
        <f t="shared" si="2"/>
        <v>1191.7164722565981</v>
      </c>
      <c r="D72" s="9">
        <f t="shared" si="3"/>
        <v>-246089.45152098752</v>
      </c>
    </row>
    <row r="73" spans="1:4" x14ac:dyDescent="0.25">
      <c r="A73" s="31" t="s">
        <v>184</v>
      </c>
      <c r="B73" s="32">
        <v>-1536249</v>
      </c>
      <c r="C73" s="93">
        <f t="shared" si="2"/>
        <v>1191.7164722565981</v>
      </c>
      <c r="D73" s="9">
        <f t="shared" si="3"/>
        <v>-915386.61939386337</v>
      </c>
    </row>
    <row r="74" spans="1:4" x14ac:dyDescent="0.25">
      <c r="A74" s="31" t="s">
        <v>187</v>
      </c>
      <c r="B74" s="32">
        <v>-27014</v>
      </c>
      <c r="C74" s="93">
        <f t="shared" si="2"/>
        <v>1191.7164722565981</v>
      </c>
      <c r="D74" s="9">
        <f t="shared" si="3"/>
        <v>-16096.514390769871</v>
      </c>
    </row>
    <row r="75" spans="1:4" x14ac:dyDescent="0.25">
      <c r="A75" s="31" t="s">
        <v>188</v>
      </c>
      <c r="B75" s="32">
        <v>-40109</v>
      </c>
      <c r="C75" s="93">
        <f t="shared" si="2"/>
        <v>1191.7164722565981</v>
      </c>
      <c r="D75" s="9">
        <f t="shared" si="3"/>
        <v>-23899.277992869946</v>
      </c>
    </row>
    <row r="76" spans="1:4" x14ac:dyDescent="0.25">
      <c r="A76" s="31" t="s">
        <v>189</v>
      </c>
      <c r="B76" s="32">
        <v>-2465</v>
      </c>
      <c r="C76" s="93">
        <f t="shared" si="2"/>
        <v>1191.7164722565981</v>
      </c>
      <c r="D76" s="9">
        <f t="shared" si="3"/>
        <v>-1468.7905520562572</v>
      </c>
    </row>
    <row r="77" spans="1:4" x14ac:dyDescent="0.25">
      <c r="A77" s="31" t="s">
        <v>190</v>
      </c>
      <c r="B77" s="32">
        <v>-29925</v>
      </c>
      <c r="C77" s="93">
        <f t="shared" si="2"/>
        <v>1191.7164722565981</v>
      </c>
      <c r="D77" s="9">
        <f t="shared" si="3"/>
        <v>-17831.057716139348</v>
      </c>
    </row>
    <row r="78" spans="1:4" x14ac:dyDescent="0.25">
      <c r="A78" s="31" t="s">
        <v>191</v>
      </c>
      <c r="B78" s="32">
        <v>3847988</v>
      </c>
      <c r="C78" s="93">
        <f t="shared" si="2"/>
        <v>1191.7164722565981</v>
      </c>
      <c r="D78" s="9">
        <f t="shared" si="3"/>
        <v>2292855.3423228613</v>
      </c>
    </row>
    <row r="79" spans="1:4" x14ac:dyDescent="0.25">
      <c r="A79" s="31" t="s">
        <v>192</v>
      </c>
      <c r="B79" s="32">
        <v>-259544</v>
      </c>
      <c r="C79" s="93">
        <f t="shared" si="2"/>
        <v>1191.7164722565981</v>
      </c>
      <c r="D79" s="9">
        <f t="shared" si="3"/>
        <v>-154651.43003768325</v>
      </c>
    </row>
    <row r="80" spans="1:4" x14ac:dyDescent="0.25">
      <c r="A80" s="31" t="s">
        <v>173</v>
      </c>
      <c r="B80" s="32">
        <v>-159865</v>
      </c>
      <c r="C80" s="93">
        <f t="shared" si="2"/>
        <v>1191.7164722565981</v>
      </c>
      <c r="D80" s="9">
        <f t="shared" si="3"/>
        <v>-95256.876918650523</v>
      </c>
    </row>
    <row r="81" spans="1:4" x14ac:dyDescent="0.25">
      <c r="A81" s="31" t="s">
        <v>193</v>
      </c>
      <c r="B81" s="32">
        <v>-49</v>
      </c>
      <c r="C81" s="93">
        <f t="shared" si="2"/>
        <v>1191.7164722565981</v>
      </c>
      <c r="D81" s="9">
        <f t="shared" si="3"/>
        <v>-29.197053570286656</v>
      </c>
    </row>
    <row r="82" spans="1:4" x14ac:dyDescent="0.25">
      <c r="A82" s="31" t="s">
        <v>195</v>
      </c>
      <c r="B82" s="32">
        <v>-530</v>
      </c>
      <c r="C82" s="93">
        <f t="shared" si="2"/>
        <v>1191.7164722565981</v>
      </c>
      <c r="D82" s="9">
        <f t="shared" si="3"/>
        <v>-315.8048651479985</v>
      </c>
    </row>
    <row r="83" spans="1:4" x14ac:dyDescent="0.25">
      <c r="A83" s="31" t="s">
        <v>174</v>
      </c>
      <c r="B83" s="32">
        <v>-261663</v>
      </c>
      <c r="C83" s="93">
        <f t="shared" si="2"/>
        <v>1191.7164722565981</v>
      </c>
      <c r="D83" s="9">
        <f t="shared" si="3"/>
        <v>-155914.05364003911</v>
      </c>
    </row>
    <row r="84" spans="1:4" x14ac:dyDescent="0.25">
      <c r="A84" s="31" t="s">
        <v>199</v>
      </c>
      <c r="B84" s="32">
        <v>-5161</v>
      </c>
      <c r="C84" s="93">
        <f t="shared" si="2"/>
        <v>1191.7164722565981</v>
      </c>
      <c r="D84" s="9">
        <f t="shared" si="3"/>
        <v>-3075.2243566581515</v>
      </c>
    </row>
    <row r="85" spans="1:4" x14ac:dyDescent="0.25">
      <c r="A85" s="31" t="s">
        <v>185</v>
      </c>
      <c r="B85" s="32">
        <v>-767741</v>
      </c>
      <c r="C85" s="93">
        <f t="shared" si="2"/>
        <v>1191.7164722565981</v>
      </c>
      <c r="D85" s="9">
        <f t="shared" si="3"/>
        <v>-457464.79806337645</v>
      </c>
    </row>
    <row r="86" spans="1:4" x14ac:dyDescent="0.25">
      <c r="A86" s="31" t="s">
        <v>202</v>
      </c>
      <c r="B86" s="32">
        <v>-10025</v>
      </c>
      <c r="C86" s="93">
        <f t="shared" si="2"/>
        <v>1191.7164722565981</v>
      </c>
      <c r="D86" s="9">
        <f t="shared" si="3"/>
        <v>-5973.4788171861983</v>
      </c>
    </row>
    <row r="87" spans="1:4" x14ac:dyDescent="0.25">
      <c r="A87" s="31" t="s">
        <v>203</v>
      </c>
      <c r="B87" s="32">
        <v>-111624</v>
      </c>
      <c r="C87" s="93">
        <f t="shared" si="2"/>
        <v>1191.7164722565981</v>
      </c>
      <c r="D87" s="9">
        <f t="shared" si="3"/>
        <v>-66512.079749585246</v>
      </c>
    </row>
    <row r="88" spans="1:4" x14ac:dyDescent="0.25">
      <c r="A88" s="31" t="s">
        <v>175</v>
      </c>
      <c r="B88" s="32">
        <v>-42662</v>
      </c>
      <c r="C88" s="93">
        <f t="shared" si="2"/>
        <v>1191.7164722565981</v>
      </c>
      <c r="D88" s="9">
        <f t="shared" si="3"/>
        <v>-25420.504069705494</v>
      </c>
    </row>
    <row r="89" spans="1:4" x14ac:dyDescent="0.25">
      <c r="A89" s="31" t="s">
        <v>204</v>
      </c>
      <c r="B89" s="32">
        <v>-54095</v>
      </c>
      <c r="C89" s="93">
        <f t="shared" si="2"/>
        <v>1191.7164722565981</v>
      </c>
      <c r="D89" s="9">
        <f t="shared" si="3"/>
        <v>-32232.951283360337</v>
      </c>
    </row>
    <row r="90" spans="1:4" x14ac:dyDescent="0.25">
      <c r="A90" s="31" t="s">
        <v>206</v>
      </c>
      <c r="B90" s="32">
        <v>-150800</v>
      </c>
      <c r="C90" s="93">
        <f t="shared" si="2"/>
        <v>1191.7164722565981</v>
      </c>
      <c r="D90" s="9">
        <f t="shared" si="3"/>
        <v>-89855.422008147492</v>
      </c>
    </row>
    <row r="91" spans="1:4" x14ac:dyDescent="0.25">
      <c r="A91" s="31" t="s">
        <v>177</v>
      </c>
      <c r="B91" s="32">
        <v>-1065</v>
      </c>
      <c r="C91" s="93">
        <f t="shared" si="2"/>
        <v>1191.7164722565981</v>
      </c>
      <c r="D91" s="9">
        <f t="shared" si="3"/>
        <v>-634.58902147663855</v>
      </c>
    </row>
    <row r="92" spans="1:4" x14ac:dyDescent="0.25">
      <c r="A92" s="31" t="s">
        <v>207</v>
      </c>
      <c r="B92" s="32">
        <v>-831</v>
      </c>
      <c r="C92" s="93">
        <f t="shared" si="2"/>
        <v>1191.7164722565981</v>
      </c>
      <c r="D92" s="9">
        <f t="shared" si="3"/>
        <v>-495.15819422261649</v>
      </c>
    </row>
    <row r="93" spans="1:4" x14ac:dyDescent="0.25">
      <c r="A93" s="31" t="s">
        <v>208</v>
      </c>
      <c r="B93" s="32">
        <v>-58348</v>
      </c>
      <c r="C93" s="93">
        <f t="shared" si="2"/>
        <v>1191.7164722565981</v>
      </c>
      <c r="D93" s="9">
        <f t="shared" si="3"/>
        <v>-34767.136361613986</v>
      </c>
    </row>
    <row r="94" spans="1:4" x14ac:dyDescent="0.25">
      <c r="A94" s="31" t="s">
        <v>209</v>
      </c>
      <c r="B94" s="32">
        <v>-1200</v>
      </c>
      <c r="C94" s="93">
        <f t="shared" si="2"/>
        <v>1191.7164722565981</v>
      </c>
      <c r="D94" s="9">
        <f t="shared" si="3"/>
        <v>-715.02988335395889</v>
      </c>
    </row>
    <row r="95" spans="1:4" x14ac:dyDescent="0.25">
      <c r="A95" s="31" t="s">
        <v>210</v>
      </c>
      <c r="B95" s="32">
        <v>-1808</v>
      </c>
      <c r="C95" s="93">
        <f t="shared" si="2"/>
        <v>1191.7164722565981</v>
      </c>
      <c r="D95" s="9">
        <f t="shared" si="3"/>
        <v>-1077.3116909199646</v>
      </c>
    </row>
    <row r="96" spans="1:4" x14ac:dyDescent="0.25">
      <c r="A96" s="31" t="s">
        <v>211</v>
      </c>
      <c r="B96" s="32">
        <v>-14553</v>
      </c>
      <c r="C96" s="93">
        <f t="shared" si="2"/>
        <v>1191.7164722565981</v>
      </c>
      <c r="D96" s="9">
        <f t="shared" si="3"/>
        <v>-8671.5249103751357</v>
      </c>
    </row>
    <row r="97" spans="1:4" x14ac:dyDescent="0.25">
      <c r="A97" s="31" t="s">
        <v>212</v>
      </c>
      <c r="B97" s="32">
        <v>-12000</v>
      </c>
      <c r="C97" s="93">
        <f t="shared" si="2"/>
        <v>1191.7164722565981</v>
      </c>
      <c r="D97" s="9">
        <f t="shared" si="3"/>
        <v>-7150.2988335395885</v>
      </c>
    </row>
    <row r="98" spans="1:4" x14ac:dyDescent="0.25">
      <c r="A98" s="31" t="s">
        <v>213</v>
      </c>
      <c r="B98" s="32">
        <v>-45909</v>
      </c>
      <c r="C98" s="93">
        <f t="shared" si="2"/>
        <v>1191.7164722565981</v>
      </c>
      <c r="D98" s="9">
        <f t="shared" si="3"/>
        <v>-27355.255762414079</v>
      </c>
    </row>
    <row r="99" spans="1:4" x14ac:dyDescent="0.25">
      <c r="A99" s="31" t="s">
        <v>215</v>
      </c>
      <c r="B99" s="32">
        <v>-442218</v>
      </c>
      <c r="C99" s="93">
        <f t="shared" si="2"/>
        <v>1191.7164722565981</v>
      </c>
      <c r="D99" s="9">
        <f t="shared" si="3"/>
        <v>-263499.23746418412</v>
      </c>
    </row>
    <row r="100" spans="1:4" x14ac:dyDescent="0.25">
      <c r="A100" s="31" t="s">
        <v>217</v>
      </c>
      <c r="B100" s="32">
        <v>-60759</v>
      </c>
      <c r="C100" s="93">
        <f t="shared" si="2"/>
        <v>1191.7164722565981</v>
      </c>
      <c r="D100" s="9">
        <f t="shared" si="3"/>
        <v>-36203.75056891932</v>
      </c>
    </row>
    <row r="101" spans="1:4" x14ac:dyDescent="0.25">
      <c r="A101" s="31" t="s">
        <v>220</v>
      </c>
      <c r="B101" s="32">
        <v>-800</v>
      </c>
      <c r="C101" s="93">
        <f t="shared" si="2"/>
        <v>1191.7164722565981</v>
      </c>
      <c r="D101" s="9">
        <f t="shared" si="3"/>
        <v>-476.68658890263924</v>
      </c>
    </row>
    <row r="102" spans="1:4" x14ac:dyDescent="0.25">
      <c r="A102" s="31" t="s">
        <v>221</v>
      </c>
      <c r="B102" s="32">
        <v>-92601</v>
      </c>
      <c r="C102" s="93">
        <f t="shared" si="2"/>
        <v>1191.7164722565981</v>
      </c>
      <c r="D102" s="9">
        <f t="shared" si="3"/>
        <v>-55177.068523716618</v>
      </c>
    </row>
    <row r="103" spans="1:4" x14ac:dyDescent="0.25">
      <c r="A103" s="31" t="s">
        <v>223</v>
      </c>
      <c r="B103" s="32">
        <v>-75385</v>
      </c>
      <c r="C103" s="93">
        <f t="shared" si="2"/>
        <v>1191.7164722565981</v>
      </c>
      <c r="D103" s="9">
        <f t="shared" si="3"/>
        <v>-44918.773130531823</v>
      </c>
    </row>
    <row r="104" spans="1:4" x14ac:dyDescent="0.25">
      <c r="A104" s="31" t="s">
        <v>224</v>
      </c>
      <c r="B104" s="32">
        <v>-10</v>
      </c>
      <c r="C104" s="93">
        <f t="shared" si="2"/>
        <v>1191.7164722565981</v>
      </c>
      <c r="D104" s="9">
        <f t="shared" si="3"/>
        <v>-5.95858236128299</v>
      </c>
    </row>
    <row r="105" spans="1:4" x14ac:dyDescent="0.25">
      <c r="A105" s="31" t="s">
        <v>178</v>
      </c>
      <c r="B105" s="32">
        <v>-454431</v>
      </c>
      <c r="C105" s="93">
        <f t="shared" si="2"/>
        <v>1191.7164722565981</v>
      </c>
      <c r="D105" s="9">
        <f t="shared" si="3"/>
        <v>-270776.45410201908</v>
      </c>
    </row>
    <row r="106" spans="1:4" x14ac:dyDescent="0.25">
      <c r="A106" s="31" t="s">
        <v>225</v>
      </c>
      <c r="B106" s="32">
        <v>-356</v>
      </c>
      <c r="C106" s="93">
        <f t="shared" si="2"/>
        <v>1191.7164722565981</v>
      </c>
      <c r="D106" s="9">
        <f t="shared" si="3"/>
        <v>-212.12553206167445</v>
      </c>
    </row>
    <row r="107" spans="1:4" x14ac:dyDescent="0.25">
      <c r="A107" s="31" t="s">
        <v>226</v>
      </c>
      <c r="B107" s="32">
        <v>-2</v>
      </c>
      <c r="C107" s="93">
        <f t="shared" si="2"/>
        <v>1191.7164722565981</v>
      </c>
      <c r="D107" s="9">
        <f t="shared" si="3"/>
        <v>-1.191716472256598</v>
      </c>
    </row>
    <row r="108" spans="1:4" x14ac:dyDescent="0.25">
      <c r="A108" s="31" t="s">
        <v>227</v>
      </c>
      <c r="B108" s="32">
        <v>-294</v>
      </c>
      <c r="C108" s="93">
        <f t="shared" si="2"/>
        <v>1191.7164722565981</v>
      </c>
      <c r="D108" s="9">
        <f t="shared" si="3"/>
        <v>-175.18232142171991</v>
      </c>
    </row>
    <row r="109" spans="1:4" x14ac:dyDescent="0.25">
      <c r="A109" s="31" t="s">
        <v>230</v>
      </c>
      <c r="B109" s="32">
        <v>-10173</v>
      </c>
      <c r="C109" s="93">
        <f t="shared" si="2"/>
        <v>1191.7164722565981</v>
      </c>
      <c r="D109" s="9">
        <f t="shared" si="3"/>
        <v>-6061.6658361331856</v>
      </c>
    </row>
    <row r="110" spans="1:4" x14ac:dyDescent="0.25">
      <c r="A110" s="31" t="s">
        <v>231</v>
      </c>
      <c r="B110" s="32">
        <v>-48784</v>
      </c>
      <c r="C110" s="93">
        <f t="shared" si="2"/>
        <v>1191.7164722565981</v>
      </c>
      <c r="D110" s="9">
        <f t="shared" si="3"/>
        <v>-29068.348191282937</v>
      </c>
    </row>
    <row r="111" spans="1:4" x14ac:dyDescent="0.25">
      <c r="A111" s="31" t="s">
        <v>233</v>
      </c>
      <c r="B111" s="32">
        <v>-175</v>
      </c>
      <c r="C111" s="93">
        <f t="shared" si="2"/>
        <v>1191.7164722565981</v>
      </c>
      <c r="D111" s="9">
        <f t="shared" si="3"/>
        <v>-104.27519132245233</v>
      </c>
    </row>
    <row r="112" spans="1:4" x14ac:dyDescent="0.25">
      <c r="A112" s="31" t="s">
        <v>234</v>
      </c>
      <c r="B112" s="32">
        <v>-4755</v>
      </c>
      <c r="C112" s="93">
        <f t="shared" si="2"/>
        <v>1191.7164722565981</v>
      </c>
      <c r="D112" s="9">
        <f t="shared" si="3"/>
        <v>-2833.3059127900619</v>
      </c>
    </row>
    <row r="113" spans="1:4" x14ac:dyDescent="0.25">
      <c r="A113" s="31" t="s">
        <v>235</v>
      </c>
      <c r="B113" s="32">
        <v>-111596</v>
      </c>
      <c r="C113" s="93">
        <f t="shared" si="2"/>
        <v>1191.7164722565981</v>
      </c>
      <c r="D113" s="9">
        <f t="shared" si="3"/>
        <v>-66495.395718973654</v>
      </c>
    </row>
    <row r="114" spans="1:4" x14ac:dyDescent="0.25">
      <c r="A114" s="31" t="s">
        <v>236</v>
      </c>
      <c r="B114" s="32">
        <v>-167918</v>
      </c>
      <c r="C114" s="93">
        <f t="shared" si="2"/>
        <v>1191.7164722565981</v>
      </c>
      <c r="D114" s="9">
        <f t="shared" si="3"/>
        <v>-100055.32329419172</v>
      </c>
    </row>
    <row r="115" spans="1:4" x14ac:dyDescent="0.25">
      <c r="A115" s="31" t="s">
        <v>238</v>
      </c>
      <c r="B115" s="32">
        <v>-68889</v>
      </c>
      <c r="C115" s="93">
        <f t="shared" si="2"/>
        <v>1191.7164722565981</v>
      </c>
      <c r="D115" s="9">
        <f t="shared" si="3"/>
        <v>-41048.078028642391</v>
      </c>
    </row>
    <row r="116" spans="1:4" x14ac:dyDescent="0.25">
      <c r="A116" s="31" t="s">
        <v>180</v>
      </c>
      <c r="B116" s="32">
        <v>-330673</v>
      </c>
      <c r="C116" s="93">
        <f t="shared" si="2"/>
        <v>1191.7164722565981</v>
      </c>
      <c r="D116" s="9">
        <f t="shared" si="3"/>
        <v>-197034.23051525303</v>
      </c>
    </row>
    <row r="117" spans="1:4" x14ac:dyDescent="0.25">
      <c r="A117" s="31" t="s">
        <v>239</v>
      </c>
      <c r="B117" s="32">
        <v>-4400</v>
      </c>
      <c r="C117" s="93">
        <f t="shared" si="2"/>
        <v>1191.7164722565981</v>
      </c>
      <c r="D117" s="9">
        <f t="shared" si="3"/>
        <v>-2621.7762389645159</v>
      </c>
    </row>
    <row r="118" spans="1:4" x14ac:dyDescent="0.25">
      <c r="A118" s="31" t="s">
        <v>240</v>
      </c>
      <c r="B118" s="32">
        <v>-46883</v>
      </c>
      <c r="C118" s="93">
        <f t="shared" si="2"/>
        <v>1191.7164722565981</v>
      </c>
      <c r="D118" s="9">
        <f t="shared" si="3"/>
        <v>-27935.621684403042</v>
      </c>
    </row>
    <row r="119" spans="1:4" x14ac:dyDescent="0.25">
      <c r="A119" s="31" t="s">
        <v>241</v>
      </c>
      <c r="B119" s="32">
        <v>-463</v>
      </c>
      <c r="C119" s="93">
        <f t="shared" si="2"/>
        <v>1191.7164722565981</v>
      </c>
      <c r="D119" s="9">
        <f t="shared" si="3"/>
        <v>-275.88236332740246</v>
      </c>
    </row>
    <row r="120" spans="1:4" x14ac:dyDescent="0.25">
      <c r="A120" s="31" t="s">
        <v>242</v>
      </c>
      <c r="B120" s="32">
        <v>-4178</v>
      </c>
      <c r="C120" s="93">
        <f t="shared" si="2"/>
        <v>1191.7164722565981</v>
      </c>
      <c r="D120" s="9">
        <f t="shared" si="3"/>
        <v>-2489.4957105440335</v>
      </c>
    </row>
    <row r="121" spans="1:4" x14ac:dyDescent="0.25">
      <c r="A121" s="31" t="s">
        <v>243</v>
      </c>
      <c r="B121" s="32">
        <v>-10399</v>
      </c>
      <c r="C121" s="93">
        <f t="shared" si="2"/>
        <v>1191.7164722565981</v>
      </c>
      <c r="D121" s="9">
        <f t="shared" si="3"/>
        <v>-6196.3297974981815</v>
      </c>
    </row>
    <row r="122" spans="1:4" x14ac:dyDescent="0.25">
      <c r="A122" s="31" t="s">
        <v>181</v>
      </c>
      <c r="B122" s="32">
        <v>-24056</v>
      </c>
      <c r="C122" s="93">
        <f t="shared" si="2"/>
        <v>1191.7164722565981</v>
      </c>
      <c r="D122" s="9">
        <f t="shared" si="3"/>
        <v>-14333.965728302361</v>
      </c>
    </row>
    <row r="123" spans="1:4" x14ac:dyDescent="0.25">
      <c r="A123" s="31" t="s">
        <v>244</v>
      </c>
      <c r="B123" s="32">
        <v>-112120</v>
      </c>
      <c r="C123" s="93">
        <f t="shared" si="2"/>
        <v>1191.7164722565981</v>
      </c>
      <c r="D123" s="9">
        <f t="shared" si="3"/>
        <v>-66807.625434704882</v>
      </c>
    </row>
    <row r="124" spans="1:4" x14ac:dyDescent="0.25">
      <c r="A124" s="31" t="s">
        <v>182</v>
      </c>
      <c r="B124" s="32">
        <v>-449454</v>
      </c>
      <c r="C124" s="93">
        <f t="shared" si="2"/>
        <v>1191.7164722565981</v>
      </c>
      <c r="D124" s="9">
        <f t="shared" si="3"/>
        <v>-267810.86766080849</v>
      </c>
    </row>
    <row r="125" spans="1:4" x14ac:dyDescent="0.25">
      <c r="A125" s="31" t="s">
        <v>245</v>
      </c>
      <c r="B125" s="32">
        <v>-2937</v>
      </c>
      <c r="C125" s="93">
        <f t="shared" si="2"/>
        <v>1191.7164722565981</v>
      </c>
      <c r="D125" s="9">
        <f t="shared" si="3"/>
        <v>-1750.0356395088143</v>
      </c>
    </row>
    <row r="126" spans="1:4" x14ac:dyDescent="0.25">
      <c r="A126" s="31" t="s">
        <v>247</v>
      </c>
      <c r="B126" s="32">
        <v>-6352</v>
      </c>
      <c r="C126" s="93">
        <f t="shared" si="2"/>
        <v>1191.7164722565981</v>
      </c>
      <c r="D126" s="9">
        <f t="shared" si="3"/>
        <v>-3784.8915158869554</v>
      </c>
    </row>
    <row r="127" spans="1:4" x14ac:dyDescent="0.25">
      <c r="A127" s="31" t="s">
        <v>248</v>
      </c>
      <c r="B127" s="32">
        <v>-1236986</v>
      </c>
      <c r="C127" s="93">
        <f t="shared" si="2"/>
        <v>1191.7164722565981</v>
      </c>
      <c r="D127" s="9">
        <f t="shared" si="3"/>
        <v>-737068.29607540008</v>
      </c>
    </row>
    <row r="128" spans="1:4" x14ac:dyDescent="0.25">
      <c r="A128" s="31" t="s">
        <v>183</v>
      </c>
      <c r="B128" s="32">
        <v>-2132</v>
      </c>
      <c r="C128" s="93">
        <f t="shared" si="2"/>
        <v>1191.7164722565981</v>
      </c>
      <c r="D128" s="9">
        <f t="shared" si="3"/>
        <v>-1270.3697594255334</v>
      </c>
    </row>
    <row r="129" spans="1:4" x14ac:dyDescent="0.25">
      <c r="A129" s="31" t="s">
        <v>249</v>
      </c>
      <c r="B129" s="32">
        <v>-176278</v>
      </c>
      <c r="C129" s="93">
        <f t="shared" si="2"/>
        <v>1191.7164722565981</v>
      </c>
      <c r="D129" s="9">
        <f t="shared" si="3"/>
        <v>-105036.6981482243</v>
      </c>
    </row>
    <row r="130" spans="1:4" x14ac:dyDescent="0.25">
      <c r="A130" s="31" t="s">
        <v>252</v>
      </c>
      <c r="B130" s="32">
        <v>-8119</v>
      </c>
      <c r="C130" s="93">
        <f t="shared" si="2"/>
        <v>1191.7164722565981</v>
      </c>
      <c r="D130" s="9">
        <f t="shared" si="3"/>
        <v>-4837.7730191256596</v>
      </c>
    </row>
    <row r="131" spans="1:4" x14ac:dyDescent="0.25">
      <c r="A131" s="31" t="s">
        <v>184</v>
      </c>
      <c r="B131" s="32">
        <v>-318081</v>
      </c>
      <c r="C131" s="93">
        <f t="shared" si="2"/>
        <v>1191.7164722565981</v>
      </c>
      <c r="D131" s="9">
        <f t="shared" si="3"/>
        <v>-189531.1836059255</v>
      </c>
    </row>
    <row r="132" spans="1:4" x14ac:dyDescent="0.25">
      <c r="A132" s="31" t="s">
        <v>254</v>
      </c>
      <c r="B132" s="32">
        <v>-9650</v>
      </c>
      <c r="C132" s="93">
        <f t="shared" si="2"/>
        <v>1191.7164722565981</v>
      </c>
      <c r="D132" s="9">
        <f t="shared" si="3"/>
        <v>-5750.0319786380851</v>
      </c>
    </row>
    <row r="133" spans="1:4" x14ac:dyDescent="0.25">
      <c r="A133" s="31" t="s">
        <v>256</v>
      </c>
      <c r="B133" s="32">
        <v>-5147</v>
      </c>
      <c r="C133" s="93">
        <f t="shared" ref="C133" si="4">IF(B133&lt;&gt;0,$H$1,"")</f>
        <v>1191.7164722565981</v>
      </c>
      <c r="D133" s="9">
        <f t="shared" ref="D133" si="5">(+B133*C133)/2000</f>
        <v>-3066.8823413523551</v>
      </c>
    </row>
    <row r="134" spans="1:4" x14ac:dyDescent="0.25">
      <c r="A134" s="31"/>
      <c r="B134" s="32"/>
      <c r="C134" s="8"/>
      <c r="D134" s="9"/>
    </row>
    <row r="135" spans="1:4" ht="15.75" thickBot="1" x14ac:dyDescent="0.3">
      <c r="A135" s="33"/>
      <c r="B135" s="34"/>
      <c r="C135" s="14"/>
      <c r="D135" s="15"/>
    </row>
    <row r="136" spans="1:4" ht="16.5" thickTop="1" thickBot="1" x14ac:dyDescent="0.3">
      <c r="A136" s="12"/>
      <c r="B136" s="91">
        <f>SUM(B4:B135)</f>
        <v>3185182.9120000005</v>
      </c>
      <c r="C136" s="13"/>
      <c r="D136" s="92">
        <f>SUM(D4:D135)</f>
        <v>1897917.4716903227</v>
      </c>
    </row>
  </sheetData>
  <hyperlinks>
    <hyperlink ref="D1" r:id="rId1"/>
  </hyperlinks>
  <pageMargins left="0.7" right="0.7" top="0.75" bottom="0.75" header="0.3" footer="0.3"/>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F11" sqref="F11"/>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2" t="s">
        <v>11</v>
      </c>
    </row>
    <row r="2" spans="1:7" ht="15.75" thickBot="1" x14ac:dyDescent="0.3"/>
    <row r="3" spans="1:7" x14ac:dyDescent="0.25">
      <c r="A3" s="59"/>
      <c r="B3" s="60" t="s">
        <v>15</v>
      </c>
      <c r="C3" s="61" t="s">
        <v>25</v>
      </c>
      <c r="D3" s="65"/>
      <c r="E3" s="63"/>
    </row>
    <row r="4" spans="1:7" x14ac:dyDescent="0.25">
      <c r="A4" s="650" t="s">
        <v>16</v>
      </c>
      <c r="B4" s="652"/>
      <c r="C4" s="35">
        <v>2009</v>
      </c>
      <c r="D4" s="68" t="s">
        <v>39</v>
      </c>
      <c r="E4" s="64"/>
    </row>
    <row r="5" spans="1:7" ht="15.75" thickBot="1" x14ac:dyDescent="0.3">
      <c r="A5" s="653" t="s">
        <v>21</v>
      </c>
      <c r="B5" s="654"/>
      <c r="C5" s="74">
        <f>+F10*'Census Stats'!$L$38</f>
        <v>2360347.5865471303</v>
      </c>
      <c r="D5" s="62">
        <f>+D13/C5</f>
        <v>9.2766426117905105</v>
      </c>
    </row>
    <row r="6" spans="1:7" x14ac:dyDescent="0.25">
      <c r="A6" s="5"/>
      <c r="B6" s="5"/>
      <c r="C6" s="21"/>
      <c r="E6" s="20"/>
    </row>
    <row r="7" spans="1:7" ht="19.5" thickBot="1" x14ac:dyDescent="0.35">
      <c r="A7" s="5"/>
      <c r="B7" s="57" t="s">
        <v>36</v>
      </c>
      <c r="C7" s="21"/>
      <c r="E7" s="20"/>
    </row>
    <row r="8" spans="1:7" x14ac:dyDescent="0.25">
      <c r="A8" s="39"/>
      <c r="B8" s="40"/>
      <c r="C8" s="40"/>
      <c r="D8" s="40"/>
      <c r="E8" s="40"/>
      <c r="F8" s="41" t="s">
        <v>20</v>
      </c>
      <c r="G8" s="52" t="s">
        <v>40</v>
      </c>
    </row>
    <row r="9" spans="1:7" x14ac:dyDescent="0.25">
      <c r="A9" s="42"/>
      <c r="B9" s="16"/>
      <c r="C9" s="16"/>
      <c r="D9" s="18" t="s">
        <v>14</v>
      </c>
      <c r="E9" s="30" t="s">
        <v>28</v>
      </c>
      <c r="F9" s="23" t="s">
        <v>35</v>
      </c>
      <c r="G9" s="53" t="s">
        <v>20</v>
      </c>
    </row>
    <row r="10" spans="1:7" x14ac:dyDescent="0.25">
      <c r="A10" s="650" t="s">
        <v>12</v>
      </c>
      <c r="B10" s="651"/>
      <c r="C10" s="652"/>
      <c r="D10" s="66">
        <v>11163371</v>
      </c>
      <c r="E10" s="17">
        <f>+D10/D13</f>
        <v>0.50983373706579083</v>
      </c>
      <c r="F10" s="38">
        <v>947299</v>
      </c>
      <c r="G10" s="54">
        <f>+D10/F10</f>
        <v>11.784421814020705</v>
      </c>
    </row>
    <row r="11" spans="1:7" x14ac:dyDescent="0.25">
      <c r="A11" s="650" t="s">
        <v>17</v>
      </c>
      <c r="B11" s="651"/>
      <c r="C11" s="652"/>
      <c r="D11" s="66">
        <f>9488763+95907</f>
        <v>9584670</v>
      </c>
      <c r="E11" s="17">
        <f>+D11/D13</f>
        <v>0.43773409704312199</v>
      </c>
      <c r="F11" s="32">
        <f>3394+118423</f>
        <v>121817</v>
      </c>
      <c r="G11" s="54">
        <f>+D11/F11</f>
        <v>78.68089018774063</v>
      </c>
    </row>
    <row r="12" spans="1:7" x14ac:dyDescent="0.25">
      <c r="A12" s="650" t="s">
        <v>18</v>
      </c>
      <c r="B12" s="651"/>
      <c r="C12" s="652"/>
      <c r="D12" s="66">
        <v>1148060</v>
      </c>
      <c r="E12" s="17">
        <f>+D12/D13</f>
        <v>5.2432165891087186E-2</v>
      </c>
      <c r="F12" s="5"/>
      <c r="G12" s="43"/>
    </row>
    <row r="13" spans="1:7" ht="15.75" thickBot="1" x14ac:dyDescent="0.3">
      <c r="A13" s="44"/>
      <c r="B13" s="655" t="s">
        <v>13</v>
      </c>
      <c r="C13" s="654"/>
      <c r="D13" s="67">
        <f>SUM(D10:D12)</f>
        <v>21896101</v>
      </c>
      <c r="E13" s="45"/>
      <c r="F13" s="46"/>
      <c r="G13" s="47"/>
    </row>
    <row r="15" spans="1:7" ht="19.5" thickBot="1" x14ac:dyDescent="0.35">
      <c r="B15" s="58" t="s">
        <v>37</v>
      </c>
    </row>
    <row r="16" spans="1:7" x14ac:dyDescent="0.25">
      <c r="A16" s="39"/>
      <c r="B16" s="40"/>
      <c r="C16" s="40"/>
      <c r="D16" s="40"/>
      <c r="E16" s="41" t="s">
        <v>29</v>
      </c>
      <c r="F16" s="48" t="s">
        <v>5</v>
      </c>
      <c r="G16" s="49"/>
    </row>
    <row r="17" spans="1:8" ht="18" x14ac:dyDescent="0.35">
      <c r="A17" s="50"/>
      <c r="B17" s="5"/>
      <c r="C17" s="5"/>
      <c r="D17" s="30" t="s">
        <v>19</v>
      </c>
      <c r="E17" s="23" t="s">
        <v>30</v>
      </c>
      <c r="F17" s="19" t="s">
        <v>8</v>
      </c>
      <c r="G17" s="43"/>
    </row>
    <row r="18" spans="1:8" ht="15.75" thickBot="1" x14ac:dyDescent="0.3">
      <c r="A18" s="650" t="s">
        <v>33</v>
      </c>
      <c r="B18" s="651"/>
      <c r="C18" s="652"/>
      <c r="D18" s="9">
        <f>'2009 Known'!B51</f>
        <v>19034284.342000004</v>
      </c>
      <c r="E18" s="17">
        <f>+D18/(D18+D19)</f>
        <v>0.81195791600269751</v>
      </c>
      <c r="F18" s="9">
        <f>'2009 Known'!C51</f>
        <v>9694555.6973640826</v>
      </c>
      <c r="G18" s="43"/>
    </row>
    <row r="19" spans="1:8" ht="18" x14ac:dyDescent="0.35">
      <c r="A19" s="650" t="s">
        <v>34</v>
      </c>
      <c r="B19" s="651"/>
      <c r="C19" s="652"/>
      <c r="D19" s="55">
        <f>'2009 Unknown'!B148</f>
        <v>4408167.4979999997</v>
      </c>
      <c r="E19" s="56">
        <f>+D19/(D18+D19)</f>
        <v>0.18804208399730252</v>
      </c>
      <c r="F19" s="70">
        <f>'2009 Unknown'!D148</f>
        <v>2465915.6877966262</v>
      </c>
      <c r="G19" s="72" t="s">
        <v>38</v>
      </c>
    </row>
    <row r="20" spans="1:8" ht="18.75" thickBot="1" x14ac:dyDescent="0.4">
      <c r="A20" s="44"/>
      <c r="B20" s="46"/>
      <c r="C20" s="46"/>
      <c r="D20" s="69">
        <f>+C4</f>
        <v>2009</v>
      </c>
      <c r="E20" s="51" t="s">
        <v>4</v>
      </c>
      <c r="F20" s="71">
        <f>SUM(F18:F19)</f>
        <v>12160471.385160709</v>
      </c>
      <c r="G20" s="73">
        <f>+F20/G22</f>
        <v>1.7506995883079552</v>
      </c>
    </row>
    <row r="22" spans="1:8" ht="18" x14ac:dyDescent="0.35">
      <c r="F22" s="22" t="s">
        <v>27</v>
      </c>
      <c r="G22" s="32">
        <f>+G29</f>
        <v>6946064</v>
      </c>
      <c r="H22" s="29"/>
    </row>
    <row r="24" spans="1:8" x14ac:dyDescent="0.25">
      <c r="E24" s="29" t="s">
        <v>22</v>
      </c>
      <c r="F24" s="24"/>
      <c r="G24" s="24"/>
    </row>
    <row r="25" spans="1:8" x14ac:dyDescent="0.25">
      <c r="E25" s="24"/>
      <c r="F25" s="24"/>
      <c r="G25" s="27" t="s">
        <v>26</v>
      </c>
    </row>
    <row r="26" spans="1:8" ht="18" x14ac:dyDescent="0.35">
      <c r="E26" s="24"/>
      <c r="F26" s="24"/>
      <c r="G26" s="28" t="s">
        <v>3</v>
      </c>
    </row>
    <row r="27" spans="1:8" x14ac:dyDescent="0.25">
      <c r="E27" s="24"/>
      <c r="F27" s="25" t="s">
        <v>23</v>
      </c>
      <c r="G27" s="26">
        <v>1131957</v>
      </c>
    </row>
    <row r="28" spans="1:8" x14ac:dyDescent="0.25">
      <c r="E28" s="24"/>
      <c r="F28" s="25" t="s">
        <v>24</v>
      </c>
      <c r="G28" s="26">
        <v>2399078</v>
      </c>
    </row>
    <row r="29" spans="1:8" x14ac:dyDescent="0.25">
      <c r="E29" s="24"/>
      <c r="F29" s="25" t="s">
        <v>25</v>
      </c>
      <c r="G29" s="26">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G3" sqref="G3"/>
    </sheetView>
  </sheetViews>
  <sheetFormatPr defaultColWidth="9.140625" defaultRowHeight="15" x14ac:dyDescent="0.25"/>
  <cols>
    <col min="1" max="1" width="47.5703125" style="125" customWidth="1"/>
    <col min="2" max="2" width="13.140625" style="125" customWidth="1"/>
    <col min="3" max="3" width="12.7109375" style="125" customWidth="1"/>
    <col min="4" max="5" width="9.140625" style="217"/>
    <col min="6" max="6" width="9.7109375" style="217" customWidth="1"/>
    <col min="7" max="7" width="10.5703125" style="125" customWidth="1"/>
    <col min="8" max="16384" width="9.140625" style="125"/>
  </cols>
  <sheetData>
    <row r="1" spans="1:13" ht="18.75" x14ac:dyDescent="0.3">
      <c r="A1" s="203" t="s">
        <v>10</v>
      </c>
      <c r="B1" s="183">
        <v>2009</v>
      </c>
    </row>
    <row r="2" spans="1:13" ht="18.75" x14ac:dyDescent="0.25">
      <c r="A2" s="193"/>
      <c r="B2" s="212"/>
      <c r="C2" s="194" t="s">
        <v>5</v>
      </c>
      <c r="D2" s="194"/>
      <c r="E2" s="212"/>
      <c r="F2" s="136"/>
    </row>
    <row r="3" spans="1:13" ht="18.75" x14ac:dyDescent="0.25">
      <c r="A3" s="215" t="s">
        <v>0</v>
      </c>
      <c r="B3" s="213" t="s">
        <v>31</v>
      </c>
      <c r="C3" s="202" t="s">
        <v>8</v>
      </c>
      <c r="D3" s="202" t="s">
        <v>424</v>
      </c>
      <c r="E3" s="213" t="s">
        <v>425</v>
      </c>
      <c r="F3" s="216" t="s">
        <v>472</v>
      </c>
      <c r="G3" s="216"/>
      <c r="K3" s="217" t="s">
        <v>424</v>
      </c>
      <c r="L3" s="217" t="s">
        <v>425</v>
      </c>
      <c r="M3" s="217" t="s">
        <v>472</v>
      </c>
    </row>
    <row r="4" spans="1:13" x14ac:dyDescent="0.25">
      <c r="A4" s="204" t="s">
        <v>262</v>
      </c>
      <c r="B4" s="205">
        <v>90893.71</v>
      </c>
      <c r="C4" s="205">
        <v>0</v>
      </c>
      <c r="D4" s="136" t="s">
        <v>464</v>
      </c>
      <c r="E4" s="217" t="s">
        <v>426</v>
      </c>
      <c r="F4" s="217" t="s">
        <v>463</v>
      </c>
      <c r="K4" s="136" t="s">
        <v>464</v>
      </c>
      <c r="L4" s="136" t="s">
        <v>426</v>
      </c>
      <c r="M4" s="136" t="s">
        <v>463</v>
      </c>
    </row>
    <row r="5" spans="1:13" x14ac:dyDescent="0.25">
      <c r="A5" s="204" t="s">
        <v>263</v>
      </c>
      <c r="B5" s="205">
        <v>344847.47200000001</v>
      </c>
      <c r="C5" s="205">
        <v>0</v>
      </c>
      <c r="D5" s="136" t="s">
        <v>464</v>
      </c>
      <c r="E5" s="217" t="s">
        <v>426</v>
      </c>
      <c r="F5" s="217" t="s">
        <v>463</v>
      </c>
      <c r="K5" s="136" t="s">
        <v>465</v>
      </c>
      <c r="L5" s="136" t="s">
        <v>427</v>
      </c>
      <c r="M5" s="136" t="s">
        <v>427</v>
      </c>
    </row>
    <row r="6" spans="1:13" x14ac:dyDescent="0.25">
      <c r="A6" s="204" t="s">
        <v>264</v>
      </c>
      <c r="B6" s="205">
        <v>62769</v>
      </c>
      <c r="C6" s="205">
        <v>0</v>
      </c>
      <c r="D6" s="136" t="s">
        <v>464</v>
      </c>
      <c r="E6" s="217" t="s">
        <v>426</v>
      </c>
      <c r="F6" s="217" t="s">
        <v>463</v>
      </c>
      <c r="K6" s="136"/>
      <c r="L6" s="136" t="s">
        <v>428</v>
      </c>
      <c r="M6" s="136" t="s">
        <v>429</v>
      </c>
    </row>
    <row r="7" spans="1:13" x14ac:dyDescent="0.25">
      <c r="A7" s="204" t="s">
        <v>265</v>
      </c>
      <c r="B7" s="205">
        <v>151915.20000000001</v>
      </c>
      <c r="C7" s="205">
        <v>0</v>
      </c>
      <c r="D7" s="136" t="s">
        <v>464</v>
      </c>
      <c r="E7" s="217" t="s">
        <v>426</v>
      </c>
      <c r="F7" s="217" t="s">
        <v>463</v>
      </c>
      <c r="K7" s="136"/>
      <c r="L7" s="136" t="s">
        <v>429</v>
      </c>
      <c r="M7" s="136" t="s">
        <v>432</v>
      </c>
    </row>
    <row r="8" spans="1:13" x14ac:dyDescent="0.25">
      <c r="A8" s="204" t="s">
        <v>266</v>
      </c>
      <c r="B8" s="205">
        <v>337353.652</v>
      </c>
      <c r="C8" s="205">
        <v>0</v>
      </c>
      <c r="D8" s="136" t="s">
        <v>464</v>
      </c>
      <c r="E8" s="217" t="s">
        <v>426</v>
      </c>
      <c r="F8" s="217" t="s">
        <v>463</v>
      </c>
      <c r="K8" s="136"/>
      <c r="L8" s="136" t="s">
        <v>430</v>
      </c>
      <c r="M8" s="136"/>
    </row>
    <row r="9" spans="1:13" x14ac:dyDescent="0.25">
      <c r="A9" s="204" t="s">
        <v>281</v>
      </c>
      <c r="B9" s="205">
        <v>2310597</v>
      </c>
      <c r="C9" s="205">
        <v>3066301.4849397005</v>
      </c>
      <c r="D9" s="136" t="s">
        <v>464</v>
      </c>
      <c r="E9" s="217" t="s">
        <v>427</v>
      </c>
      <c r="F9" s="217" t="s">
        <v>427</v>
      </c>
      <c r="K9" s="136"/>
      <c r="L9" s="136" t="s">
        <v>432</v>
      </c>
      <c r="M9" s="136"/>
    </row>
    <row r="10" spans="1:13" x14ac:dyDescent="0.25">
      <c r="A10" s="204" t="s">
        <v>282</v>
      </c>
      <c r="B10" s="205">
        <v>2140507</v>
      </c>
      <c r="C10" s="205">
        <v>2730519.614228175</v>
      </c>
      <c r="D10" s="136" t="s">
        <v>464</v>
      </c>
      <c r="E10" s="217" t="s">
        <v>427</v>
      </c>
      <c r="F10" s="217" t="s">
        <v>427</v>
      </c>
      <c r="K10" s="136"/>
      <c r="L10" s="136" t="s">
        <v>431</v>
      </c>
      <c r="M10" s="136"/>
    </row>
    <row r="11" spans="1:13" x14ac:dyDescent="0.25">
      <c r="A11" s="204" t="s">
        <v>268</v>
      </c>
      <c r="B11" s="205">
        <v>384510</v>
      </c>
      <c r="C11" s="205">
        <v>213080.79485070001</v>
      </c>
      <c r="D11" s="136" t="s">
        <v>464</v>
      </c>
      <c r="E11" s="217" t="s">
        <v>429</v>
      </c>
      <c r="F11" s="217" t="s">
        <v>429</v>
      </c>
      <c r="K11" s="136"/>
      <c r="L11" s="136" t="s">
        <v>433</v>
      </c>
      <c r="M11" s="136"/>
    </row>
    <row r="12" spans="1:13" x14ac:dyDescent="0.25">
      <c r="A12" s="204" t="s">
        <v>274</v>
      </c>
      <c r="B12" s="205">
        <v>1368799</v>
      </c>
      <c r="C12" s="205">
        <v>607905.2260575</v>
      </c>
      <c r="D12" s="136" t="s">
        <v>464</v>
      </c>
      <c r="E12" s="217" t="s">
        <v>429</v>
      </c>
      <c r="F12" s="217" t="s">
        <v>429</v>
      </c>
    </row>
    <row r="13" spans="1:13" x14ac:dyDescent="0.25">
      <c r="A13" s="204" t="s">
        <v>277</v>
      </c>
      <c r="B13" s="205">
        <v>1426827.5</v>
      </c>
      <c r="C13" s="205">
        <v>651926.34653580002</v>
      </c>
      <c r="D13" s="136" t="s">
        <v>464</v>
      </c>
      <c r="E13" s="217" t="s">
        <v>429</v>
      </c>
      <c r="F13" s="217" t="s">
        <v>429</v>
      </c>
    </row>
    <row r="14" spans="1:13" x14ac:dyDescent="0.25">
      <c r="A14" s="204" t="s">
        <v>278</v>
      </c>
      <c r="B14" s="205">
        <v>539532.19999999995</v>
      </c>
      <c r="C14" s="205">
        <v>291288.65798970003</v>
      </c>
      <c r="D14" s="136" t="s">
        <v>464</v>
      </c>
      <c r="E14" s="217" t="s">
        <v>429</v>
      </c>
      <c r="F14" s="217" t="s">
        <v>429</v>
      </c>
    </row>
    <row r="15" spans="1:13" x14ac:dyDescent="0.25">
      <c r="A15" s="204" t="s">
        <v>267</v>
      </c>
      <c r="B15" s="205">
        <v>419.45</v>
      </c>
      <c r="C15" s="205">
        <v>382.60538600584221</v>
      </c>
      <c r="D15" s="136" t="s">
        <v>464</v>
      </c>
      <c r="E15" s="217" t="s">
        <v>428</v>
      </c>
      <c r="F15" s="217" t="s">
        <v>429</v>
      </c>
    </row>
    <row r="16" spans="1:13" x14ac:dyDescent="0.25">
      <c r="A16" s="204" t="s">
        <v>270</v>
      </c>
      <c r="B16" s="205">
        <v>454203</v>
      </c>
      <c r="C16" s="205">
        <v>213103.97716753217</v>
      </c>
      <c r="D16" s="136" t="s">
        <v>464</v>
      </c>
      <c r="E16" s="217" t="s">
        <v>429</v>
      </c>
      <c r="F16" s="217" t="s">
        <v>429</v>
      </c>
    </row>
    <row r="17" spans="1:6" x14ac:dyDescent="0.25">
      <c r="A17" s="204" t="s">
        <v>271</v>
      </c>
      <c r="B17" s="205">
        <v>64044.5</v>
      </c>
      <c r="C17" s="205">
        <v>50257.141377935855</v>
      </c>
      <c r="D17" s="136" t="s">
        <v>464</v>
      </c>
      <c r="E17" s="217" t="s">
        <v>429</v>
      </c>
      <c r="F17" s="217" t="s">
        <v>429</v>
      </c>
    </row>
    <row r="18" spans="1:6" x14ac:dyDescent="0.25">
      <c r="A18" s="204" t="s">
        <v>272</v>
      </c>
      <c r="B18" s="205">
        <v>89229</v>
      </c>
      <c r="C18" s="205">
        <v>62316.506838600006</v>
      </c>
      <c r="D18" s="136" t="s">
        <v>464</v>
      </c>
      <c r="E18" s="217" t="s">
        <v>429</v>
      </c>
      <c r="F18" s="217" t="s">
        <v>429</v>
      </c>
    </row>
    <row r="19" spans="1:6" x14ac:dyDescent="0.25">
      <c r="A19" s="204" t="s">
        <v>273</v>
      </c>
      <c r="B19" s="205">
        <v>18586.099999999999</v>
      </c>
      <c r="C19" s="205">
        <v>16448.683668299996</v>
      </c>
      <c r="D19" s="136" t="s">
        <v>464</v>
      </c>
      <c r="E19" s="217" t="s">
        <v>429</v>
      </c>
      <c r="F19" s="217" t="s">
        <v>429</v>
      </c>
    </row>
    <row r="20" spans="1:6" x14ac:dyDescent="0.25">
      <c r="A20" s="204" t="s">
        <v>275</v>
      </c>
      <c r="B20" s="205">
        <v>381219.26400000002</v>
      </c>
      <c r="C20" s="205">
        <v>0</v>
      </c>
      <c r="D20" s="136" t="s">
        <v>464</v>
      </c>
      <c r="E20" s="217" t="s">
        <v>430</v>
      </c>
      <c r="F20" s="217" t="s">
        <v>463</v>
      </c>
    </row>
    <row r="21" spans="1:6" x14ac:dyDescent="0.25">
      <c r="A21" s="204" t="s">
        <v>279</v>
      </c>
      <c r="B21" s="205">
        <v>16995.3</v>
      </c>
      <c r="C21" s="205">
        <v>14777.467701368285</v>
      </c>
      <c r="D21" s="136" t="s">
        <v>464</v>
      </c>
      <c r="E21" s="217" t="s">
        <v>429</v>
      </c>
      <c r="F21" s="217" t="s">
        <v>429</v>
      </c>
    </row>
    <row r="22" spans="1:6" x14ac:dyDescent="0.25">
      <c r="A22" s="204" t="s">
        <v>280</v>
      </c>
      <c r="B22" s="205">
        <v>565274.87399999995</v>
      </c>
      <c r="C22" s="205">
        <v>0</v>
      </c>
      <c r="D22" s="136" t="s">
        <v>464</v>
      </c>
      <c r="E22" s="217" t="s">
        <v>430</v>
      </c>
      <c r="F22" s="217" t="s">
        <v>463</v>
      </c>
    </row>
    <row r="23" spans="1:6" x14ac:dyDescent="0.25">
      <c r="A23" s="204" t="s">
        <v>284</v>
      </c>
      <c r="B23" s="205">
        <v>22270.57</v>
      </c>
      <c r="C23" s="205">
        <v>9122.1134407515001</v>
      </c>
      <c r="D23" s="136" t="s">
        <v>465</v>
      </c>
      <c r="E23" s="217" t="s">
        <v>432</v>
      </c>
      <c r="F23" s="136" t="s">
        <v>432</v>
      </c>
    </row>
    <row r="24" spans="1:6" x14ac:dyDescent="0.25">
      <c r="A24" s="204" t="s">
        <v>173</v>
      </c>
      <c r="B24" s="205">
        <v>7014</v>
      </c>
      <c r="C24" s="205">
        <v>0</v>
      </c>
      <c r="D24" s="136" t="s">
        <v>465</v>
      </c>
      <c r="E24" s="217" t="s">
        <v>426</v>
      </c>
      <c r="F24" s="136" t="s">
        <v>463</v>
      </c>
    </row>
    <row r="25" spans="1:6" x14ac:dyDescent="0.25">
      <c r="A25" s="204" t="s">
        <v>287</v>
      </c>
      <c r="B25" s="205">
        <v>393717</v>
      </c>
      <c r="C25" s="205">
        <v>161268.03838215</v>
      </c>
      <c r="D25" s="136" t="s">
        <v>465</v>
      </c>
      <c r="E25" s="217" t="s">
        <v>432</v>
      </c>
      <c r="F25" s="136" t="s">
        <v>432</v>
      </c>
    </row>
    <row r="26" spans="1:6" x14ac:dyDescent="0.25">
      <c r="A26" s="204" t="s">
        <v>290</v>
      </c>
      <c r="B26" s="205">
        <v>1263318</v>
      </c>
      <c r="C26" s="205">
        <v>0</v>
      </c>
      <c r="D26" s="136" t="s">
        <v>465</v>
      </c>
      <c r="E26" s="217" t="s">
        <v>426</v>
      </c>
      <c r="F26" s="136" t="s">
        <v>463</v>
      </c>
    </row>
    <row r="27" spans="1:6" x14ac:dyDescent="0.25">
      <c r="A27" s="204" t="s">
        <v>291</v>
      </c>
      <c r="B27" s="205">
        <v>2007333</v>
      </c>
      <c r="C27" s="205">
        <v>0</v>
      </c>
      <c r="D27" s="136" t="s">
        <v>465</v>
      </c>
      <c r="E27" s="217" t="s">
        <v>426</v>
      </c>
      <c r="F27" s="136" t="s">
        <v>463</v>
      </c>
    </row>
    <row r="28" spans="1:6" x14ac:dyDescent="0.25">
      <c r="A28" s="204" t="s">
        <v>292</v>
      </c>
      <c r="B28" s="205">
        <v>959848</v>
      </c>
      <c r="C28" s="205">
        <v>0</v>
      </c>
      <c r="D28" s="136" t="s">
        <v>465</v>
      </c>
      <c r="E28" s="136" t="s">
        <v>426</v>
      </c>
      <c r="F28" s="136" t="s">
        <v>463</v>
      </c>
    </row>
    <row r="29" spans="1:6" x14ac:dyDescent="0.25">
      <c r="A29" s="204" t="s">
        <v>295</v>
      </c>
      <c r="B29" s="205">
        <v>1523.01</v>
      </c>
      <c r="C29" s="205">
        <v>0</v>
      </c>
      <c r="D29" s="136" t="s">
        <v>465</v>
      </c>
      <c r="E29" s="136" t="s">
        <v>431</v>
      </c>
      <c r="F29" s="136" t="s">
        <v>463</v>
      </c>
    </row>
    <row r="30" spans="1:6" x14ac:dyDescent="0.25">
      <c r="A30" s="204" t="s">
        <v>296</v>
      </c>
      <c r="B30" s="205">
        <v>234580</v>
      </c>
      <c r="C30" s="205">
        <v>0</v>
      </c>
      <c r="D30" s="136" t="s">
        <v>465</v>
      </c>
      <c r="E30" s="136" t="s">
        <v>426</v>
      </c>
      <c r="F30" s="136" t="s">
        <v>463</v>
      </c>
    </row>
    <row r="31" spans="1:6" x14ac:dyDescent="0.25">
      <c r="A31" s="204" t="s">
        <v>297</v>
      </c>
      <c r="B31" s="205">
        <v>82584</v>
      </c>
      <c r="C31" s="205">
        <v>0</v>
      </c>
      <c r="D31" s="136" t="s">
        <v>465</v>
      </c>
      <c r="E31" s="136" t="s">
        <v>426</v>
      </c>
      <c r="F31" s="136" t="s">
        <v>463</v>
      </c>
    </row>
    <row r="32" spans="1:6" x14ac:dyDescent="0.25">
      <c r="A32" s="204" t="s">
        <v>298</v>
      </c>
      <c r="B32" s="205">
        <v>313799</v>
      </c>
      <c r="C32" s="205">
        <v>0</v>
      </c>
      <c r="D32" s="136" t="s">
        <v>465</v>
      </c>
      <c r="E32" s="136" t="s">
        <v>426</v>
      </c>
      <c r="F32" s="136" t="s">
        <v>463</v>
      </c>
    </row>
    <row r="33" spans="1:6" x14ac:dyDescent="0.25">
      <c r="A33" s="204" t="s">
        <v>301</v>
      </c>
      <c r="B33" s="205">
        <v>132569</v>
      </c>
      <c r="C33" s="205">
        <v>0</v>
      </c>
      <c r="D33" s="136" t="s">
        <v>465</v>
      </c>
      <c r="E33" s="136" t="s">
        <v>430</v>
      </c>
      <c r="F33" s="136" t="s">
        <v>463</v>
      </c>
    </row>
    <row r="34" spans="1:6" x14ac:dyDescent="0.25">
      <c r="A34" s="204" t="s">
        <v>303</v>
      </c>
      <c r="B34" s="205">
        <v>591921</v>
      </c>
      <c r="C34" s="205">
        <v>716565.09146554756</v>
      </c>
      <c r="D34" s="136" t="s">
        <v>465</v>
      </c>
      <c r="E34" s="217" t="s">
        <v>427</v>
      </c>
      <c r="F34" s="217" t="s">
        <v>427</v>
      </c>
    </row>
    <row r="35" spans="1:6" x14ac:dyDescent="0.25">
      <c r="A35" s="204" t="s">
        <v>304</v>
      </c>
      <c r="B35" s="205">
        <v>3036</v>
      </c>
      <c r="C35" s="205">
        <v>0</v>
      </c>
      <c r="D35" s="136" t="s">
        <v>465</v>
      </c>
      <c r="E35" s="136" t="s">
        <v>431</v>
      </c>
      <c r="F35" s="217" t="s">
        <v>463</v>
      </c>
    </row>
    <row r="36" spans="1:6" x14ac:dyDescent="0.25">
      <c r="A36" s="206" t="s">
        <v>308</v>
      </c>
      <c r="B36" s="205">
        <v>89728</v>
      </c>
      <c r="C36" s="205">
        <v>36752.9432256</v>
      </c>
      <c r="D36" s="136" t="s">
        <v>465</v>
      </c>
      <c r="E36" s="195" t="s">
        <v>432</v>
      </c>
      <c r="F36" s="217" t="s">
        <v>432</v>
      </c>
    </row>
    <row r="37" spans="1:6" x14ac:dyDescent="0.25">
      <c r="A37" s="206" t="s">
        <v>312</v>
      </c>
      <c r="B37" s="205">
        <v>2345.92</v>
      </c>
      <c r="C37" s="205">
        <v>0</v>
      </c>
      <c r="D37" s="136" t="s">
        <v>465</v>
      </c>
      <c r="E37" s="217" t="s">
        <v>431</v>
      </c>
      <c r="F37" s="217" t="s">
        <v>463</v>
      </c>
    </row>
    <row r="38" spans="1:6" x14ac:dyDescent="0.25">
      <c r="A38" s="206" t="s">
        <v>313</v>
      </c>
      <c r="B38" s="205">
        <v>39992</v>
      </c>
      <c r="C38" s="205">
        <v>0</v>
      </c>
      <c r="D38" s="136" t="s">
        <v>465</v>
      </c>
      <c r="E38" s="217" t="s">
        <v>426</v>
      </c>
      <c r="F38" s="217" t="s">
        <v>463</v>
      </c>
    </row>
    <row r="39" spans="1:6" x14ac:dyDescent="0.25">
      <c r="A39" s="206" t="s">
        <v>318</v>
      </c>
      <c r="B39" s="205">
        <v>36065.160000000003</v>
      </c>
      <c r="C39" s="205">
        <v>0</v>
      </c>
      <c r="D39" s="136" t="s">
        <v>465</v>
      </c>
      <c r="E39" s="217" t="s">
        <v>426</v>
      </c>
      <c r="F39" s="217" t="s">
        <v>463</v>
      </c>
    </row>
    <row r="40" spans="1:6" x14ac:dyDescent="0.25">
      <c r="A40" s="206" t="s">
        <v>320</v>
      </c>
      <c r="B40" s="205">
        <v>995857.89</v>
      </c>
      <c r="C40" s="205">
        <v>354047.70626803505</v>
      </c>
      <c r="D40" s="136" t="s">
        <v>465</v>
      </c>
      <c r="E40" s="217" t="s">
        <v>429</v>
      </c>
      <c r="F40" s="217" t="s">
        <v>429</v>
      </c>
    </row>
    <row r="41" spans="1:6" x14ac:dyDescent="0.25">
      <c r="A41" s="206" t="s">
        <v>321</v>
      </c>
      <c r="B41" s="205">
        <v>23209.795999999998</v>
      </c>
      <c r="C41" s="205">
        <v>0</v>
      </c>
      <c r="D41" s="136" t="s">
        <v>465</v>
      </c>
      <c r="E41" s="217" t="s">
        <v>426</v>
      </c>
      <c r="F41" s="217" t="s">
        <v>463</v>
      </c>
    </row>
    <row r="42" spans="1:6" x14ac:dyDescent="0.25">
      <c r="A42" s="206" t="s">
        <v>322</v>
      </c>
      <c r="B42" s="205">
        <v>1816.9169999999999</v>
      </c>
      <c r="C42" s="205">
        <v>907.40749162907605</v>
      </c>
      <c r="D42" s="136" t="s">
        <v>465</v>
      </c>
      <c r="E42" s="217" t="s">
        <v>429</v>
      </c>
      <c r="F42" s="217" t="s">
        <v>429</v>
      </c>
    </row>
    <row r="43" spans="1:6" x14ac:dyDescent="0.25">
      <c r="A43" s="206" t="s">
        <v>323</v>
      </c>
      <c r="B43" s="205">
        <v>343.577</v>
      </c>
      <c r="C43" s="205">
        <v>0</v>
      </c>
      <c r="D43" s="136" t="s">
        <v>465</v>
      </c>
      <c r="E43" s="217" t="s">
        <v>431</v>
      </c>
      <c r="F43" s="217" t="s">
        <v>463</v>
      </c>
    </row>
    <row r="44" spans="1:6" x14ac:dyDescent="0.25">
      <c r="A44" s="206" t="s">
        <v>324</v>
      </c>
      <c r="B44" s="205">
        <v>133987</v>
      </c>
      <c r="C44" s="205">
        <v>113963.07081369704</v>
      </c>
      <c r="D44" s="136" t="s">
        <v>465</v>
      </c>
      <c r="E44" s="217" t="s">
        <v>429</v>
      </c>
      <c r="F44" s="217" t="s">
        <v>429</v>
      </c>
    </row>
    <row r="45" spans="1:6" x14ac:dyDescent="0.25">
      <c r="A45" s="206" t="s">
        <v>325</v>
      </c>
      <c r="B45" s="205">
        <v>1018.08</v>
      </c>
      <c r="C45" s="205">
        <v>0</v>
      </c>
      <c r="D45" s="136" t="s">
        <v>465</v>
      </c>
      <c r="E45" s="217" t="s">
        <v>426</v>
      </c>
      <c r="F45" s="217" t="s">
        <v>463</v>
      </c>
    </row>
    <row r="46" spans="1:6" x14ac:dyDescent="0.25">
      <c r="A46" s="206" t="s">
        <v>250</v>
      </c>
      <c r="B46" s="205">
        <v>866454.6</v>
      </c>
      <c r="C46" s="205">
        <v>383620.8195353552</v>
      </c>
      <c r="D46" s="136" t="s">
        <v>465</v>
      </c>
      <c r="E46" s="217" t="s">
        <v>429</v>
      </c>
      <c r="F46" s="217" t="s">
        <v>429</v>
      </c>
    </row>
    <row r="47" spans="1:6" x14ac:dyDescent="0.25">
      <c r="A47" s="206" t="s">
        <v>326</v>
      </c>
      <c r="B47" s="205">
        <v>69081.600000000006</v>
      </c>
      <c r="C47" s="205">
        <v>0</v>
      </c>
      <c r="D47" s="136" t="s">
        <v>465</v>
      </c>
      <c r="E47" s="217" t="s">
        <v>426</v>
      </c>
      <c r="F47" s="217" t="s">
        <v>463</v>
      </c>
    </row>
    <row r="48" spans="1:6" x14ac:dyDescent="0.25">
      <c r="A48" s="206" t="s">
        <v>327</v>
      </c>
      <c r="B48" s="205">
        <v>12348</v>
      </c>
      <c r="C48" s="205">
        <v>0</v>
      </c>
      <c r="D48" s="136" t="s">
        <v>465</v>
      </c>
      <c r="E48" s="217" t="s">
        <v>426</v>
      </c>
      <c r="F48" s="217" t="s">
        <v>463</v>
      </c>
    </row>
    <row r="49" spans="1:3" x14ac:dyDescent="0.25">
      <c r="A49" s="206"/>
      <c r="B49" s="205"/>
      <c r="C49" s="205"/>
    </row>
    <row r="50" spans="1:3" ht="15.75" thickBot="1" x14ac:dyDescent="0.3">
      <c r="A50" s="207"/>
      <c r="B50" s="208"/>
      <c r="C50" s="208"/>
    </row>
    <row r="51" spans="1:3" ht="16.5" thickTop="1" thickBot="1" x14ac:dyDescent="0.3">
      <c r="A51" s="209"/>
      <c r="B51" s="210">
        <f>SUM(B4:B50)</f>
        <v>19034284.342000004</v>
      </c>
      <c r="C51" s="210">
        <f>SUM(C4:C50)</f>
        <v>9694555.6973640826</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topLeftCell="A124" workbookViewId="0">
      <selection activeCell="D3" sqref="D3"/>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2" t="s">
        <v>32</v>
      </c>
      <c r="B1" s="183">
        <v>2009</v>
      </c>
      <c r="D1" s="7" t="s">
        <v>2</v>
      </c>
      <c r="H1" s="121">
        <f>'EFs &amp; Rates'!G5</f>
        <v>1118.7940063146079</v>
      </c>
      <c r="I1" t="s">
        <v>6</v>
      </c>
    </row>
    <row r="2" spans="1:9" ht="18.75" x14ac:dyDescent="0.3">
      <c r="A2" s="2"/>
      <c r="B2" s="10" t="s">
        <v>31</v>
      </c>
      <c r="C2" s="10" t="s">
        <v>1</v>
      </c>
      <c r="D2" s="10" t="s">
        <v>5</v>
      </c>
      <c r="E2" s="3"/>
      <c r="F2" s="36" t="s">
        <v>9</v>
      </c>
      <c r="G2" s="35">
        <v>2009</v>
      </c>
      <c r="H2" s="37"/>
    </row>
    <row r="3" spans="1:9" ht="19.5" x14ac:dyDescent="0.35">
      <c r="A3" s="4" t="s">
        <v>0</v>
      </c>
      <c r="B3" s="11"/>
      <c r="C3" s="11" t="s">
        <v>7</v>
      </c>
      <c r="D3" s="11" t="s">
        <v>8</v>
      </c>
      <c r="E3" s="6"/>
    </row>
    <row r="4" spans="1:9" x14ac:dyDescent="0.25">
      <c r="A4" s="31" t="s">
        <v>187</v>
      </c>
      <c r="B4" s="32">
        <v>165617.92000000001</v>
      </c>
      <c r="C4" s="93">
        <f>IF(B4&lt;&gt;0,$H$1,"")</f>
        <v>1118.7940063146079</v>
      </c>
      <c r="D4" s="9">
        <f>(+B4*C4)/2000</f>
        <v>92646.168117146124</v>
      </c>
    </row>
    <row r="5" spans="1:9" x14ac:dyDescent="0.25">
      <c r="A5" s="31" t="s">
        <v>188</v>
      </c>
      <c r="B5" s="32">
        <v>16746</v>
      </c>
      <c r="C5" s="93">
        <f t="shared" ref="C5:C68" si="0">IF(B5&lt;&gt;0,$H$1,"")</f>
        <v>1118.7940063146079</v>
      </c>
      <c r="D5" s="9">
        <f t="shared" ref="D5:D68" si="1">(+B5*C5)/2000</f>
        <v>9367.6622148722126</v>
      </c>
    </row>
    <row r="6" spans="1:9" x14ac:dyDescent="0.25">
      <c r="A6" s="31" t="s">
        <v>189</v>
      </c>
      <c r="B6" s="32">
        <v>3800</v>
      </c>
      <c r="C6" s="93">
        <f t="shared" si="0"/>
        <v>1118.7940063146079</v>
      </c>
      <c r="D6" s="9">
        <f t="shared" si="1"/>
        <v>2125.7086119977553</v>
      </c>
    </row>
    <row r="7" spans="1:9" x14ac:dyDescent="0.25">
      <c r="A7" s="31" t="s">
        <v>191</v>
      </c>
      <c r="B7" s="32">
        <v>-3599695</v>
      </c>
      <c r="C7" s="93">
        <f t="shared" si="0"/>
        <v>1118.7940063146079</v>
      </c>
      <c r="D7" s="9">
        <f t="shared" si="1"/>
        <v>-2013658.5952803313</v>
      </c>
    </row>
    <row r="8" spans="1:9" x14ac:dyDescent="0.25">
      <c r="A8" s="31" t="s">
        <v>192</v>
      </c>
      <c r="B8" s="32">
        <v>37192</v>
      </c>
      <c r="C8" s="93">
        <f t="shared" si="0"/>
        <v>1118.7940063146079</v>
      </c>
      <c r="D8" s="9">
        <f t="shared" si="1"/>
        <v>20805.093341426451</v>
      </c>
    </row>
    <row r="9" spans="1:9" x14ac:dyDescent="0.25">
      <c r="A9" s="31" t="s">
        <v>173</v>
      </c>
      <c r="B9" s="32">
        <v>334870</v>
      </c>
      <c r="C9" s="93">
        <f t="shared" si="0"/>
        <v>1118.7940063146079</v>
      </c>
      <c r="D9" s="9">
        <f t="shared" si="1"/>
        <v>187325.27444728636</v>
      </c>
    </row>
    <row r="10" spans="1:9" x14ac:dyDescent="0.25">
      <c r="A10" s="31" t="s">
        <v>195</v>
      </c>
      <c r="B10" s="32">
        <v>175</v>
      </c>
      <c r="C10" s="93">
        <f t="shared" si="0"/>
        <v>1118.7940063146079</v>
      </c>
      <c r="D10" s="9">
        <f t="shared" si="1"/>
        <v>97.894475552528192</v>
      </c>
    </row>
    <row r="11" spans="1:9" x14ac:dyDescent="0.25">
      <c r="A11" s="31" t="s">
        <v>174</v>
      </c>
      <c r="B11" s="32">
        <v>380859</v>
      </c>
      <c r="C11" s="93">
        <f t="shared" si="0"/>
        <v>1118.7940063146079</v>
      </c>
      <c r="D11" s="9">
        <f t="shared" si="1"/>
        <v>213051.38322548763</v>
      </c>
    </row>
    <row r="12" spans="1:9" x14ac:dyDescent="0.25">
      <c r="A12" s="31" t="s">
        <v>199</v>
      </c>
      <c r="B12" s="32">
        <v>29209</v>
      </c>
      <c r="C12" s="93">
        <f t="shared" si="0"/>
        <v>1118.7940063146079</v>
      </c>
      <c r="D12" s="9">
        <f t="shared" si="1"/>
        <v>16339.427065221691</v>
      </c>
    </row>
    <row r="13" spans="1:9" x14ac:dyDescent="0.25">
      <c r="A13" s="31" t="s">
        <v>185</v>
      </c>
      <c r="B13" s="32">
        <v>338327</v>
      </c>
      <c r="C13" s="93">
        <f t="shared" si="0"/>
        <v>1118.7940063146079</v>
      </c>
      <c r="D13" s="9">
        <f t="shared" si="1"/>
        <v>189259.10988720119</v>
      </c>
    </row>
    <row r="14" spans="1:9" x14ac:dyDescent="0.25">
      <c r="A14" s="31" t="s">
        <v>202</v>
      </c>
      <c r="B14" s="32">
        <v>50919</v>
      </c>
      <c r="C14" s="93">
        <f t="shared" si="0"/>
        <v>1118.7940063146079</v>
      </c>
      <c r="D14" s="9">
        <f t="shared" si="1"/>
        <v>28483.936003766761</v>
      </c>
    </row>
    <row r="15" spans="1:9" x14ac:dyDescent="0.25">
      <c r="A15" s="31" t="s">
        <v>203</v>
      </c>
      <c r="B15" s="32">
        <v>73722</v>
      </c>
      <c r="C15" s="93">
        <f t="shared" si="0"/>
        <v>1118.7940063146079</v>
      </c>
      <c r="D15" s="9">
        <f t="shared" si="1"/>
        <v>41239.865866762768</v>
      </c>
    </row>
    <row r="16" spans="1:9" x14ac:dyDescent="0.25">
      <c r="A16" s="31" t="s">
        <v>175</v>
      </c>
      <c r="B16" s="32">
        <v>562741</v>
      </c>
      <c r="C16" s="93">
        <f t="shared" si="0"/>
        <v>1118.7940063146079</v>
      </c>
      <c r="D16" s="9">
        <f t="shared" si="1"/>
        <v>314795.62895374442</v>
      </c>
    </row>
    <row r="17" spans="1:4" x14ac:dyDescent="0.25">
      <c r="A17" s="31" t="s">
        <v>204</v>
      </c>
      <c r="B17" s="32">
        <v>28908</v>
      </c>
      <c r="C17" s="93">
        <f t="shared" si="0"/>
        <v>1118.7940063146079</v>
      </c>
      <c r="D17" s="9">
        <f t="shared" si="1"/>
        <v>16171.048567271342</v>
      </c>
    </row>
    <row r="18" spans="1:4" x14ac:dyDescent="0.25">
      <c r="A18" s="31" t="s">
        <v>205</v>
      </c>
      <c r="B18" s="32">
        <v>445000</v>
      </c>
      <c r="C18" s="93">
        <f t="shared" si="0"/>
        <v>1118.7940063146079</v>
      </c>
      <c r="D18" s="9">
        <f t="shared" si="1"/>
        <v>248931.66640500026</v>
      </c>
    </row>
    <row r="19" spans="1:4" x14ac:dyDescent="0.25">
      <c r="A19" s="31" t="s">
        <v>206</v>
      </c>
      <c r="B19" s="32">
        <v>147600</v>
      </c>
      <c r="C19" s="93">
        <f t="shared" si="0"/>
        <v>1118.7940063146079</v>
      </c>
      <c r="D19" s="9">
        <f t="shared" si="1"/>
        <v>82566.997666018069</v>
      </c>
    </row>
    <row r="20" spans="1:4" x14ac:dyDescent="0.25">
      <c r="A20" s="31" t="s">
        <v>177</v>
      </c>
      <c r="B20" s="32">
        <v>187749</v>
      </c>
      <c r="C20" s="93">
        <f t="shared" si="0"/>
        <v>1118.7940063146079</v>
      </c>
      <c r="D20" s="9">
        <f t="shared" si="1"/>
        <v>105026.22794578066</v>
      </c>
    </row>
    <row r="21" spans="1:4" x14ac:dyDescent="0.25">
      <c r="A21" s="31" t="s">
        <v>207</v>
      </c>
      <c r="B21" s="32">
        <v>106240</v>
      </c>
      <c r="C21" s="93">
        <f t="shared" si="0"/>
        <v>1118.7940063146079</v>
      </c>
      <c r="D21" s="9">
        <f t="shared" si="1"/>
        <v>59430.33761543197</v>
      </c>
    </row>
    <row r="22" spans="1:4" x14ac:dyDescent="0.25">
      <c r="A22" s="31" t="s">
        <v>208</v>
      </c>
      <c r="B22" s="32">
        <v>31850</v>
      </c>
      <c r="C22" s="93">
        <f t="shared" si="0"/>
        <v>1118.7940063146079</v>
      </c>
      <c r="D22" s="9">
        <f t="shared" si="1"/>
        <v>17816.794550560131</v>
      </c>
    </row>
    <row r="23" spans="1:4" x14ac:dyDescent="0.25">
      <c r="A23" s="31" t="s">
        <v>209</v>
      </c>
      <c r="B23" s="32">
        <v>30600</v>
      </c>
      <c r="C23" s="93">
        <f t="shared" si="0"/>
        <v>1118.7940063146079</v>
      </c>
      <c r="D23" s="9">
        <f t="shared" si="1"/>
        <v>17117.548296613502</v>
      </c>
    </row>
    <row r="24" spans="1:4" x14ac:dyDescent="0.25">
      <c r="A24" s="31" t="s">
        <v>210</v>
      </c>
      <c r="B24" s="32">
        <v>2456</v>
      </c>
      <c r="C24" s="93">
        <f t="shared" si="0"/>
        <v>1118.7940063146079</v>
      </c>
      <c r="D24" s="9">
        <f t="shared" si="1"/>
        <v>1373.8790397543385</v>
      </c>
    </row>
    <row r="25" spans="1:4" x14ac:dyDescent="0.25">
      <c r="A25" s="31" t="s">
        <v>211</v>
      </c>
      <c r="B25" s="32">
        <v>89317</v>
      </c>
      <c r="C25" s="93">
        <f t="shared" si="0"/>
        <v>1118.7940063146079</v>
      </c>
      <c r="D25" s="9">
        <f t="shared" si="1"/>
        <v>49963.662131000921</v>
      </c>
    </row>
    <row r="26" spans="1:4" x14ac:dyDescent="0.25">
      <c r="A26" s="31" t="s">
        <v>212</v>
      </c>
      <c r="B26" s="32">
        <v>133941</v>
      </c>
      <c r="C26" s="93">
        <f t="shared" si="0"/>
        <v>1118.7940063146079</v>
      </c>
      <c r="D26" s="9">
        <f t="shared" si="1"/>
        <v>74926.193999892464</v>
      </c>
    </row>
    <row r="27" spans="1:4" x14ac:dyDescent="0.25">
      <c r="A27" s="31" t="s">
        <v>213</v>
      </c>
      <c r="B27" s="32">
        <v>53441</v>
      </c>
      <c r="C27" s="93">
        <f t="shared" si="0"/>
        <v>1118.7940063146079</v>
      </c>
      <c r="D27" s="9">
        <f t="shared" si="1"/>
        <v>29894.73524572948</v>
      </c>
    </row>
    <row r="28" spans="1:4" x14ac:dyDescent="0.25">
      <c r="A28" s="31" t="s">
        <v>214</v>
      </c>
      <c r="B28" s="32">
        <v>800</v>
      </c>
      <c r="C28" s="93">
        <f t="shared" si="0"/>
        <v>1118.7940063146079</v>
      </c>
      <c r="D28" s="9">
        <f t="shared" si="1"/>
        <v>447.51760252584319</v>
      </c>
    </row>
    <row r="29" spans="1:4" x14ac:dyDescent="0.25">
      <c r="A29" s="31" t="s">
        <v>215</v>
      </c>
      <c r="B29" s="32">
        <v>882331</v>
      </c>
      <c r="C29" s="93">
        <f t="shared" si="0"/>
        <v>1118.7940063146079</v>
      </c>
      <c r="D29" s="9">
        <f t="shared" si="1"/>
        <v>493573.31719278719</v>
      </c>
    </row>
    <row r="30" spans="1:4" x14ac:dyDescent="0.25">
      <c r="A30" s="31" t="s">
        <v>216</v>
      </c>
      <c r="B30" s="32">
        <v>37654</v>
      </c>
      <c r="C30" s="93">
        <f t="shared" si="0"/>
        <v>1118.7940063146079</v>
      </c>
      <c r="D30" s="9">
        <f t="shared" si="1"/>
        <v>21063.534756885121</v>
      </c>
    </row>
    <row r="31" spans="1:4" x14ac:dyDescent="0.25">
      <c r="A31" s="31" t="s">
        <v>217</v>
      </c>
      <c r="B31" s="32">
        <v>92731</v>
      </c>
      <c r="C31" s="93">
        <f t="shared" si="0"/>
        <v>1118.7940063146079</v>
      </c>
      <c r="D31" s="9">
        <f t="shared" si="1"/>
        <v>51873.443499779954</v>
      </c>
    </row>
    <row r="32" spans="1:4" x14ac:dyDescent="0.25">
      <c r="A32" s="31" t="s">
        <v>218</v>
      </c>
      <c r="B32" s="32">
        <v>1800</v>
      </c>
      <c r="C32" s="93">
        <f t="shared" si="0"/>
        <v>1118.7940063146079</v>
      </c>
      <c r="D32" s="9">
        <f t="shared" si="1"/>
        <v>1006.9146056831471</v>
      </c>
    </row>
    <row r="33" spans="1:4" x14ac:dyDescent="0.25">
      <c r="A33" s="31" t="s">
        <v>220</v>
      </c>
      <c r="B33" s="32">
        <v>14000</v>
      </c>
      <c r="C33" s="93">
        <f t="shared" si="0"/>
        <v>1118.7940063146079</v>
      </c>
      <c r="D33" s="9">
        <f t="shared" si="1"/>
        <v>7831.5580442022556</v>
      </c>
    </row>
    <row r="34" spans="1:4" x14ac:dyDescent="0.25">
      <c r="A34" s="31" t="s">
        <v>221</v>
      </c>
      <c r="B34" s="32">
        <v>143436</v>
      </c>
      <c r="C34" s="93">
        <f t="shared" si="0"/>
        <v>1118.7940063146079</v>
      </c>
      <c r="D34" s="9">
        <f t="shared" si="1"/>
        <v>80237.668544871049</v>
      </c>
    </row>
    <row r="35" spans="1:4" x14ac:dyDescent="0.25">
      <c r="A35" s="31" t="s">
        <v>222</v>
      </c>
      <c r="B35" s="32">
        <v>50</v>
      </c>
      <c r="C35" s="93">
        <f t="shared" si="0"/>
        <v>1118.7940063146079</v>
      </c>
      <c r="D35" s="9">
        <f t="shared" si="1"/>
        <v>27.969850157865199</v>
      </c>
    </row>
    <row r="36" spans="1:4" x14ac:dyDescent="0.25">
      <c r="A36" s="31" t="s">
        <v>223</v>
      </c>
      <c r="B36" s="32">
        <v>400</v>
      </c>
      <c r="C36" s="93">
        <f t="shared" si="0"/>
        <v>1118.7940063146079</v>
      </c>
      <c r="D36" s="9">
        <f t="shared" si="1"/>
        <v>223.75880126292159</v>
      </c>
    </row>
    <row r="37" spans="1:4" x14ac:dyDescent="0.25">
      <c r="A37" s="31" t="s">
        <v>224</v>
      </c>
      <c r="B37" s="32">
        <v>90</v>
      </c>
      <c r="C37" s="93">
        <f t="shared" si="0"/>
        <v>1118.7940063146079</v>
      </c>
      <c r="D37" s="9">
        <f t="shared" si="1"/>
        <v>50.345730284157355</v>
      </c>
    </row>
    <row r="38" spans="1:4" x14ac:dyDescent="0.25">
      <c r="A38" s="31" t="s">
        <v>178</v>
      </c>
      <c r="B38" s="32">
        <v>992212</v>
      </c>
      <c r="C38" s="93">
        <f t="shared" si="0"/>
        <v>1118.7940063146079</v>
      </c>
      <c r="D38" s="9">
        <f t="shared" si="1"/>
        <v>555040.41929671494</v>
      </c>
    </row>
    <row r="39" spans="1:4" x14ac:dyDescent="0.25">
      <c r="A39" s="31" t="s">
        <v>225</v>
      </c>
      <c r="B39" s="32">
        <v>323</v>
      </c>
      <c r="C39" s="93">
        <f t="shared" si="0"/>
        <v>1118.7940063146079</v>
      </c>
      <c r="D39" s="9">
        <f t="shared" si="1"/>
        <v>180.68523201980918</v>
      </c>
    </row>
    <row r="40" spans="1:4" x14ac:dyDescent="0.25">
      <c r="A40" s="31" t="s">
        <v>228</v>
      </c>
      <c r="B40" s="32">
        <v>3400</v>
      </c>
      <c r="C40" s="93">
        <f t="shared" si="0"/>
        <v>1118.7940063146079</v>
      </c>
      <c r="D40" s="9">
        <f t="shared" si="1"/>
        <v>1901.9498107348336</v>
      </c>
    </row>
    <row r="41" spans="1:4" x14ac:dyDescent="0.25">
      <c r="A41" s="31" t="s">
        <v>230</v>
      </c>
      <c r="B41" s="32">
        <v>6592</v>
      </c>
      <c r="C41" s="93">
        <f t="shared" si="0"/>
        <v>1118.7940063146079</v>
      </c>
      <c r="D41" s="9">
        <f t="shared" si="1"/>
        <v>3687.5450448129482</v>
      </c>
    </row>
    <row r="42" spans="1:4" x14ac:dyDescent="0.25">
      <c r="A42" s="31" t="s">
        <v>231</v>
      </c>
      <c r="B42" s="32">
        <v>7969</v>
      </c>
      <c r="C42" s="93">
        <f t="shared" si="0"/>
        <v>1118.7940063146079</v>
      </c>
      <c r="D42" s="9">
        <f t="shared" si="1"/>
        <v>4457.8347181605559</v>
      </c>
    </row>
    <row r="43" spans="1:4" x14ac:dyDescent="0.25">
      <c r="A43" s="31" t="s">
        <v>232</v>
      </c>
      <c r="B43" s="32">
        <v>31600</v>
      </c>
      <c r="C43" s="93">
        <f t="shared" si="0"/>
        <v>1118.7940063146079</v>
      </c>
      <c r="D43" s="9">
        <f t="shared" si="1"/>
        <v>17676.945299770807</v>
      </c>
    </row>
    <row r="44" spans="1:4" x14ac:dyDescent="0.25">
      <c r="A44" s="31" t="s">
        <v>233</v>
      </c>
      <c r="B44" s="32">
        <v>3810</v>
      </c>
      <c r="C44" s="93">
        <f t="shared" si="0"/>
        <v>1118.7940063146079</v>
      </c>
      <c r="D44" s="9">
        <f t="shared" si="1"/>
        <v>2131.3025820293283</v>
      </c>
    </row>
    <row r="45" spans="1:4" x14ac:dyDescent="0.25">
      <c r="A45" s="31" t="s">
        <v>234</v>
      </c>
      <c r="B45" s="32">
        <v>216587</v>
      </c>
      <c r="C45" s="93">
        <f t="shared" si="0"/>
        <v>1118.7940063146079</v>
      </c>
      <c r="D45" s="9">
        <f t="shared" si="1"/>
        <v>121158.118722831</v>
      </c>
    </row>
    <row r="46" spans="1:4" x14ac:dyDescent="0.25">
      <c r="A46" s="31" t="s">
        <v>235</v>
      </c>
      <c r="B46" s="32">
        <v>68094</v>
      </c>
      <c r="C46" s="93">
        <f t="shared" si="0"/>
        <v>1118.7940063146079</v>
      </c>
      <c r="D46" s="9">
        <f t="shared" si="1"/>
        <v>38091.579532993455</v>
      </c>
    </row>
    <row r="47" spans="1:4" x14ac:dyDescent="0.25">
      <c r="A47" s="31" t="s">
        <v>236</v>
      </c>
      <c r="B47" s="32">
        <v>185612</v>
      </c>
      <c r="C47" s="93">
        <f t="shared" si="0"/>
        <v>1118.7940063146079</v>
      </c>
      <c r="D47" s="9">
        <f t="shared" si="1"/>
        <v>103830.79655003351</v>
      </c>
    </row>
    <row r="48" spans="1:4" x14ac:dyDescent="0.25">
      <c r="A48" s="31" t="s">
        <v>238</v>
      </c>
      <c r="B48" s="32">
        <v>208659</v>
      </c>
      <c r="C48" s="93">
        <f t="shared" si="0"/>
        <v>1118.7940063146079</v>
      </c>
      <c r="D48" s="9">
        <f t="shared" si="1"/>
        <v>116723.21928179989</v>
      </c>
    </row>
    <row r="49" spans="1:4" x14ac:dyDescent="0.25">
      <c r="A49" s="31" t="s">
        <v>180</v>
      </c>
      <c r="B49" s="32">
        <v>316076</v>
      </c>
      <c r="C49" s="93">
        <f t="shared" si="0"/>
        <v>1118.7940063146079</v>
      </c>
      <c r="D49" s="9">
        <f t="shared" si="1"/>
        <v>176811.96716994801</v>
      </c>
    </row>
    <row r="50" spans="1:4" x14ac:dyDescent="0.25">
      <c r="A50" s="31" t="s">
        <v>239</v>
      </c>
      <c r="B50" s="32">
        <v>3600</v>
      </c>
      <c r="C50" s="93">
        <f t="shared" si="0"/>
        <v>1118.7940063146079</v>
      </c>
      <c r="D50" s="9">
        <f t="shared" si="1"/>
        <v>2013.8292113662942</v>
      </c>
    </row>
    <row r="51" spans="1:4" x14ac:dyDescent="0.25">
      <c r="A51" s="31" t="s">
        <v>240</v>
      </c>
      <c r="B51" s="32">
        <v>222154</v>
      </c>
      <c r="C51" s="93">
        <f t="shared" si="0"/>
        <v>1118.7940063146079</v>
      </c>
      <c r="D51" s="9">
        <f t="shared" si="1"/>
        <v>124272.28183940772</v>
      </c>
    </row>
    <row r="52" spans="1:4" x14ac:dyDescent="0.25">
      <c r="A52" s="31" t="s">
        <v>241</v>
      </c>
      <c r="B52" s="32">
        <v>496</v>
      </c>
      <c r="C52" s="93">
        <f t="shared" si="0"/>
        <v>1118.7940063146079</v>
      </c>
      <c r="D52" s="9">
        <f t="shared" si="1"/>
        <v>277.46091356602278</v>
      </c>
    </row>
    <row r="53" spans="1:4" x14ac:dyDescent="0.25">
      <c r="A53" s="31" t="s">
        <v>242</v>
      </c>
      <c r="B53" s="32">
        <v>6590</v>
      </c>
      <c r="C53" s="93">
        <f t="shared" si="0"/>
        <v>1118.7940063146079</v>
      </c>
      <c r="D53" s="9">
        <f t="shared" si="1"/>
        <v>3686.4262508066336</v>
      </c>
    </row>
    <row r="54" spans="1:4" x14ac:dyDescent="0.25">
      <c r="A54" s="31" t="s">
        <v>181</v>
      </c>
      <c r="B54" s="32">
        <v>211502</v>
      </c>
      <c r="C54" s="93">
        <f t="shared" si="0"/>
        <v>1118.7940063146079</v>
      </c>
      <c r="D54" s="9">
        <f t="shared" si="1"/>
        <v>118313.58496177611</v>
      </c>
    </row>
    <row r="55" spans="1:4" x14ac:dyDescent="0.25">
      <c r="A55" s="31" t="s">
        <v>244</v>
      </c>
      <c r="B55" s="32">
        <v>2267825</v>
      </c>
      <c r="C55" s="93">
        <f t="shared" si="0"/>
        <v>1118.7940063146079</v>
      </c>
      <c r="D55" s="9">
        <f t="shared" si="1"/>
        <v>1268614.5086852128</v>
      </c>
    </row>
    <row r="56" spans="1:4" x14ac:dyDescent="0.25">
      <c r="A56" s="31" t="s">
        <v>182</v>
      </c>
      <c r="B56" s="32">
        <v>485252</v>
      </c>
      <c r="C56" s="93">
        <f t="shared" si="0"/>
        <v>1118.7940063146079</v>
      </c>
      <c r="D56" s="9">
        <f t="shared" si="1"/>
        <v>271448.51457608806</v>
      </c>
    </row>
    <row r="57" spans="1:4" x14ac:dyDescent="0.25">
      <c r="A57" s="31" t="s">
        <v>245</v>
      </c>
      <c r="B57" s="32">
        <v>25</v>
      </c>
      <c r="C57" s="93">
        <f t="shared" si="0"/>
        <v>1118.7940063146079</v>
      </c>
      <c r="D57" s="9">
        <f t="shared" si="1"/>
        <v>13.9849250789326</v>
      </c>
    </row>
    <row r="58" spans="1:4" x14ac:dyDescent="0.25">
      <c r="A58" s="31" t="s">
        <v>247</v>
      </c>
      <c r="B58" s="32">
        <v>57116</v>
      </c>
      <c r="C58" s="93">
        <f t="shared" si="0"/>
        <v>1118.7940063146079</v>
      </c>
      <c r="D58" s="9">
        <f t="shared" si="1"/>
        <v>31950.519232332572</v>
      </c>
    </row>
    <row r="59" spans="1:4" x14ac:dyDescent="0.25">
      <c r="A59" s="31" t="s">
        <v>248</v>
      </c>
      <c r="B59" s="32">
        <v>7805</v>
      </c>
      <c r="C59" s="93">
        <f t="shared" si="0"/>
        <v>1118.7940063146079</v>
      </c>
      <c r="D59" s="9">
        <f t="shared" si="1"/>
        <v>4366.0936096427567</v>
      </c>
    </row>
    <row r="60" spans="1:4" x14ac:dyDescent="0.25">
      <c r="A60" s="31" t="s">
        <v>183</v>
      </c>
      <c r="B60" s="32">
        <v>75813</v>
      </c>
      <c r="C60" s="93">
        <f t="shared" si="0"/>
        <v>1118.7940063146079</v>
      </c>
      <c r="D60" s="9">
        <f t="shared" si="1"/>
        <v>42409.565000364681</v>
      </c>
    </row>
    <row r="61" spans="1:4" x14ac:dyDescent="0.25">
      <c r="A61" s="31" t="s">
        <v>249</v>
      </c>
      <c r="B61" s="32">
        <v>407444</v>
      </c>
      <c r="C61" s="93">
        <f t="shared" si="0"/>
        <v>1118.7940063146079</v>
      </c>
      <c r="D61" s="9">
        <f t="shared" si="1"/>
        <v>227922.95255442456</v>
      </c>
    </row>
    <row r="62" spans="1:4" x14ac:dyDescent="0.25">
      <c r="A62" s="31" t="s">
        <v>250</v>
      </c>
      <c r="B62" s="32">
        <v>2895</v>
      </c>
      <c r="C62" s="93">
        <f t="shared" si="0"/>
        <v>1118.7940063146079</v>
      </c>
      <c r="D62" s="9">
        <f t="shared" si="1"/>
        <v>1619.4543241403951</v>
      </c>
    </row>
    <row r="63" spans="1:4" x14ac:dyDescent="0.25">
      <c r="A63" s="31" t="s">
        <v>252</v>
      </c>
      <c r="B63" s="32">
        <v>122625</v>
      </c>
      <c r="C63" s="93">
        <f t="shared" si="0"/>
        <v>1118.7940063146079</v>
      </c>
      <c r="D63" s="9">
        <f t="shared" si="1"/>
        <v>68596.057512164392</v>
      </c>
    </row>
    <row r="64" spans="1:4" x14ac:dyDescent="0.25">
      <c r="A64" s="31" t="s">
        <v>184</v>
      </c>
      <c r="B64" s="32">
        <v>278480</v>
      </c>
      <c r="C64" s="93">
        <f t="shared" si="0"/>
        <v>1118.7940063146079</v>
      </c>
      <c r="D64" s="9">
        <f t="shared" si="1"/>
        <v>155780.87743924599</v>
      </c>
    </row>
    <row r="65" spans="1:4" x14ac:dyDescent="0.25">
      <c r="A65" s="31" t="s">
        <v>253</v>
      </c>
      <c r="B65" s="32">
        <v>7326</v>
      </c>
      <c r="C65" s="93">
        <f t="shared" si="0"/>
        <v>1118.7940063146079</v>
      </c>
      <c r="D65" s="9">
        <f t="shared" si="1"/>
        <v>4098.1424451304083</v>
      </c>
    </row>
    <row r="66" spans="1:4" x14ac:dyDescent="0.25">
      <c r="A66" s="31" t="s">
        <v>254</v>
      </c>
      <c r="B66" s="32">
        <v>9898</v>
      </c>
      <c r="C66" s="93">
        <f t="shared" si="0"/>
        <v>1118.7940063146079</v>
      </c>
      <c r="D66" s="9">
        <f t="shared" si="1"/>
        <v>5536.911537250995</v>
      </c>
    </row>
    <row r="67" spans="1:4" x14ac:dyDescent="0.25">
      <c r="A67" s="31" t="s">
        <v>256</v>
      </c>
      <c r="B67" s="32">
        <v>850</v>
      </c>
      <c r="C67" s="93">
        <f t="shared" si="0"/>
        <v>1118.7940063146079</v>
      </c>
      <c r="D67" s="9">
        <f t="shared" si="1"/>
        <v>475.4874526837084</v>
      </c>
    </row>
    <row r="68" spans="1:4" x14ac:dyDescent="0.25">
      <c r="A68" s="31" t="s">
        <v>258</v>
      </c>
      <c r="B68" s="32">
        <v>360</v>
      </c>
      <c r="C68" s="93">
        <f t="shared" si="0"/>
        <v>1118.7940063146079</v>
      </c>
      <c r="D68" s="9">
        <f t="shared" si="1"/>
        <v>201.38292113662942</v>
      </c>
    </row>
    <row r="69" spans="1:4" x14ac:dyDescent="0.25">
      <c r="A69" s="31" t="s">
        <v>172</v>
      </c>
      <c r="B69" s="32">
        <v>6088</v>
      </c>
      <c r="C69" s="93">
        <f t="shared" ref="C69:C132" si="2">IF(B69&lt;&gt;0,$H$1,"")</f>
        <v>1118.7940063146079</v>
      </c>
      <c r="D69" s="9">
        <f t="shared" ref="D69:D132" si="3">(+B69*C69)/2000</f>
        <v>3405.6089552216663</v>
      </c>
    </row>
    <row r="70" spans="1:4" x14ac:dyDescent="0.25">
      <c r="A70" s="31" t="s">
        <v>173</v>
      </c>
      <c r="B70" s="32">
        <v>76504</v>
      </c>
      <c r="C70" s="93">
        <f t="shared" si="2"/>
        <v>1118.7940063146079</v>
      </c>
      <c r="D70" s="9">
        <f t="shared" si="3"/>
        <v>42796.108329546383</v>
      </c>
    </row>
    <row r="71" spans="1:4" x14ac:dyDescent="0.25">
      <c r="A71" s="31" t="s">
        <v>176</v>
      </c>
      <c r="B71" s="32">
        <v>-23317.616000000002</v>
      </c>
      <c r="C71" s="93">
        <f t="shared" si="2"/>
        <v>1118.7940063146079</v>
      </c>
      <c r="D71" s="9">
        <f t="shared" si="3"/>
        <v>-13043.804511172802</v>
      </c>
    </row>
    <row r="72" spans="1:4" x14ac:dyDescent="0.25">
      <c r="A72" s="31" t="s">
        <v>178</v>
      </c>
      <c r="B72" s="32">
        <v>20000</v>
      </c>
      <c r="C72" s="93">
        <f t="shared" si="2"/>
        <v>1118.7940063146079</v>
      </c>
      <c r="D72" s="9">
        <f t="shared" si="3"/>
        <v>11187.940063146079</v>
      </c>
    </row>
    <row r="73" spans="1:4" x14ac:dyDescent="0.25">
      <c r="A73" s="31" t="s">
        <v>179</v>
      </c>
      <c r="B73" s="32">
        <v>413000</v>
      </c>
      <c r="C73" s="93">
        <f t="shared" si="2"/>
        <v>1118.7940063146079</v>
      </c>
      <c r="D73" s="9">
        <f t="shared" si="3"/>
        <v>231030.96230396655</v>
      </c>
    </row>
    <row r="74" spans="1:4" x14ac:dyDescent="0.25">
      <c r="A74" s="31" t="s">
        <v>180</v>
      </c>
      <c r="B74" s="32">
        <v>38000</v>
      </c>
      <c r="C74" s="93">
        <f t="shared" si="2"/>
        <v>1118.7940063146079</v>
      </c>
      <c r="D74" s="9">
        <f t="shared" si="3"/>
        <v>21257.086119977554</v>
      </c>
    </row>
    <row r="75" spans="1:4" x14ac:dyDescent="0.25">
      <c r="A75" s="31" t="s">
        <v>184</v>
      </c>
      <c r="B75" s="32">
        <v>1533600</v>
      </c>
      <c r="C75" s="93">
        <f t="shared" si="2"/>
        <v>1118.7940063146079</v>
      </c>
      <c r="D75" s="9">
        <f t="shared" si="3"/>
        <v>857891.24404204148</v>
      </c>
    </row>
    <row r="76" spans="1:4" x14ac:dyDescent="0.25">
      <c r="A76" s="31" t="s">
        <v>172</v>
      </c>
      <c r="B76" s="32">
        <v>-4172</v>
      </c>
      <c r="C76" s="93">
        <f t="shared" si="2"/>
        <v>1118.7940063146079</v>
      </c>
      <c r="D76" s="9">
        <f t="shared" si="3"/>
        <v>-2333.8042971722721</v>
      </c>
    </row>
    <row r="77" spans="1:4" x14ac:dyDescent="0.25">
      <c r="A77" s="31" t="s">
        <v>173</v>
      </c>
      <c r="B77" s="32">
        <v>-81545</v>
      </c>
      <c r="C77" s="93">
        <f t="shared" si="2"/>
        <v>1118.7940063146079</v>
      </c>
      <c r="D77" s="9">
        <f t="shared" si="3"/>
        <v>-45616.028622462356</v>
      </c>
    </row>
    <row r="78" spans="1:4" x14ac:dyDescent="0.25">
      <c r="A78" s="31" t="s">
        <v>176</v>
      </c>
      <c r="B78" s="32">
        <v>-43828.805999999997</v>
      </c>
      <c r="C78" s="93">
        <f t="shared" si="2"/>
        <v>1118.7940063146079</v>
      </c>
      <c r="D78" s="9">
        <f t="shared" si="3"/>
        <v>-24517.702728362863</v>
      </c>
    </row>
    <row r="79" spans="1:4" x14ac:dyDescent="0.25">
      <c r="A79" s="31" t="s">
        <v>178</v>
      </c>
      <c r="B79" s="32">
        <v>-17200</v>
      </c>
      <c r="C79" s="93">
        <f t="shared" si="2"/>
        <v>1118.7940063146079</v>
      </c>
      <c r="D79" s="9">
        <f t="shared" si="3"/>
        <v>-9621.6284543056281</v>
      </c>
    </row>
    <row r="80" spans="1:4" x14ac:dyDescent="0.25">
      <c r="A80" s="31" t="s">
        <v>179</v>
      </c>
      <c r="B80" s="32">
        <v>-413000</v>
      </c>
      <c r="C80" s="93">
        <f t="shared" si="2"/>
        <v>1118.7940063146079</v>
      </c>
      <c r="D80" s="9">
        <f t="shared" si="3"/>
        <v>-231030.96230396655</v>
      </c>
    </row>
    <row r="81" spans="1:4" x14ac:dyDescent="0.25">
      <c r="A81" s="31" t="s">
        <v>180</v>
      </c>
      <c r="B81" s="32">
        <v>-68795</v>
      </c>
      <c r="C81" s="93">
        <f t="shared" si="2"/>
        <v>1118.7940063146079</v>
      </c>
      <c r="D81" s="9">
        <f t="shared" si="3"/>
        <v>-38483.716832206723</v>
      </c>
    </row>
    <row r="82" spans="1:4" x14ac:dyDescent="0.25">
      <c r="A82" s="31" t="s">
        <v>184</v>
      </c>
      <c r="B82" s="32">
        <v>-1533600</v>
      </c>
      <c r="C82" s="93">
        <f t="shared" si="2"/>
        <v>1118.7940063146079</v>
      </c>
      <c r="D82" s="9">
        <f t="shared" si="3"/>
        <v>-857891.24404204148</v>
      </c>
    </row>
    <row r="83" spans="1:4" x14ac:dyDescent="0.25">
      <c r="A83" s="31" t="s">
        <v>187</v>
      </c>
      <c r="B83" s="32">
        <v>-39571</v>
      </c>
      <c r="C83" s="93">
        <f t="shared" si="2"/>
        <v>1118.7940063146079</v>
      </c>
      <c r="D83" s="9">
        <f t="shared" si="3"/>
        <v>-22135.898811937674</v>
      </c>
    </row>
    <row r="84" spans="1:4" x14ac:dyDescent="0.25">
      <c r="A84" s="31" t="s">
        <v>188</v>
      </c>
      <c r="B84" s="32">
        <v>-33513</v>
      </c>
      <c r="C84" s="93">
        <f t="shared" si="2"/>
        <v>1118.7940063146079</v>
      </c>
      <c r="D84" s="9">
        <f t="shared" si="3"/>
        <v>-18747.071766810728</v>
      </c>
    </row>
    <row r="85" spans="1:4" x14ac:dyDescent="0.25">
      <c r="A85" s="31" t="s">
        <v>189</v>
      </c>
      <c r="B85" s="32">
        <v>-1600</v>
      </c>
      <c r="C85" s="93">
        <f t="shared" si="2"/>
        <v>1118.7940063146079</v>
      </c>
      <c r="D85" s="9">
        <f t="shared" si="3"/>
        <v>-895.03520505168638</v>
      </c>
    </row>
    <row r="86" spans="1:4" x14ac:dyDescent="0.25">
      <c r="A86" s="31" t="s">
        <v>191</v>
      </c>
      <c r="B86" s="32">
        <v>3599695</v>
      </c>
      <c r="C86" s="93">
        <f t="shared" si="2"/>
        <v>1118.7940063146079</v>
      </c>
      <c r="D86" s="9">
        <f t="shared" si="3"/>
        <v>2013658.5952803313</v>
      </c>
    </row>
    <row r="87" spans="1:4" x14ac:dyDescent="0.25">
      <c r="A87" s="31" t="s">
        <v>192</v>
      </c>
      <c r="B87" s="32">
        <v>-152945</v>
      </c>
      <c r="C87" s="93">
        <f t="shared" si="2"/>
        <v>1118.7940063146079</v>
      </c>
      <c r="D87" s="9">
        <f t="shared" si="3"/>
        <v>-85556.974647893861</v>
      </c>
    </row>
    <row r="88" spans="1:4" x14ac:dyDescent="0.25">
      <c r="A88" s="31" t="s">
        <v>173</v>
      </c>
      <c r="B88" s="32">
        <v>-254156</v>
      </c>
      <c r="C88" s="93">
        <f t="shared" si="2"/>
        <v>1118.7940063146079</v>
      </c>
      <c r="D88" s="9">
        <f t="shared" si="3"/>
        <v>-142174.10473444776</v>
      </c>
    </row>
    <row r="89" spans="1:4" x14ac:dyDescent="0.25">
      <c r="A89" s="31" t="s">
        <v>193</v>
      </c>
      <c r="B89" s="32">
        <v>-35</v>
      </c>
      <c r="C89" s="93">
        <f t="shared" si="2"/>
        <v>1118.7940063146079</v>
      </c>
      <c r="D89" s="9">
        <f t="shared" si="3"/>
        <v>-19.578895110505641</v>
      </c>
    </row>
    <row r="90" spans="1:4" x14ac:dyDescent="0.25">
      <c r="A90" s="31" t="s">
        <v>174</v>
      </c>
      <c r="B90" s="32">
        <v>-240421</v>
      </c>
      <c r="C90" s="93">
        <f t="shared" si="2"/>
        <v>1118.7940063146079</v>
      </c>
      <c r="D90" s="9">
        <f t="shared" si="3"/>
        <v>-134490.78689608219</v>
      </c>
    </row>
    <row r="91" spans="1:4" x14ac:dyDescent="0.25">
      <c r="A91" s="31" t="s">
        <v>199</v>
      </c>
      <c r="B91" s="32">
        <v>-3890</v>
      </c>
      <c r="C91" s="93">
        <f t="shared" si="2"/>
        <v>1118.7940063146079</v>
      </c>
      <c r="D91" s="9">
        <f t="shared" si="3"/>
        <v>-2176.0543422819123</v>
      </c>
    </row>
    <row r="92" spans="1:4" x14ac:dyDescent="0.25">
      <c r="A92" s="31" t="s">
        <v>185</v>
      </c>
      <c r="B92" s="32">
        <v>-635716</v>
      </c>
      <c r="C92" s="93">
        <f t="shared" si="2"/>
        <v>1118.7940063146079</v>
      </c>
      <c r="D92" s="9">
        <f t="shared" si="3"/>
        <v>-355617.62525914866</v>
      </c>
    </row>
    <row r="93" spans="1:4" x14ac:dyDescent="0.25">
      <c r="A93" s="31" t="s">
        <v>202</v>
      </c>
      <c r="B93" s="32">
        <v>-15633</v>
      </c>
      <c r="C93" s="93">
        <f t="shared" si="2"/>
        <v>1118.7940063146079</v>
      </c>
      <c r="D93" s="9">
        <f t="shared" si="3"/>
        <v>-8745.0533503581319</v>
      </c>
    </row>
    <row r="94" spans="1:4" x14ac:dyDescent="0.25">
      <c r="A94" s="31" t="s">
        <v>203</v>
      </c>
      <c r="B94" s="32">
        <v>-111736</v>
      </c>
      <c r="C94" s="93">
        <f t="shared" si="2"/>
        <v>1118.7940063146079</v>
      </c>
      <c r="D94" s="9">
        <f t="shared" si="3"/>
        <v>-62504.783544784514</v>
      </c>
    </row>
    <row r="95" spans="1:4" x14ac:dyDescent="0.25">
      <c r="A95" s="31" t="s">
        <v>175</v>
      </c>
      <c r="B95" s="32">
        <v>-61701</v>
      </c>
      <c r="C95" s="93">
        <f t="shared" si="2"/>
        <v>1118.7940063146079</v>
      </c>
      <c r="D95" s="9">
        <f t="shared" si="3"/>
        <v>-34515.354491808808</v>
      </c>
    </row>
    <row r="96" spans="1:4" x14ac:dyDescent="0.25">
      <c r="A96" s="31" t="s">
        <v>204</v>
      </c>
      <c r="B96" s="32">
        <v>-605</v>
      </c>
      <c r="C96" s="93">
        <f t="shared" si="2"/>
        <v>1118.7940063146079</v>
      </c>
      <c r="D96" s="9">
        <f t="shared" si="3"/>
        <v>-338.43518691016891</v>
      </c>
    </row>
    <row r="97" spans="1:4" x14ac:dyDescent="0.25">
      <c r="A97" s="31" t="s">
        <v>205</v>
      </c>
      <c r="B97" s="32">
        <v>-8444</v>
      </c>
      <c r="C97" s="93">
        <f t="shared" si="2"/>
        <v>1118.7940063146079</v>
      </c>
      <c r="D97" s="9">
        <f t="shared" si="3"/>
        <v>-4723.5482946602751</v>
      </c>
    </row>
    <row r="98" spans="1:4" x14ac:dyDescent="0.25">
      <c r="A98" s="31" t="s">
        <v>206</v>
      </c>
      <c r="B98" s="32">
        <v>-182400</v>
      </c>
      <c r="C98" s="93">
        <f t="shared" si="2"/>
        <v>1118.7940063146079</v>
      </c>
      <c r="D98" s="9">
        <f t="shared" si="3"/>
        <v>-102034.01337589223</v>
      </c>
    </row>
    <row r="99" spans="1:4" x14ac:dyDescent="0.25">
      <c r="A99" s="31" t="s">
        <v>177</v>
      </c>
      <c r="B99" s="32">
        <v>-450</v>
      </c>
      <c r="C99" s="93">
        <f t="shared" si="2"/>
        <v>1118.7940063146079</v>
      </c>
      <c r="D99" s="9">
        <f t="shared" si="3"/>
        <v>-251.72865142078678</v>
      </c>
    </row>
    <row r="100" spans="1:4" x14ac:dyDescent="0.25">
      <c r="A100" s="31" t="s">
        <v>207</v>
      </c>
      <c r="B100" s="32">
        <v>-10242</v>
      </c>
      <c r="C100" s="93">
        <f t="shared" si="2"/>
        <v>1118.7940063146079</v>
      </c>
      <c r="D100" s="9">
        <f t="shared" si="3"/>
        <v>-5729.3441063371074</v>
      </c>
    </row>
    <row r="101" spans="1:4" x14ac:dyDescent="0.25">
      <c r="A101" s="31" t="s">
        <v>210</v>
      </c>
      <c r="B101" s="32">
        <v>-6394</v>
      </c>
      <c r="C101" s="93">
        <f t="shared" si="2"/>
        <v>1118.7940063146079</v>
      </c>
      <c r="D101" s="9">
        <f t="shared" si="3"/>
        <v>-3576.7844381878017</v>
      </c>
    </row>
    <row r="102" spans="1:4" x14ac:dyDescent="0.25">
      <c r="A102" s="31" t="s">
        <v>211</v>
      </c>
      <c r="B102" s="32">
        <v>-19889</v>
      </c>
      <c r="C102" s="93">
        <f t="shared" si="2"/>
        <v>1118.7940063146079</v>
      </c>
      <c r="D102" s="9">
        <f t="shared" si="3"/>
        <v>-11125.846995795619</v>
      </c>
    </row>
    <row r="103" spans="1:4" x14ac:dyDescent="0.25">
      <c r="A103" s="31" t="s">
        <v>212</v>
      </c>
      <c r="B103" s="32">
        <v>-110920</v>
      </c>
      <c r="C103" s="93">
        <f t="shared" si="2"/>
        <v>1118.7940063146079</v>
      </c>
      <c r="D103" s="9">
        <f t="shared" si="3"/>
        <v>-62048.315590208156</v>
      </c>
    </row>
    <row r="104" spans="1:4" x14ac:dyDescent="0.25">
      <c r="A104" s="31" t="s">
        <v>213</v>
      </c>
      <c r="B104" s="32">
        <v>-22571</v>
      </c>
      <c r="C104" s="93">
        <f t="shared" si="2"/>
        <v>1118.7940063146079</v>
      </c>
      <c r="D104" s="9">
        <f t="shared" si="3"/>
        <v>-12626.149758263507</v>
      </c>
    </row>
    <row r="105" spans="1:4" x14ac:dyDescent="0.25">
      <c r="A105" s="31" t="s">
        <v>214</v>
      </c>
      <c r="B105" s="32">
        <v>-3950</v>
      </c>
      <c r="C105" s="93">
        <f t="shared" si="2"/>
        <v>1118.7940063146079</v>
      </c>
      <c r="D105" s="9">
        <f t="shared" si="3"/>
        <v>-2209.6181624713508</v>
      </c>
    </row>
    <row r="106" spans="1:4" x14ac:dyDescent="0.25">
      <c r="A106" s="31" t="s">
        <v>215</v>
      </c>
      <c r="B106" s="32">
        <v>-485458</v>
      </c>
      <c r="C106" s="93">
        <f t="shared" si="2"/>
        <v>1118.7940063146079</v>
      </c>
      <c r="D106" s="9">
        <f t="shared" si="3"/>
        <v>-271563.75035873847</v>
      </c>
    </row>
    <row r="107" spans="1:4" x14ac:dyDescent="0.25">
      <c r="A107" s="31" t="s">
        <v>217</v>
      </c>
      <c r="B107" s="32">
        <v>-31952</v>
      </c>
      <c r="C107" s="93">
        <f t="shared" si="2"/>
        <v>1118.7940063146079</v>
      </c>
      <c r="D107" s="9">
        <f t="shared" si="3"/>
        <v>-17873.853044882177</v>
      </c>
    </row>
    <row r="108" spans="1:4" x14ac:dyDescent="0.25">
      <c r="A108" s="31" t="s">
        <v>218</v>
      </c>
      <c r="B108" s="32">
        <v>-4800</v>
      </c>
      <c r="C108" s="93">
        <f t="shared" si="2"/>
        <v>1118.7940063146079</v>
      </c>
      <c r="D108" s="9">
        <f t="shared" si="3"/>
        <v>-2685.1056151550588</v>
      </c>
    </row>
    <row r="109" spans="1:4" x14ac:dyDescent="0.25">
      <c r="A109" s="31" t="s">
        <v>220</v>
      </c>
      <c r="B109" s="32">
        <v>-43800</v>
      </c>
      <c r="C109" s="93">
        <f t="shared" si="2"/>
        <v>1118.7940063146079</v>
      </c>
      <c r="D109" s="9">
        <f t="shared" si="3"/>
        <v>-24501.588738289916</v>
      </c>
    </row>
    <row r="110" spans="1:4" x14ac:dyDescent="0.25">
      <c r="A110" s="31" t="s">
        <v>221</v>
      </c>
      <c r="B110" s="32">
        <v>-162587</v>
      </c>
      <c r="C110" s="93">
        <f t="shared" si="2"/>
        <v>1118.7940063146079</v>
      </c>
      <c r="D110" s="9">
        <f t="shared" si="3"/>
        <v>-90950.680552336577</v>
      </c>
    </row>
    <row r="111" spans="1:4" x14ac:dyDescent="0.25">
      <c r="A111" s="31" t="s">
        <v>222</v>
      </c>
      <c r="B111" s="32">
        <v>-400</v>
      </c>
      <c r="C111" s="93">
        <f t="shared" si="2"/>
        <v>1118.7940063146079</v>
      </c>
      <c r="D111" s="9">
        <f t="shared" si="3"/>
        <v>-223.75880126292159</v>
      </c>
    </row>
    <row r="112" spans="1:4" x14ac:dyDescent="0.25">
      <c r="A112" s="31" t="s">
        <v>224</v>
      </c>
      <c r="B112" s="32">
        <v>-2329</v>
      </c>
      <c r="C112" s="93">
        <f t="shared" si="2"/>
        <v>1118.7940063146079</v>
      </c>
      <c r="D112" s="9">
        <f t="shared" si="3"/>
        <v>-1302.8356203533608</v>
      </c>
    </row>
    <row r="113" spans="1:4" x14ac:dyDescent="0.25">
      <c r="A113" s="31" t="s">
        <v>178</v>
      </c>
      <c r="B113" s="32">
        <v>-660584</v>
      </c>
      <c r="C113" s="93">
        <f t="shared" si="2"/>
        <v>1118.7940063146079</v>
      </c>
      <c r="D113" s="9">
        <f t="shared" si="3"/>
        <v>-369528.70993366448</v>
      </c>
    </row>
    <row r="114" spans="1:4" x14ac:dyDescent="0.25">
      <c r="A114" s="31" t="s">
        <v>225</v>
      </c>
      <c r="B114" s="32">
        <v>-558</v>
      </c>
      <c r="C114" s="93">
        <f t="shared" si="2"/>
        <v>1118.7940063146079</v>
      </c>
      <c r="D114" s="9">
        <f t="shared" si="3"/>
        <v>-312.1435277617756</v>
      </c>
    </row>
    <row r="115" spans="1:4" x14ac:dyDescent="0.25">
      <c r="A115" s="31" t="s">
        <v>226</v>
      </c>
      <c r="B115" s="32">
        <v>-9</v>
      </c>
      <c r="C115" s="93">
        <f t="shared" si="2"/>
        <v>1118.7940063146079</v>
      </c>
      <c r="D115" s="9">
        <f t="shared" si="3"/>
        <v>-5.0345730284157364</v>
      </c>
    </row>
    <row r="116" spans="1:4" x14ac:dyDescent="0.25">
      <c r="A116" s="31" t="s">
        <v>230</v>
      </c>
      <c r="B116" s="32">
        <v>-40364</v>
      </c>
      <c r="C116" s="93">
        <f t="shared" si="2"/>
        <v>1118.7940063146079</v>
      </c>
      <c r="D116" s="9">
        <f t="shared" si="3"/>
        <v>-22579.500635441418</v>
      </c>
    </row>
    <row r="117" spans="1:4" x14ac:dyDescent="0.25">
      <c r="A117" s="31" t="s">
        <v>231</v>
      </c>
      <c r="B117" s="32">
        <v>-22137</v>
      </c>
      <c r="C117" s="93">
        <f t="shared" si="2"/>
        <v>1118.7940063146079</v>
      </c>
      <c r="D117" s="9">
        <f t="shared" si="3"/>
        <v>-12383.371458893238</v>
      </c>
    </row>
    <row r="118" spans="1:4" x14ac:dyDescent="0.25">
      <c r="A118" s="31" t="s">
        <v>232</v>
      </c>
      <c r="B118" s="32">
        <v>-33200</v>
      </c>
      <c r="C118" s="93">
        <f t="shared" si="2"/>
        <v>1118.7940063146079</v>
      </c>
      <c r="D118" s="9">
        <f t="shared" si="3"/>
        <v>-18571.980504822492</v>
      </c>
    </row>
    <row r="119" spans="1:4" x14ac:dyDescent="0.25">
      <c r="A119" s="31" t="s">
        <v>233</v>
      </c>
      <c r="B119" s="32">
        <v>-180</v>
      </c>
      <c r="C119" s="93">
        <f t="shared" si="2"/>
        <v>1118.7940063146079</v>
      </c>
      <c r="D119" s="9">
        <f t="shared" si="3"/>
        <v>-100.69146056831471</v>
      </c>
    </row>
    <row r="120" spans="1:4" x14ac:dyDescent="0.25">
      <c r="A120" s="31" t="s">
        <v>234</v>
      </c>
      <c r="B120" s="32">
        <v>-15026</v>
      </c>
      <c r="C120" s="93">
        <f t="shared" si="2"/>
        <v>1118.7940063146079</v>
      </c>
      <c r="D120" s="9">
        <f t="shared" si="3"/>
        <v>-8405.4993694416498</v>
      </c>
    </row>
    <row r="121" spans="1:4" x14ac:dyDescent="0.25">
      <c r="A121" s="31" t="s">
        <v>235</v>
      </c>
      <c r="B121" s="32">
        <v>-141740</v>
      </c>
      <c r="C121" s="93">
        <f t="shared" si="2"/>
        <v>1118.7940063146079</v>
      </c>
      <c r="D121" s="9">
        <f t="shared" si="3"/>
        <v>-79288.931227516267</v>
      </c>
    </row>
    <row r="122" spans="1:4" x14ac:dyDescent="0.25">
      <c r="A122" s="31" t="s">
        <v>236</v>
      </c>
      <c r="B122" s="32">
        <v>-175631</v>
      </c>
      <c r="C122" s="93">
        <f t="shared" si="2"/>
        <v>1118.7940063146079</v>
      </c>
      <c r="D122" s="9">
        <f t="shared" si="3"/>
        <v>-98247.455061520464</v>
      </c>
    </row>
    <row r="123" spans="1:4" x14ac:dyDescent="0.25">
      <c r="A123" s="31" t="s">
        <v>237</v>
      </c>
      <c r="B123" s="32">
        <v>-1400</v>
      </c>
      <c r="C123" s="93">
        <f t="shared" si="2"/>
        <v>1118.7940063146079</v>
      </c>
      <c r="D123" s="9">
        <f t="shared" si="3"/>
        <v>-783.15580442022554</v>
      </c>
    </row>
    <row r="124" spans="1:4" x14ac:dyDescent="0.25">
      <c r="A124" s="31" t="s">
        <v>238</v>
      </c>
      <c r="B124" s="32">
        <v>-88446</v>
      </c>
      <c r="C124" s="93">
        <f t="shared" si="2"/>
        <v>1118.7940063146079</v>
      </c>
      <c r="D124" s="9">
        <f t="shared" si="3"/>
        <v>-49476.427341250906</v>
      </c>
    </row>
    <row r="125" spans="1:4" x14ac:dyDescent="0.25">
      <c r="A125" s="31" t="s">
        <v>180</v>
      </c>
      <c r="B125" s="32">
        <v>-547840</v>
      </c>
      <c r="C125" s="93">
        <f t="shared" si="2"/>
        <v>1118.7940063146079</v>
      </c>
      <c r="D125" s="9">
        <f t="shared" si="3"/>
        <v>-306460.05420969741</v>
      </c>
    </row>
    <row r="126" spans="1:4" x14ac:dyDescent="0.25">
      <c r="A126" s="31" t="s">
        <v>239</v>
      </c>
      <c r="B126" s="32">
        <v>-6800</v>
      </c>
      <c r="C126" s="93">
        <f t="shared" si="2"/>
        <v>1118.7940063146079</v>
      </c>
      <c r="D126" s="9">
        <f t="shared" si="3"/>
        <v>-3803.8996214696672</v>
      </c>
    </row>
    <row r="127" spans="1:4" x14ac:dyDescent="0.25">
      <c r="A127" s="31" t="s">
        <v>240</v>
      </c>
      <c r="B127" s="32">
        <v>-57994</v>
      </c>
      <c r="C127" s="93">
        <f t="shared" si="2"/>
        <v>1118.7940063146079</v>
      </c>
      <c r="D127" s="9">
        <f t="shared" si="3"/>
        <v>-32441.669801104686</v>
      </c>
    </row>
    <row r="128" spans="1:4" x14ac:dyDescent="0.25">
      <c r="A128" s="31" t="s">
        <v>241</v>
      </c>
      <c r="B128" s="32">
        <v>-441</v>
      </c>
      <c r="C128" s="93">
        <f t="shared" si="2"/>
        <v>1118.7940063146079</v>
      </c>
      <c r="D128" s="9">
        <f t="shared" si="3"/>
        <v>-246.69407839237104</v>
      </c>
    </row>
    <row r="129" spans="1:4" x14ac:dyDescent="0.25">
      <c r="A129" s="31" t="s">
        <v>242</v>
      </c>
      <c r="B129" s="32">
        <v>-11919</v>
      </c>
      <c r="C129" s="93">
        <f t="shared" si="2"/>
        <v>1118.7940063146079</v>
      </c>
      <c r="D129" s="9">
        <f t="shared" si="3"/>
        <v>-6667.4528806319058</v>
      </c>
    </row>
    <row r="130" spans="1:4" x14ac:dyDescent="0.25">
      <c r="A130" s="31" t="s">
        <v>243</v>
      </c>
      <c r="B130" s="32">
        <v>-1032</v>
      </c>
      <c r="C130" s="93">
        <f t="shared" si="2"/>
        <v>1118.7940063146079</v>
      </c>
      <c r="D130" s="9">
        <f t="shared" si="3"/>
        <v>-577.2977072583376</v>
      </c>
    </row>
    <row r="131" spans="1:4" x14ac:dyDescent="0.25">
      <c r="A131" s="31" t="s">
        <v>181</v>
      </c>
      <c r="B131" s="32">
        <v>-33841</v>
      </c>
      <c r="C131" s="93">
        <f t="shared" si="2"/>
        <v>1118.7940063146079</v>
      </c>
      <c r="D131" s="9">
        <f t="shared" si="3"/>
        <v>-18930.553983846326</v>
      </c>
    </row>
    <row r="132" spans="1:4" x14ac:dyDescent="0.25">
      <c r="A132" s="31" t="s">
        <v>244</v>
      </c>
      <c r="B132" s="32">
        <v>-272319</v>
      </c>
      <c r="C132" s="93">
        <f t="shared" si="2"/>
        <v>1118.7940063146079</v>
      </c>
      <c r="D132" s="9">
        <f t="shared" si="3"/>
        <v>-152334.43250279385</v>
      </c>
    </row>
    <row r="133" spans="1:4" x14ac:dyDescent="0.25">
      <c r="A133" s="31" t="s">
        <v>182</v>
      </c>
      <c r="B133" s="32">
        <v>-446690</v>
      </c>
      <c r="C133" s="93">
        <f t="shared" ref="C133:C145" si="4">IF(B133&lt;&gt;0,$H$1,"")</f>
        <v>1118.7940063146079</v>
      </c>
      <c r="D133" s="9">
        <f t="shared" ref="D133:D145" si="5">(+B133*C133)/2000</f>
        <v>-249877.04734033611</v>
      </c>
    </row>
    <row r="134" spans="1:4" x14ac:dyDescent="0.25">
      <c r="A134" s="31" t="s">
        <v>245</v>
      </c>
      <c r="B134" s="32">
        <v>-3532</v>
      </c>
      <c r="C134" s="93">
        <f t="shared" si="4"/>
        <v>1118.7940063146079</v>
      </c>
      <c r="D134" s="9">
        <f t="shared" si="5"/>
        <v>-1975.7902151515975</v>
      </c>
    </row>
    <row r="135" spans="1:4" x14ac:dyDescent="0.25">
      <c r="A135" s="31" t="s">
        <v>246</v>
      </c>
      <c r="B135" s="32">
        <v>-35</v>
      </c>
      <c r="C135" s="93">
        <f t="shared" si="4"/>
        <v>1118.7940063146079</v>
      </c>
      <c r="D135" s="9">
        <f t="shared" si="5"/>
        <v>-19.578895110505641</v>
      </c>
    </row>
    <row r="136" spans="1:4" x14ac:dyDescent="0.25">
      <c r="A136" s="31" t="s">
        <v>247</v>
      </c>
      <c r="B136" s="32">
        <v>-10967</v>
      </c>
      <c r="C136" s="93">
        <f t="shared" si="4"/>
        <v>1118.7940063146079</v>
      </c>
      <c r="D136" s="9">
        <f t="shared" si="5"/>
        <v>-6134.9069336261527</v>
      </c>
    </row>
    <row r="137" spans="1:4" x14ac:dyDescent="0.25">
      <c r="A137" s="31" t="s">
        <v>248</v>
      </c>
      <c r="B137" s="32">
        <v>-502250</v>
      </c>
      <c r="C137" s="93">
        <f t="shared" si="4"/>
        <v>1118.7940063146079</v>
      </c>
      <c r="D137" s="9">
        <f t="shared" si="5"/>
        <v>-280957.14483575593</v>
      </c>
    </row>
    <row r="138" spans="1:4" x14ac:dyDescent="0.25">
      <c r="A138" s="31" t="s">
        <v>183</v>
      </c>
      <c r="B138" s="32">
        <v>-2294</v>
      </c>
      <c r="C138" s="93">
        <f t="shared" si="4"/>
        <v>1118.7940063146079</v>
      </c>
      <c r="D138" s="9">
        <f t="shared" si="5"/>
        <v>-1283.2567252428553</v>
      </c>
    </row>
    <row r="139" spans="1:4" x14ac:dyDescent="0.25">
      <c r="A139" s="31" t="s">
        <v>249</v>
      </c>
      <c r="B139" s="32">
        <v>-71305</v>
      </c>
      <c r="C139" s="93">
        <f t="shared" si="4"/>
        <v>1118.7940063146079</v>
      </c>
      <c r="D139" s="9">
        <f t="shared" si="5"/>
        <v>-39887.80331013156</v>
      </c>
    </row>
    <row r="140" spans="1:4" x14ac:dyDescent="0.25">
      <c r="A140" s="31" t="s">
        <v>252</v>
      </c>
      <c r="B140" s="32">
        <v>-14698</v>
      </c>
      <c r="C140" s="93">
        <f t="shared" si="4"/>
        <v>1118.7940063146079</v>
      </c>
      <c r="D140" s="9">
        <f t="shared" si="5"/>
        <v>-8222.0171524060534</v>
      </c>
    </row>
    <row r="141" spans="1:4" x14ac:dyDescent="0.25">
      <c r="A141" s="31" t="s">
        <v>184</v>
      </c>
      <c r="B141" s="32">
        <v>-297158</v>
      </c>
      <c r="C141" s="93">
        <f t="shared" si="4"/>
        <v>1118.7940063146079</v>
      </c>
      <c r="D141" s="9">
        <f t="shared" si="5"/>
        <v>-166229.29466421812</v>
      </c>
    </row>
    <row r="142" spans="1:4" x14ac:dyDescent="0.25">
      <c r="A142" s="31" t="s">
        <v>253</v>
      </c>
      <c r="B142" s="32">
        <v>-4687</v>
      </c>
      <c r="C142" s="93">
        <f t="shared" si="4"/>
        <v>1118.7940063146079</v>
      </c>
      <c r="D142" s="9">
        <f t="shared" si="5"/>
        <v>-2621.8937537982838</v>
      </c>
    </row>
    <row r="143" spans="1:4" x14ac:dyDescent="0.25">
      <c r="A143" s="31" t="s">
        <v>254</v>
      </c>
      <c r="B143" s="32">
        <v>-10850</v>
      </c>
      <c r="C143" s="93">
        <f t="shared" si="4"/>
        <v>1118.7940063146079</v>
      </c>
      <c r="D143" s="9">
        <f t="shared" si="5"/>
        <v>-6069.4574842567481</v>
      </c>
    </row>
    <row r="144" spans="1:4" x14ac:dyDescent="0.25">
      <c r="A144" s="31" t="s">
        <v>256</v>
      </c>
      <c r="B144" s="32">
        <v>-3013</v>
      </c>
      <c r="C144" s="93">
        <f t="shared" si="4"/>
        <v>1118.7940063146079</v>
      </c>
      <c r="D144" s="9">
        <f t="shared" si="5"/>
        <v>-1685.4631705129568</v>
      </c>
    </row>
    <row r="145" spans="1:4" x14ac:dyDescent="0.25">
      <c r="A145" s="31" t="s">
        <v>258</v>
      </c>
      <c r="B145" s="32">
        <v>-80</v>
      </c>
      <c r="C145" s="93">
        <f t="shared" si="4"/>
        <v>1118.7940063146079</v>
      </c>
      <c r="D145" s="9">
        <f t="shared" si="5"/>
        <v>-44.751760252584319</v>
      </c>
    </row>
    <row r="146" spans="1:4" x14ac:dyDescent="0.25">
      <c r="A146" s="31"/>
      <c r="B146" s="32"/>
      <c r="C146" s="8"/>
      <c r="D146" s="9"/>
    </row>
    <row r="147" spans="1:4" ht="15.75" thickBot="1" x14ac:dyDescent="0.3">
      <c r="A147" s="33"/>
      <c r="B147" s="34"/>
      <c r="C147" s="14"/>
      <c r="D147" s="15"/>
    </row>
    <row r="148" spans="1:4" ht="16.5" thickTop="1" thickBot="1" x14ac:dyDescent="0.3">
      <c r="A148" s="12"/>
      <c r="B148" s="91">
        <f>SUM(B4:B147)</f>
        <v>4408167.4979999997</v>
      </c>
      <c r="C148" s="13"/>
      <c r="D148" s="92">
        <f>SUM(D4:D147)</f>
        <v>2465915.6877966262</v>
      </c>
    </row>
  </sheetData>
  <hyperlinks>
    <hyperlink ref="D1" r:id="rId1"/>
  </hyperlinks>
  <pageMargins left="0.7" right="0.7" top="0.75" bottom="0.75" header="0.3" footer="0.3"/>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workbookViewId="0">
      <pane ySplit="1" topLeftCell="A44" activePane="bottomLeft" state="frozen"/>
      <selection activeCell="E35" sqref="E35"/>
      <selection pane="bottomLeft" activeCell="L52" sqref="L52"/>
    </sheetView>
  </sheetViews>
  <sheetFormatPr defaultRowHeight="15" x14ac:dyDescent="0.25"/>
  <cols>
    <col min="1" max="1" width="40.85546875" style="75" customWidth="1"/>
    <col min="2" max="7" width="10.85546875" customWidth="1"/>
    <col min="8" max="10" width="10.85546875" style="88" customWidth="1"/>
    <col min="11" max="11" width="10.85546875" customWidth="1"/>
    <col min="12" max="12" width="11.7109375" customWidth="1"/>
    <col min="19" max="19" width="13.140625" customWidth="1"/>
    <col min="20" max="20" width="18.28515625" bestFit="1" customWidth="1"/>
  </cols>
  <sheetData>
    <row r="1" spans="1:11" s="75" customFormat="1" ht="60" x14ac:dyDescent="0.25">
      <c r="A1" s="75" t="s">
        <v>41</v>
      </c>
      <c r="B1" s="75" t="s">
        <v>42</v>
      </c>
      <c r="C1" s="75" t="s">
        <v>43</v>
      </c>
      <c r="D1" s="75" t="s">
        <v>44</v>
      </c>
      <c r="E1" s="75" t="s">
        <v>45</v>
      </c>
      <c r="F1" s="75" t="s">
        <v>46</v>
      </c>
      <c r="G1" s="75" t="s">
        <v>47</v>
      </c>
      <c r="H1" s="76" t="s">
        <v>48</v>
      </c>
      <c r="I1" s="76" t="s">
        <v>49</v>
      </c>
      <c r="J1" s="76" t="s">
        <v>50</v>
      </c>
      <c r="K1" s="77" t="s">
        <v>51</v>
      </c>
    </row>
    <row r="2" spans="1:11" x14ac:dyDescent="0.25">
      <c r="A2" s="75" t="s">
        <v>52</v>
      </c>
      <c r="H2" s="78"/>
      <c r="I2" s="78"/>
      <c r="J2" s="78"/>
    </row>
    <row r="3" spans="1:11" x14ac:dyDescent="0.25">
      <c r="A3" s="75" t="s">
        <v>53</v>
      </c>
      <c r="B3">
        <v>43269</v>
      </c>
      <c r="C3">
        <v>260131</v>
      </c>
      <c r="D3">
        <v>2117125</v>
      </c>
      <c r="E3">
        <v>30466</v>
      </c>
      <c r="F3">
        <v>80593</v>
      </c>
      <c r="G3">
        <v>843954</v>
      </c>
      <c r="H3" s="78">
        <v>121846</v>
      </c>
      <c r="I3" s="78">
        <v>212284</v>
      </c>
      <c r="J3" s="78">
        <v>269536</v>
      </c>
      <c r="K3">
        <f>+SUM(B3:J3)</f>
        <v>3979204</v>
      </c>
    </row>
    <row r="4" spans="1:11" x14ac:dyDescent="0.25">
      <c r="A4" s="75" t="s">
        <v>54</v>
      </c>
      <c r="B4">
        <v>42522</v>
      </c>
      <c r="C4">
        <v>254183</v>
      </c>
      <c r="D4">
        <v>2079967</v>
      </c>
      <c r="E4">
        <v>30228</v>
      </c>
      <c r="F4">
        <v>79275</v>
      </c>
      <c r="G4">
        <v>831928</v>
      </c>
      <c r="H4" s="78">
        <v>120365</v>
      </c>
      <c r="I4" s="78">
        <v>208351</v>
      </c>
      <c r="J4" s="78">
        <v>265851</v>
      </c>
      <c r="K4">
        <f t="shared" ref="K4:K6" si="0">+SUM(B4:J4)</f>
        <v>3912670</v>
      </c>
    </row>
    <row r="5" spans="1:11" ht="30" x14ac:dyDescent="0.25">
      <c r="A5" s="75" t="s">
        <v>55</v>
      </c>
      <c r="B5">
        <v>40909</v>
      </c>
      <c r="C5">
        <v>251133</v>
      </c>
      <c r="D5">
        <v>1931256</v>
      </c>
      <c r="E5">
        <v>29872</v>
      </c>
      <c r="F5">
        <v>78506</v>
      </c>
      <c r="G5">
        <v>795229</v>
      </c>
      <c r="H5" s="78">
        <v>116901</v>
      </c>
      <c r="I5" s="78">
        <v>201140</v>
      </c>
      <c r="J5" s="78">
        <v>252264</v>
      </c>
      <c r="K5">
        <f t="shared" si="0"/>
        <v>3697210</v>
      </c>
    </row>
    <row r="6" spans="1:11" ht="30" x14ac:dyDescent="0.25">
      <c r="A6" s="75" t="s">
        <v>56</v>
      </c>
      <c r="B6">
        <v>40909</v>
      </c>
      <c r="C6">
        <v>251133</v>
      </c>
      <c r="D6">
        <v>1931256</v>
      </c>
      <c r="E6">
        <v>29872</v>
      </c>
      <c r="F6">
        <v>78506</v>
      </c>
      <c r="G6">
        <v>795229</v>
      </c>
      <c r="H6" s="78">
        <v>116901</v>
      </c>
      <c r="I6" s="78">
        <v>201140</v>
      </c>
      <c r="J6" s="78">
        <v>252264</v>
      </c>
      <c r="K6">
        <f t="shared" si="0"/>
        <v>3697210</v>
      </c>
    </row>
    <row r="7" spans="1:11" ht="30" x14ac:dyDescent="0.25">
      <c r="A7" s="75" t="s">
        <v>57</v>
      </c>
      <c r="B7">
        <v>5.8</v>
      </c>
      <c r="C7">
        <v>3.6</v>
      </c>
      <c r="D7">
        <v>9.6</v>
      </c>
      <c r="E7">
        <v>2</v>
      </c>
      <c r="F7">
        <v>2.7</v>
      </c>
      <c r="G7">
        <v>6.1</v>
      </c>
      <c r="H7" s="79">
        <v>4.2</v>
      </c>
      <c r="I7" s="79">
        <v>5.5</v>
      </c>
      <c r="J7" s="79">
        <v>6.8</v>
      </c>
    </row>
    <row r="8" spans="1:11" ht="30" x14ac:dyDescent="0.25">
      <c r="A8" s="75" t="s">
        <v>58</v>
      </c>
      <c r="B8">
        <v>3.9</v>
      </c>
      <c r="C8">
        <v>1.2</v>
      </c>
      <c r="D8">
        <v>7.7</v>
      </c>
      <c r="E8">
        <v>1.2</v>
      </c>
      <c r="F8">
        <v>1</v>
      </c>
      <c r="G8">
        <v>4.5999999999999996</v>
      </c>
      <c r="H8" s="79">
        <v>3</v>
      </c>
      <c r="I8" s="79">
        <v>3.6</v>
      </c>
      <c r="J8" s="79">
        <v>5.4</v>
      </c>
    </row>
    <row r="9" spans="1:11" x14ac:dyDescent="0.25">
      <c r="A9" s="75" t="s">
        <v>59</v>
      </c>
      <c r="B9">
        <v>40915</v>
      </c>
      <c r="C9">
        <v>251133</v>
      </c>
      <c r="D9">
        <v>1931249</v>
      </c>
      <c r="E9">
        <v>29872</v>
      </c>
      <c r="F9">
        <v>78506</v>
      </c>
      <c r="G9">
        <v>795225</v>
      </c>
      <c r="H9" s="78">
        <v>116901</v>
      </c>
      <c r="I9" s="78">
        <v>201140</v>
      </c>
      <c r="J9" s="78">
        <v>252264</v>
      </c>
    </row>
    <row r="10" spans="1:11" x14ac:dyDescent="0.25">
      <c r="A10" s="75" t="s">
        <v>60</v>
      </c>
      <c r="H10" s="78"/>
      <c r="I10" s="78"/>
      <c r="J10" s="78"/>
    </row>
    <row r="11" spans="1:11" ht="30" x14ac:dyDescent="0.25">
      <c r="A11" s="75" t="s">
        <v>61</v>
      </c>
      <c r="B11">
        <v>5</v>
      </c>
      <c r="C11">
        <v>5.7</v>
      </c>
      <c r="D11">
        <v>6.2</v>
      </c>
      <c r="E11">
        <v>3.3</v>
      </c>
      <c r="F11">
        <v>5.5</v>
      </c>
      <c r="G11">
        <v>6.9</v>
      </c>
      <c r="H11" s="79">
        <v>6.1</v>
      </c>
      <c r="I11" s="79">
        <v>5.5</v>
      </c>
      <c r="J11" s="79">
        <v>6.1</v>
      </c>
    </row>
    <row r="12" spans="1:11" x14ac:dyDescent="0.25">
      <c r="A12" s="75" t="s">
        <v>62</v>
      </c>
      <c r="B12">
        <v>5</v>
      </c>
      <c r="C12">
        <v>5.9</v>
      </c>
      <c r="D12">
        <v>6.2</v>
      </c>
      <c r="E12">
        <v>3.6</v>
      </c>
      <c r="F12">
        <v>5.8</v>
      </c>
      <c r="G12">
        <v>7</v>
      </c>
      <c r="H12" s="79">
        <v>6.5</v>
      </c>
      <c r="I12" s="79">
        <v>5.6</v>
      </c>
      <c r="J12" s="79">
        <v>6.1</v>
      </c>
    </row>
    <row r="13" spans="1:11" ht="30" x14ac:dyDescent="0.25">
      <c r="A13" s="75" t="s">
        <v>63</v>
      </c>
      <c r="B13">
        <v>18.100000000000001</v>
      </c>
      <c r="C13">
        <v>20.9</v>
      </c>
      <c r="D13">
        <v>21</v>
      </c>
      <c r="E13">
        <v>13.4</v>
      </c>
      <c r="F13">
        <v>18.899999999999999</v>
      </c>
      <c r="G13">
        <v>24</v>
      </c>
      <c r="H13" s="79">
        <v>22.5</v>
      </c>
      <c r="I13" s="79">
        <v>20.2</v>
      </c>
      <c r="J13" s="79">
        <v>22.1</v>
      </c>
    </row>
    <row r="14" spans="1:11" ht="30" x14ac:dyDescent="0.25">
      <c r="A14" s="75" t="s">
        <v>64</v>
      </c>
      <c r="B14">
        <v>18.3</v>
      </c>
      <c r="C14">
        <v>22.5</v>
      </c>
      <c r="D14">
        <v>21.4</v>
      </c>
      <c r="E14">
        <v>14.9</v>
      </c>
      <c r="F14">
        <v>20.8</v>
      </c>
      <c r="G14">
        <v>24.9</v>
      </c>
      <c r="H14" s="79">
        <v>23.7</v>
      </c>
      <c r="I14" s="79">
        <v>21</v>
      </c>
      <c r="J14" s="79">
        <v>23</v>
      </c>
    </row>
    <row r="15" spans="1:11" ht="30" x14ac:dyDescent="0.25">
      <c r="A15" s="75" t="s">
        <v>65</v>
      </c>
      <c r="B15">
        <v>14.6</v>
      </c>
      <c r="C15">
        <v>16.100000000000001</v>
      </c>
      <c r="D15">
        <v>12.2</v>
      </c>
      <c r="E15">
        <v>31.8</v>
      </c>
      <c r="F15">
        <v>22.5</v>
      </c>
      <c r="G15">
        <v>12.7</v>
      </c>
      <c r="H15" s="79">
        <v>18.7</v>
      </c>
      <c r="I15" s="79">
        <v>15.4</v>
      </c>
      <c r="J15" s="79">
        <v>15.2</v>
      </c>
    </row>
    <row r="16" spans="1:11" ht="30" x14ac:dyDescent="0.25">
      <c r="A16" s="75" t="s">
        <v>66</v>
      </c>
      <c r="B16">
        <v>12.7</v>
      </c>
      <c r="C16">
        <v>13.3</v>
      </c>
      <c r="D16">
        <v>10.9</v>
      </c>
      <c r="E16">
        <v>26.3</v>
      </c>
      <c r="F16">
        <v>18.399999999999999</v>
      </c>
      <c r="G16">
        <v>11</v>
      </c>
      <c r="H16" s="79">
        <v>16.100000000000001</v>
      </c>
      <c r="I16" s="79">
        <v>13.2</v>
      </c>
      <c r="J16" s="79">
        <v>13</v>
      </c>
    </row>
    <row r="17" spans="1:10" ht="30" x14ac:dyDescent="0.25">
      <c r="A17" s="75" t="s">
        <v>67</v>
      </c>
      <c r="B17">
        <v>49.7</v>
      </c>
      <c r="C17">
        <v>49.1</v>
      </c>
      <c r="D17">
        <v>50</v>
      </c>
      <c r="E17">
        <v>50.7</v>
      </c>
      <c r="F17">
        <v>50.1</v>
      </c>
      <c r="G17">
        <v>50.3</v>
      </c>
      <c r="H17" s="79">
        <v>50.4</v>
      </c>
      <c r="I17" s="79">
        <v>50.4</v>
      </c>
      <c r="J17" s="79">
        <v>50.9</v>
      </c>
    </row>
    <row r="18" spans="1:10" x14ac:dyDescent="0.25">
      <c r="A18" s="75" t="s">
        <v>68</v>
      </c>
      <c r="B18">
        <v>49.2</v>
      </c>
      <c r="C18">
        <v>49.4</v>
      </c>
      <c r="D18">
        <v>50.2</v>
      </c>
      <c r="E18">
        <v>50.5</v>
      </c>
      <c r="F18">
        <v>50.5</v>
      </c>
      <c r="G18">
        <v>50.6</v>
      </c>
      <c r="H18" s="79">
        <v>50.4</v>
      </c>
      <c r="I18" s="79">
        <v>50.5</v>
      </c>
      <c r="J18" s="79">
        <v>51.3</v>
      </c>
    </row>
    <row r="19" spans="1:10" x14ac:dyDescent="0.25">
      <c r="A19" s="75" t="s">
        <v>69</v>
      </c>
      <c r="H19" s="78"/>
      <c r="I19" s="78"/>
      <c r="J19" s="78"/>
    </row>
    <row r="20" spans="1:10" ht="30" x14ac:dyDescent="0.25">
      <c r="A20" s="75" t="s">
        <v>70</v>
      </c>
      <c r="B20">
        <v>91.9</v>
      </c>
      <c r="C20">
        <v>83.3</v>
      </c>
      <c r="D20">
        <v>70.099999999999994</v>
      </c>
      <c r="E20">
        <v>91.3</v>
      </c>
      <c r="F20">
        <v>86.3</v>
      </c>
      <c r="G20">
        <v>76.099999999999994</v>
      </c>
      <c r="H20" s="79">
        <v>90.8</v>
      </c>
      <c r="I20" s="79">
        <v>87.3</v>
      </c>
      <c r="J20" s="79">
        <v>82.9</v>
      </c>
    </row>
    <row r="21" spans="1:10" x14ac:dyDescent="0.25">
      <c r="A21" s="75" t="s">
        <v>71</v>
      </c>
      <c r="B21">
        <v>89.3</v>
      </c>
      <c r="C21">
        <v>82.6</v>
      </c>
      <c r="D21">
        <v>68.7</v>
      </c>
      <c r="E21">
        <v>91</v>
      </c>
      <c r="F21">
        <v>86.1</v>
      </c>
      <c r="G21">
        <v>74.2</v>
      </c>
      <c r="H21" s="79">
        <v>83.4</v>
      </c>
      <c r="I21" s="79">
        <v>85.4</v>
      </c>
      <c r="J21" s="79">
        <v>82.4</v>
      </c>
    </row>
    <row r="22" spans="1:10" ht="30" x14ac:dyDescent="0.25">
      <c r="A22" s="75" t="s">
        <v>72</v>
      </c>
      <c r="B22">
        <v>1.2</v>
      </c>
      <c r="C22">
        <v>2.9</v>
      </c>
      <c r="D22">
        <v>6.7</v>
      </c>
      <c r="E22">
        <v>1</v>
      </c>
      <c r="F22">
        <v>2.9</v>
      </c>
      <c r="G22">
        <v>7.4</v>
      </c>
      <c r="H22" s="79">
        <v>0.9</v>
      </c>
      <c r="I22" s="79">
        <v>1.2</v>
      </c>
      <c r="J22" s="79">
        <v>3.4</v>
      </c>
    </row>
    <row r="23" spans="1:10" ht="30" x14ac:dyDescent="0.25">
      <c r="A23" s="75" t="s">
        <v>73</v>
      </c>
      <c r="B23">
        <v>0.9</v>
      </c>
      <c r="C23">
        <v>2.6</v>
      </c>
      <c r="D23">
        <v>6.2</v>
      </c>
      <c r="E23">
        <v>0.8</v>
      </c>
      <c r="F23">
        <v>2.2000000000000002</v>
      </c>
      <c r="G23">
        <v>6.8</v>
      </c>
      <c r="H23" s="79">
        <v>0.7</v>
      </c>
      <c r="I23" s="79">
        <v>1</v>
      </c>
      <c r="J23" s="79">
        <v>2.7</v>
      </c>
    </row>
    <row r="24" spans="1:10" ht="30" x14ac:dyDescent="0.25">
      <c r="A24" s="75" t="s">
        <v>74</v>
      </c>
      <c r="B24">
        <v>1.3</v>
      </c>
      <c r="C24">
        <v>1.8</v>
      </c>
      <c r="D24">
        <v>1.1000000000000001</v>
      </c>
      <c r="E24">
        <v>2.2000000000000002</v>
      </c>
      <c r="F24">
        <v>1.1000000000000001</v>
      </c>
      <c r="G24">
        <v>1.7</v>
      </c>
      <c r="H24" s="79">
        <v>2.7</v>
      </c>
      <c r="I24" s="79">
        <v>3.2</v>
      </c>
      <c r="J24" s="79">
        <v>1.7</v>
      </c>
    </row>
    <row r="25" spans="1:10" ht="30" x14ac:dyDescent="0.25">
      <c r="A25" s="75" t="s">
        <v>75</v>
      </c>
      <c r="B25">
        <v>1</v>
      </c>
      <c r="C25">
        <v>1.6</v>
      </c>
      <c r="D25">
        <v>0.8</v>
      </c>
      <c r="E25">
        <v>2.2999999999999998</v>
      </c>
      <c r="F25">
        <v>0.8</v>
      </c>
      <c r="G25">
        <v>1.4</v>
      </c>
      <c r="H25" s="79">
        <v>2.2000000000000002</v>
      </c>
      <c r="I25" s="79">
        <v>2.8</v>
      </c>
      <c r="J25" s="79">
        <v>1.4</v>
      </c>
    </row>
    <row r="26" spans="1:10" ht="30" x14ac:dyDescent="0.25">
      <c r="A26" s="75" t="s">
        <v>76</v>
      </c>
      <c r="B26">
        <v>2.2999999999999998</v>
      </c>
      <c r="C26">
        <v>5.4</v>
      </c>
      <c r="D26">
        <v>16.399999999999999</v>
      </c>
      <c r="E26">
        <v>1.8</v>
      </c>
      <c r="F26">
        <v>4.8</v>
      </c>
      <c r="G26">
        <v>6.6</v>
      </c>
      <c r="H26" s="79">
        <v>2.2000000000000002</v>
      </c>
      <c r="I26" s="79">
        <v>4.3</v>
      </c>
      <c r="J26" s="79">
        <v>5.7</v>
      </c>
    </row>
    <row r="27" spans="1:10" x14ac:dyDescent="0.25">
      <c r="A27" s="75" t="s">
        <v>77</v>
      </c>
      <c r="B27">
        <v>2</v>
      </c>
      <c r="C27">
        <v>4.9000000000000004</v>
      </c>
      <c r="D27">
        <v>14.6</v>
      </c>
      <c r="E27">
        <v>1.6</v>
      </c>
      <c r="F27">
        <v>4.4000000000000004</v>
      </c>
      <c r="G27">
        <v>6</v>
      </c>
      <c r="H27" s="79">
        <v>1.8</v>
      </c>
      <c r="I27" s="79">
        <v>3.5</v>
      </c>
      <c r="J27" s="79">
        <v>5.2</v>
      </c>
    </row>
    <row r="28" spans="1:10" ht="30" x14ac:dyDescent="0.25">
      <c r="A28" s="75" t="s">
        <v>78</v>
      </c>
      <c r="B28">
        <v>0.2</v>
      </c>
      <c r="C28">
        <v>1</v>
      </c>
      <c r="D28">
        <v>0.8</v>
      </c>
      <c r="E28">
        <v>0.2</v>
      </c>
      <c r="F28">
        <v>0.5</v>
      </c>
      <c r="G28">
        <v>1.5</v>
      </c>
      <c r="H28" s="79">
        <v>0.3</v>
      </c>
      <c r="I28" s="79">
        <v>0.3</v>
      </c>
      <c r="J28" s="79">
        <v>1</v>
      </c>
    </row>
    <row r="29" spans="1:10" ht="30" x14ac:dyDescent="0.25">
      <c r="A29" s="75" t="s">
        <v>79</v>
      </c>
      <c r="B29">
        <v>0.1</v>
      </c>
      <c r="C29">
        <v>0.9</v>
      </c>
      <c r="D29">
        <v>0.8</v>
      </c>
      <c r="E29">
        <v>0.2</v>
      </c>
      <c r="F29">
        <v>0.5</v>
      </c>
      <c r="G29">
        <v>1.3</v>
      </c>
      <c r="H29" s="79">
        <v>0.2</v>
      </c>
      <c r="I29" s="79">
        <v>0.2</v>
      </c>
      <c r="J29" s="79">
        <v>0.8</v>
      </c>
    </row>
    <row r="30" spans="1:10" ht="30" x14ac:dyDescent="0.25">
      <c r="A30" s="75" t="s">
        <v>80</v>
      </c>
      <c r="B30">
        <v>3.2</v>
      </c>
      <c r="C30">
        <v>5.6</v>
      </c>
      <c r="D30">
        <v>4.9000000000000004</v>
      </c>
      <c r="E30">
        <v>3.4</v>
      </c>
      <c r="F30">
        <v>4.5</v>
      </c>
      <c r="G30">
        <v>6.7</v>
      </c>
      <c r="H30" s="79">
        <v>3</v>
      </c>
      <c r="I30" s="79">
        <v>3.7</v>
      </c>
      <c r="J30" s="79">
        <v>5.2</v>
      </c>
    </row>
    <row r="31" spans="1:10" x14ac:dyDescent="0.25">
      <c r="A31" s="75" t="s">
        <v>81</v>
      </c>
      <c r="B31">
        <v>3</v>
      </c>
      <c r="C31">
        <v>5.8</v>
      </c>
      <c r="D31">
        <v>5</v>
      </c>
      <c r="E31">
        <v>3.4</v>
      </c>
      <c r="F31">
        <v>4.5</v>
      </c>
      <c r="G31">
        <v>6.8</v>
      </c>
      <c r="H31" s="79">
        <v>3.2</v>
      </c>
      <c r="I31" s="79">
        <v>3.8</v>
      </c>
      <c r="J31" s="79">
        <v>5.3</v>
      </c>
    </row>
    <row r="32" spans="1:10" ht="30" x14ac:dyDescent="0.25">
      <c r="A32" s="75" t="s">
        <v>82</v>
      </c>
      <c r="B32">
        <v>8.8000000000000007</v>
      </c>
      <c r="C32">
        <v>7.2</v>
      </c>
      <c r="D32">
        <v>9.4</v>
      </c>
      <c r="E32">
        <v>3.7</v>
      </c>
      <c r="F32">
        <v>7.1</v>
      </c>
      <c r="G32">
        <v>10.199999999999999</v>
      </c>
      <c r="H32" s="79">
        <v>17.8</v>
      </c>
      <c r="I32" s="79">
        <v>8.9</v>
      </c>
      <c r="J32" s="79">
        <v>8.4</v>
      </c>
    </row>
    <row r="33" spans="1:12" x14ac:dyDescent="0.25">
      <c r="A33" s="75" t="s">
        <v>83</v>
      </c>
      <c r="B33">
        <v>7.6</v>
      </c>
      <c r="C33">
        <v>6.2</v>
      </c>
      <c r="D33">
        <v>8.9</v>
      </c>
      <c r="E33">
        <v>2.8</v>
      </c>
      <c r="F33">
        <v>5.5</v>
      </c>
      <c r="G33">
        <v>9.1999999999999993</v>
      </c>
      <c r="H33" s="79">
        <v>16.899999999999999</v>
      </c>
      <c r="I33" s="79">
        <v>7.8</v>
      </c>
      <c r="J33" s="79">
        <v>7.1</v>
      </c>
    </row>
    <row r="34" spans="1:12" ht="30" x14ac:dyDescent="0.25">
      <c r="A34" s="75" t="s">
        <v>84</v>
      </c>
      <c r="B34">
        <v>84.2</v>
      </c>
      <c r="C34">
        <v>77.7</v>
      </c>
      <c r="D34">
        <v>62.4</v>
      </c>
      <c r="E34">
        <v>88.4</v>
      </c>
      <c r="F34">
        <v>80.599999999999994</v>
      </c>
      <c r="G34">
        <v>68.400000000000006</v>
      </c>
      <c r="H34" s="79">
        <v>75.400000000000006</v>
      </c>
      <c r="I34" s="79">
        <v>79.900000000000006</v>
      </c>
      <c r="J34" s="79">
        <v>76.3</v>
      </c>
    </row>
    <row r="35" spans="1:12" ht="30" x14ac:dyDescent="0.25">
      <c r="A35" s="75" t="s">
        <v>85</v>
      </c>
      <c r="B35">
        <v>86.1</v>
      </c>
      <c r="C35">
        <v>79.099999999999994</v>
      </c>
      <c r="D35">
        <v>64.8</v>
      </c>
      <c r="E35">
        <v>89.3</v>
      </c>
      <c r="F35">
        <v>83.1</v>
      </c>
      <c r="G35">
        <v>70.3</v>
      </c>
      <c r="H35" s="79">
        <v>76.7</v>
      </c>
      <c r="I35" s="79">
        <v>81.900000000000006</v>
      </c>
      <c r="J35" s="79">
        <v>78.900000000000006</v>
      </c>
    </row>
    <row r="36" spans="1:12" x14ac:dyDescent="0.25">
      <c r="A36" s="75" t="s">
        <v>86</v>
      </c>
      <c r="H36" s="78"/>
      <c r="I36" s="78"/>
      <c r="J36" s="78"/>
    </row>
    <row r="37" spans="1:12" x14ac:dyDescent="0.25">
      <c r="A37" s="75" t="s">
        <v>87</v>
      </c>
      <c r="B37">
        <v>3699</v>
      </c>
      <c r="C37">
        <v>35134</v>
      </c>
      <c r="D37">
        <v>117855</v>
      </c>
      <c r="E37">
        <v>4330</v>
      </c>
      <c r="F37">
        <v>12634</v>
      </c>
      <c r="G37">
        <v>89025</v>
      </c>
      <c r="H37" s="78">
        <v>11377</v>
      </c>
      <c r="I37" s="78">
        <v>14187</v>
      </c>
      <c r="J37" s="78">
        <v>29076</v>
      </c>
      <c r="L37" s="89" t="s">
        <v>169</v>
      </c>
    </row>
    <row r="38" spans="1:12" x14ac:dyDescent="0.25">
      <c r="A38" s="75" t="s">
        <v>88</v>
      </c>
      <c r="B38">
        <v>6.1</v>
      </c>
      <c r="C38">
        <v>6.5</v>
      </c>
      <c r="D38">
        <v>21</v>
      </c>
      <c r="E38">
        <v>3.5</v>
      </c>
      <c r="F38">
        <v>7.1</v>
      </c>
      <c r="G38">
        <v>9.8000000000000007</v>
      </c>
      <c r="H38" s="79">
        <v>9.4</v>
      </c>
      <c r="I38" s="79">
        <v>11.1</v>
      </c>
      <c r="J38" s="79">
        <v>7.9</v>
      </c>
      <c r="L38" s="90">
        <f>+L50</f>
        <v>2.4916605913730829</v>
      </c>
    </row>
    <row r="39" spans="1:12" x14ac:dyDescent="0.25">
      <c r="A39" s="75" t="s">
        <v>89</v>
      </c>
      <c r="H39" s="78"/>
      <c r="I39" s="78"/>
      <c r="J39" s="78"/>
    </row>
    <row r="40" spans="1:12" x14ac:dyDescent="0.25">
      <c r="A40" s="75" t="s">
        <v>90</v>
      </c>
      <c r="B40">
        <v>22553</v>
      </c>
      <c r="C40">
        <v>109327</v>
      </c>
      <c r="D40">
        <v>880462</v>
      </c>
      <c r="E40">
        <v>17947</v>
      </c>
      <c r="F40">
        <v>40685</v>
      </c>
      <c r="G40">
        <v>332712</v>
      </c>
      <c r="H40" s="78">
        <v>51870</v>
      </c>
      <c r="I40" s="78">
        <v>92466</v>
      </c>
      <c r="J40" s="78">
        <v>111807</v>
      </c>
    </row>
    <row r="41" spans="1:12" x14ac:dyDescent="0.25">
      <c r="A41" s="75" t="s">
        <v>91</v>
      </c>
      <c r="B41">
        <v>21900</v>
      </c>
      <c r="C41">
        <v>107367</v>
      </c>
      <c r="D41">
        <v>851261</v>
      </c>
      <c r="E41">
        <v>17767</v>
      </c>
      <c r="F41">
        <v>40234</v>
      </c>
      <c r="G41">
        <v>325375</v>
      </c>
      <c r="H41" s="78">
        <v>51473</v>
      </c>
      <c r="I41" s="78">
        <v>90665</v>
      </c>
      <c r="J41" s="78">
        <v>108182</v>
      </c>
    </row>
    <row r="42" spans="1:12" ht="30" x14ac:dyDescent="0.25">
      <c r="A42" s="75" t="s">
        <v>92</v>
      </c>
      <c r="B42">
        <v>57.3</v>
      </c>
      <c r="C42">
        <v>66.900000000000006</v>
      </c>
      <c r="D42">
        <v>57.5</v>
      </c>
      <c r="E42">
        <v>74.7</v>
      </c>
      <c r="F42">
        <v>68.5</v>
      </c>
      <c r="G42">
        <v>61.2</v>
      </c>
      <c r="H42" s="79">
        <v>67.099999999999994</v>
      </c>
      <c r="I42" s="79">
        <v>62.6</v>
      </c>
      <c r="J42" s="79">
        <v>64.900000000000006</v>
      </c>
    </row>
    <row r="43" spans="1:12" ht="30" x14ac:dyDescent="0.25">
      <c r="A43" s="75" t="s">
        <v>93</v>
      </c>
      <c r="B43">
        <v>246000</v>
      </c>
      <c r="C43">
        <v>259000</v>
      </c>
      <c r="D43">
        <v>376200</v>
      </c>
      <c r="E43">
        <v>282400</v>
      </c>
      <c r="F43">
        <v>287600</v>
      </c>
      <c r="G43">
        <v>233800</v>
      </c>
      <c r="H43" s="78">
        <v>254900</v>
      </c>
      <c r="I43" s="78">
        <v>273000</v>
      </c>
      <c r="J43" s="78">
        <v>241300</v>
      </c>
    </row>
    <row r="44" spans="1:12" ht="30" x14ac:dyDescent="0.25">
      <c r="A44" s="75" t="s">
        <v>94</v>
      </c>
      <c r="B44">
        <v>1525</v>
      </c>
      <c r="C44">
        <v>1738</v>
      </c>
      <c r="D44">
        <v>2226</v>
      </c>
      <c r="E44">
        <v>1469</v>
      </c>
      <c r="F44">
        <v>1721</v>
      </c>
      <c r="G44">
        <v>1785</v>
      </c>
      <c r="H44" s="78">
        <v>1672</v>
      </c>
      <c r="I44" s="78">
        <v>1628</v>
      </c>
      <c r="J44" s="78">
        <v>1717</v>
      </c>
    </row>
    <row r="45" spans="1:12" ht="30" x14ac:dyDescent="0.25">
      <c r="A45" s="75" t="s">
        <v>95</v>
      </c>
      <c r="B45">
        <v>466</v>
      </c>
      <c r="C45">
        <v>514</v>
      </c>
      <c r="D45">
        <v>686</v>
      </c>
      <c r="E45">
        <v>453</v>
      </c>
      <c r="F45">
        <v>506</v>
      </c>
      <c r="G45">
        <v>545</v>
      </c>
      <c r="H45" s="78">
        <v>525</v>
      </c>
      <c r="I45" s="78">
        <v>477</v>
      </c>
      <c r="J45" s="78">
        <v>496</v>
      </c>
    </row>
    <row r="46" spans="1:12" x14ac:dyDescent="0.25">
      <c r="A46" s="75" t="s">
        <v>96</v>
      </c>
      <c r="B46">
        <v>809</v>
      </c>
      <c r="C46">
        <v>1043</v>
      </c>
      <c r="D46">
        <v>1161</v>
      </c>
      <c r="E46">
        <v>870</v>
      </c>
      <c r="F46">
        <v>1076</v>
      </c>
      <c r="G46">
        <v>1021</v>
      </c>
      <c r="H46" s="78">
        <v>961</v>
      </c>
      <c r="I46" s="78">
        <v>919</v>
      </c>
      <c r="J46" s="78">
        <v>1056</v>
      </c>
    </row>
    <row r="47" spans="1:12" x14ac:dyDescent="0.25">
      <c r="A47" s="75" t="s">
        <v>97</v>
      </c>
      <c r="B47">
        <v>283</v>
      </c>
      <c r="C47">
        <v>598</v>
      </c>
      <c r="D47">
        <v>14703</v>
      </c>
      <c r="E47">
        <v>121</v>
      </c>
      <c r="F47">
        <v>252</v>
      </c>
      <c r="G47">
        <v>3777</v>
      </c>
      <c r="H47" s="78">
        <v>274</v>
      </c>
      <c r="I47" s="78">
        <v>1007</v>
      </c>
      <c r="J47" s="78">
        <v>1003</v>
      </c>
    </row>
    <row r="48" spans="1:12" x14ac:dyDescent="0.25">
      <c r="A48" s="75" t="s">
        <v>98</v>
      </c>
      <c r="H48" s="78"/>
      <c r="I48" s="78"/>
      <c r="J48" s="78"/>
    </row>
    <row r="49" spans="1:20" x14ac:dyDescent="0.25">
      <c r="A49" s="75" t="s">
        <v>99</v>
      </c>
      <c r="B49" s="80">
        <v>16753</v>
      </c>
      <c r="C49" s="80">
        <v>97993</v>
      </c>
      <c r="D49" s="80">
        <v>808729</v>
      </c>
      <c r="E49" s="80">
        <v>13535</v>
      </c>
      <c r="F49" s="80">
        <v>32820</v>
      </c>
      <c r="G49" s="80">
        <v>301364</v>
      </c>
      <c r="H49" s="81">
        <v>45309</v>
      </c>
      <c r="I49" s="81">
        <v>79837</v>
      </c>
      <c r="J49" s="81">
        <v>101530</v>
      </c>
      <c r="K49" s="82">
        <f>+B50*B49</f>
        <v>39202.019999999997</v>
      </c>
      <c r="L49" s="82">
        <f>+C50*C49</f>
        <v>245962.43</v>
      </c>
      <c r="M49">
        <f t="shared" ref="M49:Q49" si="1">+D50*D49</f>
        <v>1973298.76</v>
      </c>
      <c r="N49">
        <f t="shared" si="1"/>
        <v>29100.25</v>
      </c>
      <c r="O49">
        <f t="shared" si="1"/>
        <v>77127</v>
      </c>
      <c r="P49">
        <f t="shared" si="1"/>
        <v>795600.96000000008</v>
      </c>
      <c r="Q49">
        <f t="shared" si="1"/>
        <v>116444.12999999999</v>
      </c>
      <c r="R49">
        <f>+I50*I49</f>
        <v>199592.5</v>
      </c>
      <c r="S49" s="82">
        <f>+J50*J49</f>
        <v>255855.6</v>
      </c>
      <c r="T49" s="82"/>
    </row>
    <row r="50" spans="1:20" x14ac:dyDescent="0.25">
      <c r="A50" s="83" t="s">
        <v>100</v>
      </c>
      <c r="B50" s="84">
        <v>2.34</v>
      </c>
      <c r="C50" s="84">
        <v>2.5099999999999998</v>
      </c>
      <c r="D50" s="84">
        <v>2.44</v>
      </c>
      <c r="E50" s="84">
        <v>2.15</v>
      </c>
      <c r="F50" s="84">
        <v>2.35</v>
      </c>
      <c r="G50" s="84">
        <v>2.64</v>
      </c>
      <c r="H50" s="85">
        <v>2.57</v>
      </c>
      <c r="I50" s="85">
        <v>2.5</v>
      </c>
      <c r="J50" s="85">
        <v>2.52</v>
      </c>
      <c r="K50" s="86">
        <f>ROUND(+AVERAGE(B50:J50),2)</f>
        <v>2.4500000000000002</v>
      </c>
      <c r="L50" s="86">
        <f>+SUM(K49:S49)/SUM(B49:J49)</f>
        <v>2.4916605913730829</v>
      </c>
      <c r="M50" s="86">
        <f>+AVERAGE(F50:J50,B50:D50)</f>
        <v>2.4837500000000001</v>
      </c>
      <c r="N50" s="86">
        <f>+SUM(K49:M49,O49:S49)/SUM(F49:J49,B49:D49)</f>
        <v>2.4947760444913043</v>
      </c>
    </row>
    <row r="51" spans="1:20" ht="30" x14ac:dyDescent="0.25">
      <c r="A51" s="75" t="s">
        <v>101</v>
      </c>
      <c r="B51">
        <v>71.3</v>
      </c>
      <c r="C51">
        <v>80.8</v>
      </c>
      <c r="D51">
        <v>81.3</v>
      </c>
      <c r="E51">
        <v>83.8</v>
      </c>
      <c r="F51">
        <v>83.2</v>
      </c>
      <c r="G51">
        <v>82.4</v>
      </c>
      <c r="H51" s="79">
        <v>83.1</v>
      </c>
      <c r="I51" s="79">
        <v>83</v>
      </c>
      <c r="J51" s="79">
        <v>81.400000000000006</v>
      </c>
      <c r="K51" t="s">
        <v>102</v>
      </c>
      <c r="L51" t="s">
        <v>103</v>
      </c>
      <c r="M51" t="s">
        <v>102</v>
      </c>
      <c r="N51" t="s">
        <v>103</v>
      </c>
    </row>
    <row r="52" spans="1:20" ht="45" x14ac:dyDescent="0.25">
      <c r="A52" s="75" t="s">
        <v>104</v>
      </c>
      <c r="B52">
        <v>8.9</v>
      </c>
      <c r="C52">
        <v>8.5</v>
      </c>
      <c r="D52">
        <v>26.4</v>
      </c>
      <c r="E52">
        <v>4.0999999999999996</v>
      </c>
      <c r="F52">
        <v>8.5</v>
      </c>
      <c r="G52">
        <v>14.8</v>
      </c>
      <c r="H52" s="79">
        <v>14.7</v>
      </c>
      <c r="I52" s="79">
        <v>12.3</v>
      </c>
      <c r="J52" s="79">
        <v>11.1</v>
      </c>
      <c r="M52" t="s">
        <v>105</v>
      </c>
    </row>
    <row r="53" spans="1:20" x14ac:dyDescent="0.25">
      <c r="A53" s="75" t="s">
        <v>106</v>
      </c>
      <c r="H53" s="78"/>
      <c r="I53" s="78"/>
      <c r="J53" s="78"/>
    </row>
    <row r="54" spans="1:20" ht="30" x14ac:dyDescent="0.25">
      <c r="A54" s="75" t="s">
        <v>107</v>
      </c>
      <c r="B54">
        <v>90.9</v>
      </c>
      <c r="C54">
        <v>94.1</v>
      </c>
      <c r="D54">
        <v>92.1</v>
      </c>
      <c r="E54">
        <v>94.4</v>
      </c>
      <c r="F54">
        <v>94.9</v>
      </c>
      <c r="G54">
        <v>90.5</v>
      </c>
      <c r="H54" s="79">
        <v>88.2</v>
      </c>
      <c r="I54" s="79">
        <v>91</v>
      </c>
      <c r="J54" s="79">
        <v>93.6</v>
      </c>
    </row>
    <row r="55" spans="1:20" ht="30" x14ac:dyDescent="0.25">
      <c r="A55" s="75" t="s">
        <v>108</v>
      </c>
      <c r="B55">
        <v>34</v>
      </c>
      <c r="C55">
        <v>30</v>
      </c>
      <c r="D55">
        <v>47.1</v>
      </c>
      <c r="E55">
        <v>37.299999999999997</v>
      </c>
      <c r="F55">
        <v>31.7</v>
      </c>
      <c r="G55">
        <v>24.2</v>
      </c>
      <c r="H55" s="79">
        <v>24.5</v>
      </c>
      <c r="I55" s="79">
        <v>32.4</v>
      </c>
      <c r="J55" s="79">
        <v>32.9</v>
      </c>
    </row>
    <row r="56" spans="1:20" x14ac:dyDescent="0.25">
      <c r="A56" s="75" t="s">
        <v>109</v>
      </c>
      <c r="H56" s="78"/>
      <c r="I56" s="78"/>
      <c r="J56" s="78"/>
    </row>
    <row r="57" spans="1:20" ht="30" x14ac:dyDescent="0.25">
      <c r="A57" s="75" t="s">
        <v>110</v>
      </c>
      <c r="B57">
        <v>9.1</v>
      </c>
      <c r="C57">
        <v>11.4</v>
      </c>
      <c r="D57">
        <v>6.4</v>
      </c>
      <c r="E57">
        <v>13.3</v>
      </c>
      <c r="F57">
        <v>9.4</v>
      </c>
      <c r="G57">
        <v>9.8000000000000007</v>
      </c>
      <c r="H57" s="79">
        <v>9.5</v>
      </c>
      <c r="I57" s="79">
        <v>9.4</v>
      </c>
      <c r="J57" s="79">
        <v>8.4</v>
      </c>
    </row>
    <row r="58" spans="1:20" ht="30" x14ac:dyDescent="0.25">
      <c r="A58" s="75" t="s">
        <v>111</v>
      </c>
      <c r="B58">
        <v>19.3</v>
      </c>
      <c r="C58">
        <v>13.6</v>
      </c>
      <c r="D58">
        <v>13.7</v>
      </c>
      <c r="E58">
        <v>17.899999999999999</v>
      </c>
      <c r="F58">
        <v>14.3</v>
      </c>
      <c r="G58">
        <v>14.8</v>
      </c>
      <c r="H58" s="79">
        <v>18.600000000000001</v>
      </c>
      <c r="I58" s="79">
        <v>18.7</v>
      </c>
      <c r="J58" s="79">
        <v>13.9</v>
      </c>
    </row>
    <row r="59" spans="1:20" x14ac:dyDescent="0.25">
      <c r="A59" s="75" t="s">
        <v>112</v>
      </c>
      <c r="H59" s="78"/>
      <c r="I59" s="78"/>
      <c r="J59" s="78"/>
    </row>
    <row r="60" spans="1:20" ht="30" x14ac:dyDescent="0.25">
      <c r="A60" s="75" t="s">
        <v>113</v>
      </c>
      <c r="B60">
        <v>60.8</v>
      </c>
      <c r="C60">
        <v>57.4</v>
      </c>
      <c r="D60">
        <v>69.400000000000006</v>
      </c>
      <c r="E60">
        <v>47.8</v>
      </c>
      <c r="F60">
        <v>54.3</v>
      </c>
      <c r="G60">
        <v>62.5</v>
      </c>
      <c r="H60" s="79">
        <v>58.9</v>
      </c>
      <c r="I60" s="79">
        <v>63.3</v>
      </c>
      <c r="J60" s="79">
        <v>62.1</v>
      </c>
    </row>
    <row r="61" spans="1:20" ht="30" x14ac:dyDescent="0.25">
      <c r="A61" s="75" t="s">
        <v>114</v>
      </c>
      <c r="B61">
        <v>57.2</v>
      </c>
      <c r="C61">
        <v>54.9</v>
      </c>
      <c r="D61">
        <v>63.4</v>
      </c>
      <c r="E61">
        <v>46.1</v>
      </c>
      <c r="F61">
        <v>52.4</v>
      </c>
      <c r="G61">
        <v>58.7</v>
      </c>
      <c r="H61" s="79">
        <v>53.8</v>
      </c>
      <c r="I61" s="79">
        <v>58.2</v>
      </c>
      <c r="J61" s="79">
        <v>59.5</v>
      </c>
    </row>
    <row r="62" spans="1:20" ht="30" x14ac:dyDescent="0.25">
      <c r="A62" s="75" t="s">
        <v>115</v>
      </c>
      <c r="B62">
        <v>101409</v>
      </c>
      <c r="C62">
        <v>425981</v>
      </c>
      <c r="D62">
        <v>6223768</v>
      </c>
      <c r="E62">
        <v>44908</v>
      </c>
      <c r="F62" t="s">
        <v>116</v>
      </c>
      <c r="G62">
        <v>1362981</v>
      </c>
      <c r="H62" s="78">
        <v>291510</v>
      </c>
      <c r="I62" s="78">
        <v>492949</v>
      </c>
      <c r="J62" s="78">
        <v>419185</v>
      </c>
    </row>
    <row r="63" spans="1:20" ht="30" x14ac:dyDescent="0.25">
      <c r="A63" s="75" t="s">
        <v>117</v>
      </c>
      <c r="B63">
        <v>114895</v>
      </c>
      <c r="C63">
        <v>1272843</v>
      </c>
      <c r="D63">
        <v>17719220</v>
      </c>
      <c r="E63">
        <v>127340</v>
      </c>
      <c r="F63">
        <v>228308</v>
      </c>
      <c r="G63">
        <v>5369260</v>
      </c>
      <c r="H63" s="78">
        <v>700349</v>
      </c>
      <c r="I63" s="78">
        <v>1026198</v>
      </c>
      <c r="J63" s="78">
        <v>1584793</v>
      </c>
    </row>
    <row r="64" spans="1:20" ht="30" x14ac:dyDescent="0.25">
      <c r="A64" s="75" t="s">
        <v>118</v>
      </c>
      <c r="B64" t="s">
        <v>116</v>
      </c>
      <c r="C64">
        <v>328168</v>
      </c>
      <c r="D64" t="s">
        <v>116</v>
      </c>
      <c r="E64" t="s">
        <v>116</v>
      </c>
      <c r="F64">
        <v>125716</v>
      </c>
      <c r="G64">
        <v>4461036</v>
      </c>
      <c r="H64" s="78">
        <v>11529427</v>
      </c>
      <c r="I64" s="78">
        <v>14932180</v>
      </c>
      <c r="J64" s="78">
        <v>910527</v>
      </c>
    </row>
    <row r="65" spans="1:10" ht="30" x14ac:dyDescent="0.25">
      <c r="A65" s="75" t="s">
        <v>119</v>
      </c>
      <c r="B65">
        <v>398681</v>
      </c>
      <c r="C65">
        <v>407880</v>
      </c>
      <c r="D65">
        <v>42092462</v>
      </c>
      <c r="E65" t="s">
        <v>116</v>
      </c>
      <c r="F65">
        <v>57537</v>
      </c>
      <c r="G65">
        <v>7705621</v>
      </c>
      <c r="H65" s="78">
        <v>793543</v>
      </c>
      <c r="I65" s="78" t="s">
        <v>116</v>
      </c>
      <c r="J65" s="78">
        <v>1252014</v>
      </c>
    </row>
    <row r="66" spans="1:10" x14ac:dyDescent="0.25">
      <c r="A66" s="75" t="s">
        <v>120</v>
      </c>
      <c r="B66">
        <v>515984</v>
      </c>
      <c r="C66">
        <v>2674165</v>
      </c>
      <c r="D66">
        <v>61598157</v>
      </c>
      <c r="E66">
        <v>209854</v>
      </c>
      <c r="F66">
        <v>456279</v>
      </c>
      <c r="G66">
        <v>10114397</v>
      </c>
      <c r="H66" s="78">
        <v>1999168</v>
      </c>
      <c r="I66" s="78">
        <v>3103604</v>
      </c>
      <c r="J66" s="78">
        <v>3330812</v>
      </c>
    </row>
    <row r="67" spans="1:10" x14ac:dyDescent="0.25">
      <c r="A67" s="75" t="s">
        <v>121</v>
      </c>
      <c r="B67">
        <v>12382</v>
      </c>
      <c r="C67">
        <v>10487</v>
      </c>
      <c r="D67">
        <v>30685</v>
      </c>
      <c r="E67">
        <v>7029</v>
      </c>
      <c r="F67">
        <v>5763</v>
      </c>
      <c r="G67">
        <v>12461</v>
      </c>
      <c r="H67" s="78">
        <v>16910</v>
      </c>
      <c r="I67" s="78">
        <v>15120</v>
      </c>
      <c r="J67" s="78">
        <v>12894</v>
      </c>
    </row>
    <row r="68" spans="1:10" x14ac:dyDescent="0.25">
      <c r="A68" s="75" t="s">
        <v>122</v>
      </c>
      <c r="H68" s="78"/>
      <c r="I68" s="78"/>
      <c r="J68" s="78"/>
    </row>
    <row r="69" spans="1:10" ht="30" x14ac:dyDescent="0.25">
      <c r="A69" s="75" t="s">
        <v>123</v>
      </c>
      <c r="B69">
        <v>22.1</v>
      </c>
      <c r="C69">
        <v>29.9</v>
      </c>
      <c r="D69">
        <v>27.4</v>
      </c>
      <c r="E69">
        <v>22.7</v>
      </c>
      <c r="F69">
        <v>27.7</v>
      </c>
      <c r="G69">
        <v>29</v>
      </c>
      <c r="H69" s="79">
        <v>25</v>
      </c>
      <c r="I69" s="79">
        <v>20.8</v>
      </c>
      <c r="J69" s="79">
        <v>24.6</v>
      </c>
    </row>
    <row r="70" spans="1:10" x14ac:dyDescent="0.25">
      <c r="A70" s="75" t="s">
        <v>124</v>
      </c>
      <c r="H70" s="78"/>
      <c r="I70" s="78"/>
      <c r="J70" s="78"/>
    </row>
    <row r="71" spans="1:10" ht="30" x14ac:dyDescent="0.25">
      <c r="A71" s="75" t="s">
        <v>125</v>
      </c>
      <c r="B71">
        <v>45406</v>
      </c>
      <c r="C71">
        <v>62473</v>
      </c>
      <c r="D71">
        <v>73035</v>
      </c>
      <c r="E71">
        <v>47202</v>
      </c>
      <c r="F71">
        <v>59107</v>
      </c>
      <c r="G71">
        <v>59711</v>
      </c>
      <c r="H71" s="78">
        <v>54917</v>
      </c>
      <c r="I71" s="78">
        <v>53025</v>
      </c>
      <c r="J71" s="78">
        <v>62286</v>
      </c>
    </row>
    <row r="72" spans="1:10" ht="30" x14ac:dyDescent="0.25">
      <c r="A72" s="75" t="s">
        <v>126</v>
      </c>
      <c r="B72">
        <v>23754</v>
      </c>
      <c r="C72">
        <v>31901</v>
      </c>
      <c r="D72">
        <v>40656</v>
      </c>
      <c r="E72">
        <v>28607</v>
      </c>
      <c r="F72">
        <v>31563</v>
      </c>
      <c r="G72">
        <v>28571</v>
      </c>
      <c r="H72" s="78">
        <v>27598</v>
      </c>
      <c r="I72" s="78">
        <v>26671</v>
      </c>
      <c r="J72" s="78">
        <v>29909</v>
      </c>
    </row>
    <row r="73" spans="1:10" x14ac:dyDescent="0.25">
      <c r="A73" s="75" t="s">
        <v>127</v>
      </c>
      <c r="B73">
        <v>18.600000000000001</v>
      </c>
      <c r="C73">
        <v>11.2</v>
      </c>
      <c r="D73">
        <v>11.3</v>
      </c>
      <c r="E73">
        <v>14.1</v>
      </c>
      <c r="F73">
        <v>10.3</v>
      </c>
      <c r="G73">
        <v>13.1</v>
      </c>
      <c r="H73" s="79">
        <v>15.7</v>
      </c>
      <c r="I73" s="79">
        <v>15.7</v>
      </c>
      <c r="J73" s="79">
        <v>11.9</v>
      </c>
    </row>
    <row r="74" spans="1:10" x14ac:dyDescent="0.25">
      <c r="A74" s="75" t="s">
        <v>128</v>
      </c>
      <c r="B74" t="s">
        <v>42</v>
      </c>
      <c r="C74" t="s">
        <v>43</v>
      </c>
      <c r="D74" t="s">
        <v>44</v>
      </c>
      <c r="E74" t="s">
        <v>45</v>
      </c>
      <c r="F74" t="s">
        <v>46</v>
      </c>
      <c r="G74" t="s">
        <v>47</v>
      </c>
      <c r="H74" s="78" t="s">
        <v>48</v>
      </c>
      <c r="I74" s="78" t="s">
        <v>49</v>
      </c>
      <c r="J74" s="78" t="s">
        <v>50</v>
      </c>
    </row>
    <row r="75" spans="1:10" x14ac:dyDescent="0.25">
      <c r="A75" s="75" t="s">
        <v>129</v>
      </c>
      <c r="B75">
        <v>1149</v>
      </c>
      <c r="C75">
        <v>5598</v>
      </c>
      <c r="D75">
        <v>64171</v>
      </c>
      <c r="E75">
        <v>1028</v>
      </c>
      <c r="F75">
        <v>1687</v>
      </c>
      <c r="G75">
        <v>16584</v>
      </c>
      <c r="H75" s="78">
        <v>3351</v>
      </c>
      <c r="I75" s="78">
        <v>6218</v>
      </c>
      <c r="J75" s="78">
        <v>5840</v>
      </c>
    </row>
    <row r="76" spans="1:10" x14ac:dyDescent="0.25">
      <c r="A76" s="75" t="s">
        <v>130</v>
      </c>
      <c r="B76">
        <v>10225</v>
      </c>
      <c r="C76">
        <v>55664</v>
      </c>
      <c r="D76">
        <v>1051249</v>
      </c>
      <c r="E76">
        <v>6365</v>
      </c>
      <c r="F76">
        <v>11378</v>
      </c>
      <c r="G76">
        <v>227238</v>
      </c>
      <c r="H76" s="78">
        <v>38170</v>
      </c>
      <c r="I76" s="78">
        <v>69793</v>
      </c>
      <c r="J76" s="78">
        <v>64870</v>
      </c>
    </row>
    <row r="77" spans="1:10" x14ac:dyDescent="0.25">
      <c r="A77" s="75" t="s">
        <v>131</v>
      </c>
      <c r="B77">
        <v>281816</v>
      </c>
      <c r="C77">
        <v>2046682</v>
      </c>
      <c r="D77">
        <v>71031270</v>
      </c>
      <c r="E77">
        <v>217236</v>
      </c>
      <c r="F77">
        <v>369882</v>
      </c>
      <c r="G77">
        <v>9435476</v>
      </c>
      <c r="H77" s="78">
        <v>1585357</v>
      </c>
      <c r="I77" s="78">
        <v>2803487</v>
      </c>
      <c r="J77" s="78">
        <v>2428398</v>
      </c>
    </row>
    <row r="78" spans="1:10" ht="30" x14ac:dyDescent="0.25">
      <c r="A78" s="75" t="s">
        <v>132</v>
      </c>
      <c r="B78">
        <v>4.5999999999999996</v>
      </c>
      <c r="C78">
        <v>0.8</v>
      </c>
      <c r="D78">
        <v>3.3</v>
      </c>
      <c r="E78">
        <v>-0.6</v>
      </c>
      <c r="F78" t="s">
        <v>133</v>
      </c>
      <c r="G78">
        <v>1.9</v>
      </c>
      <c r="H78" s="79">
        <v>3.1</v>
      </c>
      <c r="I78" s="79">
        <v>1.4</v>
      </c>
      <c r="J78" s="79">
        <v>0.3</v>
      </c>
    </row>
    <row r="79" spans="1:10" x14ac:dyDescent="0.25">
      <c r="A79" s="75" t="s">
        <v>134</v>
      </c>
      <c r="B79">
        <v>2363</v>
      </c>
      <c r="C79">
        <v>13526</v>
      </c>
      <c r="D79">
        <v>151561</v>
      </c>
      <c r="E79">
        <v>2975</v>
      </c>
      <c r="F79">
        <v>5613</v>
      </c>
      <c r="G79">
        <v>38934</v>
      </c>
      <c r="H79" s="78">
        <v>7287</v>
      </c>
      <c r="I79" s="78">
        <v>14229</v>
      </c>
      <c r="J79" s="78">
        <v>13931</v>
      </c>
    </row>
    <row r="80" spans="1:10" x14ac:dyDescent="0.25">
      <c r="A80" s="75" t="s">
        <v>135</v>
      </c>
      <c r="B80">
        <v>3128</v>
      </c>
      <c r="C80">
        <v>18206</v>
      </c>
      <c r="D80">
        <v>201404</v>
      </c>
      <c r="E80">
        <v>4347</v>
      </c>
      <c r="F80">
        <v>7083</v>
      </c>
      <c r="G80">
        <v>50503</v>
      </c>
      <c r="H80" s="78">
        <v>9505</v>
      </c>
      <c r="I80" s="78">
        <v>18054</v>
      </c>
      <c r="J80" s="78">
        <v>18842</v>
      </c>
    </row>
    <row r="81" spans="1:10" x14ac:dyDescent="0.25">
      <c r="A81" s="75" t="s">
        <v>136</v>
      </c>
      <c r="B81">
        <v>1248</v>
      </c>
      <c r="C81">
        <v>7934</v>
      </c>
      <c r="D81">
        <v>100912</v>
      </c>
      <c r="E81">
        <v>1883</v>
      </c>
      <c r="F81">
        <v>2966</v>
      </c>
      <c r="G81">
        <v>23389</v>
      </c>
      <c r="H81" s="78">
        <v>4460</v>
      </c>
      <c r="I81" s="78">
        <v>8898</v>
      </c>
      <c r="J81" s="78">
        <v>8970</v>
      </c>
    </row>
    <row r="82" spans="1:10" x14ac:dyDescent="0.25">
      <c r="A82" s="75" t="s">
        <v>137</v>
      </c>
      <c r="B82">
        <v>1029</v>
      </c>
      <c r="C82">
        <v>6698</v>
      </c>
      <c r="D82">
        <v>71005</v>
      </c>
      <c r="E82">
        <v>1608</v>
      </c>
      <c r="F82">
        <v>2788</v>
      </c>
      <c r="G82">
        <v>18469</v>
      </c>
      <c r="H82" s="78">
        <v>2889</v>
      </c>
      <c r="I82" s="78">
        <v>5810</v>
      </c>
      <c r="J82" s="78">
        <v>6797</v>
      </c>
    </row>
    <row r="83" spans="1:10" x14ac:dyDescent="0.25">
      <c r="A83" s="75" t="s">
        <v>138</v>
      </c>
      <c r="B83">
        <v>153</v>
      </c>
      <c r="C83">
        <v>1947</v>
      </c>
      <c r="D83">
        <v>45508</v>
      </c>
      <c r="E83">
        <v>173</v>
      </c>
      <c r="F83">
        <v>520</v>
      </c>
      <c r="G83">
        <v>9316</v>
      </c>
      <c r="H83" s="78">
        <v>1028</v>
      </c>
      <c r="I83" s="78">
        <v>1802</v>
      </c>
      <c r="J83" s="78">
        <v>2758</v>
      </c>
    </row>
    <row r="84" spans="1:10" x14ac:dyDescent="0.25">
      <c r="A84" s="75" t="s">
        <v>139</v>
      </c>
      <c r="B84">
        <v>2832</v>
      </c>
      <c r="C84">
        <v>15307</v>
      </c>
      <c r="D84">
        <v>145726</v>
      </c>
      <c r="E84">
        <v>4041</v>
      </c>
      <c r="F84">
        <v>6128</v>
      </c>
      <c r="G84">
        <v>38961</v>
      </c>
      <c r="H84" s="78">
        <v>8059</v>
      </c>
      <c r="I84" s="78">
        <v>15340</v>
      </c>
      <c r="J84" s="78">
        <v>15115</v>
      </c>
    </row>
    <row r="85" spans="1:10" x14ac:dyDescent="0.25">
      <c r="A85" s="75" t="s">
        <v>140</v>
      </c>
      <c r="B85">
        <v>232</v>
      </c>
      <c r="C85">
        <v>2015</v>
      </c>
      <c r="D85">
        <v>15016</v>
      </c>
      <c r="E85">
        <v>444</v>
      </c>
      <c r="F85">
        <v>905</v>
      </c>
      <c r="G85">
        <v>5147</v>
      </c>
      <c r="H85" s="78">
        <v>845</v>
      </c>
      <c r="I85" s="78">
        <v>1751</v>
      </c>
      <c r="J85" s="78">
        <v>2288</v>
      </c>
    </row>
    <row r="86" spans="1:10" x14ac:dyDescent="0.25">
      <c r="A86" s="75" t="s">
        <v>141</v>
      </c>
      <c r="B86">
        <v>2626</v>
      </c>
      <c r="C86">
        <v>14716</v>
      </c>
      <c r="D86">
        <v>175951</v>
      </c>
      <c r="E86">
        <v>3639</v>
      </c>
      <c r="F86">
        <v>5639</v>
      </c>
      <c r="G86">
        <v>42005</v>
      </c>
      <c r="H86" s="78">
        <v>7902</v>
      </c>
      <c r="I86" s="78">
        <v>15060</v>
      </c>
      <c r="J86" s="78">
        <v>15225</v>
      </c>
    </row>
    <row r="87" spans="1:10" x14ac:dyDescent="0.25">
      <c r="A87" s="75" t="s">
        <v>142</v>
      </c>
      <c r="B87" t="s">
        <v>42</v>
      </c>
      <c r="C87" t="s">
        <v>43</v>
      </c>
      <c r="D87" t="s">
        <v>44</v>
      </c>
      <c r="E87" t="s">
        <v>45</v>
      </c>
      <c r="F87" t="s">
        <v>46</v>
      </c>
      <c r="G87" t="s">
        <v>47</v>
      </c>
      <c r="H87" s="78" t="s">
        <v>48</v>
      </c>
      <c r="I87" s="78" t="s">
        <v>49</v>
      </c>
      <c r="J87" s="78" t="s">
        <v>50</v>
      </c>
    </row>
    <row r="88" spans="1:10" x14ac:dyDescent="0.25">
      <c r="A88" s="75" t="s">
        <v>143</v>
      </c>
      <c r="B88">
        <v>17.8</v>
      </c>
      <c r="C88">
        <v>635.9</v>
      </c>
      <c r="D88">
        <v>912.9</v>
      </c>
      <c r="E88">
        <v>16.600000000000001</v>
      </c>
      <c r="F88">
        <v>376.6</v>
      </c>
      <c r="G88">
        <v>476.3</v>
      </c>
      <c r="H88" s="79">
        <v>67.5</v>
      </c>
      <c r="I88" s="79">
        <v>95.5</v>
      </c>
      <c r="J88" s="79">
        <v>349.4</v>
      </c>
    </row>
    <row r="89" spans="1:10" x14ac:dyDescent="0.25">
      <c r="A89" s="75" t="s">
        <v>144</v>
      </c>
      <c r="B89">
        <v>2297.27</v>
      </c>
      <c r="C89">
        <v>394.94</v>
      </c>
      <c r="D89">
        <v>2115.5700000000002</v>
      </c>
      <c r="E89">
        <v>1803.7</v>
      </c>
      <c r="F89">
        <v>208.45</v>
      </c>
      <c r="G89">
        <v>1669.51</v>
      </c>
      <c r="H89" s="87">
        <v>1731.2</v>
      </c>
      <c r="I89" s="87">
        <v>2106.86</v>
      </c>
      <c r="J89" s="87">
        <v>721.96</v>
      </c>
    </row>
    <row r="90" spans="1:10" x14ac:dyDescent="0.25">
      <c r="A90" s="75" t="s">
        <v>145</v>
      </c>
      <c r="B90" t="s">
        <v>146</v>
      </c>
      <c r="C90" t="s">
        <v>147</v>
      </c>
      <c r="D90" t="s">
        <v>148</v>
      </c>
      <c r="E90" t="s">
        <v>149</v>
      </c>
      <c r="F90" t="s">
        <v>150</v>
      </c>
      <c r="G90" t="s">
        <v>151</v>
      </c>
      <c r="H90" s="78" t="s">
        <v>152</v>
      </c>
      <c r="I90" s="78" t="s">
        <v>153</v>
      </c>
      <c r="J90" s="78" t="s">
        <v>154</v>
      </c>
    </row>
    <row r="91" spans="1:10" x14ac:dyDescent="0.25">
      <c r="H91" s="78"/>
      <c r="I91" s="78"/>
      <c r="J91" s="78"/>
    </row>
    <row r="92" spans="1:10" ht="45" x14ac:dyDescent="0.25">
      <c r="A92" s="75" t="s">
        <v>155</v>
      </c>
      <c r="H92" s="78"/>
      <c r="I92" s="78"/>
      <c r="J92" s="78"/>
    </row>
    <row r="93" spans="1:10" x14ac:dyDescent="0.25">
      <c r="H93" s="78"/>
      <c r="I93" s="78"/>
      <c r="J93" s="78"/>
    </row>
    <row r="94" spans="1:10" ht="150" x14ac:dyDescent="0.25">
      <c r="A94" s="75" t="s">
        <v>156</v>
      </c>
      <c r="H94" s="78"/>
      <c r="I94" s="78"/>
      <c r="J94" s="78"/>
    </row>
    <row r="95" spans="1:10" x14ac:dyDescent="0.25">
      <c r="H95" s="78"/>
      <c r="I95" s="78"/>
      <c r="J95" s="78"/>
    </row>
    <row r="96" spans="1:10" ht="60" x14ac:dyDescent="0.25">
      <c r="A96" s="75" t="s">
        <v>157</v>
      </c>
      <c r="H96" s="78"/>
      <c r="I96" s="78"/>
      <c r="J96" s="78"/>
    </row>
    <row r="97" spans="1:10" x14ac:dyDescent="0.25">
      <c r="H97" s="78"/>
      <c r="I97" s="78"/>
      <c r="J97" s="78"/>
    </row>
    <row r="98" spans="1:10" x14ac:dyDescent="0.25">
      <c r="A98" s="75" t="s">
        <v>158</v>
      </c>
      <c r="H98" s="78"/>
      <c r="I98" s="78"/>
      <c r="J98" s="78"/>
    </row>
    <row r="99" spans="1:10" ht="30" x14ac:dyDescent="0.25">
      <c r="A99" s="75" t="s">
        <v>159</v>
      </c>
      <c r="H99" s="78"/>
      <c r="I99" s="78"/>
      <c r="J99" s="78"/>
    </row>
    <row r="100" spans="1:10" ht="45" x14ac:dyDescent="0.25">
      <c r="A100" s="75" t="s">
        <v>160</v>
      </c>
      <c r="H100" s="78"/>
      <c r="I100" s="78"/>
      <c r="J100" s="78"/>
    </row>
    <row r="101" spans="1:10" x14ac:dyDescent="0.25">
      <c r="H101" s="78"/>
      <c r="I101" s="78"/>
      <c r="J101" s="78"/>
    </row>
    <row r="102" spans="1:10" ht="30" x14ac:dyDescent="0.25">
      <c r="A102" s="75" t="s">
        <v>161</v>
      </c>
      <c r="H102" s="78"/>
      <c r="I102" s="78"/>
      <c r="J102" s="78"/>
    </row>
    <row r="103" spans="1:10" x14ac:dyDescent="0.25">
      <c r="A103" s="75" t="s">
        <v>162</v>
      </c>
      <c r="H103" s="78"/>
      <c r="I103" s="78"/>
      <c r="J103" s="78"/>
    </row>
    <row r="104" spans="1:10" x14ac:dyDescent="0.25">
      <c r="A104" s="75" t="s">
        <v>163</v>
      </c>
      <c r="H104" s="78"/>
      <c r="I104" s="78"/>
      <c r="J104" s="78"/>
    </row>
    <row r="105" spans="1:10" x14ac:dyDescent="0.25">
      <c r="A105" s="75" t="s">
        <v>164</v>
      </c>
      <c r="H105" s="78"/>
      <c r="I105" s="78"/>
      <c r="J105" s="78"/>
    </row>
    <row r="106" spans="1:10" ht="30" x14ac:dyDescent="0.25">
      <c r="A106" s="75" t="s">
        <v>165</v>
      </c>
      <c r="H106" s="78"/>
      <c r="I106" s="78"/>
      <c r="J106" s="78"/>
    </row>
    <row r="107" spans="1:10" x14ac:dyDescent="0.25">
      <c r="A107" s="75" t="s">
        <v>166</v>
      </c>
      <c r="H107" s="78"/>
      <c r="I107" s="78"/>
      <c r="J107" s="78"/>
    </row>
    <row r="108" spans="1:10" ht="30" x14ac:dyDescent="0.25">
      <c r="A108" s="75" t="s">
        <v>167</v>
      </c>
      <c r="H108" s="78"/>
      <c r="I108" s="78"/>
      <c r="J108" s="78"/>
    </row>
    <row r="109" spans="1:10" x14ac:dyDescent="0.25">
      <c r="H109" s="78"/>
      <c r="I109" s="78"/>
      <c r="J109" s="78"/>
    </row>
    <row r="110" spans="1:10" ht="150" x14ac:dyDescent="0.25">
      <c r="A110" s="75" t="s">
        <v>168</v>
      </c>
      <c r="H110" s="78"/>
      <c r="I110" s="78"/>
      <c r="J110" s="78"/>
    </row>
    <row r="111" spans="1:10" x14ac:dyDescent="0.25">
      <c r="H111" s="78"/>
      <c r="I111" s="78"/>
      <c r="J111" s="78"/>
    </row>
    <row r="112" spans="1:10" x14ac:dyDescent="0.25">
      <c r="H112" s="78"/>
      <c r="I112" s="78"/>
      <c r="J112" s="78"/>
    </row>
    <row r="113" spans="8:10" x14ac:dyDescent="0.25">
      <c r="H113" s="78"/>
      <c r="I113" s="78"/>
      <c r="J113" s="78"/>
    </row>
    <row r="114" spans="8:10" x14ac:dyDescent="0.25">
      <c r="H114" s="78"/>
      <c r="I114" s="78"/>
      <c r="J114" s="78"/>
    </row>
    <row r="115" spans="8:10" x14ac:dyDescent="0.25">
      <c r="H115" s="78"/>
      <c r="I115" s="78"/>
      <c r="J115" s="78"/>
    </row>
    <row r="116" spans="8:10" x14ac:dyDescent="0.25">
      <c r="H116" s="78"/>
      <c r="I116" s="78"/>
      <c r="J116" s="78"/>
    </row>
    <row r="117" spans="8:10" x14ac:dyDescent="0.25">
      <c r="H117" s="78"/>
      <c r="I117" s="78"/>
      <c r="J117" s="78"/>
    </row>
    <row r="118" spans="8:10" x14ac:dyDescent="0.25">
      <c r="H118" s="78"/>
      <c r="I118" s="78"/>
      <c r="J118" s="78"/>
    </row>
    <row r="119" spans="8:10" x14ac:dyDescent="0.25">
      <c r="H119" s="78"/>
      <c r="I119" s="78"/>
      <c r="J119" s="78"/>
    </row>
    <row r="120" spans="8:10" x14ac:dyDescent="0.25">
      <c r="H120" s="78"/>
      <c r="I120" s="78"/>
      <c r="J120" s="78"/>
    </row>
  </sheetData>
  <printOptions headings="1" gridLines="1"/>
  <pageMargins left="0.7" right="0.7" top="0.75" bottom="0.75" header="0.3" footer="0.3"/>
  <pageSetup scale="27" orientation="portrait" r:id="rId1"/>
  <colBreaks count="1" manualBreakCount="1">
    <brk id="10"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21"/>
  <sheetViews>
    <sheetView topLeftCell="A19" workbookViewId="0">
      <selection activeCell="M51" sqref="M51"/>
    </sheetView>
  </sheetViews>
  <sheetFormatPr defaultColWidth="8.85546875" defaultRowHeight="12.75" x14ac:dyDescent="0.2"/>
  <cols>
    <col min="1" max="1" width="8.85546875" style="100"/>
    <col min="2" max="2" width="50.7109375" style="100" customWidth="1"/>
    <col min="3" max="3" width="9.140625" style="100" customWidth="1"/>
    <col min="4" max="4" width="20" style="100" customWidth="1"/>
    <col min="5" max="8" width="9.140625" style="100" customWidth="1"/>
    <col min="9" max="10" width="9.140625" style="101" customWidth="1"/>
    <col min="11" max="11" width="8.85546875" style="100"/>
    <col min="12" max="13" width="11.140625" style="100" bestFit="1" customWidth="1"/>
    <col min="14" max="16384" width="8.85546875" style="100"/>
  </cols>
  <sheetData>
    <row r="2" spans="2:12" s="102" customFormat="1" x14ac:dyDescent="0.2">
      <c r="B2" s="102" t="s">
        <v>41</v>
      </c>
      <c r="C2" s="102" t="s">
        <v>48</v>
      </c>
      <c r="D2" s="102" t="s">
        <v>47</v>
      </c>
      <c r="E2" s="102" t="s">
        <v>46</v>
      </c>
      <c r="F2" s="102" t="s">
        <v>44</v>
      </c>
      <c r="G2" s="102" t="s">
        <v>43</v>
      </c>
      <c r="H2" s="102" t="s">
        <v>42</v>
      </c>
      <c r="I2" s="103" t="s">
        <v>50</v>
      </c>
      <c r="J2" s="103" t="s">
        <v>49</v>
      </c>
      <c r="L2" s="102" t="s">
        <v>349</v>
      </c>
    </row>
    <row r="3" spans="2:12" x14ac:dyDescent="0.2">
      <c r="B3" s="104" t="s">
        <v>52</v>
      </c>
      <c r="C3" s="105"/>
      <c r="D3" s="105"/>
      <c r="E3" s="105"/>
      <c r="F3" s="105"/>
      <c r="G3" s="105"/>
      <c r="H3" s="105"/>
      <c r="I3" s="106"/>
      <c r="J3" s="106"/>
    </row>
    <row r="4" spans="2:12" x14ac:dyDescent="0.2">
      <c r="B4" s="100" t="s">
        <v>350</v>
      </c>
      <c r="C4" s="105">
        <v>123681</v>
      </c>
      <c r="D4" s="105">
        <v>861312</v>
      </c>
      <c r="E4" s="105">
        <v>82636</v>
      </c>
      <c r="F4" s="105">
        <v>2149970</v>
      </c>
      <c r="G4" s="105">
        <v>264811</v>
      </c>
      <c r="H4" s="105">
        <v>44866</v>
      </c>
      <c r="I4" s="106">
        <v>275222</v>
      </c>
      <c r="J4" s="106">
        <v>216800</v>
      </c>
    </row>
    <row r="5" spans="2:12" x14ac:dyDescent="0.2">
      <c r="B5" s="100" t="s">
        <v>53</v>
      </c>
      <c r="C5" s="105">
        <v>121846</v>
      </c>
      <c r="D5" s="105">
        <v>843954</v>
      </c>
      <c r="E5" s="105">
        <v>80593</v>
      </c>
      <c r="F5" s="105">
        <v>2117125</v>
      </c>
      <c r="G5" s="105">
        <v>260131</v>
      </c>
      <c r="H5" s="105">
        <v>43269</v>
      </c>
      <c r="I5" s="106">
        <v>269536</v>
      </c>
      <c r="J5" s="106">
        <v>212284</v>
      </c>
    </row>
    <row r="6" spans="2:12" x14ac:dyDescent="0.2">
      <c r="B6" s="100" t="s">
        <v>351</v>
      </c>
      <c r="C6" s="105">
        <v>116901</v>
      </c>
      <c r="D6" s="105">
        <v>795219</v>
      </c>
      <c r="E6" s="105">
        <v>78506</v>
      </c>
      <c r="F6" s="105">
        <v>1931281</v>
      </c>
      <c r="G6" s="105">
        <v>251137</v>
      </c>
      <c r="H6" s="105">
        <v>40906</v>
      </c>
      <c r="I6" s="106">
        <v>252258</v>
      </c>
      <c r="J6" s="106">
        <v>201140</v>
      </c>
    </row>
    <row r="7" spans="2:12" x14ac:dyDescent="0.2">
      <c r="B7" s="100" t="s">
        <v>55</v>
      </c>
      <c r="C7" s="105">
        <v>116901</v>
      </c>
      <c r="D7" s="105">
        <v>795229</v>
      </c>
      <c r="E7" s="105">
        <v>78506</v>
      </c>
      <c r="F7" s="105">
        <v>1931256</v>
      </c>
      <c r="G7" s="105">
        <v>251133</v>
      </c>
      <c r="H7" s="105">
        <v>40909</v>
      </c>
      <c r="I7" s="106">
        <v>252264</v>
      </c>
      <c r="J7" s="106">
        <v>201140</v>
      </c>
    </row>
    <row r="8" spans="2:12" x14ac:dyDescent="0.2">
      <c r="B8" s="100" t="s">
        <v>352</v>
      </c>
      <c r="C8" s="107">
        <v>5.8</v>
      </c>
      <c r="D8" s="107">
        <v>8.3000000000000007</v>
      </c>
      <c r="E8" s="107">
        <v>5.3</v>
      </c>
      <c r="F8" s="107">
        <v>11.3</v>
      </c>
      <c r="G8" s="107">
        <v>5.4</v>
      </c>
      <c r="H8" s="107">
        <v>9.6999999999999993</v>
      </c>
      <c r="I8" s="108">
        <v>9.1</v>
      </c>
      <c r="J8" s="108">
        <v>7.8</v>
      </c>
    </row>
    <row r="9" spans="2:12" x14ac:dyDescent="0.2">
      <c r="B9" s="100" t="s">
        <v>57</v>
      </c>
      <c r="C9" s="107">
        <v>4.2</v>
      </c>
      <c r="D9" s="107">
        <v>6.1</v>
      </c>
      <c r="E9" s="107">
        <v>2.7</v>
      </c>
      <c r="F9" s="107">
        <v>9.6</v>
      </c>
      <c r="G9" s="107">
        <v>3.6</v>
      </c>
      <c r="H9" s="107">
        <v>5.8</v>
      </c>
      <c r="I9" s="108">
        <v>6.8</v>
      </c>
      <c r="J9" s="108">
        <v>5.5</v>
      </c>
    </row>
    <row r="10" spans="2:12" x14ac:dyDescent="0.2">
      <c r="B10" s="100" t="s">
        <v>59</v>
      </c>
      <c r="C10" s="105">
        <v>116901</v>
      </c>
      <c r="D10" s="105">
        <v>795225</v>
      </c>
      <c r="E10" s="105">
        <v>78506</v>
      </c>
      <c r="F10" s="105">
        <v>1931249</v>
      </c>
      <c r="G10" s="105">
        <v>251133</v>
      </c>
      <c r="H10" s="105">
        <v>40915</v>
      </c>
      <c r="I10" s="106">
        <v>252264</v>
      </c>
      <c r="J10" s="106">
        <v>201140</v>
      </c>
    </row>
    <row r="11" spans="2:12" x14ac:dyDescent="0.2">
      <c r="B11" s="104" t="s">
        <v>60</v>
      </c>
      <c r="C11" s="105"/>
      <c r="D11" s="105"/>
      <c r="E11" s="105"/>
      <c r="F11" s="105"/>
      <c r="G11" s="105"/>
      <c r="H11" s="105"/>
      <c r="I11" s="106"/>
      <c r="J11" s="106"/>
    </row>
    <row r="12" spans="2:12" x14ac:dyDescent="0.2">
      <c r="B12" s="100" t="s">
        <v>353</v>
      </c>
      <c r="C12" s="107">
        <v>6.1</v>
      </c>
      <c r="D12" s="107">
        <v>6.8</v>
      </c>
      <c r="E12" s="107">
        <v>5.5</v>
      </c>
      <c r="F12" s="107">
        <v>6.1</v>
      </c>
      <c r="G12" s="107">
        <v>5.7</v>
      </c>
      <c r="H12" s="107">
        <v>4.8</v>
      </c>
      <c r="I12" s="108">
        <v>5.9</v>
      </c>
      <c r="J12" s="108">
        <v>5.5</v>
      </c>
    </row>
    <row r="13" spans="2:12" x14ac:dyDescent="0.2">
      <c r="B13" s="100" t="s">
        <v>62</v>
      </c>
      <c r="C13" s="107">
        <v>6.5</v>
      </c>
      <c r="D13" s="107">
        <v>7</v>
      </c>
      <c r="E13" s="107">
        <v>5.8</v>
      </c>
      <c r="F13" s="107">
        <v>6.2</v>
      </c>
      <c r="G13" s="107">
        <v>5.9</v>
      </c>
      <c r="H13" s="107">
        <v>5</v>
      </c>
      <c r="I13" s="108">
        <v>6.1</v>
      </c>
      <c r="J13" s="108">
        <v>5.6</v>
      </c>
    </row>
    <row r="14" spans="2:12" x14ac:dyDescent="0.2">
      <c r="B14" s="100" t="s">
        <v>354</v>
      </c>
      <c r="C14" s="107">
        <v>22.3</v>
      </c>
      <c r="D14" s="107">
        <v>23.8</v>
      </c>
      <c r="E14" s="107">
        <v>18.600000000000001</v>
      </c>
      <c r="F14" s="107">
        <v>20.7</v>
      </c>
      <c r="G14" s="107">
        <v>20.7</v>
      </c>
      <c r="H14" s="107">
        <v>17.8</v>
      </c>
      <c r="I14" s="108">
        <v>21.8</v>
      </c>
      <c r="J14" s="108">
        <v>19.8</v>
      </c>
    </row>
    <row r="15" spans="2:12" x14ac:dyDescent="0.2">
      <c r="B15" s="100" t="s">
        <v>64</v>
      </c>
      <c r="C15" s="107">
        <v>23.7</v>
      </c>
      <c r="D15" s="107">
        <v>24.9</v>
      </c>
      <c r="E15" s="107">
        <v>20.8</v>
      </c>
      <c r="F15" s="107">
        <v>21.4</v>
      </c>
      <c r="G15" s="107">
        <v>22.5</v>
      </c>
      <c r="H15" s="107">
        <v>18.3</v>
      </c>
      <c r="I15" s="108">
        <v>23</v>
      </c>
      <c r="J15" s="108">
        <v>21</v>
      </c>
    </row>
    <row r="16" spans="2:12" x14ac:dyDescent="0.2">
      <c r="B16" s="100" t="s">
        <v>355</v>
      </c>
      <c r="C16" s="107">
        <v>19.3</v>
      </c>
      <c r="D16" s="107">
        <v>13.1</v>
      </c>
      <c r="E16" s="107">
        <v>23.2</v>
      </c>
      <c r="F16" s="107">
        <v>12.4</v>
      </c>
      <c r="G16" s="107">
        <v>16.5</v>
      </c>
      <c r="H16" s="107">
        <v>15.1</v>
      </c>
      <c r="I16" s="108">
        <v>15.9</v>
      </c>
      <c r="J16" s="108">
        <v>16</v>
      </c>
    </row>
    <row r="17" spans="2:10" x14ac:dyDescent="0.2">
      <c r="B17" s="100" t="s">
        <v>66</v>
      </c>
      <c r="C17" s="107">
        <v>16.100000000000001</v>
      </c>
      <c r="D17" s="107">
        <v>11</v>
      </c>
      <c r="E17" s="107">
        <v>18.399999999999999</v>
      </c>
      <c r="F17" s="107">
        <v>10.9</v>
      </c>
      <c r="G17" s="107">
        <v>13.3</v>
      </c>
      <c r="H17" s="107">
        <v>12.7</v>
      </c>
      <c r="I17" s="108">
        <v>13</v>
      </c>
      <c r="J17" s="108">
        <v>13.2</v>
      </c>
    </row>
    <row r="18" spans="2:10" x14ac:dyDescent="0.2">
      <c r="B18" s="100" t="s">
        <v>356</v>
      </c>
      <c r="C18" s="107">
        <v>50.4</v>
      </c>
      <c r="D18" s="107">
        <v>50.2</v>
      </c>
      <c r="E18" s="107">
        <v>50</v>
      </c>
      <c r="F18" s="107">
        <v>50</v>
      </c>
      <c r="G18" s="107">
        <v>49</v>
      </c>
      <c r="H18" s="107">
        <v>49.7</v>
      </c>
      <c r="I18" s="108">
        <v>50.9</v>
      </c>
      <c r="J18" s="108">
        <v>50.4</v>
      </c>
    </row>
    <row r="19" spans="2:10" x14ac:dyDescent="0.2">
      <c r="B19" s="100" t="s">
        <v>68</v>
      </c>
      <c r="C19" s="107">
        <v>50.4</v>
      </c>
      <c r="D19" s="107">
        <v>50.6</v>
      </c>
      <c r="E19" s="107">
        <v>50.5</v>
      </c>
      <c r="F19" s="107">
        <v>50.2</v>
      </c>
      <c r="G19" s="107">
        <v>49.4</v>
      </c>
      <c r="H19" s="107">
        <v>49.2</v>
      </c>
      <c r="I19" s="108">
        <v>51.3</v>
      </c>
      <c r="J19" s="108">
        <v>50.5</v>
      </c>
    </row>
    <row r="20" spans="2:10" x14ac:dyDescent="0.2">
      <c r="B20" s="104" t="s">
        <v>69</v>
      </c>
      <c r="C20" s="105"/>
      <c r="D20" s="105"/>
      <c r="E20" s="105"/>
      <c r="F20" s="105"/>
      <c r="G20" s="105"/>
      <c r="H20" s="105"/>
      <c r="I20" s="106"/>
      <c r="J20" s="106"/>
    </row>
    <row r="21" spans="2:10" x14ac:dyDescent="0.2">
      <c r="B21" s="100" t="s">
        <v>357</v>
      </c>
      <c r="C21" s="107">
        <v>90.7</v>
      </c>
      <c r="D21" s="107">
        <v>75.8</v>
      </c>
      <c r="E21" s="107">
        <v>85.8</v>
      </c>
      <c r="F21" s="107">
        <v>69.5</v>
      </c>
      <c r="G21" s="107">
        <v>83</v>
      </c>
      <c r="H21" s="107">
        <v>91.8</v>
      </c>
      <c r="I21" s="108">
        <v>82.4</v>
      </c>
      <c r="J21" s="108">
        <v>87</v>
      </c>
    </row>
    <row r="22" spans="2:10" x14ac:dyDescent="0.2">
      <c r="B22" s="100" t="s">
        <v>71</v>
      </c>
      <c r="C22" s="107">
        <v>83.4</v>
      </c>
      <c r="D22" s="107">
        <v>74.2</v>
      </c>
      <c r="E22" s="107">
        <v>86.1</v>
      </c>
      <c r="F22" s="107">
        <v>68.7</v>
      </c>
      <c r="G22" s="107">
        <v>82.6</v>
      </c>
      <c r="H22" s="107">
        <v>89.3</v>
      </c>
      <c r="I22" s="108">
        <v>82.4</v>
      </c>
      <c r="J22" s="108">
        <v>85.4</v>
      </c>
    </row>
    <row r="23" spans="2:10" x14ac:dyDescent="0.2">
      <c r="B23" s="100" t="s">
        <v>358</v>
      </c>
      <c r="C23" s="107">
        <v>1</v>
      </c>
      <c r="D23" s="107">
        <v>7.4</v>
      </c>
      <c r="E23" s="107">
        <v>3.1</v>
      </c>
      <c r="F23" s="107">
        <v>6.8</v>
      </c>
      <c r="G23" s="107">
        <v>3</v>
      </c>
      <c r="H23" s="107">
        <v>1.2</v>
      </c>
      <c r="I23" s="108">
        <v>3.5</v>
      </c>
      <c r="J23" s="108">
        <v>1.2</v>
      </c>
    </row>
    <row r="24" spans="2:10" x14ac:dyDescent="0.2">
      <c r="B24" s="100" t="s">
        <v>73</v>
      </c>
      <c r="C24" s="107">
        <v>0.7</v>
      </c>
      <c r="D24" s="107">
        <v>6.8</v>
      </c>
      <c r="E24" s="107">
        <v>2.2000000000000002</v>
      </c>
      <c r="F24" s="107">
        <v>6.2</v>
      </c>
      <c r="G24" s="107">
        <v>2.6</v>
      </c>
      <c r="H24" s="107">
        <v>0.9</v>
      </c>
      <c r="I24" s="108">
        <v>2.7</v>
      </c>
      <c r="J24" s="108">
        <v>1</v>
      </c>
    </row>
    <row r="25" spans="2:10" x14ac:dyDescent="0.2">
      <c r="B25" s="100" t="s">
        <v>359</v>
      </c>
      <c r="C25" s="107">
        <v>2.8</v>
      </c>
      <c r="D25" s="107">
        <v>1.7</v>
      </c>
      <c r="E25" s="107">
        <v>1.1000000000000001</v>
      </c>
      <c r="F25" s="107">
        <v>1.1000000000000001</v>
      </c>
      <c r="G25" s="107">
        <v>1.8</v>
      </c>
      <c r="H25" s="107">
        <v>1.2</v>
      </c>
      <c r="I25" s="108">
        <v>1.7</v>
      </c>
      <c r="J25" s="108">
        <v>3.2</v>
      </c>
    </row>
    <row r="26" spans="2:10" x14ac:dyDescent="0.2">
      <c r="B26" s="100" t="s">
        <v>75</v>
      </c>
      <c r="C26" s="107">
        <v>2.2000000000000002</v>
      </c>
      <c r="D26" s="107">
        <v>1.4</v>
      </c>
      <c r="E26" s="107">
        <v>0.8</v>
      </c>
      <c r="F26" s="107">
        <v>0.8</v>
      </c>
      <c r="G26" s="107">
        <v>1.6</v>
      </c>
      <c r="H26" s="107">
        <v>1</v>
      </c>
      <c r="I26" s="108">
        <v>1.4</v>
      </c>
      <c r="J26" s="108">
        <v>2.8</v>
      </c>
    </row>
    <row r="27" spans="2:10" x14ac:dyDescent="0.2">
      <c r="B27" s="100" t="s">
        <v>360</v>
      </c>
      <c r="C27" s="107">
        <v>2.2999999999999998</v>
      </c>
      <c r="D27" s="107">
        <v>6.7</v>
      </c>
      <c r="E27" s="107">
        <v>4.9000000000000004</v>
      </c>
      <c r="F27" s="107">
        <v>16.899999999999999</v>
      </c>
      <c r="G27" s="107">
        <v>5.4</v>
      </c>
      <c r="H27" s="107">
        <v>2.4</v>
      </c>
      <c r="I27" s="108">
        <v>6</v>
      </c>
      <c r="J27" s="108">
        <v>4.4000000000000004</v>
      </c>
    </row>
    <row r="28" spans="2:10" x14ac:dyDescent="0.2">
      <c r="B28" s="100" t="s">
        <v>77</v>
      </c>
      <c r="C28" s="107">
        <v>1.8</v>
      </c>
      <c r="D28" s="107">
        <v>6</v>
      </c>
      <c r="E28" s="107">
        <v>4.4000000000000004</v>
      </c>
      <c r="F28" s="107">
        <v>14.6</v>
      </c>
      <c r="G28" s="107">
        <v>4.9000000000000004</v>
      </c>
      <c r="H28" s="107">
        <v>2</v>
      </c>
      <c r="I28" s="108">
        <v>5.2</v>
      </c>
      <c r="J28" s="108">
        <v>3.5</v>
      </c>
    </row>
    <row r="29" spans="2:10" x14ac:dyDescent="0.2">
      <c r="B29" s="100" t="s">
        <v>361</v>
      </c>
      <c r="C29" s="107">
        <v>0.3</v>
      </c>
      <c r="D29" s="107">
        <v>1.6</v>
      </c>
      <c r="E29" s="107">
        <v>0.5</v>
      </c>
      <c r="F29" s="107">
        <v>0.9</v>
      </c>
      <c r="G29" s="107">
        <v>1</v>
      </c>
      <c r="H29" s="107">
        <v>0.2</v>
      </c>
      <c r="I29" s="108">
        <v>1.1000000000000001</v>
      </c>
      <c r="J29" s="108">
        <v>0.3</v>
      </c>
    </row>
    <row r="30" spans="2:10" x14ac:dyDescent="0.2">
      <c r="B30" s="100" t="s">
        <v>79</v>
      </c>
      <c r="C30" s="107">
        <v>0.2</v>
      </c>
      <c r="D30" s="107">
        <v>1.3</v>
      </c>
      <c r="E30" s="107">
        <v>0.5</v>
      </c>
      <c r="F30" s="107">
        <v>0.8</v>
      </c>
      <c r="G30" s="107">
        <v>0.9</v>
      </c>
      <c r="H30" s="107">
        <v>0.1</v>
      </c>
      <c r="I30" s="108">
        <v>0.8</v>
      </c>
      <c r="J30" s="108">
        <v>0.2</v>
      </c>
    </row>
    <row r="31" spans="2:10" x14ac:dyDescent="0.2">
      <c r="B31" s="100" t="s">
        <v>362</v>
      </c>
      <c r="C31" s="107">
        <v>3</v>
      </c>
      <c r="D31" s="107">
        <v>6.8</v>
      </c>
      <c r="E31" s="107">
        <v>4.5999999999999996</v>
      </c>
      <c r="F31" s="107">
        <v>5</v>
      </c>
      <c r="G31" s="107">
        <v>5.7</v>
      </c>
      <c r="H31" s="107">
        <v>3.2</v>
      </c>
      <c r="I31" s="108">
        <v>5.3</v>
      </c>
      <c r="J31" s="108">
        <v>3.8</v>
      </c>
    </row>
    <row r="32" spans="2:10" x14ac:dyDescent="0.2">
      <c r="B32" s="100" t="s">
        <v>81</v>
      </c>
      <c r="C32" s="107">
        <v>3.2</v>
      </c>
      <c r="D32" s="107">
        <v>6.8</v>
      </c>
      <c r="E32" s="107">
        <v>4.5</v>
      </c>
      <c r="F32" s="107">
        <v>5</v>
      </c>
      <c r="G32" s="107">
        <v>5.8</v>
      </c>
      <c r="H32" s="107">
        <v>3</v>
      </c>
      <c r="I32" s="108">
        <v>5.3</v>
      </c>
      <c r="J32" s="108">
        <v>3.8</v>
      </c>
    </row>
    <row r="33" spans="2:20" x14ac:dyDescent="0.2">
      <c r="B33" s="100" t="s">
        <v>363</v>
      </c>
      <c r="C33" s="107">
        <v>17.899999999999999</v>
      </c>
      <c r="D33" s="107">
        <v>10.5</v>
      </c>
      <c r="E33" s="107">
        <v>7.3</v>
      </c>
      <c r="F33" s="107">
        <v>9.5</v>
      </c>
      <c r="G33" s="107">
        <v>7.5</v>
      </c>
      <c r="H33" s="107">
        <v>8.9</v>
      </c>
      <c r="I33" s="108">
        <v>8.6</v>
      </c>
      <c r="J33" s="108">
        <v>9.1999999999999993</v>
      </c>
    </row>
    <row r="34" spans="2:20" x14ac:dyDescent="0.2">
      <c r="B34" s="100" t="s">
        <v>83</v>
      </c>
      <c r="C34" s="107">
        <v>16.899999999999999</v>
      </c>
      <c r="D34" s="107">
        <v>9.1999999999999993</v>
      </c>
      <c r="E34" s="107">
        <v>5.5</v>
      </c>
      <c r="F34" s="107">
        <v>8.9</v>
      </c>
      <c r="G34" s="107">
        <v>6.2</v>
      </c>
      <c r="H34" s="107">
        <v>7.6</v>
      </c>
      <c r="I34" s="108">
        <v>7.1</v>
      </c>
      <c r="J34" s="108">
        <v>7.8</v>
      </c>
    </row>
    <row r="35" spans="2:20" x14ac:dyDescent="0.2">
      <c r="B35" s="100" t="s">
        <v>364</v>
      </c>
      <c r="C35" s="107">
        <v>75.2</v>
      </c>
      <c r="D35" s="107">
        <v>67.8</v>
      </c>
      <c r="E35" s="107">
        <v>80</v>
      </c>
      <c r="F35" s="107">
        <v>61.7</v>
      </c>
      <c r="G35" s="107">
        <v>77.099999999999994</v>
      </c>
      <c r="H35" s="107">
        <v>84.1</v>
      </c>
      <c r="I35" s="108">
        <v>75.7</v>
      </c>
      <c r="J35" s="108">
        <v>79.5</v>
      </c>
    </row>
    <row r="36" spans="2:20" x14ac:dyDescent="0.2">
      <c r="B36" s="100" t="s">
        <v>85</v>
      </c>
      <c r="C36" s="107">
        <v>76.7</v>
      </c>
      <c r="D36" s="107">
        <v>70.3</v>
      </c>
      <c r="E36" s="107">
        <v>83.1</v>
      </c>
      <c r="F36" s="107">
        <v>64.8</v>
      </c>
      <c r="G36" s="107">
        <v>79.099999999999994</v>
      </c>
      <c r="H36" s="107">
        <v>86.1</v>
      </c>
      <c r="I36" s="108">
        <v>78.900000000000006</v>
      </c>
      <c r="J36" s="108">
        <v>81.900000000000006</v>
      </c>
    </row>
    <row r="37" spans="2:20" x14ac:dyDescent="0.2">
      <c r="B37" s="104" t="s">
        <v>86</v>
      </c>
      <c r="C37" s="105"/>
      <c r="D37" s="105"/>
      <c r="E37" s="105"/>
      <c r="F37" s="105"/>
      <c r="G37" s="105"/>
      <c r="H37" s="105"/>
      <c r="I37" s="106"/>
      <c r="J37" s="106"/>
    </row>
    <row r="38" spans="2:20" x14ac:dyDescent="0.2">
      <c r="B38" s="100" t="s">
        <v>365</v>
      </c>
      <c r="C38" s="105">
        <v>10736</v>
      </c>
      <c r="D38" s="105">
        <v>88396</v>
      </c>
      <c r="E38" s="105">
        <v>12612</v>
      </c>
      <c r="F38" s="105">
        <v>115239</v>
      </c>
      <c r="G38" s="105">
        <v>34009</v>
      </c>
      <c r="H38" s="105">
        <v>3619</v>
      </c>
      <c r="I38" s="106">
        <v>29109</v>
      </c>
      <c r="J38" s="106">
        <v>13846</v>
      </c>
      <c r="L38" s="109"/>
      <c r="M38" s="110" t="s">
        <v>169</v>
      </c>
      <c r="N38" s="109"/>
      <c r="O38" s="109"/>
      <c r="P38" s="109"/>
      <c r="Q38" s="109"/>
      <c r="R38" s="109"/>
      <c r="S38" s="109"/>
      <c r="T38" s="109"/>
    </row>
    <row r="39" spans="2:20" x14ac:dyDescent="0.2">
      <c r="B39" s="100" t="s">
        <v>366</v>
      </c>
      <c r="C39" s="107">
        <v>9.9</v>
      </c>
      <c r="D39" s="107">
        <v>9.6999999999999993</v>
      </c>
      <c r="E39" s="107">
        <v>7</v>
      </c>
      <c r="F39" s="107">
        <v>21.2</v>
      </c>
      <c r="G39" s="107">
        <v>6.4</v>
      </c>
      <c r="H39" s="107">
        <v>6.1</v>
      </c>
      <c r="I39" s="108">
        <v>7.9</v>
      </c>
      <c r="J39" s="108">
        <v>11</v>
      </c>
      <c r="L39" s="109"/>
      <c r="M39" s="111">
        <f>+M51</f>
        <v>2.5048804803330635</v>
      </c>
      <c r="N39" s="109"/>
      <c r="O39" s="109"/>
      <c r="P39" s="109"/>
      <c r="Q39" s="109"/>
      <c r="R39" s="109"/>
      <c r="S39" s="109"/>
      <c r="T39" s="109"/>
    </row>
    <row r="40" spans="2:20" x14ac:dyDescent="0.2">
      <c r="B40" s="104" t="s">
        <v>89</v>
      </c>
      <c r="C40" s="105"/>
      <c r="D40" s="105"/>
      <c r="E40" s="105"/>
      <c r="F40" s="105"/>
      <c r="G40" s="105"/>
      <c r="H40" s="105"/>
      <c r="I40" s="106"/>
      <c r="J40" s="106"/>
      <c r="L40" s="109"/>
      <c r="M40" s="109"/>
      <c r="N40" s="109"/>
      <c r="O40" s="109"/>
      <c r="P40" s="109"/>
      <c r="Q40" s="109"/>
      <c r="R40" s="109"/>
      <c r="S40" s="109"/>
      <c r="T40" s="109"/>
    </row>
    <row r="41" spans="2:20" x14ac:dyDescent="0.2">
      <c r="B41" s="100" t="s">
        <v>367</v>
      </c>
      <c r="C41" s="105">
        <v>52214</v>
      </c>
      <c r="D41" s="105">
        <v>336357</v>
      </c>
      <c r="E41" s="105">
        <v>40850</v>
      </c>
      <c r="F41" s="105">
        <v>893157</v>
      </c>
      <c r="G41" s="105">
        <v>109690</v>
      </c>
      <c r="H41" s="105">
        <v>22775</v>
      </c>
      <c r="I41" s="106">
        <v>112553</v>
      </c>
      <c r="J41" s="106">
        <v>93247</v>
      </c>
      <c r="L41" s="109"/>
      <c r="M41" s="109"/>
      <c r="N41" s="109"/>
      <c r="O41" s="109"/>
      <c r="P41" s="109"/>
      <c r="Q41" s="109"/>
      <c r="R41" s="109"/>
      <c r="S41" s="109"/>
      <c r="T41" s="109"/>
    </row>
    <row r="42" spans="2:20" x14ac:dyDescent="0.2">
      <c r="B42" s="100" t="s">
        <v>91</v>
      </c>
      <c r="C42" s="105">
        <v>51473</v>
      </c>
      <c r="D42" s="105">
        <v>325375</v>
      </c>
      <c r="E42" s="105">
        <v>40234</v>
      </c>
      <c r="F42" s="105">
        <v>851261</v>
      </c>
      <c r="G42" s="105">
        <v>107367</v>
      </c>
      <c r="H42" s="105">
        <v>21900</v>
      </c>
      <c r="I42" s="106">
        <v>108182</v>
      </c>
      <c r="J42" s="106">
        <v>90665</v>
      </c>
      <c r="L42" s="109"/>
      <c r="M42" s="109"/>
      <c r="N42" s="109"/>
      <c r="O42" s="109"/>
      <c r="P42" s="109"/>
      <c r="Q42" s="109"/>
      <c r="R42" s="109"/>
      <c r="S42" s="109"/>
      <c r="T42" s="109"/>
    </row>
    <row r="43" spans="2:20" x14ac:dyDescent="0.2">
      <c r="B43" s="100" t="s">
        <v>368</v>
      </c>
      <c r="C43" s="107">
        <v>66.8</v>
      </c>
      <c r="D43" s="107">
        <v>61</v>
      </c>
      <c r="E43" s="107">
        <v>67.8</v>
      </c>
      <c r="F43" s="107">
        <v>57.4</v>
      </c>
      <c r="G43" s="107">
        <v>67.2</v>
      </c>
      <c r="H43" s="107">
        <v>57.6</v>
      </c>
      <c r="I43" s="108">
        <v>64.599999999999994</v>
      </c>
      <c r="J43" s="108">
        <v>63.1</v>
      </c>
      <c r="L43" s="109"/>
      <c r="M43" s="109"/>
      <c r="N43" s="109"/>
      <c r="O43" s="109"/>
      <c r="P43" s="109"/>
      <c r="Q43" s="109"/>
      <c r="R43" s="109"/>
      <c r="S43" s="109"/>
      <c r="T43" s="109"/>
    </row>
    <row r="44" spans="2:20" x14ac:dyDescent="0.2">
      <c r="B44" s="100" t="s">
        <v>369</v>
      </c>
      <c r="C44" s="105">
        <v>249800</v>
      </c>
      <c r="D44" s="105">
        <v>232600</v>
      </c>
      <c r="E44" s="105">
        <v>290900</v>
      </c>
      <c r="F44" s="105">
        <v>384300</v>
      </c>
      <c r="G44" s="105">
        <v>258700</v>
      </c>
      <c r="H44" s="105">
        <v>242900</v>
      </c>
      <c r="I44" s="106">
        <v>239400</v>
      </c>
      <c r="J44" s="106">
        <v>274700</v>
      </c>
      <c r="L44" s="109"/>
      <c r="M44" s="109"/>
      <c r="N44" s="109"/>
      <c r="O44" s="109"/>
      <c r="P44" s="109"/>
      <c r="Q44" s="109"/>
      <c r="R44" s="109"/>
      <c r="S44" s="109"/>
      <c r="T44" s="109"/>
    </row>
    <row r="45" spans="2:20" x14ac:dyDescent="0.2">
      <c r="B45" s="100" t="s">
        <v>370</v>
      </c>
      <c r="C45" s="105">
        <v>1621</v>
      </c>
      <c r="D45" s="105">
        <v>1735</v>
      </c>
      <c r="E45" s="105">
        <v>1688</v>
      </c>
      <c r="F45" s="105">
        <v>2196</v>
      </c>
      <c r="G45" s="105">
        <v>1689</v>
      </c>
      <c r="H45" s="105">
        <v>1476</v>
      </c>
      <c r="I45" s="106">
        <v>1666</v>
      </c>
      <c r="J45" s="106">
        <v>1612</v>
      </c>
      <c r="L45" s="109"/>
      <c r="M45" s="109"/>
      <c r="N45" s="109"/>
      <c r="O45" s="109"/>
      <c r="P45" s="109"/>
      <c r="Q45" s="109"/>
      <c r="R45" s="109"/>
      <c r="S45" s="109"/>
      <c r="T45" s="109"/>
    </row>
    <row r="46" spans="2:20" x14ac:dyDescent="0.2">
      <c r="B46" s="100" t="s">
        <v>371</v>
      </c>
      <c r="C46" s="105">
        <v>521</v>
      </c>
      <c r="D46" s="105">
        <v>547</v>
      </c>
      <c r="E46" s="105">
        <v>497</v>
      </c>
      <c r="F46" s="105">
        <v>689</v>
      </c>
      <c r="G46" s="105">
        <v>513</v>
      </c>
      <c r="H46" s="105">
        <v>458</v>
      </c>
      <c r="I46" s="106">
        <v>500</v>
      </c>
      <c r="J46" s="106">
        <v>478</v>
      </c>
      <c r="L46" s="109"/>
      <c r="M46" s="109"/>
      <c r="N46" s="109"/>
      <c r="O46" s="109"/>
      <c r="P46" s="109"/>
      <c r="Q46" s="109"/>
      <c r="R46" s="109"/>
      <c r="S46" s="109"/>
      <c r="T46" s="109"/>
    </row>
    <row r="47" spans="2:20" x14ac:dyDescent="0.2">
      <c r="B47" s="100" t="s">
        <v>372</v>
      </c>
      <c r="C47" s="105">
        <v>954</v>
      </c>
      <c r="D47" s="105">
        <v>1029</v>
      </c>
      <c r="E47" s="105">
        <v>1076</v>
      </c>
      <c r="F47" s="105">
        <v>1204</v>
      </c>
      <c r="G47" s="105">
        <v>1042</v>
      </c>
      <c r="H47" s="105">
        <v>798</v>
      </c>
      <c r="I47" s="106">
        <v>1054</v>
      </c>
      <c r="J47" s="106">
        <v>925</v>
      </c>
      <c r="L47" s="109"/>
      <c r="M47" s="109"/>
      <c r="N47" s="109"/>
      <c r="O47" s="109"/>
      <c r="P47" s="109"/>
      <c r="Q47" s="109"/>
      <c r="R47" s="109"/>
      <c r="S47" s="109"/>
      <c r="T47" s="109"/>
    </row>
    <row r="48" spans="2:20" x14ac:dyDescent="0.2">
      <c r="B48" s="100" t="s">
        <v>373</v>
      </c>
      <c r="C48" s="105">
        <v>438</v>
      </c>
      <c r="D48" s="105">
        <v>2897</v>
      </c>
      <c r="E48" s="105">
        <v>281</v>
      </c>
      <c r="F48" s="105">
        <v>18537</v>
      </c>
      <c r="G48" s="105">
        <v>918</v>
      </c>
      <c r="H48" s="105">
        <v>295</v>
      </c>
      <c r="I48" s="106">
        <v>1020</v>
      </c>
      <c r="J48" s="106">
        <v>1144</v>
      </c>
      <c r="L48" s="109"/>
      <c r="M48" s="109"/>
      <c r="N48" s="109"/>
      <c r="O48" s="109"/>
      <c r="P48" s="109"/>
      <c r="Q48" s="109"/>
      <c r="R48" s="109"/>
      <c r="S48" s="109"/>
      <c r="T48" s="109"/>
    </row>
    <row r="49" spans="2:20" x14ac:dyDescent="0.2">
      <c r="B49" s="104" t="s">
        <v>98</v>
      </c>
      <c r="C49" s="105"/>
      <c r="D49" s="105"/>
      <c r="E49" s="105"/>
      <c r="F49" s="105"/>
      <c r="G49" s="105"/>
      <c r="H49" s="105"/>
      <c r="I49" s="106"/>
      <c r="J49" s="106"/>
      <c r="L49" s="109"/>
      <c r="M49" s="109"/>
      <c r="N49" s="109"/>
      <c r="O49" s="109"/>
      <c r="P49" s="109"/>
      <c r="Q49" s="109"/>
      <c r="R49" s="109"/>
      <c r="S49" s="109"/>
      <c r="T49" s="109"/>
    </row>
    <row r="50" spans="2:20" x14ac:dyDescent="0.2">
      <c r="B50" s="100" t="s">
        <v>374</v>
      </c>
      <c r="C50" s="105">
        <v>45841</v>
      </c>
      <c r="D50" s="105">
        <v>303586</v>
      </c>
      <c r="E50" s="105">
        <v>33125</v>
      </c>
      <c r="F50" s="105">
        <v>819651</v>
      </c>
      <c r="G50" s="105">
        <v>97739</v>
      </c>
      <c r="H50" s="105">
        <v>16953</v>
      </c>
      <c r="I50" s="106">
        <v>102631</v>
      </c>
      <c r="J50" s="106">
        <v>79767</v>
      </c>
      <c r="L50" s="112">
        <f>+C51*C50</f>
        <v>117352.96000000001</v>
      </c>
      <c r="M50" s="112">
        <f>+D51*D50</f>
        <v>804502.9</v>
      </c>
      <c r="N50" s="109">
        <f t="shared" ref="N50:R50" si="0">+E51*E50</f>
        <v>77181.25</v>
      </c>
      <c r="O50" s="109">
        <f t="shared" si="0"/>
        <v>2008144.9500000002</v>
      </c>
      <c r="P50" s="109">
        <f t="shared" si="0"/>
        <v>248257.06</v>
      </c>
      <c r="Q50" s="109">
        <f t="shared" si="0"/>
        <v>39670.019999999997</v>
      </c>
      <c r="R50" s="109">
        <f t="shared" si="0"/>
        <v>258630.12</v>
      </c>
      <c r="S50" s="109">
        <f>+J51*J50</f>
        <v>201810.50999999998</v>
      </c>
      <c r="T50" s="112">
        <f>+K51*K50</f>
        <v>0</v>
      </c>
    </row>
    <row r="51" spans="2:20" x14ac:dyDescent="0.2">
      <c r="B51" s="100" t="s">
        <v>375</v>
      </c>
      <c r="C51" s="113">
        <v>2.56</v>
      </c>
      <c r="D51" s="113">
        <v>2.65</v>
      </c>
      <c r="E51" s="113">
        <v>2.33</v>
      </c>
      <c r="F51" s="113">
        <v>2.4500000000000002</v>
      </c>
      <c r="G51" s="113">
        <v>2.54</v>
      </c>
      <c r="H51" s="113">
        <v>2.34</v>
      </c>
      <c r="I51" s="114">
        <v>2.52</v>
      </c>
      <c r="J51" s="114">
        <v>2.5299999999999998</v>
      </c>
      <c r="L51" s="115"/>
      <c r="M51" s="115">
        <f>+SUM(L50:S50)/SUM(C50:J50)</f>
        <v>2.5048804803330635</v>
      </c>
      <c r="N51" s="115"/>
      <c r="O51" s="115"/>
      <c r="P51" s="109"/>
      <c r="Q51" s="109"/>
      <c r="R51" s="109"/>
      <c r="S51" s="109"/>
      <c r="T51" s="109"/>
    </row>
    <row r="52" spans="2:20" ht="25.5" x14ac:dyDescent="0.2">
      <c r="B52" s="100" t="s">
        <v>376</v>
      </c>
      <c r="C52" s="107">
        <v>83</v>
      </c>
      <c r="D52" s="107">
        <v>82.5</v>
      </c>
      <c r="E52" s="107">
        <v>82.7</v>
      </c>
      <c r="F52" s="107">
        <v>81.2</v>
      </c>
      <c r="G52" s="107">
        <v>81.099999999999994</v>
      </c>
      <c r="H52" s="107">
        <v>70.8</v>
      </c>
      <c r="I52" s="108">
        <v>81</v>
      </c>
      <c r="J52" s="108">
        <v>82.5</v>
      </c>
      <c r="L52" s="116"/>
      <c r="M52" s="116" t="s">
        <v>103</v>
      </c>
      <c r="N52" s="116"/>
      <c r="O52" s="116"/>
      <c r="P52" s="109"/>
      <c r="Q52" s="109"/>
      <c r="R52" s="109"/>
      <c r="S52" s="109"/>
      <c r="T52" s="109"/>
    </row>
    <row r="53" spans="2:20" x14ac:dyDescent="0.2">
      <c r="B53" s="100" t="s">
        <v>377</v>
      </c>
      <c r="C53" s="107">
        <v>15.3</v>
      </c>
      <c r="D53" s="107">
        <v>14.9</v>
      </c>
      <c r="E53" s="107">
        <v>8.6</v>
      </c>
      <c r="F53" s="107">
        <v>26.4</v>
      </c>
      <c r="G53" s="107">
        <v>7.8</v>
      </c>
      <c r="H53" s="107">
        <v>9.1</v>
      </c>
      <c r="I53" s="108">
        <v>11.4</v>
      </c>
      <c r="J53" s="108">
        <v>12.4</v>
      </c>
      <c r="L53" s="116"/>
      <c r="M53" s="116"/>
      <c r="N53" s="109"/>
      <c r="O53" s="116"/>
      <c r="P53" s="109"/>
      <c r="Q53" s="109"/>
      <c r="R53" s="109"/>
      <c r="S53" s="109"/>
      <c r="T53" s="109"/>
    </row>
    <row r="54" spans="2:20" x14ac:dyDescent="0.2">
      <c r="B54" s="104" t="s">
        <v>106</v>
      </c>
      <c r="C54" s="105"/>
      <c r="D54" s="105"/>
      <c r="E54" s="105"/>
      <c r="F54" s="105"/>
      <c r="G54" s="105"/>
      <c r="H54" s="105"/>
      <c r="I54" s="106"/>
      <c r="J54" s="106"/>
      <c r="L54" s="109"/>
      <c r="M54" s="109"/>
      <c r="N54" s="109"/>
      <c r="O54" s="109"/>
      <c r="P54" s="109"/>
      <c r="Q54" s="109"/>
      <c r="R54" s="109"/>
      <c r="S54" s="109"/>
      <c r="T54" s="109"/>
    </row>
    <row r="55" spans="2:20" x14ac:dyDescent="0.2">
      <c r="B55" s="100" t="s">
        <v>378</v>
      </c>
      <c r="C55" s="107">
        <v>88.3</v>
      </c>
      <c r="D55" s="107">
        <v>90.9</v>
      </c>
      <c r="E55" s="107">
        <v>94.5</v>
      </c>
      <c r="F55" s="107">
        <v>92.3</v>
      </c>
      <c r="G55" s="107">
        <v>94.5</v>
      </c>
      <c r="H55" s="107">
        <v>90.8</v>
      </c>
      <c r="I55" s="108">
        <v>93.4</v>
      </c>
      <c r="J55" s="108">
        <v>91.2</v>
      </c>
      <c r="L55" s="109"/>
      <c r="M55" s="109"/>
      <c r="N55" s="109"/>
      <c r="O55" s="109"/>
      <c r="P55" s="109"/>
      <c r="Q55" s="109"/>
      <c r="R55" s="109"/>
      <c r="S55" s="109"/>
      <c r="T55" s="109"/>
    </row>
    <row r="56" spans="2:20" x14ac:dyDescent="0.2">
      <c r="B56" s="100" t="s">
        <v>379</v>
      </c>
      <c r="C56" s="107">
        <v>24.8</v>
      </c>
      <c r="D56" s="107">
        <v>24.7</v>
      </c>
      <c r="E56" s="107">
        <v>31.7</v>
      </c>
      <c r="F56" s="107">
        <v>47.9</v>
      </c>
      <c r="G56" s="107">
        <v>30.3</v>
      </c>
      <c r="H56" s="107">
        <v>33.6</v>
      </c>
      <c r="I56" s="108">
        <v>33.4</v>
      </c>
      <c r="J56" s="108">
        <v>32.5</v>
      </c>
      <c r="L56" s="109"/>
      <c r="M56" s="109"/>
      <c r="N56" s="109"/>
      <c r="O56" s="109"/>
      <c r="P56" s="109"/>
      <c r="Q56" s="109"/>
      <c r="R56" s="109"/>
      <c r="S56" s="109"/>
      <c r="T56" s="109"/>
    </row>
    <row r="57" spans="2:20" x14ac:dyDescent="0.2">
      <c r="B57" s="104" t="s">
        <v>109</v>
      </c>
      <c r="C57" s="105"/>
      <c r="D57" s="105"/>
      <c r="E57" s="105"/>
      <c r="F57" s="105"/>
      <c r="G57" s="105"/>
      <c r="H57" s="105"/>
      <c r="I57" s="106"/>
      <c r="J57" s="106"/>
      <c r="L57" s="109"/>
      <c r="M57" s="109"/>
      <c r="N57" s="109"/>
      <c r="O57" s="109"/>
      <c r="P57" s="109"/>
      <c r="Q57" s="109"/>
      <c r="R57" s="109"/>
      <c r="S57" s="109"/>
      <c r="T57" s="109"/>
    </row>
    <row r="58" spans="2:20" x14ac:dyDescent="0.2">
      <c r="B58" s="100" t="s">
        <v>380</v>
      </c>
      <c r="C58" s="107">
        <v>9.9</v>
      </c>
      <c r="D58" s="107">
        <v>10.1</v>
      </c>
      <c r="E58" s="107">
        <v>10</v>
      </c>
      <c r="F58" s="107">
        <v>6.4</v>
      </c>
      <c r="G58" s="107">
        <v>11.7</v>
      </c>
      <c r="H58" s="107">
        <v>9.6</v>
      </c>
      <c r="I58" s="108">
        <v>8.6</v>
      </c>
      <c r="J58" s="108">
        <v>9.3000000000000007</v>
      </c>
      <c r="L58" s="109"/>
      <c r="M58" s="109"/>
      <c r="N58" s="109"/>
      <c r="O58" s="109"/>
      <c r="P58" s="109"/>
      <c r="Q58" s="109"/>
      <c r="R58" s="109"/>
      <c r="S58" s="109"/>
      <c r="T58" s="109"/>
    </row>
    <row r="59" spans="2:20" x14ac:dyDescent="0.2">
      <c r="B59" s="100" t="s">
        <v>111</v>
      </c>
      <c r="C59" s="107">
        <v>9.8000000000000007</v>
      </c>
      <c r="D59" s="107">
        <v>7.3</v>
      </c>
      <c r="E59" s="107">
        <v>6.2</v>
      </c>
      <c r="F59" s="107">
        <v>6.5</v>
      </c>
      <c r="G59" s="107">
        <v>5.8</v>
      </c>
      <c r="H59" s="107">
        <v>8.9</v>
      </c>
      <c r="I59" s="108">
        <v>6.6</v>
      </c>
      <c r="J59" s="108">
        <v>9.1</v>
      </c>
      <c r="L59" s="109"/>
      <c r="M59" s="109"/>
      <c r="N59" s="109"/>
      <c r="O59" s="109"/>
      <c r="P59" s="109"/>
      <c r="Q59" s="109"/>
      <c r="R59" s="109"/>
      <c r="S59" s="109"/>
      <c r="T59" s="109"/>
    </row>
    <row r="60" spans="2:20" x14ac:dyDescent="0.2">
      <c r="B60" s="104" t="s">
        <v>112</v>
      </c>
      <c r="C60" s="105"/>
      <c r="D60" s="105"/>
      <c r="E60" s="105"/>
      <c r="F60" s="105"/>
      <c r="G60" s="105"/>
      <c r="H60" s="105"/>
      <c r="I60" s="106"/>
      <c r="J60" s="106"/>
    </row>
    <row r="61" spans="2:20" x14ac:dyDescent="0.2">
      <c r="B61" s="100" t="s">
        <v>381</v>
      </c>
      <c r="C61" s="107">
        <v>59</v>
      </c>
      <c r="D61" s="107">
        <v>62.3</v>
      </c>
      <c r="E61" s="107">
        <v>52.9</v>
      </c>
      <c r="F61" s="107">
        <v>69.3</v>
      </c>
      <c r="G61" s="107">
        <v>56.4</v>
      </c>
      <c r="H61" s="107">
        <v>60.6</v>
      </c>
      <c r="I61" s="108">
        <v>61.7</v>
      </c>
      <c r="J61" s="108">
        <v>62.9</v>
      </c>
    </row>
    <row r="62" spans="2:20" x14ac:dyDescent="0.2">
      <c r="B62" s="100" t="s">
        <v>382</v>
      </c>
      <c r="C62" s="107">
        <v>53.9</v>
      </c>
      <c r="D62" s="107">
        <v>58.2</v>
      </c>
      <c r="E62" s="107">
        <v>51.4</v>
      </c>
      <c r="F62" s="107">
        <v>63.3</v>
      </c>
      <c r="G62" s="107">
        <v>54</v>
      </c>
      <c r="H62" s="107">
        <v>56.2</v>
      </c>
      <c r="I62" s="108">
        <v>59.2</v>
      </c>
      <c r="J62" s="108">
        <v>57.9</v>
      </c>
    </row>
    <row r="63" spans="2:20" x14ac:dyDescent="0.2">
      <c r="B63" s="100" t="s">
        <v>383</v>
      </c>
      <c r="C63" s="105">
        <v>291510</v>
      </c>
      <c r="D63" s="105">
        <v>1362981</v>
      </c>
      <c r="E63" s="105" t="s">
        <v>116</v>
      </c>
      <c r="F63" s="105">
        <v>6223768</v>
      </c>
      <c r="G63" s="105">
        <v>425981</v>
      </c>
      <c r="H63" s="105">
        <v>101409</v>
      </c>
      <c r="I63" s="106">
        <v>419185</v>
      </c>
      <c r="J63" s="106">
        <v>492949</v>
      </c>
    </row>
    <row r="64" spans="2:20" x14ac:dyDescent="0.2">
      <c r="B64" s="100" t="s">
        <v>384</v>
      </c>
      <c r="C64" s="105">
        <v>700349</v>
      </c>
      <c r="D64" s="105">
        <v>5369260</v>
      </c>
      <c r="E64" s="105">
        <v>228308</v>
      </c>
      <c r="F64" s="105">
        <v>17719220</v>
      </c>
      <c r="G64" s="105">
        <v>1272843</v>
      </c>
      <c r="H64" s="105">
        <v>114895</v>
      </c>
      <c r="I64" s="106">
        <v>1584793</v>
      </c>
      <c r="J64" s="106">
        <v>1026198</v>
      </c>
    </row>
    <row r="65" spans="2:10" x14ac:dyDescent="0.2">
      <c r="B65" s="100" t="s">
        <v>385</v>
      </c>
      <c r="C65" s="105">
        <v>11529427</v>
      </c>
      <c r="D65" s="105">
        <v>4461036</v>
      </c>
      <c r="E65" s="105">
        <v>125716</v>
      </c>
      <c r="F65" s="105" t="s">
        <v>116</v>
      </c>
      <c r="G65" s="105">
        <v>328168</v>
      </c>
      <c r="H65" s="105" t="s">
        <v>116</v>
      </c>
      <c r="I65" s="106">
        <v>910527</v>
      </c>
      <c r="J65" s="106">
        <v>14932180</v>
      </c>
    </row>
    <row r="66" spans="2:10" x14ac:dyDescent="0.2">
      <c r="B66" s="100" t="s">
        <v>386</v>
      </c>
      <c r="C66" s="105">
        <v>793543</v>
      </c>
      <c r="D66" s="105">
        <v>7705621</v>
      </c>
      <c r="E66" s="105">
        <v>57537</v>
      </c>
      <c r="F66" s="105">
        <v>42092462</v>
      </c>
      <c r="G66" s="105">
        <v>407880</v>
      </c>
      <c r="H66" s="105">
        <v>398681</v>
      </c>
      <c r="I66" s="106">
        <v>1252014</v>
      </c>
      <c r="J66" s="106" t="s">
        <v>116</v>
      </c>
    </row>
    <row r="67" spans="2:10" x14ac:dyDescent="0.2">
      <c r="B67" s="100" t="s">
        <v>387</v>
      </c>
      <c r="C67" s="105">
        <v>1999168</v>
      </c>
      <c r="D67" s="105">
        <v>10114397</v>
      </c>
      <c r="E67" s="105">
        <v>456279</v>
      </c>
      <c r="F67" s="105">
        <v>61598157</v>
      </c>
      <c r="G67" s="105">
        <v>2674165</v>
      </c>
      <c r="H67" s="105">
        <v>515984</v>
      </c>
      <c r="I67" s="106">
        <v>3330812</v>
      </c>
      <c r="J67" s="106">
        <v>3103604</v>
      </c>
    </row>
    <row r="68" spans="2:10" x14ac:dyDescent="0.2">
      <c r="B68" s="100" t="s">
        <v>388</v>
      </c>
      <c r="C68" s="105">
        <v>16910</v>
      </c>
      <c r="D68" s="105">
        <v>12461</v>
      </c>
      <c r="E68" s="105">
        <v>5763</v>
      </c>
      <c r="F68" s="105">
        <v>30685</v>
      </c>
      <c r="G68" s="105">
        <v>10487</v>
      </c>
      <c r="H68" s="105">
        <v>12382</v>
      </c>
      <c r="I68" s="106">
        <v>12894</v>
      </c>
      <c r="J68" s="106">
        <v>15120</v>
      </c>
    </row>
    <row r="69" spans="2:10" x14ac:dyDescent="0.2">
      <c r="B69" s="104" t="s">
        <v>122</v>
      </c>
      <c r="C69" s="105"/>
      <c r="D69" s="105"/>
      <c r="E69" s="105"/>
      <c r="F69" s="105"/>
      <c r="G69" s="105"/>
      <c r="H69" s="105"/>
      <c r="I69" s="106"/>
      <c r="J69" s="106"/>
    </row>
    <row r="70" spans="2:10" x14ac:dyDescent="0.2">
      <c r="B70" s="100" t="s">
        <v>389</v>
      </c>
      <c r="C70" s="107">
        <v>24.7</v>
      </c>
      <c r="D70" s="107">
        <v>29.8</v>
      </c>
      <c r="E70" s="107">
        <v>28.6</v>
      </c>
      <c r="F70" s="107">
        <v>28.1</v>
      </c>
      <c r="G70" s="107">
        <v>29.9</v>
      </c>
      <c r="H70" s="107">
        <v>21.3</v>
      </c>
      <c r="I70" s="108">
        <v>24.6</v>
      </c>
      <c r="J70" s="108">
        <v>20.399999999999999</v>
      </c>
    </row>
    <row r="71" spans="2:10" x14ac:dyDescent="0.2">
      <c r="B71" s="104" t="s">
        <v>124</v>
      </c>
      <c r="C71" s="105"/>
      <c r="D71" s="105"/>
      <c r="E71" s="105"/>
      <c r="F71" s="105"/>
      <c r="G71" s="105"/>
      <c r="H71" s="105"/>
      <c r="I71" s="106"/>
      <c r="J71" s="106"/>
    </row>
    <row r="72" spans="2:10" x14ac:dyDescent="0.2">
      <c r="B72" s="100" t="s">
        <v>390</v>
      </c>
      <c r="C72" s="105">
        <v>54129</v>
      </c>
      <c r="D72" s="105">
        <v>59953</v>
      </c>
      <c r="E72" s="105">
        <v>58815</v>
      </c>
      <c r="F72" s="105">
        <v>75302</v>
      </c>
      <c r="G72" s="105">
        <v>62941</v>
      </c>
      <c r="H72" s="105">
        <v>46458</v>
      </c>
      <c r="I72" s="106">
        <v>61677</v>
      </c>
      <c r="J72" s="106">
        <v>53145</v>
      </c>
    </row>
    <row r="73" spans="2:10" x14ac:dyDescent="0.2">
      <c r="B73" s="100" t="s">
        <v>391</v>
      </c>
      <c r="C73" s="105">
        <v>27794</v>
      </c>
      <c r="D73" s="105">
        <v>28824</v>
      </c>
      <c r="E73" s="105">
        <v>31836</v>
      </c>
      <c r="F73" s="105">
        <v>41664</v>
      </c>
      <c r="G73" s="105">
        <v>32063</v>
      </c>
      <c r="H73" s="105">
        <v>24014</v>
      </c>
      <c r="I73" s="106">
        <v>29741</v>
      </c>
      <c r="J73" s="106">
        <v>27223</v>
      </c>
    </row>
    <row r="74" spans="2:10" x14ac:dyDescent="0.2">
      <c r="B74" s="100" t="s">
        <v>127</v>
      </c>
      <c r="C74" s="107">
        <v>14.9</v>
      </c>
      <c r="D74" s="107">
        <v>12.4</v>
      </c>
      <c r="E74" s="107">
        <v>8.4</v>
      </c>
      <c r="F74" s="107">
        <v>9.8000000000000007</v>
      </c>
      <c r="G74" s="107">
        <v>9.9</v>
      </c>
      <c r="H74" s="107">
        <v>20</v>
      </c>
      <c r="I74" s="108">
        <v>12.2</v>
      </c>
      <c r="J74" s="108">
        <v>14.4</v>
      </c>
    </row>
    <row r="75" spans="2:10" x14ac:dyDescent="0.2">
      <c r="B75" s="100" t="s">
        <v>128</v>
      </c>
      <c r="C75" s="105" t="s">
        <v>48</v>
      </c>
      <c r="D75" s="105" t="s">
        <v>47</v>
      </c>
      <c r="E75" s="105" t="s">
        <v>46</v>
      </c>
      <c r="F75" s="105" t="s">
        <v>44</v>
      </c>
      <c r="G75" s="105" t="s">
        <v>43</v>
      </c>
      <c r="H75" s="105" t="s">
        <v>42</v>
      </c>
      <c r="I75" s="106" t="s">
        <v>50</v>
      </c>
      <c r="J75" s="106" t="s">
        <v>49</v>
      </c>
    </row>
    <row r="76" spans="2:10" x14ac:dyDescent="0.2">
      <c r="B76" s="100" t="s">
        <v>392</v>
      </c>
      <c r="C76" s="105">
        <v>3417</v>
      </c>
      <c r="D76" s="105">
        <v>17012</v>
      </c>
      <c r="E76" s="105">
        <v>1706</v>
      </c>
      <c r="F76" s="105">
        <v>66891</v>
      </c>
      <c r="G76" s="105">
        <v>5676</v>
      </c>
      <c r="H76" s="105">
        <v>1193</v>
      </c>
      <c r="I76" s="106">
        <v>6039</v>
      </c>
      <c r="J76" s="106">
        <v>6401</v>
      </c>
    </row>
    <row r="77" spans="2:10" x14ac:dyDescent="0.2">
      <c r="B77" s="100" t="s">
        <v>393</v>
      </c>
      <c r="C77" s="105">
        <v>39772</v>
      </c>
      <c r="D77" s="105">
        <v>244855</v>
      </c>
      <c r="E77" s="105">
        <v>12224</v>
      </c>
      <c r="F77" s="105">
        <v>1133727</v>
      </c>
      <c r="G77" s="105">
        <v>57374</v>
      </c>
      <c r="H77" s="105">
        <v>11086</v>
      </c>
      <c r="I77" s="106">
        <v>68684</v>
      </c>
      <c r="J77" s="106">
        <v>73743</v>
      </c>
    </row>
    <row r="78" spans="2:10" x14ac:dyDescent="0.2">
      <c r="B78" s="100" t="s">
        <v>394</v>
      </c>
      <c r="C78" s="105">
        <v>1724239</v>
      </c>
      <c r="D78" s="105">
        <v>10815084</v>
      </c>
      <c r="E78" s="105">
        <v>433854</v>
      </c>
      <c r="F78" s="105">
        <v>83213348</v>
      </c>
      <c r="G78" s="105">
        <v>2188302</v>
      </c>
      <c r="H78" s="105">
        <v>369769</v>
      </c>
      <c r="I78" s="106">
        <v>2708536</v>
      </c>
      <c r="J78" s="106">
        <v>3052018</v>
      </c>
    </row>
    <row r="79" spans="2:10" x14ac:dyDescent="0.2">
      <c r="B79" s="100" t="s">
        <v>395</v>
      </c>
      <c r="C79" s="107">
        <v>0.4</v>
      </c>
      <c r="D79" s="107">
        <v>1.5</v>
      </c>
      <c r="E79" s="107">
        <v>5.2</v>
      </c>
      <c r="F79" s="107">
        <v>3.4</v>
      </c>
      <c r="G79" s="107">
        <v>2.6</v>
      </c>
      <c r="H79" s="107">
        <v>5.5</v>
      </c>
      <c r="I79" s="108">
        <v>3.5</v>
      </c>
      <c r="J79" s="108">
        <v>2.5</v>
      </c>
    </row>
    <row r="80" spans="2:10" x14ac:dyDescent="0.2">
      <c r="B80" s="100" t="s">
        <v>396</v>
      </c>
      <c r="C80" s="105">
        <v>7548</v>
      </c>
      <c r="D80" s="105">
        <v>40709</v>
      </c>
      <c r="E80" s="105">
        <v>5747</v>
      </c>
      <c r="F80" s="105">
        <v>159920</v>
      </c>
      <c r="G80" s="105">
        <v>14142</v>
      </c>
      <c r="H80" s="105">
        <v>2519</v>
      </c>
      <c r="I80" s="106">
        <v>14338</v>
      </c>
      <c r="J80" s="106">
        <v>14710</v>
      </c>
    </row>
    <row r="81" spans="2:10" x14ac:dyDescent="0.2">
      <c r="B81" s="100" t="s">
        <v>135</v>
      </c>
      <c r="C81" s="105">
        <v>9505</v>
      </c>
      <c r="D81" s="105">
        <v>50503</v>
      </c>
      <c r="E81" s="105">
        <v>7083</v>
      </c>
      <c r="F81" s="105">
        <v>201404</v>
      </c>
      <c r="G81" s="105">
        <v>18206</v>
      </c>
      <c r="H81" s="105">
        <v>3128</v>
      </c>
      <c r="I81" s="106">
        <v>18842</v>
      </c>
      <c r="J81" s="106">
        <v>18054</v>
      </c>
    </row>
    <row r="82" spans="2:10" x14ac:dyDescent="0.2">
      <c r="B82" s="100" t="s">
        <v>136</v>
      </c>
      <c r="C82" s="105">
        <v>4460</v>
      </c>
      <c r="D82" s="105">
        <v>23389</v>
      </c>
      <c r="E82" s="105">
        <v>2966</v>
      </c>
      <c r="F82" s="105">
        <v>100912</v>
      </c>
      <c r="G82" s="105">
        <v>7934</v>
      </c>
      <c r="H82" s="105">
        <v>1248</v>
      </c>
      <c r="I82" s="106">
        <v>8970</v>
      </c>
      <c r="J82" s="106">
        <v>8898</v>
      </c>
    </row>
    <row r="83" spans="2:10" x14ac:dyDescent="0.2">
      <c r="B83" s="100" t="s">
        <v>137</v>
      </c>
      <c r="C83" s="105">
        <v>2889</v>
      </c>
      <c r="D83" s="105">
        <v>18469</v>
      </c>
      <c r="E83" s="105">
        <v>2788</v>
      </c>
      <c r="F83" s="105">
        <v>71005</v>
      </c>
      <c r="G83" s="105">
        <v>6698</v>
      </c>
      <c r="H83" s="105">
        <v>1029</v>
      </c>
      <c r="I83" s="106">
        <v>6797</v>
      </c>
      <c r="J83" s="106">
        <v>5810</v>
      </c>
    </row>
    <row r="84" spans="2:10" x14ac:dyDescent="0.2">
      <c r="B84" s="100" t="s">
        <v>138</v>
      </c>
      <c r="C84" s="105">
        <v>1028</v>
      </c>
      <c r="D84" s="105">
        <v>9316</v>
      </c>
      <c r="E84" s="105">
        <v>520</v>
      </c>
      <c r="F84" s="105">
        <v>45508</v>
      </c>
      <c r="G84" s="105">
        <v>1947</v>
      </c>
      <c r="H84" s="105">
        <v>153</v>
      </c>
      <c r="I84" s="106">
        <v>2758</v>
      </c>
      <c r="J84" s="106">
        <v>1802</v>
      </c>
    </row>
    <row r="85" spans="2:10" x14ac:dyDescent="0.2">
      <c r="B85" s="100" t="s">
        <v>139</v>
      </c>
      <c r="C85" s="105">
        <v>8059</v>
      </c>
      <c r="D85" s="105">
        <v>38961</v>
      </c>
      <c r="E85" s="105">
        <v>6128</v>
      </c>
      <c r="F85" s="105">
        <v>145726</v>
      </c>
      <c r="G85" s="105">
        <v>15307</v>
      </c>
      <c r="H85" s="105">
        <v>2832</v>
      </c>
      <c r="I85" s="106">
        <v>15115</v>
      </c>
      <c r="J85" s="106">
        <v>15340</v>
      </c>
    </row>
    <row r="86" spans="2:10" x14ac:dyDescent="0.2">
      <c r="B86" s="100" t="s">
        <v>140</v>
      </c>
      <c r="C86" s="105">
        <v>845</v>
      </c>
      <c r="D86" s="105">
        <v>5147</v>
      </c>
      <c r="E86" s="105">
        <v>905</v>
      </c>
      <c r="F86" s="105">
        <v>15016</v>
      </c>
      <c r="G86" s="105">
        <v>2015</v>
      </c>
      <c r="H86" s="105">
        <v>232</v>
      </c>
      <c r="I86" s="106">
        <v>2288</v>
      </c>
      <c r="J86" s="106">
        <v>1751</v>
      </c>
    </row>
    <row r="87" spans="2:10" x14ac:dyDescent="0.2">
      <c r="B87" s="100" t="s">
        <v>141</v>
      </c>
      <c r="C87" s="105">
        <v>7902</v>
      </c>
      <c r="D87" s="105">
        <v>42005</v>
      </c>
      <c r="E87" s="105">
        <v>5639</v>
      </c>
      <c r="F87" s="105">
        <v>175951</v>
      </c>
      <c r="G87" s="105">
        <v>14716</v>
      </c>
      <c r="H87" s="105">
        <v>2626</v>
      </c>
      <c r="I87" s="106">
        <v>15225</v>
      </c>
      <c r="J87" s="106">
        <v>15060</v>
      </c>
    </row>
    <row r="88" spans="2:10" x14ac:dyDescent="0.2">
      <c r="B88" s="100" t="s">
        <v>142</v>
      </c>
      <c r="C88" s="105" t="s">
        <v>48</v>
      </c>
      <c r="D88" s="105" t="s">
        <v>47</v>
      </c>
      <c r="E88" s="105" t="s">
        <v>46</v>
      </c>
      <c r="F88" s="105" t="s">
        <v>44</v>
      </c>
      <c r="G88" s="105" t="s">
        <v>43</v>
      </c>
      <c r="H88" s="105" t="s">
        <v>42</v>
      </c>
      <c r="I88" s="106" t="s">
        <v>50</v>
      </c>
      <c r="J88" s="106" t="s">
        <v>49</v>
      </c>
    </row>
    <row r="89" spans="2:10" x14ac:dyDescent="0.2">
      <c r="B89" s="100" t="s">
        <v>143</v>
      </c>
      <c r="C89" s="107">
        <v>67.5</v>
      </c>
      <c r="D89" s="107">
        <v>476.3</v>
      </c>
      <c r="E89" s="107">
        <v>376.6</v>
      </c>
      <c r="F89" s="107">
        <v>912.9</v>
      </c>
      <c r="G89" s="107">
        <v>635.9</v>
      </c>
      <c r="H89" s="107">
        <v>17.8</v>
      </c>
      <c r="I89" s="108">
        <v>349.4</v>
      </c>
      <c r="J89" s="108">
        <v>95.5</v>
      </c>
    </row>
    <row r="90" spans="2:10" x14ac:dyDescent="0.2">
      <c r="B90" s="100" t="s">
        <v>144</v>
      </c>
      <c r="C90" s="113">
        <v>1731.2</v>
      </c>
      <c r="D90" s="113">
        <v>1669.51</v>
      </c>
      <c r="E90" s="113">
        <v>208.45</v>
      </c>
      <c r="F90" s="113">
        <v>2115.5700000000002</v>
      </c>
      <c r="G90" s="113">
        <v>394.94</v>
      </c>
      <c r="H90" s="113">
        <v>2297.27</v>
      </c>
      <c r="I90" s="114">
        <v>721.96</v>
      </c>
      <c r="J90" s="114">
        <v>2106.86</v>
      </c>
    </row>
    <row r="91" spans="2:10" x14ac:dyDescent="0.2">
      <c r="B91" s="100" t="s">
        <v>145</v>
      </c>
      <c r="C91" s="105" t="s">
        <v>152</v>
      </c>
      <c r="D91" s="105" t="s">
        <v>151</v>
      </c>
      <c r="E91" s="105" t="s">
        <v>150</v>
      </c>
      <c r="F91" s="105" t="s">
        <v>148</v>
      </c>
      <c r="G91" s="105" t="s">
        <v>147</v>
      </c>
      <c r="H91" s="105" t="s">
        <v>146</v>
      </c>
      <c r="I91" s="106" t="s">
        <v>154</v>
      </c>
      <c r="J91" s="106" t="s">
        <v>153</v>
      </c>
    </row>
    <row r="92" spans="2:10" x14ac:dyDescent="0.2">
      <c r="C92" s="105"/>
      <c r="D92" s="105"/>
      <c r="E92" s="105"/>
      <c r="F92" s="105"/>
      <c r="G92" s="105"/>
      <c r="H92" s="105"/>
      <c r="I92" s="106"/>
      <c r="J92" s="106"/>
    </row>
    <row r="93" spans="2:10" x14ac:dyDescent="0.2">
      <c r="B93" s="100" t="s">
        <v>155</v>
      </c>
      <c r="C93" s="105"/>
      <c r="D93" s="105"/>
      <c r="E93" s="105"/>
      <c r="F93" s="105"/>
      <c r="G93" s="105"/>
      <c r="H93" s="105"/>
      <c r="I93" s="106"/>
      <c r="J93" s="106"/>
    </row>
    <row r="94" spans="2:10" x14ac:dyDescent="0.2">
      <c r="C94" s="105"/>
      <c r="D94" s="105"/>
      <c r="E94" s="105"/>
      <c r="F94" s="105"/>
      <c r="G94" s="105"/>
      <c r="H94" s="105"/>
      <c r="I94" s="106"/>
      <c r="J94" s="106"/>
    </row>
    <row r="95" spans="2:10" x14ac:dyDescent="0.2">
      <c r="B95" s="100" t="s">
        <v>156</v>
      </c>
      <c r="C95" s="105"/>
      <c r="D95" s="105"/>
      <c r="E95" s="105"/>
      <c r="F95" s="105"/>
      <c r="G95" s="105"/>
      <c r="H95" s="105"/>
      <c r="I95" s="106"/>
      <c r="J95" s="106"/>
    </row>
    <row r="96" spans="2:10" x14ac:dyDescent="0.2">
      <c r="C96" s="105"/>
      <c r="D96" s="105"/>
      <c r="E96" s="105"/>
      <c r="F96" s="105"/>
      <c r="G96" s="105"/>
      <c r="H96" s="105"/>
      <c r="I96" s="106"/>
      <c r="J96" s="106"/>
    </row>
    <row r="97" spans="2:10" x14ac:dyDescent="0.2">
      <c r="B97" s="100" t="s">
        <v>157</v>
      </c>
      <c r="C97" s="105"/>
      <c r="D97" s="105"/>
      <c r="E97" s="105"/>
      <c r="F97" s="105"/>
      <c r="G97" s="105"/>
      <c r="H97" s="105"/>
      <c r="I97" s="106"/>
      <c r="J97" s="106"/>
    </row>
    <row r="98" spans="2:10" x14ac:dyDescent="0.2">
      <c r="C98" s="105"/>
      <c r="D98" s="105"/>
      <c r="E98" s="105"/>
      <c r="F98" s="105"/>
      <c r="G98" s="105"/>
      <c r="H98" s="105"/>
      <c r="I98" s="106"/>
      <c r="J98" s="106"/>
    </row>
    <row r="99" spans="2:10" x14ac:dyDescent="0.2">
      <c r="B99" s="100" t="s">
        <v>158</v>
      </c>
      <c r="C99" s="105"/>
      <c r="D99" s="105"/>
      <c r="E99" s="105"/>
      <c r="F99" s="105"/>
      <c r="G99" s="105"/>
      <c r="H99" s="105"/>
      <c r="I99" s="106"/>
      <c r="J99" s="106"/>
    </row>
    <row r="100" spans="2:10" x14ac:dyDescent="0.2">
      <c r="B100" s="100" t="s">
        <v>159</v>
      </c>
      <c r="C100" s="105"/>
      <c r="D100" s="105"/>
      <c r="E100" s="105"/>
      <c r="F100" s="105"/>
      <c r="G100" s="105"/>
      <c r="H100" s="105"/>
      <c r="I100" s="106"/>
      <c r="J100" s="106"/>
    </row>
    <row r="101" spans="2:10" x14ac:dyDescent="0.2">
      <c r="B101" s="100" t="s">
        <v>160</v>
      </c>
      <c r="C101" s="105"/>
      <c r="D101" s="105"/>
      <c r="E101" s="105"/>
      <c r="F101" s="105"/>
      <c r="G101" s="105"/>
      <c r="H101" s="105"/>
      <c r="I101" s="106"/>
      <c r="J101" s="106"/>
    </row>
    <row r="102" spans="2:10" x14ac:dyDescent="0.2">
      <c r="C102" s="105"/>
      <c r="D102" s="105"/>
      <c r="E102" s="105"/>
      <c r="F102" s="105"/>
      <c r="G102" s="105"/>
      <c r="H102" s="105"/>
      <c r="I102" s="106"/>
      <c r="J102" s="106"/>
    </row>
    <row r="103" spans="2:10" x14ac:dyDescent="0.2">
      <c r="B103" s="100" t="s">
        <v>161</v>
      </c>
      <c r="C103" s="105"/>
      <c r="D103" s="105"/>
      <c r="E103" s="105"/>
      <c r="F103" s="105"/>
      <c r="G103" s="105"/>
      <c r="H103" s="105"/>
      <c r="I103" s="106"/>
      <c r="J103" s="106"/>
    </row>
    <row r="104" spans="2:10" x14ac:dyDescent="0.2">
      <c r="B104" s="100" t="s">
        <v>162</v>
      </c>
      <c r="C104" s="105"/>
      <c r="D104" s="105"/>
      <c r="E104" s="105"/>
      <c r="F104" s="105"/>
      <c r="G104" s="105"/>
      <c r="H104" s="105"/>
      <c r="I104" s="106"/>
      <c r="J104" s="106"/>
    </row>
    <row r="105" spans="2:10" x14ac:dyDescent="0.2">
      <c r="B105" s="100" t="s">
        <v>163</v>
      </c>
      <c r="C105" s="105"/>
      <c r="D105" s="105"/>
      <c r="E105" s="105"/>
      <c r="F105" s="105"/>
      <c r="G105" s="105"/>
      <c r="H105" s="105"/>
      <c r="I105" s="106"/>
      <c r="J105" s="106"/>
    </row>
    <row r="106" spans="2:10" x14ac:dyDescent="0.2">
      <c r="B106" s="100" t="s">
        <v>164</v>
      </c>
      <c r="C106" s="105"/>
      <c r="D106" s="105"/>
      <c r="E106" s="105"/>
      <c r="F106" s="105"/>
      <c r="G106" s="105"/>
      <c r="H106" s="105"/>
      <c r="I106" s="106"/>
      <c r="J106" s="106"/>
    </row>
    <row r="107" spans="2:10" x14ac:dyDescent="0.2">
      <c r="B107" s="100" t="s">
        <v>165</v>
      </c>
      <c r="C107" s="105"/>
      <c r="D107" s="105"/>
      <c r="E107" s="105"/>
      <c r="F107" s="105"/>
      <c r="G107" s="105"/>
      <c r="H107" s="105"/>
      <c r="I107" s="106"/>
      <c r="J107" s="106"/>
    </row>
    <row r="108" spans="2:10" x14ac:dyDescent="0.2">
      <c r="B108" s="100" t="s">
        <v>166</v>
      </c>
      <c r="C108" s="105"/>
      <c r="D108" s="105"/>
      <c r="E108" s="105"/>
      <c r="F108" s="105"/>
      <c r="G108" s="105"/>
      <c r="H108" s="105"/>
      <c r="I108" s="106"/>
      <c r="J108" s="106"/>
    </row>
    <row r="109" spans="2:10" x14ac:dyDescent="0.2">
      <c r="B109" s="100" t="s">
        <v>167</v>
      </c>
      <c r="C109" s="105"/>
      <c r="D109" s="105"/>
      <c r="E109" s="105"/>
      <c r="F109" s="105"/>
      <c r="G109" s="105"/>
      <c r="H109" s="105"/>
      <c r="I109" s="106"/>
      <c r="J109" s="106"/>
    </row>
    <row r="110" spans="2:10" x14ac:dyDescent="0.2">
      <c r="C110" s="105"/>
      <c r="D110" s="105"/>
      <c r="E110" s="105"/>
      <c r="F110" s="105"/>
      <c r="G110" s="105"/>
      <c r="H110" s="105"/>
      <c r="I110" s="106"/>
      <c r="J110" s="106"/>
    </row>
    <row r="111" spans="2:10" x14ac:dyDescent="0.2">
      <c r="B111" s="100" t="s">
        <v>168</v>
      </c>
      <c r="C111" s="105"/>
      <c r="D111" s="105"/>
      <c r="E111" s="105"/>
      <c r="F111" s="105"/>
      <c r="G111" s="105"/>
      <c r="H111" s="105"/>
      <c r="I111" s="106"/>
      <c r="J111" s="106"/>
    </row>
    <row r="112" spans="2:10" x14ac:dyDescent="0.2">
      <c r="C112" s="105"/>
      <c r="D112" s="105"/>
      <c r="E112" s="105"/>
      <c r="F112" s="105"/>
      <c r="G112" s="105"/>
      <c r="H112" s="105"/>
      <c r="I112" s="106"/>
      <c r="J112" s="106"/>
    </row>
    <row r="113" spans="3:10" x14ac:dyDescent="0.2">
      <c r="C113" s="105"/>
      <c r="D113" s="105"/>
      <c r="E113" s="105"/>
      <c r="F113" s="105"/>
      <c r="G113" s="105"/>
      <c r="H113" s="105"/>
      <c r="I113" s="106"/>
      <c r="J113" s="106"/>
    </row>
    <row r="114" spans="3:10" x14ac:dyDescent="0.2">
      <c r="C114" s="105"/>
      <c r="D114" s="105"/>
      <c r="E114" s="105"/>
      <c r="F114" s="105"/>
      <c r="G114" s="105"/>
      <c r="H114" s="105"/>
      <c r="I114" s="106"/>
      <c r="J114" s="106"/>
    </row>
    <row r="115" spans="3:10" x14ac:dyDescent="0.2">
      <c r="C115" s="105"/>
      <c r="D115" s="105"/>
      <c r="E115" s="105"/>
      <c r="F115" s="105"/>
      <c r="G115" s="105"/>
      <c r="H115" s="105"/>
      <c r="I115" s="106"/>
      <c r="J115" s="106"/>
    </row>
    <row r="116" spans="3:10" x14ac:dyDescent="0.2">
      <c r="C116" s="105"/>
      <c r="D116" s="105"/>
      <c r="E116" s="105"/>
      <c r="F116" s="105"/>
      <c r="G116" s="105"/>
      <c r="H116" s="105"/>
      <c r="I116" s="106"/>
      <c r="J116" s="106"/>
    </row>
    <row r="117" spans="3:10" x14ac:dyDescent="0.2">
      <c r="C117" s="105"/>
      <c r="D117" s="105"/>
      <c r="E117" s="105"/>
      <c r="F117" s="105"/>
      <c r="G117" s="105"/>
      <c r="H117" s="105"/>
      <c r="I117" s="106"/>
      <c r="J117" s="106"/>
    </row>
    <row r="118" spans="3:10" x14ac:dyDescent="0.2">
      <c r="C118" s="105"/>
      <c r="D118" s="105"/>
      <c r="E118" s="105"/>
      <c r="F118" s="105"/>
      <c r="G118" s="105"/>
      <c r="H118" s="105"/>
      <c r="I118" s="106"/>
      <c r="J118" s="106"/>
    </row>
    <row r="119" spans="3:10" x14ac:dyDescent="0.2">
      <c r="C119" s="105"/>
      <c r="D119" s="105"/>
      <c r="E119" s="105"/>
      <c r="F119" s="105"/>
      <c r="G119" s="105"/>
      <c r="H119" s="105"/>
      <c r="I119" s="106"/>
      <c r="J119" s="106"/>
    </row>
    <row r="120" spans="3:10" x14ac:dyDescent="0.2">
      <c r="C120" s="105"/>
      <c r="D120" s="105"/>
      <c r="E120" s="105"/>
      <c r="F120" s="105"/>
      <c r="G120" s="105"/>
      <c r="H120" s="105"/>
      <c r="I120" s="106"/>
      <c r="J120" s="106"/>
    </row>
    <row r="121" spans="3:10" x14ac:dyDescent="0.2">
      <c r="C121" s="105"/>
      <c r="D121" s="105"/>
      <c r="E121" s="105"/>
      <c r="F121" s="105"/>
      <c r="G121" s="105"/>
      <c r="H121" s="105"/>
      <c r="I121" s="106"/>
      <c r="J121" s="106"/>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5"/>
  <sheetViews>
    <sheetView workbookViewId="0">
      <selection activeCell="F14" sqref="F14"/>
    </sheetView>
  </sheetViews>
  <sheetFormatPr defaultColWidth="9.140625" defaultRowHeight="15" x14ac:dyDescent="0.25"/>
  <cols>
    <col min="1" max="2" width="9.140625" style="131"/>
    <col min="3" max="3" width="11.28515625" style="131" customWidth="1"/>
    <col min="4" max="6" width="10.7109375" style="131" customWidth="1"/>
    <col min="7" max="16384" width="9.140625" style="131"/>
  </cols>
  <sheetData>
    <row r="3" spans="3:6" x14ac:dyDescent="0.25">
      <c r="C3" s="131" t="s">
        <v>592</v>
      </c>
    </row>
    <row r="4" spans="3:6" x14ac:dyDescent="0.25">
      <c r="D4" s="136" t="s">
        <v>52</v>
      </c>
      <c r="E4" s="136" t="s">
        <v>591</v>
      </c>
      <c r="F4" s="136" t="s">
        <v>481</v>
      </c>
    </row>
    <row r="5" spans="3:6" x14ac:dyDescent="0.25">
      <c r="C5" s="131" t="s">
        <v>583</v>
      </c>
      <c r="D5" s="152">
        <v>130696</v>
      </c>
      <c r="E5" s="136">
        <v>2.5499999999999998</v>
      </c>
      <c r="F5" s="152">
        <f>D5*E5</f>
        <v>333274.8</v>
      </c>
    </row>
    <row r="6" spans="3:6" x14ac:dyDescent="0.25">
      <c r="C6" s="131" t="s">
        <v>584</v>
      </c>
      <c r="D6" s="152">
        <v>925708</v>
      </c>
      <c r="E6" s="136">
        <v>2.64</v>
      </c>
      <c r="F6" s="152">
        <f t="shared" ref="F6:F12" si="0">D6*E6</f>
        <v>2443869.12</v>
      </c>
    </row>
    <row r="7" spans="3:6" x14ac:dyDescent="0.25">
      <c r="C7" s="131" t="s">
        <v>585</v>
      </c>
      <c r="D7" s="152">
        <v>87432</v>
      </c>
      <c r="E7" s="136">
        <v>2.31</v>
      </c>
      <c r="F7" s="152">
        <f t="shared" si="0"/>
        <v>201967.92</v>
      </c>
    </row>
    <row r="8" spans="3:6" x14ac:dyDescent="0.25">
      <c r="C8" s="131" t="s">
        <v>586</v>
      </c>
      <c r="D8" s="152">
        <v>2252305</v>
      </c>
      <c r="E8" s="136">
        <v>2.4300000000000002</v>
      </c>
      <c r="F8" s="152">
        <f t="shared" si="0"/>
        <v>5473101.1500000004</v>
      </c>
    </row>
    <row r="9" spans="3:6" x14ac:dyDescent="0.25">
      <c r="C9" s="131" t="s">
        <v>587</v>
      </c>
      <c r="D9" s="152">
        <v>274314</v>
      </c>
      <c r="E9" s="136">
        <v>2.46</v>
      </c>
      <c r="F9" s="152">
        <f t="shared" si="0"/>
        <v>674812.44</v>
      </c>
    </row>
    <row r="10" spans="3:6" x14ac:dyDescent="0.25">
      <c r="C10" s="131" t="s">
        <v>588</v>
      </c>
      <c r="D10" s="152">
        <v>45499</v>
      </c>
      <c r="E10" s="136">
        <v>2.3199999999999998</v>
      </c>
      <c r="F10" s="152">
        <f t="shared" si="0"/>
        <v>105557.68</v>
      </c>
    </row>
    <row r="11" spans="3:6" x14ac:dyDescent="0.25">
      <c r="C11" s="131" t="s">
        <v>589</v>
      </c>
      <c r="D11" s="152">
        <v>297977</v>
      </c>
      <c r="E11" s="136">
        <v>2.5</v>
      </c>
      <c r="F11" s="152">
        <f t="shared" si="0"/>
        <v>744942.5</v>
      </c>
    </row>
    <row r="12" spans="3:6" x14ac:dyDescent="0.25">
      <c r="C12" s="131" t="s">
        <v>590</v>
      </c>
      <c r="D12" s="152">
        <v>228831</v>
      </c>
      <c r="E12" s="136">
        <v>2.4700000000000002</v>
      </c>
      <c r="F12" s="152">
        <f t="shared" si="0"/>
        <v>565212.57000000007</v>
      </c>
    </row>
    <row r="13" spans="3:6" x14ac:dyDescent="0.25">
      <c r="D13" s="136"/>
      <c r="E13" s="136"/>
      <c r="F13" s="136"/>
    </row>
    <row r="14" spans="3:6" x14ac:dyDescent="0.25">
      <c r="D14" s="136"/>
      <c r="E14" s="318" t="s">
        <v>593</v>
      </c>
      <c r="F14" s="507">
        <f>+SUM(F5:F12)/SUM(D5:D12)</f>
        <v>2.4848761679302305</v>
      </c>
    </row>
    <row r="15" spans="3:6" x14ac:dyDescent="0.25">
      <c r="D15" s="136"/>
      <c r="E15" s="136"/>
      <c r="F15" s="1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7"/>
  <sheetViews>
    <sheetView showGridLines="0" workbookViewId="0">
      <selection activeCell="K26" sqref="K26"/>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 min="10" max="10" width="11.140625" bestFit="1" customWidth="1"/>
    <col min="11" max="11" width="10.85546875" bestFit="1" customWidth="1"/>
    <col min="13" max="13" width="15" bestFit="1" customWidth="1"/>
  </cols>
  <sheetData>
    <row r="1" spans="1:11" ht="18.75" x14ac:dyDescent="0.3">
      <c r="A1" s="203" t="s">
        <v>11</v>
      </c>
      <c r="B1" s="125"/>
      <c r="C1" s="125"/>
      <c r="D1" s="125"/>
      <c r="E1" s="125"/>
      <c r="F1" s="125"/>
      <c r="G1" s="125"/>
    </row>
    <row r="2" spans="1:11" ht="9.1999999999999993" customHeight="1" x14ac:dyDescent="0.25">
      <c r="A2" s="125"/>
      <c r="B2" s="125"/>
      <c r="C2" s="125"/>
      <c r="D2" s="125"/>
      <c r="E2" s="125"/>
      <c r="F2" s="125"/>
      <c r="G2" s="125"/>
    </row>
    <row r="3" spans="1:11" x14ac:dyDescent="0.25">
      <c r="A3" s="260"/>
      <c r="B3" s="625" t="s">
        <v>15</v>
      </c>
      <c r="C3" s="260" t="s">
        <v>25</v>
      </c>
      <c r="D3" s="262"/>
      <c r="E3" s="64"/>
      <c r="F3" s="125"/>
      <c r="G3" s="125"/>
      <c r="J3" s="125" t="s">
        <v>515</v>
      </c>
    </row>
    <row r="4" spans="1:11" x14ac:dyDescent="0.25">
      <c r="A4" s="627" t="s">
        <v>16</v>
      </c>
      <c r="B4" s="628"/>
      <c r="C4" s="263">
        <v>2021</v>
      </c>
      <c r="D4" s="264" t="s">
        <v>39</v>
      </c>
      <c r="E4" s="64"/>
      <c r="F4" s="125"/>
      <c r="G4" s="125"/>
      <c r="J4" s="348">
        <f>'Census Stats 2021'!F14</f>
        <v>2.4848761679302305</v>
      </c>
    </row>
    <row r="5" spans="1:11" x14ac:dyDescent="0.25">
      <c r="A5" s="627" t="s">
        <v>21</v>
      </c>
      <c r="B5" s="628"/>
      <c r="C5" s="259">
        <f>+F10*J4</f>
        <v>2616641.6964870668</v>
      </c>
      <c r="D5" s="265">
        <f>+D14/C5</f>
        <v>8.0423001851006433</v>
      </c>
      <c r="E5" s="125"/>
      <c r="F5" s="125"/>
      <c r="G5" s="125"/>
    </row>
    <row r="6" spans="1:11" x14ac:dyDescent="0.25">
      <c r="A6" s="211"/>
      <c r="B6" s="211"/>
      <c r="C6" s="21"/>
      <c r="D6" s="125"/>
      <c r="E6" s="266"/>
      <c r="F6" s="125"/>
      <c r="G6" s="125"/>
    </row>
    <row r="7" spans="1:11" ht="18.75" x14ac:dyDescent="0.3">
      <c r="A7" s="267" t="s">
        <v>36</v>
      </c>
      <c r="B7" s="125"/>
      <c r="C7" s="21"/>
      <c r="D7" s="125"/>
      <c r="E7" s="266"/>
      <c r="F7" s="125"/>
      <c r="G7" s="125"/>
      <c r="J7" s="125"/>
      <c r="K7" s="125"/>
    </row>
    <row r="8" spans="1:11" x14ac:dyDescent="0.25">
      <c r="A8" s="268"/>
      <c r="B8" s="269"/>
      <c r="C8" s="269"/>
      <c r="D8" s="269"/>
      <c r="E8" s="269"/>
      <c r="F8" s="270" t="s">
        <v>20</v>
      </c>
      <c r="G8" s="271" t="s">
        <v>40</v>
      </c>
      <c r="J8" s="125" t="s">
        <v>516</v>
      </c>
      <c r="K8" s="125"/>
    </row>
    <row r="9" spans="1:11" x14ac:dyDescent="0.25">
      <c r="A9" s="272"/>
      <c r="B9" s="273"/>
      <c r="C9" s="273"/>
      <c r="D9" s="263" t="s">
        <v>14</v>
      </c>
      <c r="E9" s="274" t="s">
        <v>28</v>
      </c>
      <c r="F9" s="275" t="s">
        <v>35</v>
      </c>
      <c r="G9" s="258" t="s">
        <v>20</v>
      </c>
      <c r="J9" s="125" t="s">
        <v>517</v>
      </c>
      <c r="K9" s="125"/>
    </row>
    <row r="10" spans="1:11" x14ac:dyDescent="0.25">
      <c r="A10" s="345" t="s">
        <v>12</v>
      </c>
      <c r="B10" s="626"/>
      <c r="C10" s="625"/>
      <c r="D10" s="330">
        <v>11479045</v>
      </c>
      <c r="E10" s="276">
        <f>+D10/D14</f>
        <v>0.54548300123105042</v>
      </c>
      <c r="F10" s="331">
        <v>1053027</v>
      </c>
      <c r="G10" s="277">
        <f>+D10/F10</f>
        <v>10.900997790180119</v>
      </c>
      <c r="J10" s="209"/>
      <c r="K10" s="125"/>
    </row>
    <row r="11" spans="1:11" x14ac:dyDescent="0.25">
      <c r="A11" s="345" t="s">
        <v>17</v>
      </c>
      <c r="B11" s="626"/>
      <c r="C11" s="625"/>
      <c r="D11" s="330">
        <v>8402057</v>
      </c>
      <c r="E11" s="276">
        <f>+D11/D14</f>
        <v>0.39926485773636705</v>
      </c>
      <c r="F11" s="330">
        <v>132581</v>
      </c>
      <c r="G11" s="277">
        <f>+D11/F11</f>
        <v>63.37300970727329</v>
      </c>
      <c r="J11" s="334"/>
      <c r="K11" s="335" t="s">
        <v>582</v>
      </c>
    </row>
    <row r="12" spans="1:11" x14ac:dyDescent="0.25">
      <c r="A12" s="345" t="s">
        <v>18</v>
      </c>
      <c r="B12" s="626"/>
      <c r="C12" s="625"/>
      <c r="D12" s="330">
        <v>1082718</v>
      </c>
      <c r="E12" s="276">
        <f>+D12/D14</f>
        <v>5.1450644555089763E-2</v>
      </c>
      <c r="F12" s="211"/>
      <c r="G12" s="278"/>
      <c r="J12" s="1"/>
    </row>
    <row r="13" spans="1:11" x14ac:dyDescent="0.25">
      <c r="A13" s="345" t="s">
        <v>547</v>
      </c>
      <c r="B13" s="626"/>
      <c r="C13" s="625"/>
      <c r="D13" s="330">
        <v>79998</v>
      </c>
      <c r="E13" s="276">
        <f>+D13/D14</f>
        <v>3.8014964774928202E-3</v>
      </c>
      <c r="F13" s="211"/>
      <c r="G13" s="278"/>
      <c r="J13" s="1"/>
    </row>
    <row r="14" spans="1:11" x14ac:dyDescent="0.25">
      <c r="A14" s="624"/>
      <c r="B14" s="346"/>
      <c r="C14" s="625" t="s">
        <v>13</v>
      </c>
      <c r="D14" s="280">
        <f>SUM(D10:D13)</f>
        <v>21043818</v>
      </c>
      <c r="E14" s="276">
        <f>SUM(E10:E13)</f>
        <v>1</v>
      </c>
      <c r="F14" s="273"/>
      <c r="G14" s="282"/>
    </row>
    <row r="15" spans="1:11" x14ac:dyDescent="0.25">
      <c r="A15" s="125"/>
      <c r="B15" s="125"/>
      <c r="C15" s="125"/>
      <c r="D15" s="125"/>
      <c r="E15" s="125"/>
      <c r="F15" s="125"/>
      <c r="G15" s="125"/>
    </row>
    <row r="16" spans="1:11" ht="18.75" x14ac:dyDescent="0.3">
      <c r="A16" s="283" t="s">
        <v>37</v>
      </c>
      <c r="B16" s="125"/>
      <c r="C16" s="125"/>
      <c r="D16" s="125"/>
      <c r="E16" s="125"/>
      <c r="F16" s="125"/>
      <c r="G16" s="125"/>
    </row>
    <row r="17" spans="1:13" x14ac:dyDescent="0.25">
      <c r="A17" s="268"/>
      <c r="B17" s="269"/>
      <c r="C17" s="269"/>
      <c r="D17" s="269"/>
      <c r="E17" s="270" t="s">
        <v>29</v>
      </c>
      <c r="F17" s="271" t="s">
        <v>522</v>
      </c>
      <c r="G17" s="284"/>
      <c r="J17" s="96"/>
      <c r="K17" s="96"/>
      <c r="L17" s="96"/>
      <c r="M17" s="80"/>
    </row>
    <row r="18" spans="1:13" ht="18" x14ac:dyDescent="0.35">
      <c r="A18" s="285"/>
      <c r="B18" s="211"/>
      <c r="C18" s="211"/>
      <c r="D18" s="274" t="s">
        <v>19</v>
      </c>
      <c r="E18" s="275" t="s">
        <v>30</v>
      </c>
      <c r="F18" s="258" t="s">
        <v>544</v>
      </c>
      <c r="G18" s="286"/>
    </row>
    <row r="19" spans="1:13" x14ac:dyDescent="0.25">
      <c r="A19" s="629" t="s">
        <v>33</v>
      </c>
      <c r="B19" s="630"/>
      <c r="C19" s="630"/>
      <c r="D19" s="349"/>
      <c r="E19" s="125"/>
      <c r="F19" s="125"/>
      <c r="G19" s="286"/>
    </row>
    <row r="20" spans="1:13" x14ac:dyDescent="0.25">
      <c r="A20" s="624"/>
      <c r="B20" s="626"/>
      <c r="C20" s="337" t="s">
        <v>542</v>
      </c>
      <c r="D20" s="323">
        <f>'2021 Known'!B68</f>
        <v>21242995.507800005</v>
      </c>
      <c r="E20" s="276">
        <f>+D20/(D20+D22)</f>
        <v>0.9497874343299908</v>
      </c>
      <c r="F20" s="323">
        <f>'2021 Known'!C68</f>
        <v>8461673.4702091552</v>
      </c>
      <c r="G20" s="286"/>
    </row>
    <row r="21" spans="1:13" x14ac:dyDescent="0.25">
      <c r="A21" s="624"/>
      <c r="B21" s="626"/>
      <c r="C21" s="337" t="s">
        <v>543</v>
      </c>
      <c r="D21" s="323">
        <v>0</v>
      </c>
      <c r="E21" s="276">
        <f>+D21/(D21+D23)</f>
        <v>0</v>
      </c>
      <c r="F21" s="323">
        <v>0</v>
      </c>
      <c r="G21" s="286"/>
    </row>
    <row r="22" spans="1:13" ht="18" x14ac:dyDescent="0.35">
      <c r="A22" s="627" t="s">
        <v>34</v>
      </c>
      <c r="B22" s="631"/>
      <c r="C22" s="628"/>
      <c r="D22" s="323">
        <f>'2021 Unknown - Net by'!B81</f>
        <v>1123056.8739999998</v>
      </c>
      <c r="E22" s="287">
        <f>+D22/(D20+D22)</f>
        <v>5.0212565670009264E-2</v>
      </c>
      <c r="F22" s="324">
        <f>'2021 Unknown - Net by'!D81</f>
        <v>550038.77191587386</v>
      </c>
      <c r="G22" s="36" t="s">
        <v>38</v>
      </c>
    </row>
    <row r="23" spans="1:13" ht="30" x14ac:dyDescent="0.25">
      <c r="A23" s="272"/>
      <c r="B23" s="273"/>
      <c r="C23" s="288" t="s">
        <v>514</v>
      </c>
      <c r="D23" s="289">
        <f>SUM(D20:D22)</f>
        <v>22366052.381800003</v>
      </c>
      <c r="E23" s="325" t="s">
        <v>545</v>
      </c>
      <c r="F23" s="289">
        <f>SUM(F20:F22)</f>
        <v>9011712.2421250287</v>
      </c>
      <c r="G23" s="290">
        <f>+F23/G25</f>
        <v>1.4301211122287318</v>
      </c>
      <c r="I23" s="98"/>
    </row>
    <row r="24" spans="1:13" x14ac:dyDescent="0.25">
      <c r="A24" s="125"/>
      <c r="B24" s="125"/>
      <c r="C24" s="125"/>
      <c r="D24" s="125"/>
      <c r="E24" s="125"/>
      <c r="F24" s="125"/>
      <c r="G24" s="125"/>
    </row>
    <row r="25" spans="1:13" ht="18" x14ac:dyDescent="0.35">
      <c r="A25" s="125"/>
      <c r="B25" s="125"/>
      <c r="C25" s="291"/>
      <c r="D25" s="291"/>
      <c r="E25" s="125"/>
      <c r="F25" s="292" t="s">
        <v>524</v>
      </c>
      <c r="G25" s="188">
        <f>+G32</f>
        <v>6301362.9860207997</v>
      </c>
      <c r="H25" s="29"/>
    </row>
    <row r="27" spans="1:13" x14ac:dyDescent="0.25">
      <c r="E27" s="29" t="s">
        <v>22</v>
      </c>
      <c r="F27" s="24"/>
      <c r="G27" s="24"/>
    </row>
    <row r="28" spans="1:13" x14ac:dyDescent="0.25">
      <c r="E28" s="24"/>
      <c r="F28" s="24"/>
      <c r="G28" s="27" t="s">
        <v>26</v>
      </c>
    </row>
    <row r="29" spans="1:13" ht="18" x14ac:dyDescent="0.35">
      <c r="E29" s="24"/>
      <c r="F29" s="24"/>
      <c r="G29" s="28" t="s">
        <v>525</v>
      </c>
    </row>
    <row r="30" spans="1:13" x14ac:dyDescent="0.25">
      <c r="E30" s="24"/>
      <c r="F30" s="25" t="s">
        <v>23</v>
      </c>
      <c r="G30" s="26">
        <f>1131957*0.9071847</f>
        <v>1026894.0714579</v>
      </c>
    </row>
    <row r="31" spans="1:13" x14ac:dyDescent="0.25">
      <c r="E31" s="24"/>
      <c r="F31" s="25" t="s">
        <v>24</v>
      </c>
      <c r="G31" s="26">
        <f>2399078*0.9071847</f>
        <v>2176406.8557066</v>
      </c>
    </row>
    <row r="32" spans="1:13" x14ac:dyDescent="0.25">
      <c r="E32" s="24"/>
      <c r="F32" s="25" t="s">
        <v>25</v>
      </c>
      <c r="G32" s="26">
        <f>6946064*0.9071847</f>
        <v>6301362.9860207997</v>
      </c>
    </row>
    <row r="35" spans="5:6" x14ac:dyDescent="0.25">
      <c r="E35" s="22" t="s">
        <v>422</v>
      </c>
      <c r="F35" s="24" t="s">
        <v>340</v>
      </c>
    </row>
    <row r="36" spans="5:6" x14ac:dyDescent="0.25">
      <c r="F36" s="24" t="s">
        <v>420</v>
      </c>
    </row>
    <row r="37" spans="5:6" x14ac:dyDescent="0.25">
      <c r="F37" s="24" t="s">
        <v>421</v>
      </c>
    </row>
  </sheetData>
  <mergeCells count="4">
    <mergeCell ref="A4:B4"/>
    <mergeCell ref="A5:B5"/>
    <mergeCell ref="A19:C19"/>
    <mergeCell ref="A22:C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89"/>
  <sheetViews>
    <sheetView topLeftCell="A37" workbookViewId="0">
      <selection activeCell="H49" sqref="H49"/>
    </sheetView>
  </sheetViews>
  <sheetFormatPr defaultColWidth="9.140625" defaultRowHeight="12.75" x14ac:dyDescent="0.25"/>
  <cols>
    <col min="1" max="1" width="40" style="504" customWidth="1"/>
    <col min="2" max="2" width="15.140625" style="373" customWidth="1"/>
    <col min="3" max="3" width="14.28515625" style="373" customWidth="1"/>
    <col min="4" max="4" width="18.7109375" style="373" customWidth="1"/>
    <col min="5" max="5" width="12" style="373" customWidth="1"/>
    <col min="6" max="6" width="9.7109375" style="373" customWidth="1"/>
    <col min="7" max="7" width="28.28515625" style="373" customWidth="1"/>
    <col min="8" max="8" width="18.140625" style="373" customWidth="1"/>
    <col min="9" max="9" width="13.28515625" style="373" bestFit="1" customWidth="1"/>
    <col min="10" max="10" width="13.42578125" style="373" bestFit="1" customWidth="1"/>
    <col min="11" max="11" width="9.140625" style="373"/>
    <col min="12" max="12" width="3.5703125" style="377" customWidth="1"/>
    <col min="13" max="13" width="11.42578125" style="181" customWidth="1"/>
    <col min="14" max="16384" width="9.140625" style="181"/>
  </cols>
  <sheetData>
    <row r="1" spans="1:17" ht="25.5" customHeight="1" x14ac:dyDescent="0.25">
      <c r="A1" s="374" t="s">
        <v>423</v>
      </c>
      <c r="B1" s="375"/>
      <c r="C1" s="376"/>
      <c r="G1" s="376"/>
      <c r="J1" s="373">
        <f>'EFs &amp; Rates'!I11</f>
        <v>25</v>
      </c>
      <c r="K1" s="373">
        <f>'EFs &amp; Rates'!J11</f>
        <v>298</v>
      </c>
    </row>
    <row r="2" spans="1:17" ht="15" customHeight="1" x14ac:dyDescent="0.25">
      <c r="A2" s="378"/>
      <c r="B2" s="379"/>
      <c r="C2" s="505" t="s">
        <v>522</v>
      </c>
      <c r="D2" s="505"/>
      <c r="E2" s="379"/>
      <c r="G2" s="376">
        <v>2021</v>
      </c>
      <c r="H2" s="381" t="s">
        <v>462</v>
      </c>
      <c r="I2" s="382">
        <f>'EFs &amp; Rates'!R5</f>
        <v>963.42025100000001</v>
      </c>
      <c r="J2" s="383" t="s">
        <v>561</v>
      </c>
      <c r="N2" s="485"/>
    </row>
    <row r="3" spans="1:17" ht="23.45" customHeight="1" x14ac:dyDescent="0.25">
      <c r="A3" s="384" t="s">
        <v>0</v>
      </c>
      <c r="B3" s="385" t="s">
        <v>31</v>
      </c>
      <c r="C3" s="506" t="s">
        <v>562</v>
      </c>
      <c r="D3" s="506" t="s">
        <v>424</v>
      </c>
      <c r="E3" s="385" t="s">
        <v>425</v>
      </c>
      <c r="F3" s="387" t="s">
        <v>472</v>
      </c>
      <c r="G3" s="481" t="s">
        <v>576</v>
      </c>
      <c r="H3" s="387" t="s">
        <v>469</v>
      </c>
      <c r="I3" s="388" t="s">
        <v>537</v>
      </c>
      <c r="J3" s="388" t="s">
        <v>538</v>
      </c>
      <c r="K3" s="388" t="s">
        <v>539</v>
      </c>
      <c r="M3" s="389" t="s">
        <v>452</v>
      </c>
      <c r="N3" s="439"/>
      <c r="O3" s="407"/>
      <c r="P3" s="407"/>
      <c r="Q3" s="389"/>
    </row>
    <row r="4" spans="1:17" x14ac:dyDescent="0.25">
      <c r="A4" s="351" t="s">
        <v>263</v>
      </c>
      <c r="B4" s="508">
        <v>376416.7</v>
      </c>
      <c r="C4" s="409">
        <f t="shared" ref="C4:C61" si="0">G4</f>
        <v>0</v>
      </c>
      <c r="D4" s="352" t="s">
        <v>464</v>
      </c>
      <c r="E4" s="352" t="s">
        <v>426</v>
      </c>
      <c r="F4" s="356" t="s">
        <v>463</v>
      </c>
      <c r="G4" s="356">
        <f t="shared" ref="G4:G61" si="1">I4+(J4*25)+(K4*298)</f>
        <v>0</v>
      </c>
      <c r="H4" s="356"/>
      <c r="I4" s="544">
        <v>0</v>
      </c>
      <c r="J4" s="545">
        <v>0</v>
      </c>
      <c r="K4" s="545">
        <v>0</v>
      </c>
      <c r="M4" s="181" t="s">
        <v>623</v>
      </c>
    </row>
    <row r="5" spans="1:17" x14ac:dyDescent="0.25">
      <c r="A5" s="351" t="s">
        <v>264</v>
      </c>
      <c r="B5" s="508">
        <v>32622.1</v>
      </c>
      <c r="C5" s="409">
        <f t="shared" si="0"/>
        <v>0</v>
      </c>
      <c r="D5" s="352" t="s">
        <v>464</v>
      </c>
      <c r="E5" s="352" t="s">
        <v>426</v>
      </c>
      <c r="F5" s="356" t="s">
        <v>463</v>
      </c>
      <c r="G5" s="356">
        <f t="shared" si="1"/>
        <v>0</v>
      </c>
      <c r="H5" s="356"/>
      <c r="I5" s="544">
        <v>0</v>
      </c>
      <c r="J5" s="545">
        <v>0</v>
      </c>
      <c r="K5" s="545">
        <v>0</v>
      </c>
      <c r="M5" s="181" t="s">
        <v>623</v>
      </c>
    </row>
    <row r="6" spans="1:17" x14ac:dyDescent="0.25">
      <c r="A6" s="351" t="s">
        <v>265</v>
      </c>
      <c r="B6" s="508">
        <v>178080.56</v>
      </c>
      <c r="C6" s="409">
        <f t="shared" si="0"/>
        <v>0</v>
      </c>
      <c r="D6" s="352" t="s">
        <v>464</v>
      </c>
      <c r="E6" s="352" t="s">
        <v>426</v>
      </c>
      <c r="F6" s="356" t="s">
        <v>463</v>
      </c>
      <c r="G6" s="356">
        <f t="shared" si="1"/>
        <v>0</v>
      </c>
      <c r="H6" s="356"/>
      <c r="I6" s="544">
        <v>0</v>
      </c>
      <c r="J6" s="545">
        <v>0</v>
      </c>
      <c r="K6" s="545">
        <v>0</v>
      </c>
      <c r="M6" s="181" t="s">
        <v>623</v>
      </c>
    </row>
    <row r="7" spans="1:17" x14ac:dyDescent="0.25">
      <c r="A7" s="351" t="s">
        <v>266</v>
      </c>
      <c r="B7" s="508">
        <v>370699.1</v>
      </c>
      <c r="C7" s="409">
        <f t="shared" si="0"/>
        <v>0</v>
      </c>
      <c r="D7" s="352" t="s">
        <v>464</v>
      </c>
      <c r="E7" s="352" t="s">
        <v>426</v>
      </c>
      <c r="F7" s="391" t="s">
        <v>463</v>
      </c>
      <c r="G7" s="356">
        <f t="shared" si="1"/>
        <v>0</v>
      </c>
      <c r="H7" s="356"/>
      <c r="I7" s="544">
        <v>0</v>
      </c>
      <c r="J7" s="545">
        <v>0</v>
      </c>
      <c r="K7" s="545">
        <v>0</v>
      </c>
      <c r="M7" s="181" t="s">
        <v>623</v>
      </c>
    </row>
    <row r="8" spans="1:17" x14ac:dyDescent="0.25">
      <c r="A8" s="543"/>
      <c r="B8" s="508"/>
      <c r="C8" s="409"/>
      <c r="D8" s="352"/>
      <c r="E8" s="352"/>
      <c r="F8" s="391"/>
      <c r="G8" s="356"/>
      <c r="H8" s="356"/>
      <c r="I8" s="544"/>
      <c r="J8" s="545"/>
      <c r="K8" s="545"/>
    </row>
    <row r="9" spans="1:17" x14ac:dyDescent="0.25">
      <c r="A9" s="543"/>
      <c r="B9" s="508"/>
      <c r="C9" s="409"/>
      <c r="D9" s="352"/>
      <c r="E9" s="352"/>
      <c r="F9" s="391"/>
      <c r="G9" s="356"/>
      <c r="H9" s="356"/>
      <c r="I9" s="544"/>
      <c r="J9" s="545"/>
      <c r="K9" s="545"/>
    </row>
    <row r="10" spans="1:17" x14ac:dyDescent="0.25">
      <c r="A10" s="351" t="s">
        <v>509</v>
      </c>
      <c r="B10" s="508">
        <v>1177765</v>
      </c>
      <c r="C10" s="409">
        <f t="shared" si="0"/>
        <v>1168530.0848020802</v>
      </c>
      <c r="D10" s="352" t="s">
        <v>464</v>
      </c>
      <c r="E10" s="352" t="s">
        <v>427</v>
      </c>
      <c r="F10" s="391" t="s">
        <v>427</v>
      </c>
      <c r="G10" s="356">
        <f t="shared" ref="G10:G29" si="2">I10+(J10*$J$1)+(K10*$K$1)</f>
        <v>1168530.0848020802</v>
      </c>
      <c r="H10" s="356"/>
      <c r="I10" s="544">
        <v>1159217.6316201184</v>
      </c>
      <c r="J10" s="545">
        <v>136.25413240465002</v>
      </c>
      <c r="K10" s="545">
        <v>19.819127086729999</v>
      </c>
      <c r="M10" s="181" t="s">
        <v>624</v>
      </c>
    </row>
    <row r="11" spans="1:17" x14ac:dyDescent="0.25">
      <c r="A11" s="351" t="s">
        <v>510</v>
      </c>
      <c r="B11" s="508">
        <v>1398937</v>
      </c>
      <c r="C11" s="409">
        <f t="shared" si="0"/>
        <v>1339894.2001225846</v>
      </c>
      <c r="D11" s="352" t="s">
        <v>464</v>
      </c>
      <c r="E11" s="352" t="s">
        <v>427</v>
      </c>
      <c r="F11" s="391" t="s">
        <v>427</v>
      </c>
      <c r="G11" s="356">
        <f t="shared" si="2"/>
        <v>1339894.2001225846</v>
      </c>
      <c r="H11" s="356"/>
      <c r="I11" s="544">
        <v>1329386.825313559</v>
      </c>
      <c r="J11" s="545">
        <v>153.73702071045</v>
      </c>
      <c r="K11" s="545">
        <v>22.362245943840005</v>
      </c>
      <c r="M11" s="181" t="s">
        <v>624</v>
      </c>
    </row>
    <row r="12" spans="1:17" x14ac:dyDescent="0.25">
      <c r="A12" s="351" t="s">
        <v>267</v>
      </c>
      <c r="B12" s="508">
        <v>526.70000000000005</v>
      </c>
      <c r="C12" s="509">
        <f t="shared" si="0"/>
        <v>439.28777955048002</v>
      </c>
      <c r="D12" s="352" t="s">
        <v>464</v>
      </c>
      <c r="E12" s="352" t="s">
        <v>428</v>
      </c>
      <c r="F12" s="391" t="s">
        <v>429</v>
      </c>
      <c r="G12" s="356">
        <f t="shared" si="2"/>
        <v>439.28777955048002</v>
      </c>
      <c r="H12" s="356"/>
      <c r="I12" s="544">
        <v>437.78548161599997</v>
      </c>
      <c r="J12" s="547">
        <v>1.7757658799999999E-2</v>
      </c>
      <c r="K12" s="547">
        <v>3.5515317599999993E-3</v>
      </c>
      <c r="M12" s="181" t="s">
        <v>624</v>
      </c>
    </row>
    <row r="13" spans="1:17" x14ac:dyDescent="0.25">
      <c r="A13" s="351" t="s">
        <v>404</v>
      </c>
      <c r="B13" s="508">
        <v>173871.66666666666</v>
      </c>
      <c r="C13" s="409">
        <f t="shared" si="0"/>
        <v>81204.692565972407</v>
      </c>
      <c r="D13" s="352" t="s">
        <v>464</v>
      </c>
      <c r="E13" s="352" t="s">
        <v>429</v>
      </c>
      <c r="F13" s="391" t="s">
        <v>429</v>
      </c>
      <c r="G13" s="356">
        <f t="shared" si="2"/>
        <v>81204.692565972407</v>
      </c>
      <c r="H13" s="356"/>
      <c r="I13" s="544">
        <v>81122.237584750808</v>
      </c>
      <c r="J13" s="547">
        <v>1.5046529420000001</v>
      </c>
      <c r="K13" s="547">
        <v>0.15046529420000002</v>
      </c>
      <c r="M13" s="181" t="s">
        <v>624</v>
      </c>
    </row>
    <row r="14" spans="1:17" x14ac:dyDescent="0.25">
      <c r="A14" s="351" t="s">
        <v>405</v>
      </c>
      <c r="B14" s="508">
        <v>178559.66666666666</v>
      </c>
      <c r="C14" s="409">
        <f t="shared" si="0"/>
        <v>88104.687983264375</v>
      </c>
      <c r="D14" s="352" t="s">
        <v>464</v>
      </c>
      <c r="E14" s="352" t="s">
        <v>429</v>
      </c>
      <c r="F14" s="391" t="s">
        <v>429</v>
      </c>
      <c r="G14" s="356">
        <f t="shared" si="2"/>
        <v>88104.687983264375</v>
      </c>
      <c r="H14" s="356"/>
      <c r="I14" s="544">
        <v>88015.226515984788</v>
      </c>
      <c r="J14" s="547">
        <v>1.6325085269999999</v>
      </c>
      <c r="K14" s="547">
        <v>0.1632508527</v>
      </c>
      <c r="M14" s="181" t="s">
        <v>624</v>
      </c>
    </row>
    <row r="15" spans="1:17" x14ac:dyDescent="0.25">
      <c r="A15" s="351" t="s">
        <v>406</v>
      </c>
      <c r="B15" s="508">
        <v>179808.66666666666</v>
      </c>
      <c r="C15" s="409">
        <f t="shared" si="0"/>
        <v>88261.972463474289</v>
      </c>
      <c r="D15" s="352" t="s">
        <v>464</v>
      </c>
      <c r="E15" s="352" t="s">
        <v>429</v>
      </c>
      <c r="F15" s="391" t="s">
        <v>429</v>
      </c>
      <c r="G15" s="356">
        <f t="shared" si="2"/>
        <v>88261.972463474289</v>
      </c>
      <c r="H15" s="356"/>
      <c r="I15" s="544">
        <v>88172.351813209491</v>
      </c>
      <c r="J15" s="547">
        <v>1.6354133259999999</v>
      </c>
      <c r="K15" s="547">
        <v>0.16354133260000001</v>
      </c>
      <c r="M15" s="181" t="s">
        <v>624</v>
      </c>
    </row>
    <row r="16" spans="1:17" x14ac:dyDescent="0.25">
      <c r="A16" s="351" t="s">
        <v>407</v>
      </c>
      <c r="B16" s="508">
        <v>701363.5</v>
      </c>
      <c r="C16" s="409">
        <f t="shared" si="0"/>
        <v>322397.82687960076</v>
      </c>
      <c r="D16" s="352" t="s">
        <v>464</v>
      </c>
      <c r="E16" s="352" t="s">
        <v>429</v>
      </c>
      <c r="F16" s="391" t="s">
        <v>429</v>
      </c>
      <c r="G16" s="356">
        <f t="shared" si="2"/>
        <v>322397.82687960076</v>
      </c>
      <c r="H16" s="356"/>
      <c r="I16" s="544">
        <v>322070.67534169077</v>
      </c>
      <c r="J16" s="547">
        <v>5.9699185750000003</v>
      </c>
      <c r="K16" s="547">
        <v>0.59699185750000006</v>
      </c>
      <c r="M16" s="181" t="s">
        <v>624</v>
      </c>
    </row>
    <row r="17" spans="1:13" x14ac:dyDescent="0.25">
      <c r="A17" s="351" t="s">
        <v>408</v>
      </c>
      <c r="B17" s="508">
        <v>683610.5</v>
      </c>
      <c r="C17" s="409">
        <f t="shared" si="0"/>
        <v>314855.37749291613</v>
      </c>
      <c r="D17" s="352" t="s">
        <v>464</v>
      </c>
      <c r="E17" s="352" t="s">
        <v>429</v>
      </c>
      <c r="F17" s="391" t="s">
        <v>429</v>
      </c>
      <c r="G17" s="356">
        <f t="shared" si="2"/>
        <v>314855.37749291613</v>
      </c>
      <c r="H17" s="356"/>
      <c r="I17" s="544">
        <v>314535.8995016265</v>
      </c>
      <c r="J17" s="547">
        <v>5.8298903520000005</v>
      </c>
      <c r="K17" s="547">
        <v>0.58298903520000001</v>
      </c>
      <c r="M17" s="181" t="s">
        <v>624</v>
      </c>
    </row>
    <row r="18" spans="1:13" x14ac:dyDescent="0.25">
      <c r="A18" s="351" t="s">
        <v>409</v>
      </c>
      <c r="B18" s="508">
        <v>22471.4</v>
      </c>
      <c r="C18" s="409">
        <f t="shared" si="0"/>
        <v>16453.657600421484</v>
      </c>
      <c r="D18" s="352" t="s">
        <v>464</v>
      </c>
      <c r="E18" s="352" t="s">
        <v>429</v>
      </c>
      <c r="F18" s="391" t="s">
        <v>429</v>
      </c>
      <c r="G18" s="356">
        <f t="shared" si="2"/>
        <v>16453.657600421484</v>
      </c>
      <c r="H18" s="356"/>
      <c r="I18" s="547">
        <v>16436.548618922479</v>
      </c>
      <c r="J18" s="547">
        <v>0.31098077571399996</v>
      </c>
      <c r="K18" s="547">
        <v>3.1323698342800001E-2</v>
      </c>
      <c r="M18" s="181" t="s">
        <v>624</v>
      </c>
    </row>
    <row r="19" spans="1:13" x14ac:dyDescent="0.25">
      <c r="A19" s="351" t="s">
        <v>410</v>
      </c>
      <c r="B19" s="508">
        <v>34420.9</v>
      </c>
      <c r="C19" s="409">
        <f t="shared" si="0"/>
        <v>25082.403106329188</v>
      </c>
      <c r="D19" s="352" t="s">
        <v>464</v>
      </c>
      <c r="E19" s="352" t="s">
        <v>429</v>
      </c>
      <c r="F19" s="391" t="s">
        <v>429</v>
      </c>
      <c r="G19" s="356">
        <f t="shared" si="2"/>
        <v>25082.403106329188</v>
      </c>
      <c r="H19" s="356"/>
      <c r="I19" s="547">
        <v>25056.470413728603</v>
      </c>
      <c r="J19" s="547">
        <v>0.47272276960500004</v>
      </c>
      <c r="K19" s="547">
        <v>4.7364507921000006E-2</v>
      </c>
      <c r="M19" s="181" t="s">
        <v>624</v>
      </c>
    </row>
    <row r="20" spans="1:13" x14ac:dyDescent="0.25">
      <c r="A20" s="351" t="s">
        <v>411</v>
      </c>
      <c r="B20" s="508">
        <v>85250.4</v>
      </c>
      <c r="C20" s="409">
        <f t="shared" si="0"/>
        <v>61799.426837685613</v>
      </c>
      <c r="D20" s="352" t="s">
        <v>464</v>
      </c>
      <c r="E20" s="352" t="s">
        <v>429</v>
      </c>
      <c r="F20" s="391" t="s">
        <v>429</v>
      </c>
      <c r="G20" s="356">
        <f t="shared" si="2"/>
        <v>61799.426837685613</v>
      </c>
      <c r="H20" s="356"/>
      <c r="I20" s="544">
        <v>61735.66666932001</v>
      </c>
      <c r="J20" s="547">
        <v>1.1635067219999999</v>
      </c>
      <c r="K20" s="547">
        <v>0.1163506722</v>
      </c>
      <c r="M20" s="181" t="s">
        <v>624</v>
      </c>
    </row>
    <row r="21" spans="1:13" x14ac:dyDescent="0.25">
      <c r="A21" s="351" t="s">
        <v>412</v>
      </c>
      <c r="B21" s="508">
        <v>120143.17</v>
      </c>
      <c r="C21" s="409">
        <f t="shared" si="0"/>
        <v>86203.607978848013</v>
      </c>
      <c r="D21" s="352" t="s">
        <v>464</v>
      </c>
      <c r="E21" s="352" t="s">
        <v>429</v>
      </c>
      <c r="F21" s="391" t="s">
        <v>429</v>
      </c>
      <c r="G21" s="356">
        <f t="shared" si="2"/>
        <v>86203.607978848013</v>
      </c>
      <c r="H21" s="356"/>
      <c r="I21" s="544">
        <v>86114.669345600007</v>
      </c>
      <c r="J21" s="547">
        <v>1.6229677599999999</v>
      </c>
      <c r="K21" s="547">
        <v>0.162296776</v>
      </c>
      <c r="M21" s="181" t="s">
        <v>624</v>
      </c>
    </row>
    <row r="22" spans="1:13" x14ac:dyDescent="0.25">
      <c r="A22" s="351" t="s">
        <v>413</v>
      </c>
      <c r="B22" s="508">
        <v>83077.100000000006</v>
      </c>
      <c r="C22" s="409">
        <f t="shared" si="0"/>
        <v>53691.040213152999</v>
      </c>
      <c r="D22" s="352" t="s">
        <v>464</v>
      </c>
      <c r="E22" s="352" t="s">
        <v>429</v>
      </c>
      <c r="F22" s="391" t="s">
        <v>429</v>
      </c>
      <c r="G22" s="356">
        <f t="shared" si="2"/>
        <v>53691.040213152999</v>
      </c>
      <c r="H22" s="356"/>
      <c r="I22" s="544">
        <v>53636.571454109398</v>
      </c>
      <c r="J22" s="547">
        <v>0.99395545699999999</v>
      </c>
      <c r="K22" s="547">
        <v>9.9395545700000018E-2</v>
      </c>
      <c r="M22" s="181" t="s">
        <v>624</v>
      </c>
    </row>
    <row r="23" spans="1:13" x14ac:dyDescent="0.25">
      <c r="A23" s="351" t="s">
        <v>414</v>
      </c>
      <c r="B23" s="508">
        <v>88846.399999999994</v>
      </c>
      <c r="C23" s="409">
        <f t="shared" si="0"/>
        <v>48964.837150449996</v>
      </c>
      <c r="D23" s="352" t="s">
        <v>464</v>
      </c>
      <c r="E23" s="352" t="s">
        <v>429</v>
      </c>
      <c r="F23" s="391" t="s">
        <v>429</v>
      </c>
      <c r="G23" s="356">
        <f t="shared" si="2"/>
        <v>48964.837150449996</v>
      </c>
      <c r="H23" s="356"/>
      <c r="I23" s="544">
        <v>48915.159527239193</v>
      </c>
      <c r="J23" s="547">
        <v>0.90652597099999999</v>
      </c>
      <c r="K23" s="547">
        <v>9.065259710000001E-2</v>
      </c>
      <c r="M23" s="181" t="s">
        <v>624</v>
      </c>
    </row>
    <row r="24" spans="1:13" x14ac:dyDescent="0.25">
      <c r="A24" s="351" t="s">
        <v>415</v>
      </c>
      <c r="B24" s="508">
        <v>642903.8848</v>
      </c>
      <c r="C24" s="409">
        <f t="shared" si="0"/>
        <v>245906.63711515439</v>
      </c>
      <c r="D24" s="352" t="s">
        <v>464</v>
      </c>
      <c r="E24" s="352" t="s">
        <v>429</v>
      </c>
      <c r="F24" s="391" t="s">
        <v>429</v>
      </c>
      <c r="G24" s="356">
        <f t="shared" si="2"/>
        <v>245906.63711515439</v>
      </c>
      <c r="H24" s="356"/>
      <c r="I24" s="544">
        <v>245782.09892031719</v>
      </c>
      <c r="J24" s="547">
        <v>2.2725947962987436</v>
      </c>
      <c r="K24" s="547">
        <v>0.22725947962987433</v>
      </c>
      <c r="M24" s="181" t="s">
        <v>624</v>
      </c>
    </row>
    <row r="25" spans="1:13" x14ac:dyDescent="0.25">
      <c r="A25" s="351" t="s">
        <v>274</v>
      </c>
      <c r="B25" s="508">
        <v>2036337</v>
      </c>
      <c r="C25" s="409">
        <f t="shared" si="0"/>
        <v>745008.1823517601</v>
      </c>
      <c r="D25" s="352" t="s">
        <v>464</v>
      </c>
      <c r="E25" s="352" t="s">
        <v>429</v>
      </c>
      <c r="F25" s="391" t="s">
        <v>429</v>
      </c>
      <c r="G25" s="356">
        <f t="shared" si="2"/>
        <v>745008.1823517601</v>
      </c>
      <c r="H25" s="356"/>
      <c r="I25" s="544">
        <v>744251.67799349129</v>
      </c>
      <c r="J25" s="547">
        <v>13.804824055999999</v>
      </c>
      <c r="K25" s="547">
        <v>1.3804824056</v>
      </c>
      <c r="M25" s="181" t="s">
        <v>624</v>
      </c>
    </row>
    <row r="26" spans="1:13" x14ac:dyDescent="0.25">
      <c r="A26" s="351" t="s">
        <v>277</v>
      </c>
      <c r="B26" s="508">
        <v>1860017.7000000002</v>
      </c>
      <c r="C26" s="409">
        <f t="shared" si="0"/>
        <v>731687.95066283632</v>
      </c>
      <c r="D26" s="352" t="s">
        <v>464</v>
      </c>
      <c r="E26" s="352" t="s">
        <v>429</v>
      </c>
      <c r="F26" s="391" t="s">
        <v>429</v>
      </c>
      <c r="G26" s="356">
        <f t="shared" si="2"/>
        <v>731687.95066283632</v>
      </c>
      <c r="H26" s="356"/>
      <c r="I26" s="544">
        <v>730944.98213735793</v>
      </c>
      <c r="J26" s="547">
        <v>13.557819808</v>
      </c>
      <c r="K26" s="547">
        <v>1.3557819808000002</v>
      </c>
      <c r="M26" s="181" t="s">
        <v>624</v>
      </c>
    </row>
    <row r="27" spans="1:13" x14ac:dyDescent="0.25">
      <c r="A27" s="351" t="s">
        <v>278</v>
      </c>
      <c r="B27" s="508">
        <v>528409.9</v>
      </c>
      <c r="C27" s="409">
        <f t="shared" si="0"/>
        <v>246882.52703731012</v>
      </c>
      <c r="D27" s="352" t="s">
        <v>464</v>
      </c>
      <c r="E27" s="352" t="s">
        <v>429</v>
      </c>
      <c r="F27" s="391" t="s">
        <v>429</v>
      </c>
      <c r="G27" s="356">
        <f t="shared" si="2"/>
        <v>246882.52703731012</v>
      </c>
      <c r="H27" s="356"/>
      <c r="I27" s="544">
        <v>246631.83650435251</v>
      </c>
      <c r="J27" s="547">
        <v>4.5746447620000001</v>
      </c>
      <c r="K27" s="547">
        <v>0.45746447620000003</v>
      </c>
      <c r="M27" s="181" t="s">
        <v>624</v>
      </c>
    </row>
    <row r="28" spans="1:13" x14ac:dyDescent="0.25">
      <c r="A28" s="351" t="s">
        <v>416</v>
      </c>
      <c r="B28" s="508">
        <v>16427.599999999999</v>
      </c>
      <c r="C28" s="409">
        <f t="shared" si="0"/>
        <v>12162.292938820337</v>
      </c>
      <c r="D28" s="352" t="s">
        <v>464</v>
      </c>
      <c r="E28" s="352" t="s">
        <v>429</v>
      </c>
      <c r="F28" s="356" t="s">
        <v>429</v>
      </c>
      <c r="G28" s="356">
        <f t="shared" si="2"/>
        <v>12162.292938820337</v>
      </c>
      <c r="H28" s="356"/>
      <c r="I28" s="544">
        <v>12149.704569731201</v>
      </c>
      <c r="J28" s="547">
        <v>0.22934475816000002</v>
      </c>
      <c r="K28" s="547">
        <v>2.3002517231999999E-2</v>
      </c>
      <c r="M28" s="181" t="s">
        <v>624</v>
      </c>
    </row>
    <row r="29" spans="1:13" x14ac:dyDescent="0.25">
      <c r="A29" s="351" t="s">
        <v>417</v>
      </c>
      <c r="B29" s="508">
        <v>1985.3</v>
      </c>
      <c r="C29" s="409">
        <f t="shared" si="0"/>
        <v>1725.0435466363922</v>
      </c>
      <c r="D29" s="352" t="s">
        <v>464</v>
      </c>
      <c r="E29" s="352" t="s">
        <v>429</v>
      </c>
      <c r="F29" s="356" t="s">
        <v>429</v>
      </c>
      <c r="G29" s="356">
        <f t="shared" si="2"/>
        <v>1725.0435466363922</v>
      </c>
      <c r="H29" s="356"/>
      <c r="I29" s="544">
        <v>1723.2333157864002</v>
      </c>
      <c r="J29" s="547">
        <v>3.2753067520000005E-2</v>
      </c>
      <c r="K29" s="547">
        <v>3.3268596039999999E-3</v>
      </c>
      <c r="M29" s="181" t="s">
        <v>624</v>
      </c>
    </row>
    <row r="30" spans="1:13" x14ac:dyDescent="0.25">
      <c r="A30" s="351" t="s">
        <v>280</v>
      </c>
      <c r="B30" s="546">
        <v>714024.10199999996</v>
      </c>
      <c r="C30" s="409">
        <f t="shared" si="0"/>
        <v>0</v>
      </c>
      <c r="D30" s="352" t="s">
        <v>464</v>
      </c>
      <c r="E30" s="352" t="s">
        <v>430</v>
      </c>
      <c r="F30" s="356" t="s">
        <v>463</v>
      </c>
      <c r="G30" s="356">
        <f t="shared" si="1"/>
        <v>0</v>
      </c>
      <c r="H30" s="356"/>
      <c r="I30" s="391">
        <v>0</v>
      </c>
      <c r="J30" s="512">
        <v>0</v>
      </c>
      <c r="K30" s="512">
        <v>0</v>
      </c>
      <c r="M30" s="181" t="s">
        <v>623</v>
      </c>
    </row>
    <row r="31" spans="1:13" x14ac:dyDescent="0.25">
      <c r="A31" s="351" t="s">
        <v>276</v>
      </c>
      <c r="B31" s="546">
        <v>941517.07</v>
      </c>
      <c r="C31" s="409">
        <f t="shared" si="0"/>
        <v>0</v>
      </c>
      <c r="D31" s="352" t="s">
        <v>464</v>
      </c>
      <c r="E31" s="352" t="s">
        <v>430</v>
      </c>
      <c r="F31" s="356" t="s">
        <v>463</v>
      </c>
      <c r="G31" s="356">
        <f t="shared" si="1"/>
        <v>0</v>
      </c>
      <c r="H31" s="356"/>
      <c r="I31" s="391">
        <v>0</v>
      </c>
      <c r="J31" s="512">
        <v>0</v>
      </c>
      <c r="K31" s="512">
        <v>0</v>
      </c>
      <c r="M31" s="181" t="s">
        <v>623</v>
      </c>
    </row>
    <row r="32" spans="1:13" x14ac:dyDescent="0.25">
      <c r="A32" s="351" t="s">
        <v>275</v>
      </c>
      <c r="B32" s="546">
        <v>418246.06800000003</v>
      </c>
      <c r="C32" s="409">
        <f t="shared" si="0"/>
        <v>0</v>
      </c>
      <c r="D32" s="352" t="s">
        <v>464</v>
      </c>
      <c r="E32" s="352" t="s">
        <v>430</v>
      </c>
      <c r="F32" s="356" t="s">
        <v>463</v>
      </c>
      <c r="G32" s="356">
        <f t="shared" si="1"/>
        <v>0</v>
      </c>
      <c r="H32" s="356"/>
      <c r="I32" s="391">
        <v>0</v>
      </c>
      <c r="J32" s="512">
        <v>0</v>
      </c>
      <c r="K32" s="512">
        <v>0</v>
      </c>
      <c r="M32" s="181" t="s">
        <v>623</v>
      </c>
    </row>
    <row r="33" spans="1:13" x14ac:dyDescent="0.25">
      <c r="A33" s="351" t="s">
        <v>285</v>
      </c>
      <c r="B33" s="546">
        <v>3.464</v>
      </c>
      <c r="C33" s="409">
        <f t="shared" si="0"/>
        <v>0</v>
      </c>
      <c r="D33" s="352" t="s">
        <v>465</v>
      </c>
      <c r="E33" s="352" t="s">
        <v>431</v>
      </c>
      <c r="F33" s="356" t="s">
        <v>463</v>
      </c>
      <c r="G33" s="356">
        <f t="shared" si="1"/>
        <v>0</v>
      </c>
      <c r="H33" s="356"/>
      <c r="I33" s="356">
        <v>0</v>
      </c>
      <c r="J33" s="390">
        <v>0</v>
      </c>
      <c r="K33" s="390">
        <v>0</v>
      </c>
      <c r="M33" s="181" t="s">
        <v>623</v>
      </c>
    </row>
    <row r="34" spans="1:13" x14ac:dyDescent="0.25">
      <c r="A34" s="351" t="s">
        <v>398</v>
      </c>
      <c r="B34" s="546">
        <v>19232.100999999999</v>
      </c>
      <c r="C34" s="409">
        <f t="shared" si="0"/>
        <v>0</v>
      </c>
      <c r="D34" s="352" t="s">
        <v>465</v>
      </c>
      <c r="E34" s="352" t="s">
        <v>431</v>
      </c>
      <c r="F34" s="356" t="s">
        <v>463</v>
      </c>
      <c r="G34" s="356">
        <f t="shared" si="1"/>
        <v>0</v>
      </c>
      <c r="H34" s="356"/>
      <c r="I34" s="356">
        <v>0</v>
      </c>
      <c r="J34" s="390">
        <v>0</v>
      </c>
      <c r="K34" s="390">
        <v>0</v>
      </c>
      <c r="M34" s="181" t="s">
        <v>623</v>
      </c>
    </row>
    <row r="35" spans="1:13" x14ac:dyDescent="0.25">
      <c r="A35" s="351" t="s">
        <v>293</v>
      </c>
      <c r="B35" s="546">
        <v>3814.5529999999999</v>
      </c>
      <c r="C35" s="409">
        <f t="shared" si="0"/>
        <v>0</v>
      </c>
      <c r="D35" s="352" t="s">
        <v>465</v>
      </c>
      <c r="E35" s="352" t="s">
        <v>431</v>
      </c>
      <c r="F35" s="356" t="s">
        <v>463</v>
      </c>
      <c r="G35" s="356">
        <f t="shared" si="1"/>
        <v>0</v>
      </c>
      <c r="H35" s="356"/>
      <c r="I35" s="356">
        <v>0</v>
      </c>
      <c r="J35" s="390">
        <v>0</v>
      </c>
      <c r="K35" s="390">
        <v>0</v>
      </c>
      <c r="M35" s="181" t="s">
        <v>623</v>
      </c>
    </row>
    <row r="36" spans="1:13" x14ac:dyDescent="0.25">
      <c r="A36" s="351" t="s">
        <v>316</v>
      </c>
      <c r="B36" s="546">
        <v>27196.345000000001</v>
      </c>
      <c r="C36" s="409">
        <f t="shared" si="0"/>
        <v>0</v>
      </c>
      <c r="D36" s="352" t="s">
        <v>465</v>
      </c>
      <c r="E36" s="352" t="s">
        <v>431</v>
      </c>
      <c r="F36" s="356" t="s">
        <v>463</v>
      </c>
      <c r="G36" s="356">
        <f t="shared" si="1"/>
        <v>0</v>
      </c>
      <c r="H36" s="356"/>
      <c r="I36" s="356">
        <v>0</v>
      </c>
      <c r="J36" s="390">
        <v>0</v>
      </c>
      <c r="K36" s="390">
        <v>0</v>
      </c>
      <c r="M36" s="181" t="s">
        <v>623</v>
      </c>
    </row>
    <row r="37" spans="1:13" x14ac:dyDescent="0.25">
      <c r="A37" s="351" t="s">
        <v>295</v>
      </c>
      <c r="B37" s="546">
        <v>3143.5210000000002</v>
      </c>
      <c r="C37" s="409">
        <f t="shared" si="0"/>
        <v>0</v>
      </c>
      <c r="D37" s="352" t="s">
        <v>465</v>
      </c>
      <c r="E37" s="352" t="s">
        <v>431</v>
      </c>
      <c r="F37" s="356" t="s">
        <v>463</v>
      </c>
      <c r="G37" s="356">
        <f t="shared" si="1"/>
        <v>0</v>
      </c>
      <c r="H37" s="356"/>
      <c r="I37" s="356">
        <v>0</v>
      </c>
      <c r="J37" s="390">
        <v>0</v>
      </c>
      <c r="K37" s="390">
        <v>0</v>
      </c>
      <c r="M37" s="181" t="s">
        <v>623</v>
      </c>
    </row>
    <row r="38" spans="1:13" x14ac:dyDescent="0.25">
      <c r="A38" s="351" t="s">
        <v>319</v>
      </c>
      <c r="B38" s="546">
        <v>97.504999999999995</v>
      </c>
      <c r="C38" s="409">
        <f t="shared" si="0"/>
        <v>0</v>
      </c>
      <c r="D38" s="352" t="s">
        <v>465</v>
      </c>
      <c r="E38" s="352" t="s">
        <v>431</v>
      </c>
      <c r="F38" s="356" t="s">
        <v>463</v>
      </c>
      <c r="G38" s="356">
        <f t="shared" si="1"/>
        <v>0</v>
      </c>
      <c r="H38" s="356"/>
      <c r="I38" s="356">
        <v>0</v>
      </c>
      <c r="J38" s="390">
        <v>0</v>
      </c>
      <c r="K38" s="390">
        <v>0</v>
      </c>
      <c r="M38" s="181" t="s">
        <v>623</v>
      </c>
    </row>
    <row r="39" spans="1:13" x14ac:dyDescent="0.25">
      <c r="A39" s="351" t="s">
        <v>305</v>
      </c>
      <c r="B39" s="546">
        <v>2917.5520000000001</v>
      </c>
      <c r="C39" s="409">
        <f t="shared" si="0"/>
        <v>0</v>
      </c>
      <c r="D39" s="352" t="s">
        <v>465</v>
      </c>
      <c r="E39" s="352" t="s">
        <v>431</v>
      </c>
      <c r="F39" s="356" t="s">
        <v>463</v>
      </c>
      <c r="G39" s="356">
        <f t="shared" si="1"/>
        <v>0</v>
      </c>
      <c r="H39" s="356"/>
      <c r="I39" s="356">
        <v>0</v>
      </c>
      <c r="J39" s="390">
        <v>0</v>
      </c>
      <c r="K39" s="390">
        <v>0</v>
      </c>
      <c r="M39" s="181" t="s">
        <v>623</v>
      </c>
    </row>
    <row r="40" spans="1:13" x14ac:dyDescent="0.25">
      <c r="A40" s="351" t="s">
        <v>310</v>
      </c>
      <c r="B40" s="508">
        <v>2357979</v>
      </c>
      <c r="C40" s="409">
        <f t="shared" si="0"/>
        <v>2459357.6459853058</v>
      </c>
      <c r="D40" s="352" t="s">
        <v>465</v>
      </c>
      <c r="E40" s="352" t="s">
        <v>427</v>
      </c>
      <c r="F40" s="356" t="s">
        <v>427</v>
      </c>
      <c r="G40" s="356">
        <f t="shared" ref="G40" si="3">I40+(J40*$J$1)+(K40*$K$1)</f>
        <v>2459357.6459853058</v>
      </c>
      <c r="H40" s="356"/>
      <c r="I40" s="544">
        <v>2440077.1652787244</v>
      </c>
      <c r="J40" s="545">
        <v>282.10333569086805</v>
      </c>
      <c r="K40" s="545">
        <v>41.033212464126265</v>
      </c>
      <c r="M40" s="181" t="s">
        <v>625</v>
      </c>
    </row>
    <row r="41" spans="1:13" x14ac:dyDescent="0.25">
      <c r="A41" s="351" t="s">
        <v>286</v>
      </c>
      <c r="B41" s="546">
        <v>11168.486999999999</v>
      </c>
      <c r="C41" s="409">
        <f t="shared" si="0"/>
        <v>0</v>
      </c>
      <c r="D41" s="352" t="s">
        <v>465</v>
      </c>
      <c r="E41" s="352" t="s">
        <v>426</v>
      </c>
      <c r="F41" s="356" t="s">
        <v>463</v>
      </c>
      <c r="G41" s="356">
        <f t="shared" si="1"/>
        <v>0</v>
      </c>
      <c r="H41" s="356"/>
      <c r="I41" s="356">
        <v>0</v>
      </c>
      <c r="J41" s="390">
        <v>0</v>
      </c>
      <c r="K41" s="390">
        <v>0</v>
      </c>
      <c r="M41" s="181" t="s">
        <v>623</v>
      </c>
    </row>
    <row r="42" spans="1:13" x14ac:dyDescent="0.25">
      <c r="A42" s="351" t="s">
        <v>289</v>
      </c>
      <c r="B42" s="546">
        <v>2026865</v>
      </c>
      <c r="C42" s="409">
        <f t="shared" si="0"/>
        <v>0</v>
      </c>
      <c r="D42" s="352" t="s">
        <v>465</v>
      </c>
      <c r="E42" s="352" t="s">
        <v>426</v>
      </c>
      <c r="F42" s="356" t="s">
        <v>463</v>
      </c>
      <c r="G42" s="356">
        <f t="shared" si="1"/>
        <v>0</v>
      </c>
      <c r="H42" s="356" t="s">
        <v>461</v>
      </c>
      <c r="I42" s="356">
        <v>0</v>
      </c>
      <c r="J42" s="390">
        <v>0</v>
      </c>
      <c r="K42" s="390">
        <v>0</v>
      </c>
      <c r="M42" s="181" t="s">
        <v>623</v>
      </c>
    </row>
    <row r="43" spans="1:13" x14ac:dyDescent="0.25">
      <c r="A43" s="351" t="s">
        <v>290</v>
      </c>
      <c r="B43" s="546">
        <v>-38626</v>
      </c>
      <c r="C43" s="409">
        <f t="shared" si="0"/>
        <v>0</v>
      </c>
      <c r="D43" s="352" t="s">
        <v>465</v>
      </c>
      <c r="E43" s="352" t="s">
        <v>426</v>
      </c>
      <c r="F43" s="356" t="s">
        <v>463</v>
      </c>
      <c r="G43" s="356">
        <f t="shared" si="1"/>
        <v>0</v>
      </c>
      <c r="H43" s="356" t="s">
        <v>461</v>
      </c>
      <c r="I43" s="356">
        <v>0</v>
      </c>
      <c r="J43" s="390">
        <v>0</v>
      </c>
      <c r="K43" s="390">
        <v>0</v>
      </c>
      <c r="M43" s="181" t="s">
        <v>623</v>
      </c>
    </row>
    <row r="44" spans="1:13" x14ac:dyDescent="0.25">
      <c r="A44" s="351" t="s">
        <v>291</v>
      </c>
      <c r="B44" s="546">
        <v>-80185</v>
      </c>
      <c r="C44" s="409">
        <f t="shared" si="0"/>
        <v>0</v>
      </c>
      <c r="D44" s="352" t="s">
        <v>465</v>
      </c>
      <c r="E44" s="352" t="s">
        <v>426</v>
      </c>
      <c r="F44" s="356" t="s">
        <v>463</v>
      </c>
      <c r="G44" s="356">
        <f t="shared" si="1"/>
        <v>0</v>
      </c>
      <c r="H44" s="356" t="s">
        <v>461</v>
      </c>
      <c r="I44" s="356">
        <v>0</v>
      </c>
      <c r="J44" s="390">
        <v>0</v>
      </c>
      <c r="K44" s="390">
        <v>0</v>
      </c>
      <c r="M44" s="181" t="s">
        <v>623</v>
      </c>
    </row>
    <row r="45" spans="1:13" x14ac:dyDescent="0.25">
      <c r="A45" s="351" t="s">
        <v>292</v>
      </c>
      <c r="B45" s="546">
        <v>1119214</v>
      </c>
      <c r="C45" s="409">
        <f t="shared" si="0"/>
        <v>0</v>
      </c>
      <c r="D45" s="352" t="s">
        <v>465</v>
      </c>
      <c r="E45" s="352" t="s">
        <v>426</v>
      </c>
      <c r="F45" s="356" t="s">
        <v>463</v>
      </c>
      <c r="G45" s="356">
        <f t="shared" si="1"/>
        <v>0</v>
      </c>
      <c r="H45" s="356" t="s">
        <v>461</v>
      </c>
      <c r="I45" s="356">
        <v>0</v>
      </c>
      <c r="J45" s="390">
        <v>0</v>
      </c>
      <c r="K45" s="390">
        <v>0</v>
      </c>
      <c r="M45" s="181" t="s">
        <v>623</v>
      </c>
    </row>
    <row r="46" spans="1:13" x14ac:dyDescent="0.25">
      <c r="A46" s="351" t="s">
        <v>297</v>
      </c>
      <c r="B46" s="546">
        <v>431728</v>
      </c>
      <c r="C46" s="409">
        <f t="shared" si="0"/>
        <v>0</v>
      </c>
      <c r="D46" s="352" t="s">
        <v>465</v>
      </c>
      <c r="E46" s="352" t="s">
        <v>426</v>
      </c>
      <c r="F46" s="356" t="s">
        <v>463</v>
      </c>
      <c r="G46" s="356">
        <f t="shared" si="1"/>
        <v>0</v>
      </c>
      <c r="H46" s="356" t="s">
        <v>461</v>
      </c>
      <c r="I46" s="356">
        <v>0</v>
      </c>
      <c r="J46" s="390">
        <v>0</v>
      </c>
      <c r="K46" s="390">
        <v>0</v>
      </c>
      <c r="M46" s="181" t="s">
        <v>623</v>
      </c>
    </row>
    <row r="47" spans="1:13" x14ac:dyDescent="0.25">
      <c r="A47" s="351" t="s">
        <v>535</v>
      </c>
      <c r="B47" s="546">
        <v>350624</v>
      </c>
      <c r="C47" s="409">
        <f t="shared" si="0"/>
        <v>0</v>
      </c>
      <c r="D47" s="352" t="s">
        <v>465</v>
      </c>
      <c r="E47" s="352" t="s">
        <v>426</v>
      </c>
      <c r="F47" s="356" t="s">
        <v>463</v>
      </c>
      <c r="G47" s="356">
        <f t="shared" si="1"/>
        <v>0</v>
      </c>
      <c r="H47" s="356"/>
      <c r="I47" s="356">
        <v>0</v>
      </c>
      <c r="J47" s="390">
        <v>0</v>
      </c>
      <c r="K47" s="390">
        <v>0</v>
      </c>
      <c r="M47" s="181" t="s">
        <v>623</v>
      </c>
    </row>
    <row r="48" spans="1:13" x14ac:dyDescent="0.25">
      <c r="A48" s="351" t="s">
        <v>318</v>
      </c>
      <c r="B48" s="546">
        <v>40458.671999999999</v>
      </c>
      <c r="C48" s="409">
        <f t="shared" si="0"/>
        <v>0</v>
      </c>
      <c r="D48" s="352" t="s">
        <v>465</v>
      </c>
      <c r="E48" s="352" t="s">
        <v>426</v>
      </c>
      <c r="F48" s="356" t="s">
        <v>463</v>
      </c>
      <c r="G48" s="356">
        <f t="shared" si="1"/>
        <v>0</v>
      </c>
      <c r="H48" s="356"/>
      <c r="I48" s="356">
        <v>0</v>
      </c>
      <c r="J48" s="390">
        <v>0</v>
      </c>
      <c r="K48" s="390">
        <v>0</v>
      </c>
      <c r="M48" s="181" t="s">
        <v>623</v>
      </c>
    </row>
    <row r="49" spans="1:13" x14ac:dyDescent="0.25">
      <c r="A49" s="351" t="s">
        <v>321</v>
      </c>
      <c r="B49" s="546">
        <v>22656.767</v>
      </c>
      <c r="C49" s="409">
        <f t="shared" si="0"/>
        <v>0</v>
      </c>
      <c r="D49" s="352" t="s">
        <v>465</v>
      </c>
      <c r="E49" s="352" t="s">
        <v>426</v>
      </c>
      <c r="F49" s="356" t="s">
        <v>463</v>
      </c>
      <c r="G49" s="356">
        <f t="shared" si="1"/>
        <v>0</v>
      </c>
      <c r="H49" s="356"/>
      <c r="I49" s="356">
        <v>0</v>
      </c>
      <c r="J49" s="390">
        <v>0</v>
      </c>
      <c r="K49" s="390">
        <v>0</v>
      </c>
      <c r="M49" s="181" t="s">
        <v>623</v>
      </c>
    </row>
    <row r="50" spans="1:13" x14ac:dyDescent="0.25">
      <c r="A50" s="351" t="s">
        <v>306</v>
      </c>
      <c r="B50" s="546">
        <v>4313.1850000000004</v>
      </c>
      <c r="C50" s="409">
        <f t="shared" si="0"/>
        <v>0</v>
      </c>
      <c r="D50" s="352" t="s">
        <v>465</v>
      </c>
      <c r="E50" s="352" t="s">
        <v>426</v>
      </c>
      <c r="F50" s="356" t="s">
        <v>463</v>
      </c>
      <c r="G50" s="356">
        <f t="shared" si="1"/>
        <v>0</v>
      </c>
      <c r="H50" s="356"/>
      <c r="I50" s="356">
        <v>0</v>
      </c>
      <c r="J50" s="390">
        <v>0</v>
      </c>
      <c r="K50" s="390">
        <v>0</v>
      </c>
      <c r="M50" s="181" t="s">
        <v>623</v>
      </c>
    </row>
    <row r="51" spans="1:13" x14ac:dyDescent="0.25">
      <c r="A51" s="351" t="s">
        <v>326</v>
      </c>
      <c r="B51" s="546">
        <v>78612.604000000007</v>
      </c>
      <c r="C51" s="409">
        <f t="shared" si="0"/>
        <v>0</v>
      </c>
      <c r="D51" s="352" t="s">
        <v>465</v>
      </c>
      <c r="E51" s="352" t="s">
        <v>426</v>
      </c>
      <c r="F51" s="356" t="s">
        <v>463</v>
      </c>
      <c r="G51" s="356">
        <f t="shared" si="1"/>
        <v>0</v>
      </c>
      <c r="H51" s="356"/>
      <c r="I51" s="356">
        <v>0</v>
      </c>
      <c r="J51" s="390">
        <v>0</v>
      </c>
      <c r="K51" s="390">
        <v>0</v>
      </c>
      <c r="M51" s="181" t="s">
        <v>623</v>
      </c>
    </row>
    <row r="52" spans="1:13" x14ac:dyDescent="0.25">
      <c r="A52" s="351" t="s">
        <v>327</v>
      </c>
      <c r="B52" s="546">
        <v>14405.442999999999</v>
      </c>
      <c r="C52" s="409">
        <f t="shared" si="0"/>
        <v>0</v>
      </c>
      <c r="D52" s="352" t="s">
        <v>465</v>
      </c>
      <c r="E52" s="352" t="s">
        <v>426</v>
      </c>
      <c r="F52" s="356" t="s">
        <v>463</v>
      </c>
      <c r="G52" s="356">
        <f t="shared" si="1"/>
        <v>0</v>
      </c>
      <c r="H52" s="356"/>
      <c r="I52" s="356">
        <v>0</v>
      </c>
      <c r="J52" s="390">
        <v>0</v>
      </c>
      <c r="K52" s="390">
        <v>0</v>
      </c>
      <c r="M52" s="181" t="s">
        <v>623</v>
      </c>
    </row>
    <row r="53" spans="1:13" x14ac:dyDescent="0.25">
      <c r="A53" s="351" t="s">
        <v>288</v>
      </c>
      <c r="B53" s="546">
        <v>28.78</v>
      </c>
      <c r="C53" s="409">
        <f t="shared" si="0"/>
        <v>0</v>
      </c>
      <c r="D53" s="352" t="s">
        <v>465</v>
      </c>
      <c r="E53" s="352" t="s">
        <v>433</v>
      </c>
      <c r="F53" s="356" t="s">
        <v>463</v>
      </c>
      <c r="G53" s="356">
        <f t="shared" si="1"/>
        <v>0</v>
      </c>
      <c r="H53" s="356"/>
      <c r="I53" s="356">
        <v>0</v>
      </c>
      <c r="J53" s="390">
        <v>0</v>
      </c>
      <c r="K53" s="390">
        <v>0</v>
      </c>
      <c r="M53" s="181" t="s">
        <v>623</v>
      </c>
    </row>
    <row r="54" spans="1:13" x14ac:dyDescent="0.25">
      <c r="A54" s="351" t="s">
        <v>536</v>
      </c>
      <c r="B54" s="546">
        <v>113.986</v>
      </c>
      <c r="C54" s="409">
        <f t="shared" si="0"/>
        <v>0</v>
      </c>
      <c r="D54" s="352" t="s">
        <v>465</v>
      </c>
      <c r="E54" s="352" t="s">
        <v>433</v>
      </c>
      <c r="F54" s="356" t="s">
        <v>463</v>
      </c>
      <c r="G54" s="356">
        <f t="shared" si="1"/>
        <v>0</v>
      </c>
      <c r="H54" s="356"/>
      <c r="I54" s="356">
        <v>0</v>
      </c>
      <c r="J54" s="390">
        <v>0</v>
      </c>
      <c r="K54" s="390">
        <v>0</v>
      </c>
      <c r="M54" s="181" t="s">
        <v>623</v>
      </c>
    </row>
    <row r="55" spans="1:13" x14ac:dyDescent="0.25">
      <c r="A55" s="351" t="s">
        <v>399</v>
      </c>
      <c r="B55" s="546">
        <v>60.573999999999998</v>
      </c>
      <c r="C55" s="409">
        <f t="shared" si="0"/>
        <v>0</v>
      </c>
      <c r="D55" s="352" t="s">
        <v>465</v>
      </c>
      <c r="E55" s="352" t="s">
        <v>433</v>
      </c>
      <c r="F55" s="356" t="s">
        <v>463</v>
      </c>
      <c r="G55" s="356">
        <f t="shared" si="1"/>
        <v>0</v>
      </c>
      <c r="H55" s="356"/>
      <c r="I55" s="356">
        <v>0</v>
      </c>
      <c r="J55" s="390">
        <v>0</v>
      </c>
      <c r="K55" s="390">
        <v>0</v>
      </c>
      <c r="M55" s="181" t="s">
        <v>623</v>
      </c>
    </row>
    <row r="56" spans="1:13" x14ac:dyDescent="0.25">
      <c r="A56" s="351" t="s">
        <v>284</v>
      </c>
      <c r="B56" s="546">
        <v>18118.935000000001</v>
      </c>
      <c r="C56" s="409">
        <f t="shared" si="0"/>
        <v>7917.9745949999997</v>
      </c>
      <c r="D56" s="352" t="s">
        <v>465</v>
      </c>
      <c r="E56" s="352" t="s">
        <v>432</v>
      </c>
      <c r="F56" s="392" t="s">
        <v>432</v>
      </c>
      <c r="G56" s="510">
        <f t="shared" ref="G56:G58" si="4">(B56*$I$2)/2204.623</f>
        <v>7917.9745949999997</v>
      </c>
      <c r="H56" s="356"/>
      <c r="I56" s="356"/>
      <c r="J56" s="390"/>
      <c r="K56" s="390"/>
      <c r="M56" s="181" t="s">
        <v>623</v>
      </c>
    </row>
    <row r="57" spans="1:13" x14ac:dyDescent="0.25">
      <c r="A57" s="351" t="s">
        <v>173</v>
      </c>
      <c r="B57" s="508">
        <v>7000</v>
      </c>
      <c r="C57" s="409">
        <f t="shared" si="0"/>
        <v>3059</v>
      </c>
      <c r="D57" s="352" t="s">
        <v>465</v>
      </c>
      <c r="E57" s="352" t="s">
        <v>432</v>
      </c>
      <c r="F57" s="392" t="s">
        <v>432</v>
      </c>
      <c r="G57" s="510">
        <f t="shared" si="4"/>
        <v>3059</v>
      </c>
      <c r="H57" s="356"/>
      <c r="I57" s="356"/>
      <c r="J57" s="390"/>
      <c r="K57" s="390"/>
      <c r="M57" s="181" t="s">
        <v>623</v>
      </c>
    </row>
    <row r="58" spans="1:13" x14ac:dyDescent="0.25">
      <c r="A58" s="351" t="s">
        <v>341</v>
      </c>
      <c r="B58" s="508">
        <v>714149</v>
      </c>
      <c r="C58" s="409">
        <f t="shared" si="0"/>
        <v>312083.11299999995</v>
      </c>
      <c r="D58" s="352" t="s">
        <v>465</v>
      </c>
      <c r="E58" s="352" t="s">
        <v>432</v>
      </c>
      <c r="F58" s="392" t="s">
        <v>432</v>
      </c>
      <c r="G58" s="510">
        <f t="shared" si="4"/>
        <v>312083.11299999995</v>
      </c>
      <c r="H58" s="356"/>
      <c r="I58" s="356"/>
      <c r="J58" s="390"/>
      <c r="K58" s="390"/>
      <c r="M58" s="181" t="s">
        <v>625</v>
      </c>
    </row>
    <row r="59" spans="1:13" x14ac:dyDescent="0.25">
      <c r="A59" s="351" t="s">
        <v>283</v>
      </c>
      <c r="B59" s="546">
        <v>153.11099999999999</v>
      </c>
      <c r="C59" s="409">
        <f t="shared" si="0"/>
        <v>0</v>
      </c>
      <c r="D59" s="352" t="s">
        <v>465</v>
      </c>
      <c r="E59" s="352" t="s">
        <v>430</v>
      </c>
      <c r="F59" s="356" t="s">
        <v>463</v>
      </c>
      <c r="G59" s="356">
        <f t="shared" si="1"/>
        <v>0</v>
      </c>
      <c r="H59" s="356"/>
      <c r="I59" s="356">
        <v>0</v>
      </c>
      <c r="J59" s="390">
        <v>0</v>
      </c>
      <c r="K59" s="390">
        <v>0</v>
      </c>
      <c r="M59" s="181" t="s">
        <v>623</v>
      </c>
    </row>
    <row r="60" spans="1:13" x14ac:dyDescent="0.25">
      <c r="A60" s="351" t="s">
        <v>301</v>
      </c>
      <c r="B60" s="546">
        <v>141582</v>
      </c>
      <c r="C60" s="409">
        <f t="shared" si="0"/>
        <v>0</v>
      </c>
      <c r="D60" s="352" t="s">
        <v>465</v>
      </c>
      <c r="E60" s="352" t="s">
        <v>430</v>
      </c>
      <c r="F60" s="356" t="s">
        <v>463</v>
      </c>
      <c r="G60" s="356">
        <f t="shared" si="1"/>
        <v>0</v>
      </c>
      <c r="H60" s="356"/>
      <c r="I60" s="356">
        <v>0</v>
      </c>
      <c r="J60" s="390">
        <v>0</v>
      </c>
      <c r="K60" s="390">
        <v>0</v>
      </c>
      <c r="M60" s="181" t="s">
        <v>623</v>
      </c>
    </row>
    <row r="61" spans="1:13" x14ac:dyDescent="0.25">
      <c r="A61" s="351" t="s">
        <v>302</v>
      </c>
      <c r="B61" s="546">
        <v>138.99100000000001</v>
      </c>
      <c r="C61" s="409">
        <f t="shared" si="0"/>
        <v>0</v>
      </c>
      <c r="D61" s="352" t="s">
        <v>465</v>
      </c>
      <c r="E61" s="352" t="s">
        <v>430</v>
      </c>
      <c r="F61" s="356" t="s">
        <v>463</v>
      </c>
      <c r="G61" s="356">
        <f t="shared" si="1"/>
        <v>0</v>
      </c>
      <c r="H61" s="356"/>
      <c r="I61" s="356">
        <v>0</v>
      </c>
      <c r="J61" s="390">
        <v>0</v>
      </c>
      <c r="K61" s="390">
        <v>0</v>
      </c>
      <c r="M61" s="181" t="s">
        <v>623</v>
      </c>
    </row>
    <row r="62" spans="1:13" x14ac:dyDescent="0.25">
      <c r="A62" s="511" t="s">
        <v>594</v>
      </c>
      <c r="B62" s="546">
        <v>366671</v>
      </c>
      <c r="C62" s="409">
        <f t="shared" ref="C62:C64" si="5">G62</f>
        <v>0</v>
      </c>
      <c r="D62" s="352" t="s">
        <v>465</v>
      </c>
      <c r="E62" s="352" t="s">
        <v>433</v>
      </c>
      <c r="F62" s="356" t="s">
        <v>463</v>
      </c>
      <c r="G62" s="356">
        <f t="shared" ref="G62:G64" si="6">I62+(J62*25)+(K62*298)</f>
        <v>0</v>
      </c>
      <c r="H62" s="356"/>
      <c r="I62" s="356">
        <v>0</v>
      </c>
      <c r="J62" s="390">
        <v>0</v>
      </c>
      <c r="K62" s="390">
        <v>0</v>
      </c>
      <c r="M62" s="181" t="s">
        <v>623</v>
      </c>
    </row>
    <row r="63" spans="1:13" x14ac:dyDescent="0.25">
      <c r="A63" s="511" t="s">
        <v>595</v>
      </c>
      <c r="B63" s="546">
        <v>1.5449999999999999</v>
      </c>
      <c r="C63" s="409">
        <f t="shared" si="5"/>
        <v>0</v>
      </c>
      <c r="D63" s="352" t="s">
        <v>465</v>
      </c>
      <c r="E63" s="352" t="s">
        <v>433</v>
      </c>
      <c r="F63" s="356" t="s">
        <v>463</v>
      </c>
      <c r="G63" s="356">
        <f t="shared" si="6"/>
        <v>0</v>
      </c>
      <c r="H63" s="356"/>
      <c r="I63" s="356">
        <v>0</v>
      </c>
      <c r="J63" s="390">
        <v>0</v>
      </c>
      <c r="K63" s="390">
        <v>0</v>
      </c>
      <c r="M63" s="181" t="s">
        <v>623</v>
      </c>
    </row>
    <row r="64" spans="1:13" x14ac:dyDescent="0.25">
      <c r="A64" s="511" t="s">
        <v>596</v>
      </c>
      <c r="B64" s="546">
        <v>126931.46400000001</v>
      </c>
      <c r="C64" s="409">
        <f t="shared" si="5"/>
        <v>0</v>
      </c>
      <c r="D64" s="352" t="s">
        <v>465</v>
      </c>
      <c r="E64" s="352" t="s">
        <v>597</v>
      </c>
      <c r="F64" s="356" t="s">
        <v>463</v>
      </c>
      <c r="G64" s="356">
        <f t="shared" si="6"/>
        <v>0</v>
      </c>
      <c r="H64" s="356"/>
      <c r="I64" s="356">
        <v>0</v>
      </c>
      <c r="J64" s="390">
        <v>0</v>
      </c>
      <c r="K64" s="390">
        <v>0</v>
      </c>
      <c r="M64" s="181" t="s">
        <v>623</v>
      </c>
    </row>
    <row r="65" spans="1:13" x14ac:dyDescent="0.25">
      <c r="A65" s="351" t="s">
        <v>534</v>
      </c>
      <c r="B65" s="546">
        <v>414302.24</v>
      </c>
      <c r="C65" s="409">
        <f t="shared" ref="C65:C66" si="7">G65</f>
        <v>0</v>
      </c>
      <c r="D65" s="352" t="s">
        <v>465</v>
      </c>
      <c r="E65" s="352" t="s">
        <v>430</v>
      </c>
      <c r="F65" s="356" t="s">
        <v>463</v>
      </c>
      <c r="G65" s="356">
        <f t="shared" ref="G65:G66" si="8">I65+(J65*25)+(K65*298)</f>
        <v>0</v>
      </c>
      <c r="H65" s="356"/>
      <c r="I65" s="356">
        <v>0</v>
      </c>
      <c r="J65" s="390">
        <v>0</v>
      </c>
      <c r="K65" s="390">
        <v>0</v>
      </c>
      <c r="M65" s="181" t="s">
        <v>623</v>
      </c>
    </row>
    <row r="66" spans="1:13" x14ac:dyDescent="0.25">
      <c r="A66" s="351" t="s">
        <v>309</v>
      </c>
      <c r="B66" s="546">
        <v>11785.528</v>
      </c>
      <c r="C66" s="409">
        <f t="shared" si="7"/>
        <v>0</v>
      </c>
      <c r="D66" s="352" t="s">
        <v>465</v>
      </c>
      <c r="E66" s="352" t="s">
        <v>430</v>
      </c>
      <c r="F66" s="356" t="s">
        <v>463</v>
      </c>
      <c r="G66" s="356">
        <f t="shared" si="8"/>
        <v>0</v>
      </c>
      <c r="H66" s="356"/>
      <c r="I66" s="356">
        <v>0</v>
      </c>
      <c r="J66" s="390">
        <v>0</v>
      </c>
      <c r="K66" s="390">
        <v>0</v>
      </c>
      <c r="M66" s="181" t="s">
        <v>623</v>
      </c>
    </row>
    <row r="67" spans="1:13" ht="6.75" customHeight="1" x14ac:dyDescent="0.25">
      <c r="A67" s="353"/>
      <c r="B67" s="354"/>
      <c r="C67" s="354"/>
      <c r="D67" s="355"/>
      <c r="E67" s="356"/>
      <c r="F67" s="356"/>
      <c r="G67" s="356"/>
    </row>
    <row r="68" spans="1:13" x14ac:dyDescent="0.25">
      <c r="A68" s="357" t="s">
        <v>419</v>
      </c>
      <c r="B68" s="358">
        <f>SUM(B4:B66)</f>
        <v>21242995.507800005</v>
      </c>
      <c r="C68" s="393">
        <f>SUM(C4:C66)</f>
        <v>8461673.4702091552</v>
      </c>
      <c r="D68" s="359"/>
      <c r="E68" s="360"/>
      <c r="F68" s="356"/>
      <c r="G68" s="393"/>
    </row>
    <row r="69" spans="1:13" x14ac:dyDescent="0.25">
      <c r="A69" s="361" t="s">
        <v>442</v>
      </c>
      <c r="B69" s="362">
        <f>SUM(B33:B66)</f>
        <v>8196656.3530000001</v>
      </c>
      <c r="C69" s="362">
        <f>SUM(C33:C66)</f>
        <v>2782417.7335803057</v>
      </c>
      <c r="D69" s="363">
        <f>C68-C69</f>
        <v>5679255.7366288491</v>
      </c>
      <c r="E69" s="364"/>
      <c r="F69" s="548" t="s">
        <v>540</v>
      </c>
      <c r="G69" s="544"/>
    </row>
    <row r="70" spans="1:13" x14ac:dyDescent="0.25">
      <c r="A70" s="361" t="s">
        <v>632</v>
      </c>
      <c r="B70" s="362">
        <f>SUMIF(C33:C66,0,B33:B66)</f>
        <v>5099409.4179999987</v>
      </c>
      <c r="C70" s="362"/>
      <c r="D70" s="365"/>
      <c r="E70" s="366"/>
      <c r="F70" s="548" t="s">
        <v>540</v>
      </c>
      <c r="G70" s="549"/>
    </row>
    <row r="71" spans="1:13" x14ac:dyDescent="0.25">
      <c r="A71" s="367" t="s">
        <v>441</v>
      </c>
      <c r="B71" s="368">
        <f>B70/B69</f>
        <v>0.62213287935800798</v>
      </c>
      <c r="C71" s="369"/>
      <c r="D71" s="370"/>
      <c r="E71" s="371"/>
      <c r="F71" s="549"/>
      <c r="G71" s="549"/>
    </row>
    <row r="72" spans="1:13" x14ac:dyDescent="0.25">
      <c r="A72" s="395"/>
      <c r="B72" s="396"/>
      <c r="C72" s="396"/>
      <c r="D72" s="396"/>
      <c r="E72" s="397"/>
      <c r="F72" s="549"/>
      <c r="G72" s="549"/>
    </row>
    <row r="73" spans="1:13" x14ac:dyDescent="0.25">
      <c r="A73" s="504" t="s">
        <v>444</v>
      </c>
      <c r="B73" s="399">
        <f>SUMIF(H33:H66,"Yes",B33:B66)</f>
        <v>3458996</v>
      </c>
      <c r="C73" s="400">
        <f>B73/'2021 Summary'!D23</f>
        <v>0.15465384507525787</v>
      </c>
      <c r="D73" s="174" t="s">
        <v>445</v>
      </c>
      <c r="E73" s="401"/>
      <c r="F73" s="548" t="s">
        <v>540</v>
      </c>
      <c r="G73" s="549"/>
    </row>
    <row r="74" spans="1:13" x14ac:dyDescent="0.25">
      <c r="A74" s="504" t="s">
        <v>444</v>
      </c>
      <c r="B74" s="402">
        <f>B73/B69</f>
        <v>0.42200085632893436</v>
      </c>
      <c r="C74" s="174" t="s">
        <v>446</v>
      </c>
      <c r="D74" s="392"/>
      <c r="E74" s="392"/>
    </row>
    <row r="75" spans="1:13" x14ac:dyDescent="0.25">
      <c r="A75" s="395"/>
      <c r="B75" s="396"/>
      <c r="C75" s="396"/>
      <c r="D75" s="396"/>
      <c r="E75" s="397"/>
      <c r="F75" s="397"/>
      <c r="G75" s="397"/>
      <c r="H75" s="397"/>
      <c r="I75" s="397"/>
      <c r="J75" s="397"/>
      <c r="K75" s="397"/>
    </row>
    <row r="76" spans="1:13" x14ac:dyDescent="0.25">
      <c r="A76" s="403" t="s">
        <v>548</v>
      </c>
    </row>
    <row r="77" spans="1:13" ht="60.75" customHeight="1" x14ac:dyDescent="0.25">
      <c r="A77" s="632" t="s">
        <v>549</v>
      </c>
      <c r="B77" s="632"/>
      <c r="C77" s="632"/>
      <c r="D77" s="632"/>
      <c r="E77" s="632"/>
    </row>
    <row r="80" spans="1:13" x14ac:dyDescent="0.25">
      <c r="A80" s="453" t="s">
        <v>424</v>
      </c>
      <c r="B80" s="454" t="s">
        <v>425</v>
      </c>
      <c r="C80" s="455" t="s">
        <v>472</v>
      </c>
    </row>
    <row r="81" spans="1:3" x14ac:dyDescent="0.25">
      <c r="A81" s="456" t="s">
        <v>464</v>
      </c>
      <c r="B81" s="397" t="s">
        <v>426</v>
      </c>
      <c r="C81" s="366" t="s">
        <v>463</v>
      </c>
    </row>
    <row r="82" spans="1:3" x14ac:dyDescent="0.25">
      <c r="A82" s="456" t="s">
        <v>465</v>
      </c>
      <c r="B82" s="397" t="s">
        <v>427</v>
      </c>
      <c r="C82" s="366" t="s">
        <v>427</v>
      </c>
    </row>
    <row r="83" spans="1:3" x14ac:dyDescent="0.25">
      <c r="A83" s="456"/>
      <c r="B83" s="397" t="s">
        <v>428</v>
      </c>
      <c r="C83" s="366" t="s">
        <v>429</v>
      </c>
    </row>
    <row r="84" spans="1:3" x14ac:dyDescent="0.25">
      <c r="A84" s="456"/>
      <c r="B84" s="397" t="s">
        <v>429</v>
      </c>
      <c r="C84" s="366" t="s">
        <v>432</v>
      </c>
    </row>
    <row r="85" spans="1:3" x14ac:dyDescent="0.25">
      <c r="A85" s="456"/>
      <c r="B85" s="397" t="s">
        <v>430</v>
      </c>
      <c r="C85" s="366"/>
    </row>
    <row r="86" spans="1:3" x14ac:dyDescent="0.25">
      <c r="A86" s="456"/>
      <c r="B86" s="397" t="s">
        <v>432</v>
      </c>
      <c r="C86" s="366"/>
    </row>
    <row r="87" spans="1:3" x14ac:dyDescent="0.25">
      <c r="A87" s="456"/>
      <c r="B87" s="397" t="s">
        <v>431</v>
      </c>
      <c r="C87" s="366"/>
    </row>
    <row r="88" spans="1:3" x14ac:dyDescent="0.25">
      <c r="A88" s="456"/>
      <c r="B88" s="397" t="s">
        <v>433</v>
      </c>
      <c r="C88" s="366"/>
    </row>
    <row r="89" spans="1:3" x14ac:dyDescent="0.25">
      <c r="A89" s="457"/>
      <c r="B89" s="370"/>
      <c r="C89" s="371"/>
    </row>
  </sheetData>
  <mergeCells count="1">
    <mergeCell ref="A77:E77"/>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U162"/>
  <sheetViews>
    <sheetView topLeftCell="B46" workbookViewId="0">
      <selection activeCell="A83" sqref="A83"/>
    </sheetView>
  </sheetViews>
  <sheetFormatPr defaultColWidth="9.140625" defaultRowHeight="12.75" x14ac:dyDescent="0.25"/>
  <cols>
    <col min="1" max="1" width="46.140625" style="181" customWidth="1"/>
    <col min="2" max="2" width="13.7109375" style="181" customWidth="1"/>
    <col min="3" max="3" width="12.5703125" style="181" customWidth="1"/>
    <col min="4" max="4" width="13.5703125" style="181" customWidth="1"/>
    <col min="5" max="5" width="2.7109375" style="181" customWidth="1"/>
    <col min="6" max="6" width="2.7109375" style="486" customWidth="1"/>
    <col min="7" max="8" width="21.85546875" style="181" customWidth="1"/>
    <col min="9" max="9" width="12.28515625" style="373" customWidth="1"/>
    <col min="10" max="10" width="16.7109375" style="181" customWidth="1"/>
    <col min="11" max="13" width="9.140625" style="181"/>
    <col min="14" max="14" width="9.140625" style="181" customWidth="1"/>
    <col min="15" max="15" width="14.28515625" style="406" customWidth="1"/>
    <col min="16" max="18" width="15.7109375" style="406" customWidth="1"/>
    <col min="19" max="19" width="22.7109375" style="406" customWidth="1"/>
    <col min="20" max="20" width="15.7109375" style="406" customWidth="1"/>
    <col min="21" max="21" width="15.7109375" style="181" customWidth="1"/>
    <col min="22" max="16384" width="9.140625" style="181"/>
  </cols>
  <sheetData>
    <row r="1" spans="1:21" x14ac:dyDescent="0.25">
      <c r="I1" s="397"/>
    </row>
    <row r="2" spans="1:21" ht="25.5" customHeight="1" x14ac:dyDescent="0.25">
      <c r="A2" s="487" t="s">
        <v>443</v>
      </c>
      <c r="B2" s="488"/>
      <c r="C2" s="447"/>
      <c r="D2" s="447"/>
      <c r="E2" s="447"/>
      <c r="F2" s="489"/>
      <c r="G2" s="490"/>
      <c r="H2" s="447"/>
      <c r="I2" s="447"/>
      <c r="J2" s="447"/>
      <c r="K2" s="447"/>
      <c r="L2" s="447"/>
      <c r="P2" s="514"/>
      <c r="Q2" s="514"/>
      <c r="R2" s="514"/>
      <c r="S2" s="514"/>
      <c r="T2" s="514"/>
    </row>
    <row r="3" spans="1:21" ht="27.2" customHeight="1" x14ac:dyDescent="0.25">
      <c r="A3" s="633" t="s">
        <v>0</v>
      </c>
      <c r="B3" s="635" t="s">
        <v>434</v>
      </c>
      <c r="C3" s="635" t="s">
        <v>579</v>
      </c>
      <c r="D3" s="635" t="s">
        <v>580</v>
      </c>
      <c r="E3" s="491"/>
      <c r="F3" s="377"/>
      <c r="G3" s="492"/>
      <c r="H3" s="353" t="s">
        <v>462</v>
      </c>
      <c r="I3" s="355">
        <f>'EFs &amp; Rates'!R5</f>
        <v>963.42025100000001</v>
      </c>
      <c r="J3" s="447" t="s">
        <v>561</v>
      </c>
      <c r="K3" s="447"/>
      <c r="L3" s="447"/>
      <c r="P3" s="515"/>
      <c r="Q3" s="515"/>
      <c r="R3" s="550" t="s">
        <v>628</v>
      </c>
      <c r="S3" s="550"/>
      <c r="T3" s="550" t="s">
        <v>628</v>
      </c>
    </row>
    <row r="4" spans="1:21" ht="27.2" customHeight="1" x14ac:dyDescent="0.25">
      <c r="A4" s="634"/>
      <c r="B4" s="636"/>
      <c r="C4" s="636"/>
      <c r="D4" s="636"/>
      <c r="E4" s="491"/>
      <c r="F4" s="377"/>
      <c r="G4" s="494">
        <v>2021</v>
      </c>
      <c r="H4" s="494" t="s">
        <v>473</v>
      </c>
      <c r="I4" s="494" t="s">
        <v>432</v>
      </c>
      <c r="J4" s="494" t="s">
        <v>432</v>
      </c>
      <c r="K4"/>
      <c r="L4" s="528" t="s">
        <v>598</v>
      </c>
      <c r="M4" s="528" t="s">
        <v>599</v>
      </c>
      <c r="N4" s="528" t="s">
        <v>424</v>
      </c>
      <c r="O4" s="528" t="s">
        <v>600</v>
      </c>
      <c r="P4" s="528" t="s">
        <v>418</v>
      </c>
      <c r="Q4" s="495"/>
      <c r="R4" s="530" t="s">
        <v>604</v>
      </c>
      <c r="S4" s="530"/>
      <c r="T4" s="530" t="s">
        <v>622</v>
      </c>
      <c r="U4" s="534"/>
    </row>
    <row r="5" spans="1:21" ht="15" customHeight="1" x14ac:dyDescent="0.25">
      <c r="A5" s="445" t="str">
        <f>O5</f>
        <v>Avista Corp. WWP Division</v>
      </c>
      <c r="B5" s="430">
        <f>P5</f>
        <v>-18821</v>
      </c>
      <c r="C5" s="352">
        <f>R5</f>
        <v>878.16240153434319</v>
      </c>
      <c r="D5" s="496">
        <f>T5</f>
        <v>-7496.9255783314757</v>
      </c>
      <c r="E5" s="354"/>
      <c r="K5"/>
      <c r="L5" s="181" t="s">
        <v>460</v>
      </c>
      <c r="M5" s="181" t="s">
        <v>601</v>
      </c>
      <c r="O5" s="181" t="s">
        <v>187</v>
      </c>
      <c r="P5" s="471">
        <v>-18821</v>
      </c>
      <c r="Q5" s="424"/>
      <c r="R5" s="391">
        <f t="shared" ref="R5:R68" si="0">IF(P5&gt;0,I$3,I$8)</f>
        <v>878.16240153434319</v>
      </c>
      <c r="S5" s="424"/>
      <c r="T5" s="391">
        <f>(P5*R5)/2204.623</f>
        <v>-7496.9255783314757</v>
      </c>
      <c r="U5" s="471"/>
    </row>
    <row r="6" spans="1:21" ht="15" customHeight="1" x14ac:dyDescent="0.25">
      <c r="A6" s="445" t="str">
        <f t="shared" ref="A6:B69" si="1">O6</f>
        <v>Avista Nichols Pump</v>
      </c>
      <c r="B6" s="430">
        <f t="shared" si="1"/>
        <v>18032</v>
      </c>
      <c r="C6" s="352">
        <f t="shared" ref="C6:C69" si="2">R6</f>
        <v>963.42025100000001</v>
      </c>
      <c r="D6" s="496">
        <f t="shared" ref="D6:D69" si="3">T6</f>
        <v>7879.9839999999995</v>
      </c>
      <c r="E6" s="497"/>
      <c r="G6" s="447"/>
      <c r="H6" s="498" t="s">
        <v>437</v>
      </c>
      <c r="I6" s="499">
        <f>'2021 Known'!B68</f>
        <v>21242995.507800005</v>
      </c>
      <c r="J6" s="329" t="s">
        <v>626</v>
      </c>
      <c r="K6"/>
      <c r="L6" s="181" t="s">
        <v>460</v>
      </c>
      <c r="M6" s="181" t="s">
        <v>601</v>
      </c>
      <c r="O6" s="181" t="s">
        <v>171</v>
      </c>
      <c r="P6" s="471">
        <v>18032</v>
      </c>
      <c r="Q6" s="424"/>
      <c r="R6" s="391">
        <f t="shared" si="0"/>
        <v>963.42025100000001</v>
      </c>
      <c r="S6" s="424"/>
      <c r="T6" s="391">
        <f t="shared" ref="T6:T69" si="4">(P6*R6)/2204.623</f>
        <v>7879.9839999999995</v>
      </c>
    </row>
    <row r="7" spans="1:21" ht="15" customHeight="1" x14ac:dyDescent="0.25">
      <c r="A7" s="445" t="str">
        <f t="shared" si="1"/>
        <v>Black Hills Power</v>
      </c>
      <c r="B7" s="430">
        <f t="shared" si="1"/>
        <v>-1620</v>
      </c>
      <c r="C7" s="352">
        <f t="shared" si="2"/>
        <v>878.16240153434319</v>
      </c>
      <c r="D7" s="496">
        <f t="shared" si="3"/>
        <v>-645.29086854561342</v>
      </c>
      <c r="E7" s="497"/>
      <c r="F7" s="377"/>
      <c r="G7" s="490"/>
      <c r="H7" s="498" t="s">
        <v>438</v>
      </c>
      <c r="I7" s="499">
        <f>'2021 Known'!C68</f>
        <v>8461673.4702091552</v>
      </c>
      <c r="J7" s="329" t="s">
        <v>627</v>
      </c>
      <c r="K7"/>
      <c r="L7" s="181" t="s">
        <v>460</v>
      </c>
      <c r="M7" s="181" t="s">
        <v>601</v>
      </c>
      <c r="O7" s="181" t="s">
        <v>189</v>
      </c>
      <c r="P7" s="471">
        <v>-1620</v>
      </c>
      <c r="Q7" s="424"/>
      <c r="R7" s="391">
        <f t="shared" si="0"/>
        <v>878.16240153434319</v>
      </c>
      <c r="S7" s="424"/>
      <c r="T7" s="391">
        <f t="shared" si="4"/>
        <v>-645.29086854561342</v>
      </c>
    </row>
    <row r="8" spans="1:21" ht="15" customHeight="1" x14ac:dyDescent="0.25">
      <c r="A8" s="445"/>
      <c r="B8" s="430"/>
      <c r="C8" s="352"/>
      <c r="D8" s="496"/>
      <c r="E8" s="497"/>
      <c r="F8" s="377"/>
      <c r="G8" s="447"/>
      <c r="H8" s="498" t="s">
        <v>439</v>
      </c>
      <c r="I8" s="354">
        <f>(I7*2204.623)/I6</f>
        <v>878.16240153434319</v>
      </c>
      <c r="J8" s="447" t="s">
        <v>581</v>
      </c>
      <c r="K8"/>
      <c r="L8" s="181" t="s">
        <v>460</v>
      </c>
      <c r="M8" s="181" t="s">
        <v>601</v>
      </c>
      <c r="O8" s="524" t="s">
        <v>191</v>
      </c>
      <c r="P8" s="471">
        <v>539045</v>
      </c>
      <c r="Q8" s="424"/>
      <c r="R8" s="391">
        <f t="shared" si="0"/>
        <v>963.42025100000001</v>
      </c>
      <c r="S8" s="424"/>
      <c r="T8" s="391">
        <f t="shared" si="4"/>
        <v>235562.66500000001</v>
      </c>
    </row>
    <row r="9" spans="1:21" ht="15" customHeight="1" x14ac:dyDescent="0.25">
      <c r="A9" s="445" t="str">
        <f t="shared" ref="A9:A10" si="5">O9</f>
        <v>BP Energy Co.</v>
      </c>
      <c r="B9" s="430">
        <f t="shared" ref="B9:B10" si="6">P9</f>
        <v>-53878</v>
      </c>
      <c r="C9" s="352">
        <f t="shared" ref="C9:C10" si="7">R9</f>
        <v>878.16240153434319</v>
      </c>
      <c r="D9" s="496">
        <f t="shared" ref="D9:D10" si="8">T9</f>
        <v>-21461.099639197877</v>
      </c>
      <c r="E9" s="497"/>
      <c r="G9" s="447"/>
      <c r="H9" s="447"/>
      <c r="I9" s="447"/>
      <c r="J9" s="447"/>
      <c r="K9"/>
      <c r="L9" s="181" t="s">
        <v>460</v>
      </c>
      <c r="M9" s="181" t="s">
        <v>601</v>
      </c>
      <c r="O9" s="181" t="s">
        <v>192</v>
      </c>
      <c r="P9" s="471">
        <v>-53878</v>
      </c>
      <c r="Q9" s="424"/>
      <c r="R9" s="391">
        <f t="shared" si="0"/>
        <v>878.16240153434319</v>
      </c>
      <c r="S9" s="424"/>
      <c r="T9" s="391">
        <f t="shared" si="4"/>
        <v>-21461.099639197877</v>
      </c>
    </row>
    <row r="10" spans="1:21" ht="15" customHeight="1" x14ac:dyDescent="0.25">
      <c r="A10" s="445" t="str">
        <f t="shared" si="5"/>
        <v>BPA</v>
      </c>
      <c r="B10" s="430">
        <f t="shared" si="6"/>
        <v>56483</v>
      </c>
      <c r="C10" s="352">
        <f t="shared" si="7"/>
        <v>963.42025100000001</v>
      </c>
      <c r="D10" s="496">
        <f t="shared" si="8"/>
        <v>24683.071</v>
      </c>
      <c r="E10" s="497"/>
      <c r="I10" s="181"/>
      <c r="K10"/>
      <c r="L10" s="181" t="s">
        <v>460</v>
      </c>
      <c r="M10" s="181" t="s">
        <v>601</v>
      </c>
      <c r="O10" s="181" t="s">
        <v>173</v>
      </c>
      <c r="P10" s="471">
        <v>56483</v>
      </c>
      <c r="Q10" s="424"/>
      <c r="R10" s="391">
        <f t="shared" si="0"/>
        <v>963.42025100000001</v>
      </c>
      <c r="S10" s="424"/>
      <c r="T10" s="391">
        <f t="shared" si="4"/>
        <v>24683.071</v>
      </c>
    </row>
    <row r="11" spans="1:21" ht="15" customHeight="1" x14ac:dyDescent="0.25">
      <c r="A11" s="445" t="str">
        <f t="shared" si="1"/>
        <v>BPA - NWPP Reserve Sharing Energy</v>
      </c>
      <c r="B11" s="430">
        <f t="shared" si="1"/>
        <v>-116</v>
      </c>
      <c r="C11" s="352">
        <f t="shared" si="2"/>
        <v>878.16240153434319</v>
      </c>
      <c r="D11" s="496">
        <f t="shared" si="3"/>
        <v>-46.206012809438988</v>
      </c>
      <c r="E11" s="497"/>
      <c r="I11" s="181"/>
      <c r="K11"/>
      <c r="L11" s="181" t="s">
        <v>460</v>
      </c>
      <c r="M11" s="181" t="s">
        <v>601</v>
      </c>
      <c r="O11" s="181" t="s">
        <v>342</v>
      </c>
      <c r="P11" s="471">
        <v>-116</v>
      </c>
      <c r="Q11" s="424"/>
      <c r="R11" s="391">
        <f t="shared" si="0"/>
        <v>878.16240153434319</v>
      </c>
      <c r="S11" s="424"/>
      <c r="T11" s="391">
        <f t="shared" si="4"/>
        <v>-46.206012809438988</v>
      </c>
    </row>
    <row r="12" spans="1:21" ht="15" customHeight="1" x14ac:dyDescent="0.25">
      <c r="A12" s="445" t="str">
        <f t="shared" si="1"/>
        <v>British Columbia Transmission Corp</v>
      </c>
      <c r="B12" s="430">
        <f t="shared" si="1"/>
        <v>-287</v>
      </c>
      <c r="C12" s="352">
        <f t="shared" si="2"/>
        <v>878.16240153434319</v>
      </c>
      <c r="D12" s="496">
        <f t="shared" si="3"/>
        <v>-114.32004893369817</v>
      </c>
      <c r="E12" s="497"/>
      <c r="I12" s="181"/>
      <c r="K12"/>
      <c r="L12" s="181" t="s">
        <v>460</v>
      </c>
      <c r="M12" s="181" t="s">
        <v>601</v>
      </c>
      <c r="O12" s="181" t="s">
        <v>193</v>
      </c>
      <c r="P12" s="471">
        <v>-287</v>
      </c>
      <c r="Q12" s="424"/>
      <c r="R12" s="391">
        <f t="shared" si="0"/>
        <v>878.16240153434319</v>
      </c>
      <c r="S12" s="424"/>
      <c r="T12" s="391">
        <f t="shared" si="4"/>
        <v>-114.32004893369817</v>
      </c>
    </row>
    <row r="13" spans="1:21" ht="15" x14ac:dyDescent="0.25">
      <c r="A13" s="445" t="str">
        <f t="shared" si="1"/>
        <v>Brookfield Energy Marketing</v>
      </c>
      <c r="B13" s="430">
        <f t="shared" si="1"/>
        <v>4724</v>
      </c>
      <c r="C13" s="352">
        <f t="shared" si="2"/>
        <v>963.42025100000001</v>
      </c>
      <c r="D13" s="496">
        <f t="shared" si="3"/>
        <v>2064.3879999999999</v>
      </c>
      <c r="E13" s="497"/>
      <c r="I13" s="181"/>
      <c r="K13"/>
      <c r="L13" s="181" t="s">
        <v>460</v>
      </c>
      <c r="M13" s="181" t="s">
        <v>601</v>
      </c>
      <c r="O13" s="181" t="s">
        <v>194</v>
      </c>
      <c r="P13" s="471">
        <v>4724</v>
      </c>
      <c r="Q13" s="424"/>
      <c r="R13" s="391">
        <f t="shared" si="0"/>
        <v>963.42025100000001</v>
      </c>
      <c r="S13" s="424"/>
      <c r="T13" s="391">
        <f t="shared" si="4"/>
        <v>2064.3879999999999</v>
      </c>
    </row>
    <row r="14" spans="1:21" ht="15" x14ac:dyDescent="0.25">
      <c r="A14" s="445" t="str">
        <f t="shared" si="1"/>
        <v>California ISO</v>
      </c>
      <c r="B14" s="430">
        <f t="shared" si="1"/>
        <v>12638</v>
      </c>
      <c r="C14" s="352">
        <f t="shared" si="2"/>
        <v>963.42025100000001</v>
      </c>
      <c r="D14" s="496">
        <f t="shared" si="3"/>
        <v>5522.8060000000005</v>
      </c>
      <c r="E14" s="497"/>
      <c r="K14"/>
      <c r="L14" s="181" t="s">
        <v>460</v>
      </c>
      <c r="M14" s="181" t="s">
        <v>601</v>
      </c>
      <c r="O14" s="181" t="s">
        <v>197</v>
      </c>
      <c r="P14" s="471">
        <v>12638</v>
      </c>
      <c r="Q14" s="424"/>
      <c r="R14" s="391">
        <f t="shared" si="0"/>
        <v>963.42025100000001</v>
      </c>
      <c r="S14" s="424"/>
      <c r="T14" s="391">
        <f t="shared" si="4"/>
        <v>5522.8060000000005</v>
      </c>
    </row>
    <row r="15" spans="1:21" ht="15" x14ac:dyDescent="0.25">
      <c r="A15" s="445" t="str">
        <f t="shared" si="1"/>
        <v>Chelan County PUD #1</v>
      </c>
      <c r="B15" s="430">
        <f t="shared" si="1"/>
        <v>59152</v>
      </c>
      <c r="C15" s="352">
        <f t="shared" si="2"/>
        <v>963.42025100000001</v>
      </c>
      <c r="D15" s="496">
        <f t="shared" si="3"/>
        <v>25849.423999999999</v>
      </c>
      <c r="E15" s="497"/>
      <c r="K15"/>
      <c r="L15" s="181" t="s">
        <v>460</v>
      </c>
      <c r="M15" s="181" t="s">
        <v>601</v>
      </c>
      <c r="O15" s="181" t="s">
        <v>199</v>
      </c>
      <c r="P15" s="471">
        <v>59152</v>
      </c>
      <c r="Q15" s="424"/>
      <c r="R15" s="391">
        <f t="shared" si="0"/>
        <v>963.42025100000001</v>
      </c>
      <c r="S15" s="424"/>
      <c r="T15" s="391">
        <f t="shared" si="4"/>
        <v>25849.423999999999</v>
      </c>
    </row>
    <row r="16" spans="1:21" ht="15" x14ac:dyDescent="0.25">
      <c r="A16" s="445" t="str">
        <f t="shared" si="1"/>
        <v>Citigroup Energy Inc</v>
      </c>
      <c r="B16" s="430">
        <f t="shared" si="1"/>
        <v>389285</v>
      </c>
      <c r="C16" s="352">
        <f t="shared" si="2"/>
        <v>963.42025100000001</v>
      </c>
      <c r="D16" s="496">
        <f t="shared" si="3"/>
        <v>170117.54499999998</v>
      </c>
      <c r="E16" s="497"/>
      <c r="I16" s="181"/>
      <c r="K16"/>
      <c r="L16" s="181" t="s">
        <v>460</v>
      </c>
      <c r="M16" s="181" t="s">
        <v>601</v>
      </c>
      <c r="O16" s="181" t="s">
        <v>185</v>
      </c>
      <c r="P16" s="471">
        <v>389285</v>
      </c>
      <c r="Q16" s="424"/>
      <c r="R16" s="391">
        <f t="shared" si="0"/>
        <v>963.42025100000001</v>
      </c>
      <c r="S16" s="424"/>
      <c r="T16" s="391">
        <f t="shared" si="4"/>
        <v>170117.54499999998</v>
      </c>
    </row>
    <row r="17" spans="1:20" ht="15" x14ac:dyDescent="0.25">
      <c r="A17" s="445" t="str">
        <f t="shared" si="1"/>
        <v>City of Roseville</v>
      </c>
      <c r="B17" s="430">
        <f t="shared" si="1"/>
        <v>-800</v>
      </c>
      <c r="C17" s="352">
        <f t="shared" si="2"/>
        <v>878.16240153434319</v>
      </c>
      <c r="D17" s="496">
        <f t="shared" si="3"/>
        <v>-318.66215730647576</v>
      </c>
      <c r="E17" s="497"/>
      <c r="I17" s="181"/>
      <c r="K17"/>
      <c r="L17" s="181" t="s">
        <v>460</v>
      </c>
      <c r="M17" s="181" t="s">
        <v>601</v>
      </c>
      <c r="O17" s="181" t="s">
        <v>532</v>
      </c>
      <c r="P17" s="471">
        <v>-800</v>
      </c>
      <c r="Q17" s="424"/>
      <c r="R17" s="391">
        <f t="shared" si="0"/>
        <v>878.16240153434319</v>
      </c>
      <c r="S17" s="424"/>
      <c r="T17" s="391">
        <f t="shared" si="4"/>
        <v>-318.66215730647576</v>
      </c>
    </row>
    <row r="18" spans="1:20" ht="15" x14ac:dyDescent="0.25">
      <c r="A18" s="445" t="str">
        <f t="shared" si="1"/>
        <v>Clatskanie PUD</v>
      </c>
      <c r="B18" s="430">
        <f t="shared" si="1"/>
        <v>-20940</v>
      </c>
      <c r="C18" s="352">
        <f t="shared" si="2"/>
        <v>878.16240153434319</v>
      </c>
      <c r="D18" s="496">
        <f t="shared" si="3"/>
        <v>-8340.9819674970022</v>
      </c>
      <c r="E18" s="497"/>
      <c r="I18" s="181"/>
      <c r="K18"/>
      <c r="L18" s="181" t="s">
        <v>460</v>
      </c>
      <c r="M18" s="181" t="s">
        <v>601</v>
      </c>
      <c r="O18" s="181" t="s">
        <v>202</v>
      </c>
      <c r="P18" s="471">
        <v>-20940</v>
      </c>
      <c r="Q18" s="424"/>
      <c r="R18" s="391">
        <f t="shared" si="0"/>
        <v>878.16240153434319</v>
      </c>
      <c r="S18" s="424"/>
      <c r="T18" s="391">
        <f t="shared" si="4"/>
        <v>-8340.9819674970022</v>
      </c>
    </row>
    <row r="19" spans="1:20" ht="15" x14ac:dyDescent="0.25">
      <c r="A19" s="445" t="str">
        <f t="shared" si="1"/>
        <v>Conoco, Inc.</v>
      </c>
      <c r="B19" s="430">
        <f t="shared" si="1"/>
        <v>658853</v>
      </c>
      <c r="C19" s="352">
        <f t="shared" si="2"/>
        <v>963.42025100000001</v>
      </c>
      <c r="D19" s="496">
        <f t="shared" si="3"/>
        <v>287918.761</v>
      </c>
      <c r="E19" s="497"/>
      <c r="I19" s="181"/>
      <c r="K19"/>
      <c r="L19" s="181" t="s">
        <v>460</v>
      </c>
      <c r="M19" s="181" t="s">
        <v>601</v>
      </c>
      <c r="O19" s="181" t="s">
        <v>203</v>
      </c>
      <c r="P19" s="471">
        <v>658853</v>
      </c>
      <c r="Q19" s="424"/>
      <c r="R19" s="391">
        <f t="shared" si="0"/>
        <v>963.42025100000001</v>
      </c>
      <c r="S19" s="424"/>
      <c r="T19" s="391">
        <f t="shared" si="4"/>
        <v>287918.761</v>
      </c>
    </row>
    <row r="20" spans="1:20" ht="15" x14ac:dyDescent="0.25">
      <c r="A20" s="445" t="str">
        <f t="shared" si="1"/>
        <v>CONSTELLATION ENERGY</v>
      </c>
      <c r="B20" s="430">
        <f t="shared" si="1"/>
        <v>4464</v>
      </c>
      <c r="C20" s="352">
        <f t="shared" si="2"/>
        <v>963.42025100000001</v>
      </c>
      <c r="D20" s="496">
        <f t="shared" si="3"/>
        <v>1950.7679999999998</v>
      </c>
      <c r="E20" s="497"/>
      <c r="I20" s="181"/>
      <c r="K20"/>
      <c r="L20" s="181" t="s">
        <v>460</v>
      </c>
      <c r="M20" s="181" t="s">
        <v>601</v>
      </c>
      <c r="O20" s="181" t="s">
        <v>603</v>
      </c>
      <c r="P20" s="471">
        <v>4464</v>
      </c>
      <c r="Q20" s="424"/>
      <c r="R20" s="391">
        <f t="shared" si="0"/>
        <v>963.42025100000001</v>
      </c>
      <c r="S20" s="424"/>
      <c r="T20" s="391">
        <f t="shared" si="4"/>
        <v>1950.7679999999998</v>
      </c>
    </row>
    <row r="21" spans="1:20" ht="15" x14ac:dyDescent="0.25">
      <c r="A21" s="445" t="str">
        <f t="shared" si="1"/>
        <v>CP Energy Marketing (Epcor)</v>
      </c>
      <c r="B21" s="430">
        <f t="shared" si="1"/>
        <v>335</v>
      </c>
      <c r="C21" s="352">
        <f t="shared" si="2"/>
        <v>963.42025100000001</v>
      </c>
      <c r="D21" s="496">
        <f t="shared" si="3"/>
        <v>146.39499999999998</v>
      </c>
      <c r="E21" s="497"/>
      <c r="I21" s="181"/>
      <c r="K21"/>
      <c r="L21" s="181" t="s">
        <v>460</v>
      </c>
      <c r="M21" s="181" t="s">
        <v>601</v>
      </c>
      <c r="O21" s="181" t="s">
        <v>204</v>
      </c>
      <c r="P21" s="471">
        <v>335</v>
      </c>
      <c r="Q21" s="424"/>
      <c r="R21" s="391">
        <f t="shared" si="0"/>
        <v>963.42025100000001</v>
      </c>
      <c r="S21" s="424"/>
      <c r="T21" s="391">
        <f t="shared" si="4"/>
        <v>146.39499999999998</v>
      </c>
    </row>
    <row r="22" spans="1:20" x14ac:dyDescent="0.2">
      <c r="A22" s="445" t="str">
        <f t="shared" si="1"/>
        <v>Deviation</v>
      </c>
      <c r="B22" s="430">
        <f t="shared" si="1"/>
        <v>-232290.90700000001</v>
      </c>
      <c r="C22" s="352">
        <f t="shared" si="2"/>
        <v>878.16240153434319</v>
      </c>
      <c r="D22" s="496">
        <f t="shared" si="3"/>
        <v>-92527.901934122419</v>
      </c>
      <c r="E22" s="497"/>
      <c r="I22" s="181"/>
      <c r="K22" s="525" t="s">
        <v>621</v>
      </c>
      <c r="L22" s="181" t="s">
        <v>460</v>
      </c>
      <c r="M22" s="181" t="s">
        <v>601</v>
      </c>
      <c r="O22" s="181" t="s">
        <v>176</v>
      </c>
      <c r="P22" s="471">
        <v>-232290.90700000001</v>
      </c>
      <c r="Q22" s="424"/>
      <c r="R22" s="391">
        <f t="shared" si="0"/>
        <v>878.16240153434319</v>
      </c>
      <c r="S22" s="424"/>
      <c r="T22" s="391">
        <f t="shared" si="4"/>
        <v>-92527.901934122419</v>
      </c>
    </row>
    <row r="23" spans="1:20" ht="15" x14ac:dyDescent="0.25">
      <c r="A23" s="445" t="str">
        <f t="shared" si="1"/>
        <v>DTE Energy Trading</v>
      </c>
      <c r="B23" s="430">
        <f t="shared" si="1"/>
        <v>-97000</v>
      </c>
      <c r="C23" s="352">
        <f t="shared" si="2"/>
        <v>878.16240153434319</v>
      </c>
      <c r="D23" s="496">
        <f t="shared" si="3"/>
        <v>-38637.786573410187</v>
      </c>
      <c r="E23" s="497"/>
      <c r="I23" s="181"/>
      <c r="K23"/>
      <c r="L23" s="181" t="s">
        <v>460</v>
      </c>
      <c r="M23" s="181" t="s">
        <v>601</v>
      </c>
      <c r="O23" s="181" t="s">
        <v>533</v>
      </c>
      <c r="P23" s="471">
        <v>-97000</v>
      </c>
      <c r="Q23" s="424"/>
      <c r="R23" s="391">
        <f t="shared" si="0"/>
        <v>878.16240153434319</v>
      </c>
      <c r="S23" s="424"/>
      <c r="T23" s="391">
        <f t="shared" si="4"/>
        <v>-38637.786573410187</v>
      </c>
    </row>
    <row r="24" spans="1:20" ht="15" x14ac:dyDescent="0.25">
      <c r="A24" s="445" t="str">
        <f t="shared" si="1"/>
        <v>EDF Trading NA LLC</v>
      </c>
      <c r="B24" s="430">
        <f t="shared" si="1"/>
        <v>-40825</v>
      </c>
      <c r="C24" s="352">
        <f t="shared" si="2"/>
        <v>878.16240153434319</v>
      </c>
      <c r="D24" s="496">
        <f t="shared" si="3"/>
        <v>-16261.728215046092</v>
      </c>
      <c r="E24" s="497"/>
      <c r="I24" s="181"/>
      <c r="K24"/>
      <c r="L24" s="181" t="s">
        <v>460</v>
      </c>
      <c r="M24" s="181" t="s">
        <v>601</v>
      </c>
      <c r="O24" s="181" t="s">
        <v>208</v>
      </c>
      <c r="P24" s="471">
        <v>-40825</v>
      </c>
      <c r="Q24" s="424"/>
      <c r="R24" s="391">
        <f t="shared" si="0"/>
        <v>878.16240153434319</v>
      </c>
      <c r="S24" s="424"/>
      <c r="T24" s="391">
        <f t="shared" si="4"/>
        <v>-16261.728215046092</v>
      </c>
    </row>
    <row r="25" spans="1:20" ht="15" x14ac:dyDescent="0.25">
      <c r="A25" s="445" t="str">
        <f t="shared" si="1"/>
        <v>Energy Keepers Inc.</v>
      </c>
      <c r="B25" s="430">
        <f t="shared" si="1"/>
        <v>-47993</v>
      </c>
      <c r="C25" s="352">
        <f t="shared" si="2"/>
        <v>878.16240153434319</v>
      </c>
      <c r="D25" s="496">
        <f t="shared" si="3"/>
        <v>-19116.941144512115</v>
      </c>
      <c r="E25" s="497"/>
      <c r="I25" s="181"/>
      <c r="K25"/>
      <c r="L25" s="181" t="s">
        <v>460</v>
      </c>
      <c r="M25" s="181" t="s">
        <v>601</v>
      </c>
      <c r="O25" s="181" t="s">
        <v>397</v>
      </c>
      <c r="P25" s="471">
        <v>-47993</v>
      </c>
      <c r="Q25" s="424"/>
      <c r="R25" s="391">
        <f t="shared" si="0"/>
        <v>878.16240153434319</v>
      </c>
      <c r="S25" s="424"/>
      <c r="T25" s="391">
        <f t="shared" si="4"/>
        <v>-19116.941144512115</v>
      </c>
    </row>
    <row r="26" spans="1:20" ht="15" x14ac:dyDescent="0.25">
      <c r="A26" s="445" t="str">
        <f t="shared" si="1"/>
        <v>Eugene Water &amp; Electric</v>
      </c>
      <c r="B26" s="430">
        <f t="shared" si="1"/>
        <v>-48452</v>
      </c>
      <c r="C26" s="352">
        <f t="shared" si="2"/>
        <v>878.16240153434319</v>
      </c>
      <c r="D26" s="496">
        <f t="shared" si="3"/>
        <v>-19299.773557266704</v>
      </c>
      <c r="E26" s="497"/>
      <c r="F26" s="315"/>
      <c r="I26" s="181"/>
      <c r="K26"/>
      <c r="L26" s="181" t="s">
        <v>460</v>
      </c>
      <c r="M26" s="181" t="s">
        <v>601</v>
      </c>
      <c r="O26" s="181" t="s">
        <v>211</v>
      </c>
      <c r="P26" s="471">
        <v>-48452</v>
      </c>
      <c r="Q26" s="424"/>
      <c r="R26" s="391">
        <f t="shared" si="0"/>
        <v>878.16240153434319</v>
      </c>
      <c r="S26" s="424"/>
      <c r="T26" s="391">
        <f t="shared" si="4"/>
        <v>-19299.773557266704</v>
      </c>
    </row>
    <row r="27" spans="1:20" ht="15" x14ac:dyDescent="0.25">
      <c r="A27" s="445" t="str">
        <f t="shared" si="1"/>
        <v>Grant County PUD #2</v>
      </c>
      <c r="B27" s="430">
        <f t="shared" si="1"/>
        <v>2398</v>
      </c>
      <c r="C27" s="352">
        <f t="shared" si="2"/>
        <v>963.42025100000001</v>
      </c>
      <c r="D27" s="496">
        <f t="shared" si="3"/>
        <v>1047.9259999999999</v>
      </c>
      <c r="E27" s="497"/>
      <c r="F27" s="315"/>
      <c r="I27" s="181"/>
      <c r="K27"/>
      <c r="L27" s="181" t="s">
        <v>460</v>
      </c>
      <c r="M27" s="181" t="s">
        <v>601</v>
      </c>
      <c r="O27" s="181" t="s">
        <v>213</v>
      </c>
      <c r="P27" s="471">
        <v>2398</v>
      </c>
      <c r="Q27" s="424"/>
      <c r="R27" s="391">
        <f t="shared" si="0"/>
        <v>963.42025100000001</v>
      </c>
      <c r="S27" s="424"/>
      <c r="T27" s="391">
        <f t="shared" si="4"/>
        <v>1047.9259999999999</v>
      </c>
    </row>
    <row r="28" spans="1:20" ht="15" x14ac:dyDescent="0.25">
      <c r="A28" s="445" t="str">
        <f t="shared" si="1"/>
        <v>GRIDFORCE ENERGY MANAGEMENT, LLC.</v>
      </c>
      <c r="B28" s="430">
        <f t="shared" si="1"/>
        <v>-378</v>
      </c>
      <c r="C28" s="352">
        <f t="shared" si="2"/>
        <v>878.16240153434319</v>
      </c>
      <c r="D28" s="496">
        <f t="shared" si="3"/>
        <v>-150.56786932730981</v>
      </c>
      <c r="E28" s="497"/>
      <c r="F28" s="315"/>
      <c r="I28" s="181"/>
      <c r="K28"/>
      <c r="L28" s="181" t="s">
        <v>460</v>
      </c>
      <c r="M28" s="181" t="s">
        <v>601</v>
      </c>
      <c r="O28" s="181" t="s">
        <v>343</v>
      </c>
      <c r="P28" s="471">
        <v>-378</v>
      </c>
      <c r="Q28" s="424"/>
      <c r="R28" s="391">
        <f t="shared" si="0"/>
        <v>878.16240153434319</v>
      </c>
      <c r="S28" s="424"/>
      <c r="T28" s="391">
        <f t="shared" si="4"/>
        <v>-150.56786932730981</v>
      </c>
    </row>
    <row r="29" spans="1:20" ht="15" x14ac:dyDescent="0.25">
      <c r="A29" s="445" t="str">
        <f t="shared" si="1"/>
        <v>Iberdrola Renewables (PPM Energy)</v>
      </c>
      <c r="B29" s="430">
        <f t="shared" si="1"/>
        <v>671524</v>
      </c>
      <c r="C29" s="352">
        <f t="shared" si="2"/>
        <v>963.42025100000001</v>
      </c>
      <c r="D29" s="496">
        <f t="shared" si="3"/>
        <v>293455.98800000001</v>
      </c>
      <c r="E29" s="497"/>
      <c r="F29" s="315"/>
      <c r="I29" s="181"/>
      <c r="K29"/>
      <c r="L29" s="181" t="s">
        <v>460</v>
      </c>
      <c r="M29" s="181" t="s">
        <v>601</v>
      </c>
      <c r="O29" s="181" t="s">
        <v>215</v>
      </c>
      <c r="P29" s="471">
        <v>671524</v>
      </c>
      <c r="Q29" s="424"/>
      <c r="R29" s="391">
        <f t="shared" si="0"/>
        <v>963.42025100000001</v>
      </c>
      <c r="S29" s="424"/>
      <c r="T29" s="391">
        <f t="shared" si="4"/>
        <v>293455.98800000001</v>
      </c>
    </row>
    <row r="30" spans="1:20" ht="15" x14ac:dyDescent="0.25">
      <c r="A30" s="445" t="str">
        <f t="shared" si="1"/>
        <v>Idaho Power Company</v>
      </c>
      <c r="B30" s="430">
        <f t="shared" si="1"/>
        <v>-39715</v>
      </c>
      <c r="C30" s="352">
        <f t="shared" si="2"/>
        <v>878.16240153434319</v>
      </c>
      <c r="D30" s="496">
        <f t="shared" si="3"/>
        <v>-15819.584471783357</v>
      </c>
      <c r="E30" s="497"/>
      <c r="F30" s="315"/>
      <c r="I30" s="181"/>
      <c r="K30"/>
      <c r="L30" s="181" t="s">
        <v>460</v>
      </c>
      <c r="M30" s="181" t="s">
        <v>601</v>
      </c>
      <c r="O30" s="181" t="s">
        <v>217</v>
      </c>
      <c r="P30" s="471">
        <v>-39715</v>
      </c>
      <c r="Q30" s="424"/>
      <c r="R30" s="391">
        <f t="shared" si="0"/>
        <v>878.16240153434319</v>
      </c>
      <c r="S30" s="424"/>
      <c r="T30" s="391">
        <f t="shared" si="4"/>
        <v>-15819.584471783357</v>
      </c>
    </row>
    <row r="31" spans="1:20" ht="15" x14ac:dyDescent="0.25">
      <c r="A31" s="445" t="str">
        <f t="shared" si="1"/>
        <v>Morgan Stanley CG</v>
      </c>
      <c r="B31" s="430">
        <f t="shared" si="1"/>
        <v>46966</v>
      </c>
      <c r="C31" s="352">
        <f t="shared" si="2"/>
        <v>963.42025100000001</v>
      </c>
      <c r="D31" s="496">
        <f t="shared" si="3"/>
        <v>20524.142</v>
      </c>
      <c r="E31" s="497"/>
      <c r="F31" s="315"/>
      <c r="I31" s="181"/>
      <c r="K31"/>
      <c r="L31" s="181" t="s">
        <v>460</v>
      </c>
      <c r="M31" s="181" t="s">
        <v>601</v>
      </c>
      <c r="O31" s="181" t="s">
        <v>178</v>
      </c>
      <c r="P31" s="471">
        <v>46966</v>
      </c>
      <c r="Q31" s="424"/>
      <c r="R31" s="391">
        <f t="shared" si="0"/>
        <v>963.42025100000001</v>
      </c>
      <c r="S31" s="424"/>
      <c r="T31" s="391">
        <f t="shared" si="4"/>
        <v>20524.142</v>
      </c>
    </row>
    <row r="32" spans="1:20" ht="15" x14ac:dyDescent="0.25">
      <c r="A32" s="445" t="str">
        <f t="shared" si="1"/>
        <v>Natur Ener USA</v>
      </c>
      <c r="B32" s="430">
        <f t="shared" si="1"/>
        <v>-206</v>
      </c>
      <c r="C32" s="352">
        <f t="shared" si="2"/>
        <v>878.16240153434319</v>
      </c>
      <c r="D32" s="496">
        <f t="shared" si="3"/>
        <v>-82.055505506417504</v>
      </c>
      <c r="E32" s="497"/>
      <c r="F32" s="315"/>
      <c r="I32" s="181"/>
      <c r="K32"/>
      <c r="L32" s="181" t="s">
        <v>460</v>
      </c>
      <c r="M32" s="181" t="s">
        <v>601</v>
      </c>
      <c r="O32" s="181" t="s">
        <v>226</v>
      </c>
      <c r="P32" s="471">
        <v>-206</v>
      </c>
      <c r="Q32" s="424"/>
      <c r="R32" s="391">
        <f t="shared" si="0"/>
        <v>878.16240153434319</v>
      </c>
      <c r="S32" s="424"/>
      <c r="T32" s="391">
        <f t="shared" si="4"/>
        <v>-82.055505506417504</v>
      </c>
    </row>
    <row r="33" spans="1:20" ht="15" x14ac:dyDescent="0.25">
      <c r="A33" s="445" t="str">
        <f t="shared" si="1"/>
        <v>NextEra Energy Power Marketing</v>
      </c>
      <c r="B33" s="430">
        <f t="shared" si="1"/>
        <v>31440</v>
      </c>
      <c r="C33" s="352">
        <f t="shared" si="2"/>
        <v>963.42025100000001</v>
      </c>
      <c r="D33" s="496">
        <f t="shared" si="3"/>
        <v>13739.28</v>
      </c>
      <c r="E33" s="497"/>
      <c r="F33" s="315"/>
      <c r="I33" s="181"/>
      <c r="K33"/>
      <c r="L33" s="181" t="s">
        <v>460</v>
      </c>
      <c r="M33" s="181" t="s">
        <v>601</v>
      </c>
      <c r="O33" s="181" t="s">
        <v>227</v>
      </c>
      <c r="P33" s="471">
        <v>31440</v>
      </c>
      <c r="Q33" s="424"/>
      <c r="R33" s="391">
        <f t="shared" si="0"/>
        <v>963.42025100000001</v>
      </c>
      <c r="S33" s="424"/>
      <c r="T33" s="391">
        <f t="shared" si="4"/>
        <v>13739.28</v>
      </c>
    </row>
    <row r="34" spans="1:20" ht="15" x14ac:dyDescent="0.25">
      <c r="A34" s="445" t="str">
        <f t="shared" si="1"/>
        <v>Northwestern Energy</v>
      </c>
      <c r="B34" s="430">
        <f t="shared" si="1"/>
        <v>-22905</v>
      </c>
      <c r="C34" s="352">
        <f t="shared" si="2"/>
        <v>878.16240153434319</v>
      </c>
      <c r="D34" s="496">
        <f t="shared" si="3"/>
        <v>-9123.695891381034</v>
      </c>
      <c r="E34" s="497"/>
      <c r="F34" s="315"/>
      <c r="I34" s="181"/>
      <c r="K34"/>
      <c r="L34" s="181" t="s">
        <v>460</v>
      </c>
      <c r="M34" s="181" t="s">
        <v>601</v>
      </c>
      <c r="O34" s="181" t="s">
        <v>231</v>
      </c>
      <c r="P34" s="471">
        <v>-22905</v>
      </c>
      <c r="Q34" s="424"/>
      <c r="R34" s="391">
        <f t="shared" si="0"/>
        <v>878.16240153434319</v>
      </c>
      <c r="S34" s="424"/>
      <c r="T34" s="391">
        <f t="shared" si="4"/>
        <v>-9123.695891381034</v>
      </c>
    </row>
    <row r="35" spans="1:20" ht="15" x14ac:dyDescent="0.25">
      <c r="A35" s="445" t="str">
        <f t="shared" si="1"/>
        <v>Pacificorp</v>
      </c>
      <c r="B35" s="430">
        <f t="shared" si="1"/>
        <v>-235970</v>
      </c>
      <c r="C35" s="352">
        <f t="shared" si="2"/>
        <v>878.16240153434319</v>
      </c>
      <c r="D35" s="496">
        <f t="shared" si="3"/>
        <v>-93993.386574511358</v>
      </c>
      <c r="E35" s="497"/>
      <c r="F35" s="315"/>
      <c r="I35" s="181"/>
      <c r="K35"/>
      <c r="L35" s="181" t="s">
        <v>460</v>
      </c>
      <c r="M35" s="181" t="s">
        <v>601</v>
      </c>
      <c r="O35" s="181" t="s">
        <v>236</v>
      </c>
      <c r="P35" s="471">
        <v>-235970</v>
      </c>
      <c r="Q35" s="424"/>
      <c r="R35" s="391">
        <f t="shared" si="0"/>
        <v>878.16240153434319</v>
      </c>
      <c r="S35" s="424"/>
      <c r="T35" s="391">
        <f t="shared" si="4"/>
        <v>-93993.386574511358</v>
      </c>
    </row>
    <row r="36" spans="1:20" ht="15" x14ac:dyDescent="0.25">
      <c r="A36" s="445" t="str">
        <f t="shared" si="1"/>
        <v>Portland General Electric</v>
      </c>
      <c r="B36" s="430">
        <f t="shared" si="1"/>
        <v>-215518</v>
      </c>
      <c r="C36" s="352">
        <f t="shared" si="2"/>
        <v>878.16240153434319</v>
      </c>
      <c r="D36" s="496">
        <f t="shared" si="3"/>
        <v>-85846.788522971314</v>
      </c>
      <c r="E36" s="497"/>
      <c r="F36" s="315"/>
      <c r="I36" s="181"/>
      <c r="K36"/>
      <c r="L36" s="181" t="s">
        <v>460</v>
      </c>
      <c r="M36" s="181" t="s">
        <v>601</v>
      </c>
      <c r="O36" s="181" t="s">
        <v>238</v>
      </c>
      <c r="P36" s="471">
        <v>-215518</v>
      </c>
      <c r="Q36" s="424"/>
      <c r="R36" s="391">
        <f t="shared" si="0"/>
        <v>878.16240153434319</v>
      </c>
      <c r="S36" s="424"/>
      <c r="T36" s="391">
        <f t="shared" si="4"/>
        <v>-85846.788522971314</v>
      </c>
    </row>
    <row r="37" spans="1:20" ht="15" x14ac:dyDescent="0.25">
      <c r="A37" s="445" t="str">
        <f t="shared" si="1"/>
        <v>Powerex Corp.</v>
      </c>
      <c r="B37" s="430">
        <f t="shared" si="1"/>
        <v>-110638</v>
      </c>
      <c r="C37" s="352">
        <f t="shared" si="2"/>
        <v>878.16240153434319</v>
      </c>
      <c r="D37" s="496">
        <f t="shared" si="3"/>
        <v>-44070.179700092332</v>
      </c>
      <c r="E37" s="497"/>
      <c r="F37" s="315"/>
      <c r="I37" s="181"/>
      <c r="K37"/>
      <c r="L37" s="181" t="s">
        <v>460</v>
      </c>
      <c r="M37" s="181" t="s">
        <v>601</v>
      </c>
      <c r="O37" s="181" t="s">
        <v>180</v>
      </c>
      <c r="P37" s="471">
        <v>-110638</v>
      </c>
      <c r="Q37" s="424"/>
      <c r="R37" s="391">
        <f t="shared" si="0"/>
        <v>878.16240153434319</v>
      </c>
      <c r="S37" s="424"/>
      <c r="T37" s="391">
        <f t="shared" si="4"/>
        <v>-44070.179700092332</v>
      </c>
    </row>
    <row r="38" spans="1:20" ht="15" x14ac:dyDescent="0.25">
      <c r="A38" s="445" t="str">
        <f t="shared" si="1"/>
        <v>Public Service of Colorado</v>
      </c>
      <c r="B38" s="430">
        <f t="shared" si="1"/>
        <v>30800</v>
      </c>
      <c r="C38" s="352">
        <f t="shared" si="2"/>
        <v>963.42025100000001</v>
      </c>
      <c r="D38" s="496">
        <f t="shared" si="3"/>
        <v>13459.599999999999</v>
      </c>
      <c r="E38" s="497"/>
      <c r="F38" s="315"/>
      <c r="I38" s="181"/>
      <c r="K38"/>
      <c r="L38" s="181" t="s">
        <v>460</v>
      </c>
      <c r="M38" s="181" t="s">
        <v>601</v>
      </c>
      <c r="O38" s="181" t="s">
        <v>239</v>
      </c>
      <c r="P38" s="471">
        <v>30800</v>
      </c>
      <c r="Q38" s="424"/>
      <c r="R38" s="391">
        <f t="shared" si="0"/>
        <v>963.42025100000001</v>
      </c>
      <c r="S38" s="424"/>
      <c r="T38" s="391">
        <f t="shared" si="4"/>
        <v>13459.599999999999</v>
      </c>
    </row>
    <row r="39" spans="1:20" ht="15" x14ac:dyDescent="0.25">
      <c r="A39" s="445" t="str">
        <f t="shared" si="1"/>
        <v>Rainbow Energy Marketing</v>
      </c>
      <c r="B39" s="430">
        <f t="shared" si="1"/>
        <v>-11733</v>
      </c>
      <c r="C39" s="352">
        <f t="shared" si="2"/>
        <v>878.16240153434319</v>
      </c>
      <c r="D39" s="496">
        <f t="shared" si="3"/>
        <v>-4673.5788645961011</v>
      </c>
      <c r="E39" s="497"/>
      <c r="F39" s="315"/>
      <c r="I39" s="181"/>
      <c r="K39"/>
      <c r="L39" s="181" t="s">
        <v>460</v>
      </c>
      <c r="M39" s="181" t="s">
        <v>601</v>
      </c>
      <c r="O39" s="181" t="s">
        <v>240</v>
      </c>
      <c r="P39" s="471">
        <v>-11733</v>
      </c>
      <c r="Q39" s="424"/>
      <c r="R39" s="391">
        <f t="shared" si="0"/>
        <v>878.16240153434319</v>
      </c>
      <c r="S39" s="424"/>
      <c r="T39" s="391">
        <f t="shared" si="4"/>
        <v>-4673.5788645961011</v>
      </c>
    </row>
    <row r="40" spans="1:20" ht="15" x14ac:dyDescent="0.25">
      <c r="A40" s="445" t="str">
        <f t="shared" si="1"/>
        <v>Sacramento Municipal</v>
      </c>
      <c r="B40" s="430">
        <f t="shared" si="1"/>
        <v>-15</v>
      </c>
      <c r="C40" s="352">
        <f t="shared" si="2"/>
        <v>878.16240153434319</v>
      </c>
      <c r="D40" s="496">
        <f t="shared" si="3"/>
        <v>-5.9749154494964207</v>
      </c>
      <c r="E40" s="497"/>
      <c r="F40" s="315"/>
      <c r="I40" s="181"/>
      <c r="K40"/>
      <c r="L40" s="181" t="s">
        <v>460</v>
      </c>
      <c r="M40" s="181" t="s">
        <v>601</v>
      </c>
      <c r="O40" s="181" t="s">
        <v>242</v>
      </c>
      <c r="P40" s="471">
        <v>-15</v>
      </c>
      <c r="Q40" s="424"/>
      <c r="R40" s="391">
        <f t="shared" si="0"/>
        <v>878.16240153434319</v>
      </c>
      <c r="S40" s="424"/>
      <c r="T40" s="391">
        <f t="shared" si="4"/>
        <v>-5.9749154494964207</v>
      </c>
    </row>
    <row r="41" spans="1:20" ht="15" x14ac:dyDescent="0.25">
      <c r="A41" s="445" t="str">
        <f t="shared" si="1"/>
        <v>Seattle City Light Marketing</v>
      </c>
      <c r="B41" s="430">
        <f t="shared" si="1"/>
        <v>-11883</v>
      </c>
      <c r="C41" s="352">
        <f t="shared" si="2"/>
        <v>878.16240153434319</v>
      </c>
      <c r="D41" s="496">
        <f t="shared" si="3"/>
        <v>-4733.3280190910646</v>
      </c>
      <c r="E41" s="497"/>
      <c r="F41" s="315"/>
      <c r="I41" s="181"/>
      <c r="K41"/>
      <c r="L41" s="181" t="s">
        <v>460</v>
      </c>
      <c r="M41" s="181" t="s">
        <v>601</v>
      </c>
      <c r="O41" s="181" t="s">
        <v>181</v>
      </c>
      <c r="P41" s="471">
        <v>-11883</v>
      </c>
      <c r="Q41" s="424"/>
      <c r="R41" s="391">
        <f t="shared" si="0"/>
        <v>878.16240153434319</v>
      </c>
      <c r="S41" s="424"/>
      <c r="T41" s="391">
        <f t="shared" si="4"/>
        <v>-4733.3280190910646</v>
      </c>
    </row>
    <row r="42" spans="1:20" ht="15" x14ac:dyDescent="0.25">
      <c r="A42" s="445" t="str">
        <f t="shared" si="1"/>
        <v>Shell Energy (Coral Pwr)</v>
      </c>
      <c r="B42" s="430">
        <f t="shared" si="1"/>
        <v>429369</v>
      </c>
      <c r="C42" s="352">
        <f t="shared" si="2"/>
        <v>963.42025100000001</v>
      </c>
      <c r="D42" s="496">
        <f t="shared" si="3"/>
        <v>187634.253</v>
      </c>
      <c r="E42" s="497"/>
      <c r="F42" s="315"/>
      <c r="I42" s="181"/>
      <c r="K42"/>
      <c r="L42" s="181" t="s">
        <v>460</v>
      </c>
      <c r="M42" s="181" t="s">
        <v>601</v>
      </c>
      <c r="O42" s="181" t="s">
        <v>182</v>
      </c>
      <c r="P42" s="471">
        <v>429369</v>
      </c>
      <c r="Q42" s="424"/>
      <c r="R42" s="391">
        <f t="shared" si="0"/>
        <v>963.42025100000001</v>
      </c>
      <c r="S42" s="424"/>
      <c r="T42" s="391">
        <f t="shared" si="4"/>
        <v>187634.253</v>
      </c>
    </row>
    <row r="43" spans="1:20" ht="15" x14ac:dyDescent="0.25">
      <c r="A43" s="445" t="str">
        <f t="shared" si="1"/>
        <v>Snohomish County PUD #1</v>
      </c>
      <c r="B43" s="430">
        <f t="shared" si="1"/>
        <v>-60755</v>
      </c>
      <c r="C43" s="352">
        <f t="shared" si="2"/>
        <v>878.16240153434319</v>
      </c>
      <c r="D43" s="496">
        <f t="shared" si="3"/>
        <v>-24200.399208943669</v>
      </c>
      <c r="E43" s="497"/>
      <c r="F43" s="315"/>
      <c r="I43" s="181"/>
      <c r="K43"/>
      <c r="L43" s="181" t="s">
        <v>460</v>
      </c>
      <c r="M43" s="181" t="s">
        <v>601</v>
      </c>
      <c r="O43" s="181" t="s">
        <v>247</v>
      </c>
      <c r="P43" s="471">
        <v>-60755</v>
      </c>
      <c r="Q43" s="424"/>
      <c r="R43" s="391">
        <f t="shared" si="0"/>
        <v>878.16240153434319</v>
      </c>
      <c r="S43" s="424"/>
      <c r="T43" s="391">
        <f t="shared" si="4"/>
        <v>-24200.399208943669</v>
      </c>
    </row>
    <row r="44" spans="1:20" ht="15" x14ac:dyDescent="0.25">
      <c r="A44" s="445" t="str">
        <f t="shared" si="1"/>
        <v>Tacoma Power</v>
      </c>
      <c r="B44" s="430">
        <f t="shared" si="1"/>
        <v>32700</v>
      </c>
      <c r="C44" s="352">
        <f t="shared" si="2"/>
        <v>963.42025100000001</v>
      </c>
      <c r="D44" s="496">
        <f t="shared" si="3"/>
        <v>14289.9</v>
      </c>
      <c r="E44" s="497"/>
      <c r="F44" s="315"/>
      <c r="I44" s="181"/>
      <c r="K44"/>
      <c r="L44" s="181" t="s">
        <v>460</v>
      </c>
      <c r="M44" s="181" t="s">
        <v>601</v>
      </c>
      <c r="O44" s="181" t="s">
        <v>183</v>
      </c>
      <c r="P44" s="471">
        <v>32700</v>
      </c>
      <c r="Q44" s="424"/>
      <c r="R44" s="391">
        <f t="shared" si="0"/>
        <v>963.42025100000001</v>
      </c>
      <c r="S44" s="424"/>
      <c r="T44" s="391">
        <f t="shared" si="4"/>
        <v>14289.9</v>
      </c>
    </row>
    <row r="45" spans="1:20" ht="15" x14ac:dyDescent="0.25">
      <c r="A45" s="445" t="str">
        <f t="shared" si="1"/>
        <v>Tenaska Power Services Co.</v>
      </c>
      <c r="B45" s="430">
        <f t="shared" si="1"/>
        <v>-400</v>
      </c>
      <c r="C45" s="352">
        <f t="shared" si="2"/>
        <v>878.16240153434319</v>
      </c>
      <c r="D45" s="496">
        <f t="shared" si="3"/>
        <v>-159.33107865323788</v>
      </c>
      <c r="E45" s="497"/>
      <c r="F45" s="315"/>
      <c r="I45" s="181"/>
      <c r="K45"/>
      <c r="L45" s="181" t="s">
        <v>460</v>
      </c>
      <c r="M45" s="181" t="s">
        <v>601</v>
      </c>
      <c r="O45" s="181" t="s">
        <v>251</v>
      </c>
      <c r="P45" s="471">
        <v>-400</v>
      </c>
      <c r="Q45" s="424"/>
      <c r="R45" s="391">
        <f t="shared" si="0"/>
        <v>878.16240153434319</v>
      </c>
      <c r="S45" s="424"/>
      <c r="T45" s="391">
        <f t="shared" si="4"/>
        <v>-159.33107865323788</v>
      </c>
    </row>
    <row r="46" spans="1:20" ht="15" x14ac:dyDescent="0.25">
      <c r="A46" s="445" t="str">
        <f t="shared" si="1"/>
        <v>The Energy Authority</v>
      </c>
      <c r="B46" s="430">
        <f t="shared" si="1"/>
        <v>-68824</v>
      </c>
      <c r="C46" s="352">
        <f t="shared" si="2"/>
        <v>878.16240153434319</v>
      </c>
      <c r="D46" s="496">
        <f t="shared" si="3"/>
        <v>-27414.50539307611</v>
      </c>
      <c r="E46" s="497"/>
      <c r="F46" s="315"/>
      <c r="I46" s="181"/>
      <c r="K46"/>
      <c r="L46" s="181" t="s">
        <v>460</v>
      </c>
      <c r="M46" s="181" t="s">
        <v>601</v>
      </c>
      <c r="O46" s="181" t="s">
        <v>252</v>
      </c>
      <c r="P46" s="471">
        <v>-68824</v>
      </c>
      <c r="Q46" s="424"/>
      <c r="R46" s="391">
        <f t="shared" si="0"/>
        <v>878.16240153434319</v>
      </c>
      <c r="S46" s="424"/>
      <c r="T46" s="391">
        <f t="shared" si="4"/>
        <v>-27414.50539307611</v>
      </c>
    </row>
    <row r="47" spans="1:20" ht="15" x14ac:dyDescent="0.25">
      <c r="A47" s="445" t="str">
        <f t="shared" si="1"/>
        <v>TransAlta Energy Marketing</v>
      </c>
      <c r="B47" s="430">
        <f t="shared" si="1"/>
        <v>-5356</v>
      </c>
      <c r="C47" s="352">
        <f t="shared" si="2"/>
        <v>878.16240153434319</v>
      </c>
      <c r="D47" s="496">
        <f t="shared" si="3"/>
        <v>-2133.4431431668554</v>
      </c>
      <c r="E47" s="497"/>
      <c r="F47" s="315"/>
      <c r="I47" s="181"/>
      <c r="K47"/>
      <c r="L47" s="181" t="s">
        <v>460</v>
      </c>
      <c r="M47" s="181" t="s">
        <v>601</v>
      </c>
      <c r="O47" s="181" t="s">
        <v>184</v>
      </c>
      <c r="P47" s="471">
        <v>-5356</v>
      </c>
      <c r="Q47" s="424"/>
      <c r="R47" s="391">
        <f t="shared" si="0"/>
        <v>878.16240153434319</v>
      </c>
      <c r="S47" s="424"/>
      <c r="T47" s="391">
        <f t="shared" si="4"/>
        <v>-2133.4431431668554</v>
      </c>
    </row>
    <row r="48" spans="1:20" ht="15" x14ac:dyDescent="0.25">
      <c r="A48" s="445" t="str">
        <f t="shared" si="1"/>
        <v>TransCanada Energy Sales Ltd</v>
      </c>
      <c r="B48" s="430">
        <f t="shared" si="1"/>
        <v>-38654</v>
      </c>
      <c r="C48" s="352">
        <f t="shared" si="2"/>
        <v>878.16240153434319</v>
      </c>
      <c r="D48" s="496">
        <f t="shared" si="3"/>
        <v>-15396.958785655645</v>
      </c>
      <c r="E48" s="497"/>
      <c r="F48" s="315"/>
      <c r="I48" s="181"/>
      <c r="K48"/>
      <c r="L48" s="181" t="s">
        <v>460</v>
      </c>
      <c r="M48" s="181" t="s">
        <v>601</v>
      </c>
      <c r="O48" s="181" t="s">
        <v>254</v>
      </c>
      <c r="P48" s="471">
        <v>-38654</v>
      </c>
      <c r="Q48" s="424"/>
      <c r="R48" s="391">
        <f t="shared" si="0"/>
        <v>878.16240153434319</v>
      </c>
      <c r="S48" s="424"/>
      <c r="T48" s="391">
        <f t="shared" si="4"/>
        <v>-15396.958785655645</v>
      </c>
    </row>
    <row r="49" spans="1:20" ht="15" x14ac:dyDescent="0.25">
      <c r="A49" s="445" t="str">
        <f t="shared" si="1"/>
        <v>Turlock Irrigation District</v>
      </c>
      <c r="B49" s="430">
        <f t="shared" si="1"/>
        <v>936</v>
      </c>
      <c r="C49" s="352">
        <f t="shared" si="2"/>
        <v>963.42025100000001</v>
      </c>
      <c r="D49" s="496">
        <f t="shared" si="3"/>
        <v>409.03199999999998</v>
      </c>
      <c r="E49" s="497"/>
      <c r="F49" s="315"/>
      <c r="I49" s="181"/>
      <c r="K49"/>
      <c r="L49" s="181" t="s">
        <v>460</v>
      </c>
      <c r="M49" s="181" t="s">
        <v>601</v>
      </c>
      <c r="O49" s="181" t="s">
        <v>256</v>
      </c>
      <c r="P49" s="471">
        <v>936</v>
      </c>
      <c r="Q49" s="424"/>
      <c r="R49" s="391">
        <f t="shared" si="0"/>
        <v>963.42025100000001</v>
      </c>
      <c r="S49" s="424"/>
      <c r="T49" s="391">
        <f t="shared" si="4"/>
        <v>409.03199999999998</v>
      </c>
    </row>
    <row r="50" spans="1:20" ht="15" x14ac:dyDescent="0.25">
      <c r="A50" s="445" t="str">
        <f t="shared" si="1"/>
        <v>Vitol Inc.</v>
      </c>
      <c r="B50" s="430">
        <f t="shared" si="1"/>
        <v>600</v>
      </c>
      <c r="C50" s="352">
        <f t="shared" si="2"/>
        <v>963.42025100000001</v>
      </c>
      <c r="D50" s="496">
        <f t="shared" si="3"/>
        <v>262.20000000000005</v>
      </c>
      <c r="E50" s="497"/>
      <c r="F50" s="315"/>
      <c r="I50" s="181"/>
      <c r="K50"/>
      <c r="L50" s="181" t="s">
        <v>460</v>
      </c>
      <c r="M50" s="181" t="s">
        <v>601</v>
      </c>
      <c r="O50" s="181" t="s">
        <v>257</v>
      </c>
      <c r="P50" s="471">
        <v>600</v>
      </c>
      <c r="Q50" s="424"/>
      <c r="R50" s="391">
        <f t="shared" si="0"/>
        <v>963.42025100000001</v>
      </c>
      <c r="S50" s="424"/>
      <c r="T50" s="391">
        <f t="shared" si="4"/>
        <v>262.20000000000005</v>
      </c>
    </row>
    <row r="51" spans="1:20" ht="15" x14ac:dyDescent="0.25">
      <c r="A51" s="445" t="str">
        <f t="shared" si="1"/>
        <v>CAISO EESC Load Undistributed Costs</v>
      </c>
      <c r="B51" s="430">
        <f t="shared" si="1"/>
        <v>6488.8919999999998</v>
      </c>
      <c r="C51" s="352">
        <f t="shared" si="2"/>
        <v>963.42025100000001</v>
      </c>
      <c r="D51" s="496">
        <f t="shared" si="3"/>
        <v>2835.6458039999998</v>
      </c>
      <c r="E51" s="497"/>
      <c r="F51" s="315"/>
      <c r="I51" s="181"/>
      <c r="K51"/>
      <c r="L51" s="181" t="s">
        <v>460</v>
      </c>
      <c r="M51" s="181" t="s">
        <v>602</v>
      </c>
      <c r="O51" s="181" t="s">
        <v>196</v>
      </c>
      <c r="P51" s="471">
        <v>6488.8919999999998</v>
      </c>
      <c r="Q51" s="424"/>
      <c r="R51" s="391">
        <f t="shared" si="0"/>
        <v>963.42025100000001</v>
      </c>
      <c r="S51" s="424"/>
      <c r="T51" s="391">
        <f t="shared" si="4"/>
        <v>2835.6458039999998</v>
      </c>
    </row>
    <row r="52" spans="1:20" ht="15" x14ac:dyDescent="0.25">
      <c r="A52" s="445" t="str">
        <f t="shared" si="1"/>
        <v>CAISO PRSC Undistributed Costs</v>
      </c>
      <c r="B52" s="430">
        <f t="shared" si="1"/>
        <v>-3559.8590000000004</v>
      </c>
      <c r="C52" s="352">
        <f t="shared" si="2"/>
        <v>878.16240153434319</v>
      </c>
      <c r="D52" s="496">
        <f t="shared" si="3"/>
        <v>-1417.9904358085921</v>
      </c>
      <c r="E52" s="497"/>
      <c r="F52" s="315"/>
      <c r="I52" s="181"/>
      <c r="K52"/>
      <c r="L52" s="181" t="s">
        <v>460</v>
      </c>
      <c r="M52" s="181" t="s">
        <v>602</v>
      </c>
      <c r="O52" s="181" t="s">
        <v>344</v>
      </c>
      <c r="P52" s="471">
        <v>-3559.8590000000004</v>
      </c>
      <c r="Q52" s="424"/>
      <c r="R52" s="391">
        <f t="shared" si="0"/>
        <v>878.16240153434319</v>
      </c>
      <c r="S52" s="424"/>
      <c r="T52" s="391">
        <f t="shared" si="4"/>
        <v>-1417.9904358085921</v>
      </c>
    </row>
    <row r="53" spans="1:20" ht="15" x14ac:dyDescent="0.25">
      <c r="A53" s="445" t="str">
        <f t="shared" si="1"/>
        <v>Chelan PUD - RI &amp; RR</v>
      </c>
      <c r="B53" s="430">
        <f t="shared" si="1"/>
        <v>-66208.203000000009</v>
      </c>
      <c r="C53" s="352">
        <f t="shared" si="2"/>
        <v>878.16240153434319</v>
      </c>
      <c r="D53" s="496">
        <f t="shared" si="3"/>
        <v>-26372.560999206355</v>
      </c>
      <c r="E53" s="497"/>
      <c r="F53" s="315"/>
      <c r="I53" s="181"/>
      <c r="K53"/>
      <c r="L53" s="181" t="s">
        <v>460</v>
      </c>
      <c r="M53" s="181" t="s">
        <v>602</v>
      </c>
      <c r="N53" s="181" t="s">
        <v>426</v>
      </c>
      <c r="O53" s="181" t="s">
        <v>289</v>
      </c>
      <c r="P53" s="471">
        <v>-66208.203000000009</v>
      </c>
      <c r="Q53" s="424"/>
      <c r="R53" s="391">
        <f t="shared" si="0"/>
        <v>878.16240153434319</v>
      </c>
      <c r="S53" s="424"/>
      <c r="T53" s="391">
        <f t="shared" si="4"/>
        <v>-26372.560999206355</v>
      </c>
    </row>
    <row r="54" spans="1:20" ht="15" x14ac:dyDescent="0.25">
      <c r="A54" s="445" t="str">
        <f t="shared" si="1"/>
        <v>Colstrip - Energy Imbalance Market</v>
      </c>
      <c r="B54" s="430">
        <f t="shared" si="1"/>
        <v>31361.184000000001</v>
      </c>
      <c r="C54" s="352">
        <f t="shared" si="2"/>
        <v>963.42025100000001</v>
      </c>
      <c r="D54" s="496">
        <f t="shared" si="3"/>
        <v>13704.837407999999</v>
      </c>
      <c r="E54" s="497"/>
      <c r="F54" s="315"/>
      <c r="I54" s="181"/>
      <c r="K54"/>
      <c r="L54" s="181" t="s">
        <v>461</v>
      </c>
      <c r="M54" s="181" t="s">
        <v>602</v>
      </c>
      <c r="O54" s="181" t="s">
        <v>345</v>
      </c>
      <c r="P54" s="471">
        <v>31361.184000000001</v>
      </c>
      <c r="Q54" s="424"/>
      <c r="R54" s="391">
        <f t="shared" si="0"/>
        <v>963.42025100000001</v>
      </c>
      <c r="S54" s="424"/>
      <c r="T54" s="391">
        <f t="shared" si="4"/>
        <v>13704.837407999999</v>
      </c>
    </row>
    <row r="55" spans="1:20" ht="15" x14ac:dyDescent="0.25">
      <c r="A55" s="445" t="str">
        <f t="shared" si="1"/>
        <v>Douglas PUD - Wells Project</v>
      </c>
      <c r="B55" s="430">
        <f t="shared" si="1"/>
        <v>-4584.903999999995</v>
      </c>
      <c r="C55" s="352">
        <f t="shared" si="2"/>
        <v>878.16240153434319</v>
      </c>
      <c r="D55" s="496">
        <f t="shared" si="3"/>
        <v>-1826.2942496038604</v>
      </c>
      <c r="E55" s="497"/>
      <c r="F55" s="315"/>
      <c r="I55" s="181"/>
      <c r="K55"/>
      <c r="L55" s="181" t="s">
        <v>460</v>
      </c>
      <c r="M55" s="181" t="s">
        <v>602</v>
      </c>
      <c r="N55" s="181" t="s">
        <v>426</v>
      </c>
      <c r="O55" s="181" t="s">
        <v>292</v>
      </c>
      <c r="P55" s="471">
        <v>-4584.903999999995</v>
      </c>
      <c r="Q55" s="424"/>
      <c r="R55" s="391">
        <f t="shared" si="0"/>
        <v>878.16240153434319</v>
      </c>
      <c r="S55" s="424"/>
      <c r="T55" s="391">
        <f t="shared" si="4"/>
        <v>-1826.2942496038604</v>
      </c>
    </row>
    <row r="56" spans="1:20" ht="15" x14ac:dyDescent="0.25">
      <c r="A56" s="445" t="str">
        <f t="shared" si="1"/>
        <v>Encogen</v>
      </c>
      <c r="B56" s="430">
        <f t="shared" si="1"/>
        <v>25046.859</v>
      </c>
      <c r="C56" s="352">
        <f t="shared" si="2"/>
        <v>963.42025100000001</v>
      </c>
      <c r="D56" s="496">
        <f t="shared" si="3"/>
        <v>10945.477382999999</v>
      </c>
      <c r="E56" s="497"/>
      <c r="F56" s="315"/>
      <c r="I56" s="181"/>
      <c r="K56"/>
      <c r="L56" s="181" t="s">
        <v>461</v>
      </c>
      <c r="M56" s="181" t="s">
        <v>602</v>
      </c>
      <c r="O56" s="181" t="s">
        <v>268</v>
      </c>
      <c r="P56" s="471">
        <v>25046.859</v>
      </c>
      <c r="Q56" s="424"/>
      <c r="R56" s="391">
        <f t="shared" si="0"/>
        <v>963.42025100000001</v>
      </c>
      <c r="S56" s="424"/>
      <c r="T56" s="391">
        <f t="shared" si="4"/>
        <v>10945.477382999999</v>
      </c>
    </row>
    <row r="57" spans="1:20" ht="15" x14ac:dyDescent="0.25">
      <c r="A57" s="445" t="str">
        <f t="shared" si="1"/>
        <v>Ferndale Co-Generation</v>
      </c>
      <c r="B57" s="430">
        <f t="shared" si="1"/>
        <v>38637.923999999992</v>
      </c>
      <c r="C57" s="352">
        <f t="shared" si="2"/>
        <v>963.42025100000001</v>
      </c>
      <c r="D57" s="496">
        <f t="shared" si="3"/>
        <v>16884.772787999995</v>
      </c>
      <c r="E57" s="497"/>
      <c r="F57" s="315"/>
      <c r="I57" s="181"/>
      <c r="K57"/>
      <c r="L57" s="181" t="s">
        <v>461</v>
      </c>
      <c r="M57" s="181" t="s">
        <v>602</v>
      </c>
      <c r="O57" s="181" t="s">
        <v>269</v>
      </c>
      <c r="P57" s="471">
        <v>38637.923999999992</v>
      </c>
      <c r="Q57" s="424"/>
      <c r="R57" s="391">
        <f t="shared" si="0"/>
        <v>963.42025100000001</v>
      </c>
      <c r="S57" s="424"/>
      <c r="T57" s="391">
        <f t="shared" si="4"/>
        <v>16884.772787999995</v>
      </c>
    </row>
    <row r="58" spans="1:20" ht="15" x14ac:dyDescent="0.25">
      <c r="A58" s="445" t="str">
        <f t="shared" si="1"/>
        <v>Freddie #1</v>
      </c>
      <c r="B58" s="430">
        <f t="shared" si="1"/>
        <v>2074.1779999999999</v>
      </c>
      <c r="C58" s="352">
        <f t="shared" si="2"/>
        <v>963.42025100000001</v>
      </c>
      <c r="D58" s="496">
        <f t="shared" si="3"/>
        <v>906.41578600000003</v>
      </c>
      <c r="E58" s="497"/>
      <c r="F58" s="315"/>
      <c r="I58" s="181"/>
      <c r="K58"/>
      <c r="L58" s="181" t="s">
        <v>461</v>
      </c>
      <c r="M58" s="181" t="s">
        <v>602</v>
      </c>
      <c r="O58" s="181" t="s">
        <v>270</v>
      </c>
      <c r="P58" s="471">
        <v>2074.1779999999999</v>
      </c>
      <c r="Q58" s="424"/>
      <c r="R58" s="391">
        <f t="shared" si="0"/>
        <v>963.42025100000001</v>
      </c>
      <c r="S58" s="424"/>
      <c r="T58" s="391">
        <f t="shared" si="4"/>
        <v>906.41578600000003</v>
      </c>
    </row>
    <row r="59" spans="1:20" ht="15" x14ac:dyDescent="0.25">
      <c r="A59" s="445" t="str">
        <f t="shared" si="1"/>
        <v>Fredonia - Energy Imbalance Market</v>
      </c>
      <c r="B59" s="430">
        <f t="shared" si="1"/>
        <v>23118.841</v>
      </c>
      <c r="C59" s="352">
        <f t="shared" si="2"/>
        <v>963.42025100000001</v>
      </c>
      <c r="D59" s="496">
        <f t="shared" si="3"/>
        <v>10102.933516999999</v>
      </c>
      <c r="E59" s="497"/>
      <c r="F59" s="315"/>
      <c r="I59" s="181"/>
      <c r="K59"/>
      <c r="L59" s="181" t="s">
        <v>461</v>
      </c>
      <c r="M59" s="181" t="s">
        <v>602</v>
      </c>
      <c r="O59" s="181" t="s">
        <v>346</v>
      </c>
      <c r="P59" s="471">
        <v>23118.841</v>
      </c>
      <c r="Q59" s="424"/>
      <c r="R59" s="391">
        <f t="shared" si="0"/>
        <v>963.42025100000001</v>
      </c>
      <c r="S59" s="424"/>
      <c r="T59" s="391">
        <f t="shared" si="4"/>
        <v>10102.933516999999</v>
      </c>
    </row>
    <row r="60" spans="1:20" ht="15" x14ac:dyDescent="0.25">
      <c r="A60" s="445" t="str">
        <f t="shared" si="1"/>
        <v>Fredrickson 1 &amp; 2</v>
      </c>
      <c r="B60" s="430">
        <f t="shared" si="1"/>
        <v>5054.014000000001</v>
      </c>
      <c r="C60" s="352">
        <f t="shared" si="2"/>
        <v>963.42025100000001</v>
      </c>
      <c r="D60" s="496">
        <f t="shared" si="3"/>
        <v>2208.6041180000002</v>
      </c>
      <c r="E60" s="497"/>
      <c r="F60" s="315"/>
      <c r="I60" s="181"/>
      <c r="K60"/>
      <c r="L60" s="181" t="s">
        <v>461</v>
      </c>
      <c r="M60" s="181" t="s">
        <v>602</v>
      </c>
      <c r="O60" s="181" t="s">
        <v>273</v>
      </c>
      <c r="P60" s="471">
        <v>5054.014000000001</v>
      </c>
      <c r="Q60" s="424"/>
      <c r="R60" s="391">
        <f t="shared" si="0"/>
        <v>963.42025100000001</v>
      </c>
      <c r="S60" s="424"/>
      <c r="T60" s="391">
        <f t="shared" si="4"/>
        <v>2208.6041180000002</v>
      </c>
    </row>
    <row r="61" spans="1:20" ht="15" x14ac:dyDescent="0.25">
      <c r="A61" s="445" t="str">
        <f t="shared" si="1"/>
        <v>Goldendale</v>
      </c>
      <c r="B61" s="430">
        <f t="shared" si="1"/>
        <v>-2177.0749999999971</v>
      </c>
      <c r="C61" s="352">
        <f t="shared" si="2"/>
        <v>878.16240153434319</v>
      </c>
      <c r="D61" s="496">
        <f t="shared" si="3"/>
        <v>-867.18927014749352</v>
      </c>
      <c r="E61" s="497"/>
      <c r="F61" s="315"/>
      <c r="I61" s="181"/>
      <c r="K61"/>
      <c r="L61" s="181" t="s">
        <v>461</v>
      </c>
      <c r="M61" s="181" t="s">
        <v>602</v>
      </c>
      <c r="O61" s="181" t="s">
        <v>274</v>
      </c>
      <c r="P61" s="471">
        <v>-2177.0749999999971</v>
      </c>
      <c r="Q61" s="424"/>
      <c r="R61" s="391">
        <f t="shared" si="0"/>
        <v>878.16240153434319</v>
      </c>
      <c r="S61" s="424"/>
      <c r="T61" s="391">
        <f t="shared" si="4"/>
        <v>-867.18927014749352</v>
      </c>
    </row>
    <row r="62" spans="1:20" ht="15" x14ac:dyDescent="0.25">
      <c r="A62" s="445" t="str">
        <f t="shared" si="1"/>
        <v>Grant PUD - Priest Rapids Project</v>
      </c>
      <c r="B62" s="430">
        <f t="shared" si="1"/>
        <v>-4872.4670000000042</v>
      </c>
      <c r="C62" s="352">
        <f t="shared" si="2"/>
        <v>878.16240153434319</v>
      </c>
      <c r="D62" s="496">
        <f t="shared" si="3"/>
        <v>-1940.8385570307669</v>
      </c>
      <c r="E62" s="497"/>
      <c r="F62" s="315"/>
      <c r="I62" s="181"/>
      <c r="K62"/>
      <c r="L62" s="181" t="s">
        <v>460</v>
      </c>
      <c r="M62" s="181" t="s">
        <v>602</v>
      </c>
      <c r="N62" s="181" t="s">
        <v>426</v>
      </c>
      <c r="O62" s="181" t="s">
        <v>297</v>
      </c>
      <c r="P62" s="471">
        <v>-4872.4670000000042</v>
      </c>
      <c r="Q62" s="424"/>
      <c r="R62" s="391">
        <f t="shared" si="0"/>
        <v>878.16240153434319</v>
      </c>
      <c r="S62" s="424"/>
      <c r="T62" s="391">
        <f t="shared" si="4"/>
        <v>-1940.8385570307669</v>
      </c>
    </row>
    <row r="63" spans="1:20" ht="15" x14ac:dyDescent="0.25">
      <c r="A63" s="445" t="str">
        <f t="shared" si="1"/>
        <v>Lower Baker</v>
      </c>
      <c r="B63" s="430">
        <f t="shared" si="1"/>
        <v>1918.2809999999999</v>
      </c>
      <c r="C63" s="352">
        <f t="shared" si="2"/>
        <v>963.42025100000001</v>
      </c>
      <c r="D63" s="496">
        <f t="shared" si="3"/>
        <v>838.28879699999993</v>
      </c>
      <c r="E63" s="497"/>
      <c r="F63" s="315"/>
      <c r="I63" s="181"/>
      <c r="K63"/>
      <c r="L63" s="181" t="s">
        <v>461</v>
      </c>
      <c r="M63" s="181" t="s">
        <v>602</v>
      </c>
      <c r="O63" s="181" t="s">
        <v>263</v>
      </c>
      <c r="P63" s="471">
        <v>1918.2809999999999</v>
      </c>
      <c r="Q63" s="424"/>
      <c r="R63" s="391">
        <f t="shared" si="0"/>
        <v>963.42025100000001</v>
      </c>
      <c r="S63" s="424"/>
      <c r="T63" s="391">
        <f t="shared" si="4"/>
        <v>838.28879699999993</v>
      </c>
    </row>
    <row r="64" spans="1:20" ht="15" x14ac:dyDescent="0.25">
      <c r="A64" s="445" t="str">
        <f t="shared" si="1"/>
        <v>Mint Farm</v>
      </c>
      <c r="B64" s="430">
        <f t="shared" si="1"/>
        <v>14180.849999999999</v>
      </c>
      <c r="C64" s="352">
        <f t="shared" si="2"/>
        <v>963.42025100000001</v>
      </c>
      <c r="D64" s="496">
        <f t="shared" si="3"/>
        <v>6197.0314499999995</v>
      </c>
      <c r="E64" s="497"/>
      <c r="F64" s="315"/>
      <c r="I64" s="181"/>
      <c r="K64"/>
      <c r="L64" s="181" t="s">
        <v>461</v>
      </c>
      <c r="M64" s="181" t="s">
        <v>602</v>
      </c>
      <c r="O64" s="181" t="s">
        <v>277</v>
      </c>
      <c r="P64" s="471">
        <v>14180.849999999999</v>
      </c>
      <c r="Q64" s="424"/>
      <c r="R64" s="391">
        <f t="shared" si="0"/>
        <v>963.42025100000001</v>
      </c>
      <c r="S64" s="424"/>
      <c r="T64" s="391">
        <f t="shared" si="4"/>
        <v>6197.0314499999995</v>
      </c>
    </row>
    <row r="65" spans="1:21" ht="15" x14ac:dyDescent="0.25">
      <c r="A65" s="445" t="str">
        <f t="shared" si="1"/>
        <v>Sierra Pacific Industries</v>
      </c>
      <c r="B65" s="430">
        <f t="shared" si="1"/>
        <v>-2972.2579999999998</v>
      </c>
      <c r="C65" s="352">
        <f t="shared" si="2"/>
        <v>878.16240153434319</v>
      </c>
      <c r="D65" s="496">
        <f t="shared" si="3"/>
        <v>-1183.9326829392887</v>
      </c>
      <c r="E65" s="497"/>
      <c r="F65" s="315"/>
      <c r="I65" s="181"/>
      <c r="K65"/>
      <c r="L65" s="181" t="s">
        <v>460</v>
      </c>
      <c r="M65" s="181" t="s">
        <v>602</v>
      </c>
      <c r="N65" s="181" t="s">
        <v>597</v>
      </c>
      <c r="O65" s="181" t="s">
        <v>596</v>
      </c>
      <c r="P65" s="471">
        <v>-2972.2579999999998</v>
      </c>
      <c r="Q65" s="424"/>
      <c r="R65" s="391">
        <f t="shared" si="0"/>
        <v>878.16240153434319</v>
      </c>
      <c r="S65" s="424"/>
      <c r="T65" s="391">
        <f t="shared" si="4"/>
        <v>-1183.9326829392887</v>
      </c>
    </row>
    <row r="66" spans="1:21" ht="15" x14ac:dyDescent="0.25">
      <c r="A66" s="445" t="str">
        <f t="shared" si="1"/>
        <v>Skookumchuck Wind PPA</v>
      </c>
      <c r="B66" s="430">
        <f t="shared" si="1"/>
        <v>-44768.016000000003</v>
      </c>
      <c r="C66" s="352">
        <f t="shared" si="2"/>
        <v>878.16240153434319</v>
      </c>
      <c r="D66" s="496">
        <f t="shared" si="3"/>
        <v>-17832.34069611353</v>
      </c>
      <c r="E66" s="497"/>
      <c r="F66" s="315"/>
      <c r="I66" s="181"/>
      <c r="K66"/>
      <c r="L66" s="181" t="s">
        <v>460</v>
      </c>
      <c r="M66" s="181" t="s">
        <v>602</v>
      </c>
      <c r="N66" s="181" t="s">
        <v>430</v>
      </c>
      <c r="O66" s="181" t="s">
        <v>534</v>
      </c>
      <c r="P66" s="471">
        <v>-44768.016000000003</v>
      </c>
      <c r="Q66" s="424"/>
      <c r="R66" s="391">
        <f t="shared" si="0"/>
        <v>878.16240153434319</v>
      </c>
      <c r="S66" s="424"/>
      <c r="T66" s="391">
        <f t="shared" si="4"/>
        <v>-17832.34069611353</v>
      </c>
    </row>
    <row r="67" spans="1:21" ht="15" x14ac:dyDescent="0.25">
      <c r="A67" s="445" t="str">
        <f t="shared" si="1"/>
        <v>Snoqualmie-Energy Imbalance Market</v>
      </c>
      <c r="B67" s="430">
        <f t="shared" si="1"/>
        <v>-772.48199999999997</v>
      </c>
      <c r="C67" s="352">
        <f t="shared" si="2"/>
        <v>878.16240153434319</v>
      </c>
      <c r="D67" s="496">
        <f t="shared" si="3"/>
        <v>-307.70097575052625</v>
      </c>
      <c r="E67" s="497"/>
      <c r="F67" s="315"/>
      <c r="I67" s="181"/>
      <c r="K67"/>
      <c r="L67" s="181" t="s">
        <v>461</v>
      </c>
      <c r="M67" s="181" t="s">
        <v>602</v>
      </c>
      <c r="O67" s="181" t="s">
        <v>348</v>
      </c>
      <c r="P67" s="471">
        <v>-772.48199999999997</v>
      </c>
      <c r="Q67" s="424"/>
      <c r="R67" s="391">
        <f t="shared" si="0"/>
        <v>878.16240153434319</v>
      </c>
      <c r="S67" s="424"/>
      <c r="T67" s="391">
        <f t="shared" si="4"/>
        <v>-307.70097575052625</v>
      </c>
    </row>
    <row r="68" spans="1:21" ht="15" x14ac:dyDescent="0.25">
      <c r="A68" s="445" t="str">
        <f t="shared" si="1"/>
        <v>Sumas</v>
      </c>
      <c r="B68" s="430">
        <f t="shared" si="1"/>
        <v>22608.635000000002</v>
      </c>
      <c r="C68" s="352">
        <f t="shared" si="2"/>
        <v>963.42025100000001</v>
      </c>
      <c r="D68" s="496">
        <f t="shared" si="3"/>
        <v>9879.9734950000002</v>
      </c>
      <c r="E68" s="497"/>
      <c r="F68" s="315"/>
      <c r="I68" s="181"/>
      <c r="K68"/>
      <c r="L68" s="181" t="s">
        <v>461</v>
      </c>
      <c r="M68" s="181" t="s">
        <v>602</v>
      </c>
      <c r="O68" s="181" t="s">
        <v>278</v>
      </c>
      <c r="P68" s="471">
        <v>22608.635000000002</v>
      </c>
      <c r="Q68" s="424"/>
      <c r="R68" s="391">
        <f t="shared" si="0"/>
        <v>963.42025100000001</v>
      </c>
      <c r="S68" s="424"/>
      <c r="T68" s="391">
        <f t="shared" si="4"/>
        <v>9879.9734950000002</v>
      </c>
    </row>
    <row r="69" spans="1:21" ht="15" x14ac:dyDescent="0.25">
      <c r="A69" s="445" t="str">
        <f t="shared" si="1"/>
        <v>Upper Baker</v>
      </c>
      <c r="B69" s="430">
        <f t="shared" si="1"/>
        <v>32489.362000000001</v>
      </c>
      <c r="C69" s="352">
        <f t="shared" si="2"/>
        <v>963.42025100000001</v>
      </c>
      <c r="D69" s="496">
        <f t="shared" si="3"/>
        <v>14197.851193999999</v>
      </c>
      <c r="E69" s="497"/>
      <c r="F69" s="315"/>
      <c r="I69" s="181"/>
      <c r="K69"/>
      <c r="L69" s="181" t="s">
        <v>461</v>
      </c>
      <c r="M69" s="181" t="s">
        <v>602</v>
      </c>
      <c r="O69" s="181" t="s">
        <v>266</v>
      </c>
      <c r="P69" s="471">
        <v>32489.362000000001</v>
      </c>
      <c r="Q69" s="424"/>
      <c r="R69" s="391">
        <f t="shared" ref="R69:R71" si="9">IF(P69&gt;0,I$3,I$8)</f>
        <v>963.42025100000001</v>
      </c>
      <c r="S69" s="424"/>
      <c r="T69" s="391">
        <f t="shared" si="4"/>
        <v>14197.851193999999</v>
      </c>
    </row>
    <row r="70" spans="1:21" ht="15" x14ac:dyDescent="0.25">
      <c r="A70" s="445" t="str">
        <f t="shared" ref="A70:B71" si="10">O70</f>
        <v>Whitehorn 2&amp;3</v>
      </c>
      <c r="B70" s="430">
        <f t="shared" si="10"/>
        <v>1817.1320000000001</v>
      </c>
      <c r="C70" s="352">
        <f t="shared" ref="C70:C71" si="11">R70</f>
        <v>963.42025100000001</v>
      </c>
      <c r="D70" s="496">
        <f t="shared" ref="D70:D71" si="12">T70</f>
        <v>794.0866840000001</v>
      </c>
      <c r="E70" s="497"/>
      <c r="F70" s="315"/>
      <c r="I70" s="181"/>
      <c r="K70"/>
      <c r="L70" s="181" t="s">
        <v>461</v>
      </c>
      <c r="M70" s="181" t="s">
        <v>602</v>
      </c>
      <c r="O70" s="181" t="s">
        <v>279</v>
      </c>
      <c r="P70" s="471">
        <v>1817.1320000000001</v>
      </c>
      <c r="Q70" s="424"/>
      <c r="R70" s="391">
        <f t="shared" si="9"/>
        <v>963.42025100000001</v>
      </c>
      <c r="S70" s="424"/>
      <c r="T70" s="391">
        <f t="shared" ref="T70:T76" si="13">(P70*R70)/2204.623</f>
        <v>794.0866840000001</v>
      </c>
    </row>
    <row r="71" spans="1:21" ht="15" x14ac:dyDescent="0.25">
      <c r="A71" s="445" t="str">
        <f t="shared" si="10"/>
        <v>Wild Horse (W183)</v>
      </c>
      <c r="B71" s="430">
        <f t="shared" si="10"/>
        <v>-16550.107000000004</v>
      </c>
      <c r="C71" s="352">
        <f t="shared" si="11"/>
        <v>878.16240153434319</v>
      </c>
      <c r="D71" s="496">
        <f t="shared" si="12"/>
        <v>-6592.3660003412588</v>
      </c>
      <c r="E71" s="497"/>
      <c r="F71" s="315"/>
      <c r="I71" s="181"/>
      <c r="K71"/>
      <c r="L71" s="181" t="s">
        <v>461</v>
      </c>
      <c r="M71" s="181" t="s">
        <v>602</v>
      </c>
      <c r="O71" s="181" t="s">
        <v>280</v>
      </c>
      <c r="P71" s="471">
        <v>-16550.107000000004</v>
      </c>
      <c r="Q71" s="424"/>
      <c r="R71" s="391">
        <f t="shared" si="9"/>
        <v>878.16240153434319</v>
      </c>
      <c r="S71" s="424"/>
      <c r="T71" s="391">
        <f t="shared" si="13"/>
        <v>-6592.3660003412588</v>
      </c>
    </row>
    <row r="72" spans="1:21" x14ac:dyDescent="0.2">
      <c r="A72" s="445"/>
      <c r="B72" s="430"/>
      <c r="C72" s="352"/>
      <c r="D72" s="496"/>
      <c r="E72" s="497"/>
      <c r="F72" s="315"/>
      <c r="I72" s="181"/>
      <c r="P72" s="516"/>
      <c r="Q72" s="424"/>
      <c r="R72" s="391"/>
      <c r="S72" s="424"/>
      <c r="T72" s="391">
        <f t="shared" si="13"/>
        <v>0</v>
      </c>
    </row>
    <row r="73" spans="1:21" x14ac:dyDescent="0.2">
      <c r="A73" s="445"/>
      <c r="B73" s="430"/>
      <c r="C73" s="352"/>
      <c r="D73" s="496"/>
      <c r="E73" s="497"/>
      <c r="F73" s="315"/>
      <c r="I73" s="181"/>
      <c r="P73" s="516"/>
      <c r="Q73" s="424"/>
      <c r="R73" s="391"/>
      <c r="S73" s="424"/>
      <c r="T73" s="391">
        <f t="shared" si="13"/>
        <v>0</v>
      </c>
    </row>
    <row r="74" spans="1:21" x14ac:dyDescent="0.2">
      <c r="A74" s="445"/>
      <c r="B74" s="430"/>
      <c r="C74" s="352"/>
      <c r="D74" s="496"/>
      <c r="E74" s="497"/>
      <c r="F74" s="315"/>
      <c r="I74" s="181"/>
      <c r="P74" s="516"/>
      <c r="Q74" s="424"/>
      <c r="R74" s="391"/>
      <c r="S74" s="424"/>
      <c r="T74" s="391">
        <f t="shared" si="13"/>
        <v>0</v>
      </c>
    </row>
    <row r="75" spans="1:21" x14ac:dyDescent="0.2">
      <c r="A75" s="445"/>
      <c r="B75" s="430"/>
      <c r="C75" s="352"/>
      <c r="D75" s="496"/>
      <c r="E75" s="497"/>
      <c r="F75" s="315"/>
      <c r="I75" s="181"/>
      <c r="P75" s="516"/>
      <c r="Q75" s="424"/>
      <c r="R75" s="391"/>
      <c r="S75" s="424"/>
      <c r="T75" s="391">
        <f t="shared" si="13"/>
        <v>0</v>
      </c>
    </row>
    <row r="76" spans="1:21" x14ac:dyDescent="0.2">
      <c r="A76" s="445"/>
      <c r="B76" s="430"/>
      <c r="C76" s="352"/>
      <c r="D76" s="496"/>
      <c r="E76" s="497"/>
      <c r="F76" s="315"/>
      <c r="I76" s="181"/>
      <c r="P76" s="516"/>
      <c r="Q76" s="424"/>
      <c r="R76" s="391"/>
      <c r="S76" s="424"/>
      <c r="T76" s="391">
        <f t="shared" si="13"/>
        <v>0</v>
      </c>
    </row>
    <row r="77" spans="1:21" x14ac:dyDescent="0.2">
      <c r="A77" s="445"/>
      <c r="B77" s="430"/>
      <c r="C77" s="352"/>
      <c r="D77" s="496"/>
      <c r="E77" s="497"/>
      <c r="F77" s="315"/>
      <c r="I77" s="181"/>
      <c r="O77" s="519" t="s">
        <v>605</v>
      </c>
      <c r="P77" s="517">
        <f>SUM(P5:P76)</f>
        <v>1662101.8739999996</v>
      </c>
      <c r="Q77" s="424"/>
      <c r="R77" s="362"/>
      <c r="S77" s="426"/>
      <c r="T77" s="362">
        <f>SUM(T5:T76)</f>
        <v>785601.4369158739</v>
      </c>
      <c r="U77" s="447"/>
    </row>
    <row r="78" spans="1:21" x14ac:dyDescent="0.2">
      <c r="A78" s="445"/>
      <c r="B78" s="430"/>
      <c r="C78" s="352"/>
      <c r="D78" s="496"/>
      <c r="E78" s="497"/>
      <c r="F78" s="315"/>
      <c r="I78" s="181"/>
      <c r="O78" s="519"/>
      <c r="P78" s="517"/>
      <c r="Q78" s="424"/>
      <c r="R78" s="362"/>
      <c r="S78" s="426"/>
      <c r="T78" s="391"/>
      <c r="U78" s="447"/>
    </row>
    <row r="79" spans="1:21" x14ac:dyDescent="0.2">
      <c r="A79" s="445"/>
      <c r="B79" s="430"/>
      <c r="C79" s="352"/>
      <c r="D79" s="496"/>
      <c r="E79" s="497"/>
      <c r="F79" s="315"/>
      <c r="I79" s="181"/>
      <c r="P79" s="517"/>
      <c r="Q79" s="424"/>
      <c r="R79" s="362"/>
      <c r="S79" s="426"/>
      <c r="T79" s="391"/>
    </row>
    <row r="80" spans="1:21" x14ac:dyDescent="0.2">
      <c r="A80" s="445"/>
      <c r="B80" s="430"/>
      <c r="C80" s="352"/>
      <c r="D80" s="496"/>
      <c r="E80" s="497"/>
      <c r="F80" s="315"/>
      <c r="I80" s="181"/>
      <c r="P80" s="517"/>
      <c r="Q80" s="424"/>
      <c r="R80" s="362"/>
      <c r="S80" s="426"/>
      <c r="T80" s="391"/>
      <c r="U80" s="447"/>
    </row>
    <row r="81" spans="1:21" ht="21" customHeight="1" x14ac:dyDescent="0.25">
      <c r="A81" s="498" t="s">
        <v>419</v>
      </c>
      <c r="B81" s="521">
        <f>SUM(B5:B80)</f>
        <v>1123056.8739999998</v>
      </c>
      <c r="C81" s="502"/>
      <c r="D81" s="501">
        <f>SUM(D5:D80)</f>
        <v>550038.77191587386</v>
      </c>
      <c r="E81" s="501"/>
      <c r="I81" s="181"/>
      <c r="P81" s="518"/>
      <c r="Q81" s="518"/>
      <c r="R81" s="518"/>
      <c r="S81" s="518"/>
      <c r="T81" s="518"/>
      <c r="U81" s="447"/>
    </row>
    <row r="82" spans="1:21" x14ac:dyDescent="0.25">
      <c r="A82" s="513"/>
      <c r="B82" s="520"/>
      <c r="I82" s="181"/>
    </row>
    <row r="83" spans="1:21" x14ac:dyDescent="0.25">
      <c r="I83" s="181"/>
    </row>
    <row r="84" spans="1:21" x14ac:dyDescent="0.25">
      <c r="I84" s="181"/>
    </row>
    <row r="85" spans="1:21" x14ac:dyDescent="0.25">
      <c r="I85" s="181"/>
    </row>
    <row r="86" spans="1:21" x14ac:dyDescent="0.25">
      <c r="I86" s="181"/>
    </row>
    <row r="87" spans="1:21" x14ac:dyDescent="0.25">
      <c r="I87" s="181"/>
    </row>
    <row r="88" spans="1:21" x14ac:dyDescent="0.25">
      <c r="I88" s="181"/>
    </row>
    <row r="89" spans="1:21" x14ac:dyDescent="0.25">
      <c r="I89" s="181"/>
    </row>
    <row r="90" spans="1:21" x14ac:dyDescent="0.25">
      <c r="I90" s="181"/>
    </row>
    <row r="91" spans="1:21" x14ac:dyDescent="0.25">
      <c r="I91" s="181"/>
    </row>
    <row r="92" spans="1:21" x14ac:dyDescent="0.25">
      <c r="I92" s="181"/>
    </row>
    <row r="93" spans="1:21" x14ac:dyDescent="0.25">
      <c r="I93" s="181"/>
    </row>
    <row r="94" spans="1:21" x14ac:dyDescent="0.25">
      <c r="I94" s="181"/>
    </row>
    <row r="95" spans="1:21" x14ac:dyDescent="0.25">
      <c r="I95" s="181"/>
    </row>
    <row r="96" spans="1:21" x14ac:dyDescent="0.25">
      <c r="I96" s="181"/>
    </row>
    <row r="97" spans="9:9" x14ac:dyDescent="0.25">
      <c r="I97" s="181"/>
    </row>
    <row r="98" spans="9:9" x14ac:dyDescent="0.25">
      <c r="I98" s="181"/>
    </row>
    <row r="99" spans="9:9" x14ac:dyDescent="0.25">
      <c r="I99" s="181"/>
    </row>
    <row r="100" spans="9:9" x14ac:dyDescent="0.25">
      <c r="I100" s="181"/>
    </row>
    <row r="101" spans="9:9" x14ac:dyDescent="0.25">
      <c r="I101" s="181"/>
    </row>
    <row r="102" spans="9:9" x14ac:dyDescent="0.25">
      <c r="I102" s="181"/>
    </row>
    <row r="103" spans="9:9" x14ac:dyDescent="0.25">
      <c r="I103" s="181"/>
    </row>
    <row r="104" spans="9:9" x14ac:dyDescent="0.25">
      <c r="I104" s="181"/>
    </row>
    <row r="105" spans="9:9" x14ac:dyDescent="0.25">
      <c r="I105" s="181"/>
    </row>
    <row r="106" spans="9:9" x14ac:dyDescent="0.25">
      <c r="I106" s="181"/>
    </row>
    <row r="107" spans="9:9" x14ac:dyDescent="0.25">
      <c r="I107" s="181"/>
    </row>
    <row r="108" spans="9:9" x14ac:dyDescent="0.25">
      <c r="I108" s="181"/>
    </row>
    <row r="109" spans="9:9" x14ac:dyDescent="0.25">
      <c r="I109" s="181"/>
    </row>
    <row r="110" spans="9:9" x14ac:dyDescent="0.25">
      <c r="I110" s="181"/>
    </row>
    <row r="111" spans="9:9" x14ac:dyDescent="0.25">
      <c r="I111" s="181"/>
    </row>
    <row r="112" spans="9:9" x14ac:dyDescent="0.25">
      <c r="I112" s="181"/>
    </row>
    <row r="113" spans="9:9" x14ac:dyDescent="0.25">
      <c r="I113" s="181"/>
    </row>
    <row r="114" spans="9:9" x14ac:dyDescent="0.25">
      <c r="I114" s="181"/>
    </row>
    <row r="115" spans="9:9" x14ac:dyDescent="0.25">
      <c r="I115" s="181"/>
    </row>
    <row r="116" spans="9:9" x14ac:dyDescent="0.25">
      <c r="I116" s="181"/>
    </row>
    <row r="117" spans="9:9" x14ac:dyDescent="0.25">
      <c r="I117" s="181"/>
    </row>
    <row r="118" spans="9:9" x14ac:dyDescent="0.25">
      <c r="I118" s="181"/>
    </row>
    <row r="119" spans="9:9" x14ac:dyDescent="0.25">
      <c r="I119" s="181"/>
    </row>
    <row r="120" spans="9:9" x14ac:dyDescent="0.25">
      <c r="I120" s="181"/>
    </row>
    <row r="121" spans="9:9" x14ac:dyDescent="0.25">
      <c r="I121" s="181"/>
    </row>
    <row r="122" spans="9:9" x14ac:dyDescent="0.25">
      <c r="I122" s="181"/>
    </row>
    <row r="123" spans="9:9" x14ac:dyDescent="0.25">
      <c r="I123" s="181"/>
    </row>
    <row r="124" spans="9:9" x14ac:dyDescent="0.25">
      <c r="I124" s="181"/>
    </row>
    <row r="125" spans="9:9" x14ac:dyDescent="0.25">
      <c r="I125" s="181"/>
    </row>
    <row r="126" spans="9:9" x14ac:dyDescent="0.25">
      <c r="I126" s="181"/>
    </row>
    <row r="127" spans="9:9" x14ac:dyDescent="0.25">
      <c r="I127" s="181"/>
    </row>
    <row r="128" spans="9:9" x14ac:dyDescent="0.25">
      <c r="I128" s="181"/>
    </row>
    <row r="129" spans="9:9" x14ac:dyDescent="0.25">
      <c r="I129" s="181"/>
    </row>
    <row r="130" spans="9:9" x14ac:dyDescent="0.25">
      <c r="I130" s="181"/>
    </row>
    <row r="131" spans="9:9" x14ac:dyDescent="0.25">
      <c r="I131" s="181"/>
    </row>
    <row r="132" spans="9:9" x14ac:dyDescent="0.25">
      <c r="I132" s="181"/>
    </row>
    <row r="133" spans="9:9" x14ac:dyDescent="0.25">
      <c r="I133" s="181"/>
    </row>
    <row r="134" spans="9:9" x14ac:dyDescent="0.25">
      <c r="I134" s="181"/>
    </row>
    <row r="135" spans="9:9" x14ac:dyDescent="0.25">
      <c r="I135" s="181"/>
    </row>
    <row r="136" spans="9:9" x14ac:dyDescent="0.25">
      <c r="I136" s="181"/>
    </row>
    <row r="137" spans="9:9" x14ac:dyDescent="0.25">
      <c r="I137" s="181"/>
    </row>
    <row r="138" spans="9:9" x14ac:dyDescent="0.25">
      <c r="I138" s="181"/>
    </row>
    <row r="139" spans="9:9" x14ac:dyDescent="0.25">
      <c r="I139" s="181"/>
    </row>
    <row r="140" spans="9:9" x14ac:dyDescent="0.25">
      <c r="I140" s="181"/>
    </row>
    <row r="141" spans="9:9" x14ac:dyDescent="0.25">
      <c r="I141" s="181"/>
    </row>
    <row r="142" spans="9:9" x14ac:dyDescent="0.25">
      <c r="I142" s="181"/>
    </row>
    <row r="143" spans="9:9" x14ac:dyDescent="0.25">
      <c r="I143" s="181"/>
    </row>
    <row r="144" spans="9:9" x14ac:dyDescent="0.25">
      <c r="I144" s="181"/>
    </row>
    <row r="145" spans="9:9" x14ac:dyDescent="0.25">
      <c r="I145" s="181"/>
    </row>
    <row r="146" spans="9:9" x14ac:dyDescent="0.25">
      <c r="I146" s="181"/>
    </row>
    <row r="147" spans="9:9" x14ac:dyDescent="0.25">
      <c r="I147" s="181"/>
    </row>
    <row r="148" spans="9:9" x14ac:dyDescent="0.25">
      <c r="I148" s="181"/>
    </row>
    <row r="149" spans="9:9" x14ac:dyDescent="0.25">
      <c r="I149" s="181"/>
    </row>
    <row r="150" spans="9:9" x14ac:dyDescent="0.25">
      <c r="I150" s="181"/>
    </row>
    <row r="151" spans="9:9" x14ac:dyDescent="0.25">
      <c r="I151" s="181"/>
    </row>
    <row r="152" spans="9:9" x14ac:dyDescent="0.25">
      <c r="I152" s="181"/>
    </row>
    <row r="153" spans="9:9" x14ac:dyDescent="0.25">
      <c r="I153" s="181"/>
    </row>
    <row r="154" spans="9:9" x14ac:dyDescent="0.25">
      <c r="I154" s="181"/>
    </row>
    <row r="155" spans="9:9" x14ac:dyDescent="0.25">
      <c r="I155" s="181"/>
    </row>
    <row r="156" spans="9:9" x14ac:dyDescent="0.25">
      <c r="I156" s="181"/>
    </row>
    <row r="157" spans="9:9" x14ac:dyDescent="0.25">
      <c r="I157" s="181"/>
    </row>
    <row r="158" spans="9:9" x14ac:dyDescent="0.25">
      <c r="I158" s="181"/>
    </row>
    <row r="159" spans="9:9" x14ac:dyDescent="0.25">
      <c r="I159" s="181"/>
    </row>
    <row r="160" spans="9:9" x14ac:dyDescent="0.25">
      <c r="I160" s="181"/>
    </row>
    <row r="161" spans="9:9" x14ac:dyDescent="0.25">
      <c r="I161" s="181"/>
    </row>
    <row r="162" spans="9:9" x14ac:dyDescent="0.25">
      <c r="I162" s="181"/>
    </row>
  </sheetData>
  <mergeCells count="4">
    <mergeCell ref="A3:A4"/>
    <mergeCell ref="B3:B4"/>
    <mergeCell ref="C3:C4"/>
    <mergeCell ref="D3:D4"/>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U18"/>
  <sheetViews>
    <sheetView topLeftCell="G1" workbookViewId="0">
      <selection activeCell="M12" sqref="M12"/>
    </sheetView>
  </sheetViews>
  <sheetFormatPr defaultColWidth="9.140625" defaultRowHeight="15" x14ac:dyDescent="0.25"/>
  <cols>
    <col min="1" max="1" width="9.140625" style="131"/>
    <col min="2" max="2" width="33.85546875" style="131" customWidth="1"/>
    <col min="3" max="21" width="12.7109375" style="131" customWidth="1"/>
    <col min="22" max="16384" width="9.140625" style="131"/>
  </cols>
  <sheetData>
    <row r="1" spans="2:21" ht="15.75" x14ac:dyDescent="0.25">
      <c r="B1" s="175" t="s">
        <v>448</v>
      </c>
    </row>
    <row r="2" spans="2:21" x14ac:dyDescent="0.25">
      <c r="B2" s="176"/>
      <c r="C2" s="141">
        <v>2005</v>
      </c>
      <c r="D2" s="141">
        <f>C2+1</f>
        <v>2006</v>
      </c>
      <c r="E2" s="141">
        <f t="shared" ref="E2:R2" si="0">D2+1</f>
        <v>2007</v>
      </c>
      <c r="F2" s="141">
        <f t="shared" si="0"/>
        <v>2008</v>
      </c>
      <c r="G2" s="141">
        <f t="shared" si="0"/>
        <v>2009</v>
      </c>
      <c r="H2" s="141">
        <f t="shared" si="0"/>
        <v>2010</v>
      </c>
      <c r="I2" s="141">
        <f t="shared" si="0"/>
        <v>2011</v>
      </c>
      <c r="J2" s="141">
        <f t="shared" si="0"/>
        <v>2012</v>
      </c>
      <c r="K2" s="141">
        <f t="shared" si="0"/>
        <v>2013</v>
      </c>
      <c r="L2" s="141">
        <f t="shared" si="0"/>
        <v>2014</v>
      </c>
      <c r="M2" s="141">
        <f t="shared" si="0"/>
        <v>2015</v>
      </c>
      <c r="N2" s="141">
        <f t="shared" si="0"/>
        <v>2016</v>
      </c>
      <c r="O2" s="141">
        <f t="shared" si="0"/>
        <v>2017</v>
      </c>
      <c r="P2" s="141">
        <f t="shared" si="0"/>
        <v>2018</v>
      </c>
      <c r="Q2" s="141">
        <f t="shared" si="0"/>
        <v>2019</v>
      </c>
      <c r="R2" s="141">
        <f t="shared" si="0"/>
        <v>2020</v>
      </c>
      <c r="S2" s="141">
        <f t="shared" ref="S2" si="1">R2+1</f>
        <v>2021</v>
      </c>
      <c r="T2" s="141">
        <f t="shared" ref="T2" si="2">S2+1</f>
        <v>2022</v>
      </c>
      <c r="U2" s="141">
        <f t="shared" ref="U2" si="3">T2+1</f>
        <v>2023</v>
      </c>
    </row>
    <row r="3" spans="2:21" ht="30" x14ac:dyDescent="0.25">
      <c r="B3" s="177" t="s">
        <v>449</v>
      </c>
      <c r="C3" s="148">
        <v>135136608.72199997</v>
      </c>
      <c r="D3" s="148">
        <v>126142171.45999999</v>
      </c>
      <c r="E3" s="148">
        <v>113828793.98</v>
      </c>
      <c r="F3" s="148">
        <v>156946867.53</v>
      </c>
      <c r="G3" s="148">
        <v>135892473.64011601</v>
      </c>
      <c r="H3" s="148">
        <v>136610041.51100001</v>
      </c>
      <c r="I3" s="148">
        <v>151528559.595</v>
      </c>
      <c r="J3" s="148">
        <v>161289673.90200001</v>
      </c>
      <c r="K3" s="148">
        <v>146031767.153</v>
      </c>
      <c r="L3" s="198">
        <v>156633846</v>
      </c>
      <c r="M3" s="148">
        <v>165230823</v>
      </c>
      <c r="N3" s="148">
        <v>146228585</v>
      </c>
      <c r="O3" s="148">
        <v>101526119</v>
      </c>
      <c r="P3" s="301" t="s">
        <v>505</v>
      </c>
      <c r="Q3" s="301" t="s">
        <v>505</v>
      </c>
      <c r="R3" s="301" t="s">
        <v>505</v>
      </c>
      <c r="S3" s="301" t="s">
        <v>505</v>
      </c>
      <c r="T3" s="301" t="s">
        <v>505</v>
      </c>
      <c r="U3" s="301" t="s">
        <v>505</v>
      </c>
    </row>
    <row r="4" spans="2:21" x14ac:dyDescent="0.25">
      <c r="B4" s="177" t="s">
        <v>450</v>
      </c>
      <c r="C4" s="148">
        <v>61867522.478238687</v>
      </c>
      <c r="D4" s="148">
        <v>58009179.38592267</v>
      </c>
      <c r="E4" s="148">
        <v>62051222.045183517</v>
      </c>
      <c r="F4" s="148">
        <v>72931912.050170586</v>
      </c>
      <c r="G4" s="148">
        <v>68962214.86024034</v>
      </c>
      <c r="H4" s="148">
        <v>73845023.273510411</v>
      </c>
      <c r="I4" s="148">
        <v>62179229.768029101</v>
      </c>
      <c r="J4" s="148">
        <v>66073029.603166319</v>
      </c>
      <c r="K4" s="148">
        <v>74990709.50370653</v>
      </c>
      <c r="L4" s="198">
        <v>49469103</v>
      </c>
      <c r="M4" s="148">
        <v>80463145</v>
      </c>
      <c r="N4" s="148">
        <v>59355574</v>
      </c>
      <c r="O4" s="148">
        <v>35336029</v>
      </c>
      <c r="P4" s="148"/>
      <c r="Q4" s="148"/>
      <c r="R4" s="148"/>
      <c r="S4" s="148"/>
      <c r="T4" s="148"/>
      <c r="U4" s="148"/>
    </row>
    <row r="5" spans="2:21" ht="30" x14ac:dyDescent="0.25">
      <c r="B5" s="177" t="s">
        <v>451</v>
      </c>
      <c r="C5" s="148">
        <f t="shared" ref="C5:H5" si="4">(C4*2204.623)/C3</f>
        <v>1009.3087602126369</v>
      </c>
      <c r="D5" s="148">
        <f t="shared" si="4"/>
        <v>1013.8431073852627</v>
      </c>
      <c r="E5" s="148">
        <f t="shared" si="4"/>
        <v>1201.8009373177988</v>
      </c>
      <c r="F5" s="148">
        <f t="shared" si="4"/>
        <v>1024.4700851327864</v>
      </c>
      <c r="G5" s="148">
        <f t="shared" si="4"/>
        <v>1118.7940063146079</v>
      </c>
      <c r="H5" s="148">
        <f t="shared" si="4"/>
        <v>1191.7164722565981</v>
      </c>
      <c r="I5" s="148">
        <f>R10</f>
        <v>963.42025100000001</v>
      </c>
      <c r="J5" s="148">
        <f>R10</f>
        <v>963.42025100000001</v>
      </c>
      <c r="K5" s="148">
        <f>R10</f>
        <v>963.42025100000001</v>
      </c>
      <c r="L5" s="198">
        <f>R10</f>
        <v>963.42025100000001</v>
      </c>
      <c r="M5" s="148">
        <f>R10</f>
        <v>963.42025100000001</v>
      </c>
      <c r="N5" s="148">
        <f>R10</f>
        <v>963.42025100000001</v>
      </c>
      <c r="O5" s="148">
        <f>R10</f>
        <v>963.42025100000001</v>
      </c>
      <c r="P5" s="148">
        <f>R10</f>
        <v>963.42025100000001</v>
      </c>
      <c r="Q5" s="148">
        <f>R10</f>
        <v>963.42025100000001</v>
      </c>
      <c r="R5" s="148">
        <f>R10</f>
        <v>963.42025100000001</v>
      </c>
      <c r="S5" s="148">
        <f>R10</f>
        <v>963.42025100000001</v>
      </c>
      <c r="T5" s="148">
        <f>R10</f>
        <v>963.42025100000001</v>
      </c>
      <c r="U5" s="148">
        <f>R10</f>
        <v>963.42025100000001</v>
      </c>
    </row>
    <row r="6" spans="2:21" x14ac:dyDescent="0.25">
      <c r="B6" s="178" t="s">
        <v>565</v>
      </c>
      <c r="C6" s="462">
        <v>1009.3087602126369</v>
      </c>
      <c r="D6" s="462">
        <v>1013.8431073852627</v>
      </c>
      <c r="E6" s="462">
        <v>1201.8009373177988</v>
      </c>
      <c r="F6" s="462">
        <v>1024.4700851327864</v>
      </c>
      <c r="G6" s="462">
        <v>1118.7940063146079</v>
      </c>
      <c r="H6" s="462">
        <v>1191.7164722565981</v>
      </c>
      <c r="I6" s="462">
        <v>904.65956012034133</v>
      </c>
      <c r="J6" s="462">
        <v>903.13358083499156</v>
      </c>
      <c r="K6" s="462">
        <v>1132.1251956430469</v>
      </c>
      <c r="L6" s="462">
        <v>1014</v>
      </c>
      <c r="M6" s="462">
        <v>1073.5944837564296</v>
      </c>
      <c r="N6" s="300">
        <v>894.87745243928885</v>
      </c>
      <c r="O6" s="300">
        <v>767.31606634216951</v>
      </c>
      <c r="P6" s="300"/>
      <c r="Q6" s="300"/>
      <c r="R6" s="300"/>
      <c r="S6" s="300"/>
      <c r="T6" s="300"/>
      <c r="U6" s="300"/>
    </row>
    <row r="7" spans="2:21" ht="6.75" customHeight="1" x14ac:dyDescent="0.25">
      <c r="B7" s="564"/>
      <c r="C7" s="565"/>
      <c r="D7" s="565"/>
      <c r="E7" s="565"/>
      <c r="F7" s="565"/>
      <c r="G7" s="565"/>
      <c r="H7" s="565"/>
      <c r="I7" s="565"/>
      <c r="J7" s="566"/>
      <c r="K7" s="566"/>
      <c r="L7" s="567"/>
      <c r="M7" s="566"/>
      <c r="N7" s="566"/>
      <c r="O7" s="567"/>
      <c r="P7" s="567"/>
      <c r="Q7" s="567"/>
      <c r="R7" s="567"/>
      <c r="S7" s="567"/>
      <c r="T7" s="567"/>
      <c r="U7" s="568"/>
    </row>
    <row r="8" spans="2:21" s="181" customFormat="1" ht="89.25" x14ac:dyDescent="0.25">
      <c r="B8" s="179" t="s">
        <v>452</v>
      </c>
      <c r="C8" s="180" t="s">
        <v>453</v>
      </c>
      <c r="D8" s="180" t="s">
        <v>453</v>
      </c>
      <c r="E8" s="180" t="s">
        <v>453</v>
      </c>
      <c r="F8" s="180" t="s">
        <v>453</v>
      </c>
      <c r="G8" s="180" t="s">
        <v>454</v>
      </c>
      <c r="H8" s="180" t="s">
        <v>454</v>
      </c>
      <c r="I8" s="180" t="s">
        <v>454</v>
      </c>
      <c r="J8" s="180" t="s">
        <v>454</v>
      </c>
      <c r="K8" s="180" t="s">
        <v>454</v>
      </c>
      <c r="L8" s="180" t="s">
        <v>455</v>
      </c>
      <c r="M8" s="180" t="s">
        <v>456</v>
      </c>
      <c r="N8" s="180" t="s">
        <v>456</v>
      </c>
      <c r="O8" s="180" t="s">
        <v>457</v>
      </c>
      <c r="P8" s="180" t="s">
        <v>504</v>
      </c>
      <c r="Q8" s="180" t="s">
        <v>531</v>
      </c>
      <c r="R8" s="180" t="s">
        <v>531</v>
      </c>
      <c r="S8" s="180" t="s">
        <v>531</v>
      </c>
      <c r="T8" s="180" t="s">
        <v>531</v>
      </c>
      <c r="U8" s="180" t="s">
        <v>531</v>
      </c>
    </row>
    <row r="9" spans="2:21" x14ac:dyDescent="0.25">
      <c r="O9" s="182"/>
      <c r="P9" s="182"/>
      <c r="Q9" s="182"/>
    </row>
    <row r="10" spans="2:21" x14ac:dyDescent="0.25">
      <c r="H10" s="453"/>
      <c r="I10" s="454" t="s">
        <v>556</v>
      </c>
      <c r="J10" s="455" t="s">
        <v>557</v>
      </c>
      <c r="K10" s="447"/>
      <c r="L10" s="447"/>
      <c r="M10" s="574" t="s">
        <v>633</v>
      </c>
      <c r="N10" s="575"/>
      <c r="O10" s="576" t="s">
        <v>634</v>
      </c>
      <c r="P10" s="576"/>
      <c r="Q10" s="576"/>
      <c r="R10" s="359">
        <f>0.437*2204.623</f>
        <v>963.42025100000001</v>
      </c>
      <c r="S10" s="303" t="s">
        <v>506</v>
      </c>
      <c r="T10" s="447"/>
      <c r="U10" s="134"/>
    </row>
    <row r="11" spans="2:21" x14ac:dyDescent="0.25">
      <c r="H11" s="456" t="s">
        <v>560</v>
      </c>
      <c r="I11" s="397">
        <v>25</v>
      </c>
      <c r="J11" s="366">
        <v>298</v>
      </c>
      <c r="K11" s="447"/>
      <c r="L11" s="447"/>
      <c r="M11" s="571" t="s">
        <v>636</v>
      </c>
      <c r="N11" s="572"/>
      <c r="O11" s="572" t="s">
        <v>635</v>
      </c>
      <c r="P11" s="572"/>
      <c r="Q11" s="572"/>
      <c r="R11" s="577">
        <v>0.05</v>
      </c>
      <c r="S11" s="573"/>
      <c r="T11" s="447"/>
      <c r="U11" s="134"/>
    </row>
    <row r="12" spans="2:21" x14ac:dyDescent="0.25">
      <c r="H12" s="569"/>
      <c r="I12" s="447"/>
      <c r="J12" s="570"/>
      <c r="K12" s="447"/>
      <c r="L12" s="447"/>
      <c r="M12" s="447"/>
      <c r="N12" s="447"/>
      <c r="O12" s="447"/>
      <c r="P12" s="447"/>
      <c r="Q12" s="447"/>
      <c r="R12" s="447"/>
      <c r="S12" s="447"/>
      <c r="T12" s="447"/>
      <c r="U12" s="134"/>
    </row>
    <row r="13" spans="2:21" x14ac:dyDescent="0.25">
      <c r="H13" s="571"/>
      <c r="I13" s="572"/>
      <c r="J13" s="573"/>
      <c r="K13" s="447"/>
      <c r="L13" s="447"/>
      <c r="M13" s="447"/>
      <c r="N13" s="447"/>
      <c r="O13" s="447"/>
      <c r="P13" s="447"/>
      <c r="Q13" s="447"/>
      <c r="R13" s="447"/>
      <c r="S13" s="447"/>
      <c r="T13" s="447"/>
      <c r="U13" s="134"/>
    </row>
    <row r="14" spans="2:21" x14ac:dyDescent="0.25">
      <c r="H14" s="181"/>
      <c r="I14" s="181"/>
      <c r="J14" s="181"/>
      <c r="K14" s="447"/>
      <c r="L14" s="447"/>
      <c r="M14" s="447"/>
      <c r="N14" s="447"/>
      <c r="O14" s="447"/>
      <c r="P14" s="447"/>
      <c r="Q14" s="447"/>
      <c r="R14" s="447"/>
      <c r="S14" s="447"/>
      <c r="T14" s="447"/>
      <c r="U14" s="134"/>
    </row>
    <row r="15" spans="2:21" x14ac:dyDescent="0.25">
      <c r="H15" s="181"/>
      <c r="I15" s="181"/>
      <c r="J15" s="181"/>
      <c r="K15" s="447"/>
      <c r="L15" s="447"/>
      <c r="M15" s="447"/>
      <c r="N15" s="447"/>
      <c r="O15" s="447"/>
      <c r="P15" s="447"/>
      <c r="Q15" s="447"/>
      <c r="R15" s="447"/>
      <c r="S15" s="447"/>
      <c r="T15" s="447"/>
      <c r="U15" s="134"/>
    </row>
    <row r="16" spans="2:21" x14ac:dyDescent="0.25">
      <c r="H16" s="181"/>
      <c r="I16" s="181"/>
      <c r="J16" s="181"/>
      <c r="K16" s="447"/>
      <c r="L16" s="447"/>
      <c r="M16" s="447"/>
      <c r="N16" s="447"/>
      <c r="O16" s="447"/>
      <c r="P16" s="447"/>
      <c r="Q16" s="447"/>
      <c r="R16" s="447"/>
      <c r="S16" s="447"/>
      <c r="T16" s="447"/>
      <c r="U16" s="134"/>
    </row>
    <row r="17" spans="13:17" x14ac:dyDescent="0.25">
      <c r="M17" s="134"/>
      <c r="N17" s="134"/>
      <c r="O17" s="134"/>
      <c r="P17" s="134"/>
      <c r="Q17" s="134"/>
    </row>
    <row r="18" spans="13:17" x14ac:dyDescent="0.25">
      <c r="M18" s="134"/>
      <c r="N18" s="134"/>
      <c r="O18" s="134"/>
      <c r="P18" s="134"/>
      <c r="Q18" s="1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activeCell="F20" sqref="F20"/>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s>
  <sheetData>
    <row r="1" spans="1:11" ht="18.75" x14ac:dyDescent="0.3">
      <c r="A1" s="2" t="s">
        <v>11</v>
      </c>
    </row>
    <row r="2" spans="1:11" ht="9.1999999999999993" customHeight="1" x14ac:dyDescent="0.25"/>
    <row r="3" spans="1:11" x14ac:dyDescent="0.25">
      <c r="A3" s="260"/>
      <c r="B3" s="332" t="s">
        <v>15</v>
      </c>
      <c r="C3" s="260" t="s">
        <v>25</v>
      </c>
      <c r="D3" s="262"/>
      <c r="E3" s="64"/>
      <c r="F3" s="125"/>
      <c r="G3" s="125"/>
      <c r="J3" s="125" t="s">
        <v>515</v>
      </c>
    </row>
    <row r="4" spans="1:11" x14ac:dyDescent="0.25">
      <c r="A4" s="627" t="s">
        <v>16</v>
      </c>
      <c r="B4" s="628"/>
      <c r="C4" s="263">
        <v>2020</v>
      </c>
      <c r="D4" s="264" t="s">
        <v>39</v>
      </c>
      <c r="E4" s="64"/>
      <c r="F4" s="125"/>
      <c r="G4" s="125"/>
      <c r="J4" s="348">
        <v>2.4946999999999999</v>
      </c>
    </row>
    <row r="5" spans="1:11" x14ac:dyDescent="0.25">
      <c r="A5" s="627" t="s">
        <v>21</v>
      </c>
      <c r="B5" s="628"/>
      <c r="C5" s="259">
        <f>+F10*J4</f>
        <v>2593480.1412</v>
      </c>
      <c r="D5" s="265">
        <f>+D14/C5</f>
        <v>7.7484830829288018</v>
      </c>
      <c r="E5" s="125"/>
      <c r="F5" s="125"/>
      <c r="G5" s="125"/>
    </row>
    <row r="6" spans="1:11" x14ac:dyDescent="0.25">
      <c r="A6" s="211"/>
      <c r="B6" s="211"/>
      <c r="C6" s="21"/>
      <c r="D6" s="125"/>
      <c r="E6" s="266"/>
      <c r="F6" s="125"/>
      <c r="G6" s="125"/>
    </row>
    <row r="7" spans="1:11" ht="18.75" x14ac:dyDescent="0.3">
      <c r="A7" s="267" t="s">
        <v>36</v>
      </c>
      <c r="B7" s="125"/>
      <c r="C7" s="21"/>
      <c r="D7" s="125"/>
      <c r="E7" s="266"/>
      <c r="F7" s="125"/>
      <c r="G7" s="125"/>
      <c r="J7" s="125"/>
      <c r="K7" s="125"/>
    </row>
    <row r="8" spans="1:11" x14ac:dyDescent="0.25">
      <c r="A8" s="268"/>
      <c r="B8" s="269"/>
      <c r="C8" s="269"/>
      <c r="D8" s="269"/>
      <c r="E8" s="269"/>
      <c r="F8" s="270" t="s">
        <v>20</v>
      </c>
      <c r="G8" s="271" t="s">
        <v>40</v>
      </c>
      <c r="J8" s="125" t="s">
        <v>516</v>
      </c>
      <c r="K8" s="125"/>
    </row>
    <row r="9" spans="1:11" x14ac:dyDescent="0.25">
      <c r="A9" s="272"/>
      <c r="B9" s="273"/>
      <c r="C9" s="273"/>
      <c r="D9" s="263" t="s">
        <v>14</v>
      </c>
      <c r="E9" s="274" t="s">
        <v>28</v>
      </c>
      <c r="F9" s="275" t="s">
        <v>35</v>
      </c>
      <c r="G9" s="258" t="s">
        <v>20</v>
      </c>
      <c r="J9" s="125" t="s">
        <v>517</v>
      </c>
      <c r="K9" s="125"/>
    </row>
    <row r="10" spans="1:11" x14ac:dyDescent="0.25">
      <c r="A10" s="345" t="s">
        <v>12</v>
      </c>
      <c r="B10" s="339"/>
      <c r="C10" s="340"/>
      <c r="D10" s="330">
        <v>10976068</v>
      </c>
      <c r="E10" s="276">
        <f>+D10/D14</f>
        <v>0.54619431170214561</v>
      </c>
      <c r="F10" s="331">
        <v>1039596</v>
      </c>
      <c r="G10" s="277">
        <f>+D10/F10</f>
        <v>10.558012920403696</v>
      </c>
      <c r="J10" s="209"/>
      <c r="K10" s="125"/>
    </row>
    <row r="11" spans="1:11" x14ac:dyDescent="0.25">
      <c r="A11" s="345" t="s">
        <v>17</v>
      </c>
      <c r="B11" s="339"/>
      <c r="C11" s="340"/>
      <c r="D11" s="330">
        <v>7942292</v>
      </c>
      <c r="E11" s="276">
        <f>+D11/D14</f>
        <v>0.39522666152190905</v>
      </c>
      <c r="F11" s="330">
        <v>130924</v>
      </c>
      <c r="G11" s="277">
        <f>+D11/F11</f>
        <v>60.663377226482538</v>
      </c>
      <c r="J11" s="334"/>
      <c r="K11" s="335" t="s">
        <v>582</v>
      </c>
    </row>
    <row r="12" spans="1:11" x14ac:dyDescent="0.25">
      <c r="A12" s="345" t="s">
        <v>18</v>
      </c>
      <c r="B12" s="339"/>
      <c r="C12" s="340"/>
      <c r="D12" s="330">
        <v>1095916</v>
      </c>
      <c r="E12" s="276">
        <f>+D12/D14</f>
        <v>5.4535293085225839E-2</v>
      </c>
      <c r="F12" s="211"/>
      <c r="G12" s="278"/>
      <c r="J12" s="1"/>
    </row>
    <row r="13" spans="1:11" x14ac:dyDescent="0.25">
      <c r="A13" s="345" t="s">
        <v>547</v>
      </c>
      <c r="B13" s="339"/>
      <c r="C13" s="340"/>
      <c r="D13" s="330">
        <v>81261</v>
      </c>
      <c r="E13" s="276">
        <f>+D13/D14</f>
        <v>4.0437336907194867E-3</v>
      </c>
      <c r="F13" s="211"/>
      <c r="G13" s="278"/>
      <c r="J13" s="1"/>
    </row>
    <row r="14" spans="1:11" x14ac:dyDescent="0.25">
      <c r="A14" s="338"/>
      <c r="B14" s="346"/>
      <c r="C14" s="340" t="s">
        <v>13</v>
      </c>
      <c r="D14" s="280">
        <f>SUM(D10:D13)</f>
        <v>20095537</v>
      </c>
      <c r="E14" s="276">
        <f>SUM(E10:E13)</f>
        <v>1</v>
      </c>
      <c r="F14" s="273"/>
      <c r="G14" s="282"/>
    </row>
    <row r="15" spans="1:11" x14ac:dyDescent="0.25">
      <c r="A15" s="125"/>
      <c r="B15" s="125"/>
      <c r="C15" s="125"/>
      <c r="D15" s="125"/>
      <c r="E15" s="125"/>
      <c r="F15" s="125"/>
      <c r="G15" s="125"/>
    </row>
    <row r="16" spans="1:11" ht="18.75" x14ac:dyDescent="0.3">
      <c r="A16" s="283" t="s">
        <v>37</v>
      </c>
      <c r="B16" s="125"/>
      <c r="C16" s="125"/>
      <c r="D16" s="125"/>
      <c r="E16" s="125"/>
      <c r="F16" s="125"/>
      <c r="G16" s="125"/>
    </row>
    <row r="17" spans="1:9" x14ac:dyDescent="0.25">
      <c r="A17" s="268"/>
      <c r="B17" s="269"/>
      <c r="C17" s="269"/>
      <c r="D17" s="269"/>
      <c r="E17" s="270" t="s">
        <v>29</v>
      </c>
      <c r="F17" s="271" t="s">
        <v>522</v>
      </c>
      <c r="G17" s="284"/>
    </row>
    <row r="18" spans="1:9" ht="18" x14ac:dyDescent="0.35">
      <c r="A18" s="285"/>
      <c r="B18" s="211"/>
      <c r="C18" s="211"/>
      <c r="D18" s="274" t="s">
        <v>19</v>
      </c>
      <c r="E18" s="275" t="s">
        <v>30</v>
      </c>
      <c r="F18" s="258" t="s">
        <v>544</v>
      </c>
      <c r="G18" s="286"/>
    </row>
    <row r="19" spans="1:9" x14ac:dyDescent="0.25">
      <c r="A19" s="629" t="s">
        <v>33</v>
      </c>
      <c r="B19" s="630"/>
      <c r="C19" s="630"/>
      <c r="D19" s="349"/>
      <c r="E19" s="125"/>
      <c r="F19" s="125"/>
      <c r="G19" s="286"/>
    </row>
    <row r="20" spans="1:9" x14ac:dyDescent="0.25">
      <c r="A20" s="338"/>
      <c r="B20" s="339"/>
      <c r="C20" s="337" t="s">
        <v>542</v>
      </c>
      <c r="D20" s="323">
        <f>'2020 Known'!B71</f>
        <v>19727042.875599992</v>
      </c>
      <c r="E20" s="276">
        <f>+D20/(D20+D22)</f>
        <v>0.90037857744019023</v>
      </c>
      <c r="F20" s="323">
        <f>'2020 Known'!C71</f>
        <v>7774271.3728434509</v>
      </c>
      <c r="G20" s="286"/>
    </row>
    <row r="21" spans="1:9" x14ac:dyDescent="0.25">
      <c r="A21" s="338"/>
      <c r="B21" s="339"/>
      <c r="C21" s="337" t="s">
        <v>543</v>
      </c>
      <c r="D21" s="323">
        <v>0</v>
      </c>
      <c r="E21" s="276">
        <f>+D21/(D21+D23)</f>
        <v>0</v>
      </c>
      <c r="F21" s="323">
        <v>0</v>
      </c>
      <c r="G21" s="286"/>
    </row>
    <row r="22" spans="1:9" ht="18" x14ac:dyDescent="0.35">
      <c r="A22" s="627" t="s">
        <v>34</v>
      </c>
      <c r="B22" s="631"/>
      <c r="C22" s="628"/>
      <c r="D22" s="323">
        <f>'2020 Unknown - Net by'!B81</f>
        <v>2182677.5130000003</v>
      </c>
      <c r="E22" s="287">
        <f>+D22/(D20+D22)</f>
        <v>9.9621422559809811E-2</v>
      </c>
      <c r="F22" s="324">
        <f>'2020 Unknown - Net by'!D81</f>
        <v>1040097.3339918386</v>
      </c>
      <c r="G22" s="36" t="s">
        <v>38</v>
      </c>
    </row>
    <row r="23" spans="1:9" ht="30" x14ac:dyDescent="0.25">
      <c r="A23" s="272"/>
      <c r="B23" s="273"/>
      <c r="C23" s="288" t="s">
        <v>514</v>
      </c>
      <c r="D23" s="289">
        <f>SUM(D20:D22)</f>
        <v>21909720.388599992</v>
      </c>
      <c r="E23" s="325" t="s">
        <v>545</v>
      </c>
      <c r="F23" s="289">
        <f>SUM(F20:F22)</f>
        <v>8814368.7068352886</v>
      </c>
      <c r="G23" s="290">
        <f>+F23/G25</f>
        <v>1.3988035170151987</v>
      </c>
      <c r="I23" s="98"/>
    </row>
    <row r="24" spans="1:9" x14ac:dyDescent="0.25">
      <c r="A24" s="125"/>
      <c r="B24" s="125"/>
      <c r="C24" s="125"/>
      <c r="D24" s="125"/>
      <c r="E24" s="125"/>
      <c r="F24" s="125"/>
      <c r="G24" s="125"/>
    </row>
    <row r="25" spans="1:9" ht="18" x14ac:dyDescent="0.35">
      <c r="A25" s="125"/>
      <c r="B25" s="125"/>
      <c r="C25" s="291"/>
      <c r="D25" s="291"/>
      <c r="E25" s="125"/>
      <c r="F25" s="292" t="s">
        <v>524</v>
      </c>
      <c r="G25" s="188">
        <f>+G32</f>
        <v>6301362.9860207997</v>
      </c>
      <c r="H25" s="29"/>
    </row>
    <row r="27" spans="1:9" x14ac:dyDescent="0.25">
      <c r="E27" s="29" t="s">
        <v>22</v>
      </c>
      <c r="F27" s="24"/>
      <c r="G27" s="24"/>
    </row>
    <row r="28" spans="1:9" x14ac:dyDescent="0.25">
      <c r="E28" s="24"/>
      <c r="F28" s="24"/>
      <c r="G28" s="27" t="s">
        <v>26</v>
      </c>
    </row>
    <row r="29" spans="1:9" ht="18" x14ac:dyDescent="0.35">
      <c r="E29" s="24"/>
      <c r="F29" s="24"/>
      <c r="G29" s="28" t="s">
        <v>525</v>
      </c>
    </row>
    <row r="30" spans="1:9" x14ac:dyDescent="0.25">
      <c r="E30" s="24"/>
      <c r="F30" s="25" t="s">
        <v>23</v>
      </c>
      <c r="G30" s="26">
        <f>1131957*0.9071847</f>
        <v>1026894.0714579</v>
      </c>
    </row>
    <row r="31" spans="1:9" x14ac:dyDescent="0.25">
      <c r="E31" s="24"/>
      <c r="F31" s="25" t="s">
        <v>24</v>
      </c>
      <c r="G31" s="26">
        <f>2399078*0.9071847</f>
        <v>2176406.8557066</v>
      </c>
    </row>
    <row r="32" spans="1:9" x14ac:dyDescent="0.25">
      <c r="E32" s="24"/>
      <c r="F32" s="25" t="s">
        <v>25</v>
      </c>
      <c r="G32" s="26">
        <f>6946064*0.9071847</f>
        <v>6301362.9860207997</v>
      </c>
    </row>
    <row r="35" spans="5:6" x14ac:dyDescent="0.25">
      <c r="E35" s="22" t="s">
        <v>422</v>
      </c>
      <c r="F35" s="24" t="s">
        <v>340</v>
      </c>
    </row>
    <row r="36" spans="5:6" x14ac:dyDescent="0.25">
      <c r="F36" s="24" t="s">
        <v>420</v>
      </c>
    </row>
    <row r="37" spans="5:6" x14ac:dyDescent="0.25">
      <c r="F37" s="24" t="s">
        <v>421</v>
      </c>
    </row>
  </sheetData>
  <mergeCells count="4">
    <mergeCell ref="A19:C19"/>
    <mergeCell ref="A22:C22"/>
    <mergeCell ref="A4:B4"/>
    <mergeCell ref="A5:B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4EA866629AB734C93D83916113D1160" ma:contentTypeVersion="20" ma:contentTypeDescription="" ma:contentTypeScope="" ma:versionID="7346dde05b82d78a6ca892eb0d3dcde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2022-06-01T07:00:00+00:00</OpenedDate>
    <SignificantOrder xmlns="dc463f71-b30c-4ab2-9473-d307f9d35888">false</SignificantOrder>
    <Date1 xmlns="dc463f71-b30c-4ab2-9473-d307f9d35888">2022-06-01T07:00:00+00:00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220396</DocketNumber>
    <DelegatedOrder xmlns="dc463f71-b30c-4ab2-9473-d307f9d35888">false</DelegatedOrder>
  </documentManagement>
</p:properties>
</file>

<file path=customXml/itemProps1.xml><?xml version="1.0" encoding="utf-8"?>
<ds:datastoreItem xmlns:ds="http://schemas.openxmlformats.org/officeDocument/2006/customXml" ds:itemID="{594375DF-4B17-43F4-A3DE-2200AAC7FF7E}"/>
</file>

<file path=customXml/itemProps2.xml><?xml version="1.0" encoding="utf-8"?>
<ds:datastoreItem xmlns:ds="http://schemas.openxmlformats.org/officeDocument/2006/customXml" ds:itemID="{66BB9680-6152-4A93-BC3D-A069E46E593E}"/>
</file>

<file path=customXml/itemProps3.xml><?xml version="1.0" encoding="utf-8"?>
<ds:datastoreItem xmlns:ds="http://schemas.openxmlformats.org/officeDocument/2006/customXml" ds:itemID="{032D1CC2-3A82-4665-B369-85A4DED66CE2}"/>
</file>

<file path=customXml/itemProps4.xml><?xml version="1.0" encoding="utf-8"?>
<ds:datastoreItem xmlns:ds="http://schemas.openxmlformats.org/officeDocument/2006/customXml" ds:itemID="{54C3256D-00E5-47E4-B107-35AB7A2DEB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Charts</vt:lpstr>
      </vt:variant>
      <vt:variant>
        <vt:i4>4</vt:i4>
      </vt:variant>
    </vt:vector>
  </HeadingPairs>
  <TitlesOfParts>
    <vt:vector size="52" baseType="lpstr">
      <vt:lpstr>Comparison to Previous Year</vt:lpstr>
      <vt:lpstr>Pivot table for 10 yr look back</vt:lpstr>
      <vt:lpstr>Raw data for pivot</vt:lpstr>
      <vt:lpstr>Chart Data</vt:lpstr>
      <vt:lpstr>2021 Summary</vt:lpstr>
      <vt:lpstr>2021 Known</vt:lpstr>
      <vt:lpstr>2021 Unknown - Net by</vt:lpstr>
      <vt:lpstr>EFs &amp; Rates</vt:lpstr>
      <vt:lpstr>2020 Summary</vt:lpstr>
      <vt:lpstr>2020 Known</vt:lpstr>
      <vt:lpstr>2020 Unknown - Net by</vt:lpstr>
      <vt:lpstr>2019 Summary</vt:lpstr>
      <vt:lpstr>2019 Known</vt:lpstr>
      <vt:lpstr>2019 Unknown - Net by</vt:lpstr>
      <vt:lpstr>2018 Summary</vt:lpstr>
      <vt:lpstr>2018 Known</vt:lpstr>
      <vt:lpstr>2018 Unknown - Net by</vt:lpstr>
      <vt:lpstr>2017 Summary</vt:lpstr>
      <vt:lpstr>2017 Known</vt:lpstr>
      <vt:lpstr>2017 Unknown - Net by</vt:lpstr>
      <vt:lpstr>2016 Summary</vt:lpstr>
      <vt:lpstr>2016 Known</vt:lpstr>
      <vt:lpstr>2016 Unknown - Net by</vt:lpstr>
      <vt:lpstr>2015 Summary</vt:lpstr>
      <vt:lpstr>2015 Known</vt:lpstr>
      <vt:lpstr>2015 Unknown</vt:lpstr>
      <vt:lpstr>2014 Summary</vt:lpstr>
      <vt:lpstr>2014 Known</vt:lpstr>
      <vt:lpstr>2014 Unknown</vt:lpstr>
      <vt:lpstr>2013 Summary</vt:lpstr>
      <vt:lpstr>2013 Known</vt:lpstr>
      <vt:lpstr>2013 Unknown</vt:lpstr>
      <vt:lpstr>2012 Summary</vt:lpstr>
      <vt:lpstr>2012 Known</vt:lpstr>
      <vt:lpstr>2012 Unknown</vt:lpstr>
      <vt:lpstr>2011 Summary</vt:lpstr>
      <vt:lpstr>2011 Known</vt:lpstr>
      <vt:lpstr>2011 Unknown</vt:lpstr>
      <vt:lpstr>Older Data all Short Tons --&gt;</vt:lpstr>
      <vt:lpstr>2010 Summary</vt:lpstr>
      <vt:lpstr>2010 Known</vt:lpstr>
      <vt:lpstr>2010 Unknown</vt:lpstr>
      <vt:lpstr>2009 Summary</vt:lpstr>
      <vt:lpstr>2009 Known</vt:lpstr>
      <vt:lpstr>2009 Unknown</vt:lpstr>
      <vt:lpstr>Census Stats</vt:lpstr>
      <vt:lpstr>Census Stats 2016</vt:lpstr>
      <vt:lpstr>Census Stats 2021</vt:lpstr>
      <vt:lpstr>Fig 1 - 10 year look back</vt:lpstr>
      <vt:lpstr>Fig 2 - Intensity Metrics</vt:lpstr>
      <vt:lpstr>Fig 3 - Ratio Annual to 1990</vt:lpstr>
      <vt:lpstr>Fig 4 - Unknown Energy &amp; CO2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Nightingale, David (UTC)</dc:creator>
  <cp:lastModifiedBy>Faretra, Keith</cp:lastModifiedBy>
  <cp:lastPrinted>2018-05-03T16:20:31Z</cp:lastPrinted>
  <dcterms:created xsi:type="dcterms:W3CDTF">2016-02-08T23:38:12Z</dcterms:created>
  <dcterms:modified xsi:type="dcterms:W3CDTF">2022-06-01T22:20:53Z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0x0101006E56B4D1795A2E4DB2F0B01679ED314A0014EA866629AB734C93D83916113D1160</vt:lpwstr>
  </property>
  <property fmtid="{D5CDD505-2E9C-101B-9397-08002B2CF9AE}" pid="3" name="_docset_NoMedatataSyncRequired">
    <vt:lpwstr>False</vt:lpwstr>
  </property>
  <property fmtid="{D5CDD505-2E9C-101B-9397-08002B2CF9AE}" pid="4" name="IsEFSEC">
    <vt:bool>false</vt:bool>
  </property>
</Properties>
</file>