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A02EBF6B-5ACF-403B-AFFD-5A8554E875A2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4" r:id="rId2"/>
    <sheet name="Unknown Resour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D19" i="4"/>
  <c r="D9" i="4"/>
  <c r="D8" i="4"/>
  <c r="D7" i="4"/>
  <c r="D6" i="4"/>
  <c r="D5" i="4"/>
  <c r="D4" i="4"/>
  <c r="U9" i="4"/>
  <c r="U8" i="4"/>
  <c r="T8" i="4"/>
  <c r="T7" i="4"/>
  <c r="U7" i="4"/>
  <c r="U6" i="4"/>
  <c r="U5" i="4"/>
  <c r="U4" i="4"/>
  <c r="T5" i="4"/>
  <c r="T6" i="4"/>
  <c r="T9" i="4"/>
  <c r="T4" i="4"/>
  <c r="G23" i="1" l="1"/>
  <c r="G29" i="1"/>
  <c r="G30" i="1"/>
  <c r="G28" i="1"/>
  <c r="F6" i="3" l="1"/>
  <c r="F7" i="3"/>
  <c r="G7" i="3" s="1"/>
  <c r="F8" i="3"/>
  <c r="G8" i="3" s="1"/>
  <c r="F9" i="3"/>
  <c r="F10" i="3"/>
  <c r="F11" i="3"/>
  <c r="G11" i="3" s="1"/>
  <c r="F12" i="3"/>
  <c r="F13" i="3"/>
  <c r="G13" i="3" s="1"/>
  <c r="F14" i="3"/>
  <c r="G14" i="3" s="1"/>
  <c r="F15" i="3"/>
  <c r="F16" i="3"/>
  <c r="F17" i="3"/>
  <c r="F18" i="3"/>
  <c r="F19" i="3"/>
  <c r="F20" i="3"/>
  <c r="F21" i="3"/>
  <c r="G21" i="3" s="1"/>
  <c r="F22" i="3"/>
  <c r="G22" i="3" s="1"/>
  <c r="F23" i="3"/>
  <c r="F24" i="3"/>
  <c r="F25" i="3"/>
  <c r="G25" i="3" s="1"/>
  <c r="F26" i="3"/>
  <c r="F27" i="3"/>
  <c r="G27" i="3" s="1"/>
  <c r="F28" i="3"/>
  <c r="G28" i="3" s="1"/>
  <c r="F29" i="3"/>
  <c r="G29" i="3" s="1"/>
  <c r="F30" i="3"/>
  <c r="G30" i="3" s="1"/>
  <c r="F31" i="3"/>
  <c r="F32" i="3"/>
  <c r="F33" i="3"/>
  <c r="F34" i="3"/>
  <c r="F35" i="3"/>
  <c r="G35" i="3" s="1"/>
  <c r="F36" i="3"/>
  <c r="F37" i="3"/>
  <c r="F38" i="3"/>
  <c r="F39" i="3"/>
  <c r="F40" i="3"/>
  <c r="G40" i="3" s="1"/>
  <c r="F41" i="3"/>
  <c r="F42" i="3"/>
  <c r="G42" i="3" s="1"/>
  <c r="F43" i="3"/>
  <c r="G43" i="3" s="1"/>
  <c r="F44" i="3"/>
  <c r="F45" i="3"/>
  <c r="G45" i="3" s="1"/>
  <c r="F46" i="3"/>
  <c r="F47" i="3"/>
  <c r="F48" i="3"/>
  <c r="F49" i="3"/>
  <c r="G49" i="3" s="1"/>
  <c r="F50" i="3"/>
  <c r="F51" i="3"/>
  <c r="F52" i="3"/>
  <c r="G52" i="3" s="1"/>
  <c r="F53" i="3"/>
  <c r="F54" i="3"/>
  <c r="G54" i="3" s="1"/>
  <c r="F55" i="3"/>
  <c r="G55" i="3" s="1"/>
  <c r="F56" i="3"/>
  <c r="F57" i="3"/>
  <c r="F58" i="3"/>
  <c r="F59" i="3"/>
  <c r="G59" i="3" s="1"/>
  <c r="E61" i="3"/>
  <c r="B61" i="3"/>
  <c r="F5" i="3"/>
  <c r="F61" i="3" l="1"/>
  <c r="D20" i="1" s="1"/>
  <c r="G5" i="3"/>
  <c r="B19" i="4"/>
  <c r="B18" i="4"/>
  <c r="B17" i="4"/>
  <c r="B16" i="4"/>
  <c r="B15" i="4"/>
  <c r="B14" i="4"/>
  <c r="B13" i="4"/>
  <c r="B12" i="4"/>
  <c r="B11" i="4"/>
  <c r="B10" i="4"/>
  <c r="B9" i="4"/>
  <c r="B8" i="4"/>
  <c r="C8" i="4" s="1"/>
  <c r="C19" i="4" l="1"/>
  <c r="B5" i="4"/>
  <c r="B4" i="4"/>
  <c r="C5" i="4" l="1"/>
  <c r="C4" i="4"/>
  <c r="B7" i="4"/>
  <c r="B6" i="4"/>
  <c r="N33" i="4"/>
  <c r="T33" i="4" s="1"/>
  <c r="U33" i="4" s="1"/>
  <c r="N32" i="4"/>
  <c r="T32" i="4" s="1"/>
  <c r="U32" i="4" s="1"/>
  <c r="N31" i="4"/>
  <c r="T31" i="4" s="1"/>
  <c r="U31" i="4" s="1"/>
  <c r="C9" i="4" s="1"/>
  <c r="N30" i="4"/>
  <c r="T30" i="4" s="1"/>
  <c r="U30" i="4" s="1"/>
  <c r="N29" i="4"/>
  <c r="T29" i="4" s="1"/>
  <c r="U29" i="4" s="1"/>
  <c r="N28" i="4"/>
  <c r="T28" i="4" s="1"/>
  <c r="U28" i="4" s="1"/>
  <c r="N27" i="4"/>
  <c r="T27" i="4" s="1"/>
  <c r="U27" i="4" s="1"/>
  <c r="K26" i="4"/>
  <c r="N26" i="4" s="1"/>
  <c r="T26" i="4" s="1"/>
  <c r="U26" i="4" s="1"/>
  <c r="N25" i="4"/>
  <c r="T25" i="4" s="1"/>
  <c r="U25" i="4" s="1"/>
  <c r="N23" i="4"/>
  <c r="T23" i="4" s="1"/>
  <c r="U23" i="4" s="1"/>
  <c r="C6" i="4" l="1"/>
  <c r="C7" i="4"/>
  <c r="D28" i="4"/>
  <c r="D29" i="4"/>
  <c r="D25" i="4"/>
  <c r="D26" i="4"/>
  <c r="C13" i="4" l="1"/>
  <c r="C14" i="4"/>
  <c r="C15" i="4"/>
  <c r="C16" i="4"/>
  <c r="C17" i="4"/>
  <c r="C18" i="4"/>
  <c r="D10" i="4"/>
  <c r="B1" i="4" l="1"/>
  <c r="C2" i="4"/>
  <c r="B3" i="4"/>
  <c r="D21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E18" i="1" l="1"/>
  <c r="E20" i="1"/>
  <c r="D41" i="4"/>
  <c r="F3" i="3" s="1"/>
  <c r="G53" i="3" l="1"/>
  <c r="G41" i="3"/>
  <c r="G32" i="3"/>
  <c r="G12" i="3"/>
  <c r="G37" i="3"/>
  <c r="G39" i="3"/>
  <c r="G15" i="3"/>
  <c r="G38" i="3"/>
  <c r="G10" i="3"/>
  <c r="G56" i="3"/>
  <c r="G31" i="3"/>
  <c r="G58" i="3"/>
  <c r="G34" i="3"/>
  <c r="G6" i="3"/>
  <c r="G50" i="3"/>
  <c r="G26" i="3"/>
  <c r="G33" i="3"/>
  <c r="G48" i="3"/>
  <c r="G24" i="3"/>
  <c r="G17" i="3"/>
  <c r="G44" i="3"/>
  <c r="G20" i="3"/>
  <c r="G51" i="3"/>
  <c r="G23" i="3"/>
  <c r="G9" i="3"/>
  <c r="G36" i="3"/>
  <c r="G16" i="3"/>
  <c r="G57" i="3"/>
  <c r="G47" i="3"/>
  <c r="G19" i="3"/>
  <c r="G46" i="3"/>
  <c r="G18" i="3"/>
  <c r="F18" i="1"/>
  <c r="G61" i="3" l="1"/>
  <c r="F20" i="1" l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4E726740-0C53-44B6-B634-EC6A02CD01A4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Rathdrum to Rathdrum Unit 1</t>
        </r>
      </text>
    </comment>
    <comment ref="T7" authorId="0" shapeId="0" xr:uid="{78B34D4D-3448-471E-8035-4DF1289C420F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
</t>
        </r>
      </text>
    </comment>
    <comment ref="U7" authorId="0" shapeId="0" xr:uid="{42F96F3B-862C-491E-95D5-E2743CA8C954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adjustment for CH4 and N2O for both units of Colstrip to Unit 3</t>
        </r>
      </text>
    </comment>
    <comment ref="I8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T8" authorId="0" shapeId="0" xr:uid="{E673EC94-97BA-406E-9607-C0B0013FF698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CO2 emissions for Colstrip for Avista’s 15% ownership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Changed all BPA to unknown per UTC request.</t>
        </r>
      </text>
    </comment>
    <comment ref="I21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<sst xmlns="http://schemas.openxmlformats.org/spreadsheetml/2006/main" count="496" uniqueCount="254">
  <si>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</si>
  <si>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</si>
  <si>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</si>
  <si>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</si>
  <si>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</si>
  <si>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</si>
  <si>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</si>
  <si>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</si>
  <si>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</si>
  <si>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</si>
  <si>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</si>
  <si>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</si>
  <si>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</si>
  <si>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</si>
  <si>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</si>
  <si>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</si>
  <si>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</si>
  <si>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</si>
  <si>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</si>
  <si>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</si>
  <si>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</si>
  <si>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</si>
  <si>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</si>
  <si>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</si>
  <si>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</si>
  <si>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</si>
  <si>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</si>
  <si>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</si>
  <si>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</si>
  <si>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</si>
  <si>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</si>
  <si>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</si>
  <si>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</si>
  <si>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</si>
  <si>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</si>
  <si>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</si>
  <si>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</si>
  <si>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</si>
  <si>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</si>
  <si>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</si>
  <si>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</si>
  <si>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</si>
  <si>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</si>
  <si>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</si>
  <si>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ATCO Power Canada Ltd.</t>
  </si>
  <si>
    <t>Black Hills Power Inc.</t>
  </si>
  <si>
    <t>BP Energy Co.</t>
  </si>
  <si>
    <t>Calpine Energy Services L.P.</t>
  </si>
  <si>
    <t>Citigroup Energy Inc.</t>
  </si>
  <si>
    <t>Clark County PUD No. 1</t>
  </si>
  <si>
    <t>Clatskanie Peoples Util Dist</t>
  </si>
  <si>
    <t>EDF Trading Ltd.</t>
  </si>
  <si>
    <t>Engy Authrty</t>
  </si>
  <si>
    <t>Exelon Generation Company</t>
  </si>
  <si>
    <t>Grant County Public Utility</t>
  </si>
  <si>
    <t>Idaho Cnty L&amp;P Coop Assn Inc</t>
  </si>
  <si>
    <t>Idaho Power Co.</t>
  </si>
  <si>
    <t>Kootenai Electric Cooperative</t>
  </si>
  <si>
    <t>Macquarie Energy LLC</t>
  </si>
  <si>
    <t>Morgan Stanley Capital Group</t>
  </si>
  <si>
    <t>NextEra Energy Power Marketing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</si>
  <si>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</si>
  <si>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</si>
  <si>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</si>
  <si>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</si>
  <si>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</si>
  <si>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</si>
  <si>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</si>
  <si>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</si>
  <si>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</si>
  <si>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Shell Energy North America US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</si>
  <si>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</si>
  <si>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</si>
  <si>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</si>
  <si>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</si>
  <si>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</si>
  <si>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</si>
  <si>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</si>
  <si>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</si>
  <si>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</si>
  <si>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</si>
  <si>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</si>
  <si>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</si>
  <si>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</si>
  <si>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</si>
  <si>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</si>
  <si>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</si>
  <si>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</si>
  <si>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</si>
  <si>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Little Falls-Hydro*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</si>
  <si>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</si>
  <si>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</si>
  <si>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</si>
  <si>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</si>
  <si>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</si>
  <si>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</si>
  <si>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</si>
  <si>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</si>
  <si>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</si>
  <si>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</si>
  <si>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</si>
  <si>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</si>
  <si>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</si>
  <si>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</si>
  <si>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</si>
  <si>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</si>
  <si>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</si>
  <si>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</si>
  <si>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</si>
  <si>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</si>
  <si>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</si>
  <si>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</si>
  <si>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</si>
  <si>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</si>
  <si>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</si>
  <si>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</si>
  <si>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</si>
  <si>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</si>
  <si>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</si>
  <si>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kg</t>
    </r>
  </si>
  <si>
    <r>
      <t>CO</t>
    </r>
    <r>
      <rPr>
        <vertAlign val="subscript"/>
        <sz val="10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emissions in metric tons </t>
    </r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</si>
  <si>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</si>
  <si>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</si>
  <si>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</si>
  <si>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</si>
  <si>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</si>
  <si>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</si>
  <si>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</si>
  <si>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</si>
  <si>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</si>
  <si>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</si>
  <si>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</si>
  <si>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</si>
  <si>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</si>
  <si>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</si>
  <si>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</si>
  <si>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</si>
  <si>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</si>
  <si>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</si>
  <si>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</si>
  <si>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</si>
  <si>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</si>
  <si>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</si>
  <si>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</si>
  <si>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</si>
  <si>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</si>
  <si>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</si>
  <si>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Grant County Public Utility (Priest Rapids)</t>
  </si>
  <si>
    <t>Hydro Technology Systems</t>
  </si>
  <si>
    <t>Jim White (PURPA)</t>
  </si>
  <si>
    <t>Phillips Ranch (PURPA)</t>
  </si>
  <si>
    <t>PUD of Douglas County (Wells)</t>
  </si>
  <si>
    <t>Palouse Wind Holdings (Wind PPA)</t>
  </si>
  <si>
    <t>Sheep Creek Hydro (PURPA)</t>
  </si>
  <si>
    <t>Spokane City of (Upriver Hydro)</t>
  </si>
  <si>
    <t>Spokane City of (Digester)</t>
  </si>
  <si>
    <t>Chelan County PUD No. 1 (Hydro)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</si>
  <si>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</si>
  <si>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</si>
  <si>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</si>
  <si>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</si>
  <si>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</si>
  <si>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</si>
  <si>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</si>
  <si>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</si>
  <si>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</si>
  <si>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</si>
  <si>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</si>
  <si>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</si>
  <si>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</si>
  <si>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</si>
  <si>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</si>
  <si>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</si>
  <si>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</si>
  <si>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</si>
  <si>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</si>
  <si>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</si>
  <si>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</si>
  <si>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</si>
  <si>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</si>
  <si>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Avangrid Renewables, LLC</t>
  </si>
  <si>
    <t>Bonneville Power Admin</t>
  </si>
  <si>
    <t>Brookfield Energy Marketing, LP</t>
  </si>
  <si>
    <t>CAISO</t>
  </si>
  <si>
    <t>Brookfield Energy Marketing</t>
  </si>
  <si>
    <t>Cargill Inc.</t>
  </si>
  <si>
    <t>Chelan County PUD No. 1</t>
  </si>
  <si>
    <t>ConocoPhillips Alaska Inc.</t>
  </si>
  <si>
    <t>EDF Trading North America LLC</t>
  </si>
  <si>
    <t>Energy America LLC</t>
  </si>
  <si>
    <t>Energy Keepers, Inc.</t>
  </si>
  <si>
    <t>Eugene City of</t>
  </si>
  <si>
    <t>Gridforce Energy Management, LLC</t>
  </si>
  <si>
    <t>Inland Power &amp; Light Co.</t>
  </si>
  <si>
    <t>NaturEner Power Watch, LLC</t>
  </si>
  <si>
    <t>Nevada Power Co.</t>
  </si>
  <si>
    <t>NorthWestern Corp.</t>
  </si>
  <si>
    <t>Noble America's Gas and Power</t>
  </si>
  <si>
    <t>Portland General Electric Co.</t>
  </si>
  <si>
    <t>Public Service Co. of CO</t>
  </si>
  <si>
    <t>Puget Sound Energy Inc.</t>
  </si>
  <si>
    <t>Redding City of</t>
  </si>
  <si>
    <t>Sierra Pacific Power Co.</t>
  </si>
  <si>
    <t>Talen Energy Marketing, LLC</t>
  </si>
  <si>
    <t>TransAlta Energy Marketing (US</t>
  </si>
  <si>
    <t>Turlock Irrigation District</t>
  </si>
  <si>
    <t>Vitol Inc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</si>
  <si>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</si>
  <si>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</si>
  <si>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</si>
  <si>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</si>
  <si>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</si>
  <si>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</si>
  <si>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>Spokane City of (Waste to Energy)</t>
  </si>
  <si>
    <t>Net Unknown Purchases</t>
  </si>
  <si>
    <t>Department of Ecology Unknown Resource Default Rate =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</si>
  <si>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</si>
  <si>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Known Resources Serving WA - EIA</t>
  </si>
  <si>
    <t>Known Resources Serving WA - EPA</t>
  </si>
  <si>
    <t>Metric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</si>
  <si>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2e</t>
    </r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</si>
  <si>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</si>
  <si>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Calculation Based Methodology</t>
  </si>
  <si>
    <t>Step 1</t>
  </si>
  <si>
    <t>Step 2</t>
  </si>
  <si>
    <t>Step 3</t>
  </si>
  <si>
    <t>Step 4</t>
  </si>
  <si>
    <t>Step 5</t>
  </si>
  <si>
    <t>Step 6</t>
  </si>
  <si>
    <t>Year: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</si>
  <si>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</si>
  <si>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</si>
  <si>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</si>
  <si>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</si>
  <si>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</si>
  <si>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</si>
  <si>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</si>
  <si>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</si>
  <si>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</si>
  <si>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Description, equity/control, and Step 1 &amp; 2 cells are taken from CO2 worksheet.</t>
  </si>
  <si>
    <t>kg CH4/GJ</t>
  </si>
  <si>
    <t>kg N2O/GJ</t>
  </si>
  <si>
    <t>Record</t>
  </si>
  <si>
    <t>kg/Mmbtu</t>
  </si>
  <si>
    <t>Mmbtu/bbl</t>
  </si>
  <si>
    <t xml:space="preserve">Kettle Falls Boiler </t>
  </si>
  <si>
    <t xml:space="preserve"> </t>
  </si>
  <si>
    <t>CO2 Metric Tons</t>
  </si>
  <si>
    <t>CO2e Metric Tons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</si>
  <si>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</si>
  <si>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Metric tons CO2 from Purchases</t>
  </si>
  <si>
    <t>Metric Tons CO2 from Purchases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</si>
  <si>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</si>
  <si>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/MWh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</si>
</sst>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0_);\(0\)"/>
    <numFmt numFmtId="176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vertAlign val="subscript"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2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Protection="0">
      <alignment horizontal="center"/>
    </xf>
    <xf numFmtId="0" fontId="25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65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9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0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1" xfId="0" applyBorder="1"/>
    <xf numFmtId="165" fontId="2" fillId="0" borderId="8" xfId="1" applyNumberFormat="1" applyFont="1" applyBorder="1"/>
    <xf numFmtId="165" fontId="2" fillId="0" borderId="31" xfId="0" applyNumberFormat="1" applyFont="1" applyBorder="1"/>
    <xf numFmtId="0" fontId="2" fillId="0" borderId="32" xfId="0" applyFont="1" applyBorder="1" applyAlignment="1">
      <alignment horizontal="center"/>
    </xf>
    <xf numFmtId="166" fontId="2" fillId="0" borderId="33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7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7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2" fontId="19" fillId="6" borderId="0" xfId="0" applyNumberFormat="1" applyFont="1" applyFill="1" applyBorder="1" applyAlignment="1" applyProtection="1">
      <alignment horizontal="center" vertical="center"/>
      <protection locked="0"/>
    </xf>
    <xf numFmtId="4" fontId="20" fillId="6" borderId="2" xfId="0" applyNumberFormat="1" applyFont="1" applyFill="1" applyBorder="1" applyAlignment="1" applyProtection="1">
      <alignment horizontal="center" vertical="center"/>
      <protection locked="0"/>
    </xf>
    <xf numFmtId="2" fontId="2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 applyProtection="1">
      <alignment horizontal="center" vertical="center" wrapText="1"/>
      <protection locked="0"/>
    </xf>
    <xf numFmtId="0" fontId="20" fillId="6" borderId="3" xfId="0" applyFont="1" applyFill="1" applyBorder="1" applyAlignment="1" applyProtection="1">
      <alignment horizontal="center" vertical="center" wrapText="1"/>
      <protection locked="0"/>
    </xf>
    <xf numFmtId="2" fontId="20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9" fontId="1" fillId="4" borderId="2" xfId="2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2" fontId="21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9" fontId="30" fillId="5" borderId="2" xfId="2" applyFont="1" applyFill="1" applyBorder="1" applyAlignment="1" applyProtection="1">
      <alignment horizontal="center" vertical="center" wrapText="1"/>
      <protection locked="0"/>
    </xf>
    <xf numFmtId="2" fontId="30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30" fillId="8" borderId="2" xfId="2" applyFont="1" applyFill="1" applyBorder="1" applyAlignment="1" applyProtection="1">
      <alignment horizontal="center" vertical="center"/>
      <protection locked="0"/>
    </xf>
    <xf numFmtId="11" fontId="0" fillId="0" borderId="0" xfId="0" applyNumberFormat="1"/>
    <xf numFmtId="0" fontId="11" fillId="0" borderId="0" xfId="4"/>
    <xf numFmtId="0" fontId="31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175" fontId="11" fillId="0" borderId="0" xfId="1" applyNumberFormat="1" applyFon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2" fillId="0" borderId="0" xfId="0" applyFont="1"/>
    <xf numFmtId="0" fontId="2" fillId="0" borderId="0" xfId="0" applyFont="1"/>
    <xf numFmtId="0" fontId="0" fillId="0" borderId="0" xfId="0" applyAlignment="1">
      <alignment wrapText="1"/>
    </xf>
    <xf numFmtId="165" fontId="0" fillId="0" borderId="0" xfId="1" applyNumberFormat="1" applyFont="1"/>
    <xf numFmtId="176" fontId="0" fillId="2" borderId="10" xfId="1" applyNumberFormat="1" applyFont="1" applyFill="1" applyBorder="1"/>
    <xf numFmtId="165" fontId="0" fillId="0" borderId="8" xfId="1" applyNumberFormat="1" applyFont="1" applyBorder="1"/>
    <xf numFmtId="0" fontId="0" fillId="12" borderId="0" xfId="0" applyFill="1"/>
    <xf numFmtId="0" fontId="0" fillId="0" borderId="2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43" fontId="0" fillId="0" borderId="0" xfId="1" applyFont="1"/>
    <xf numFmtId="176" fontId="0" fillId="12" borderId="0" xfId="0" applyNumberFormat="1" applyFill="1"/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D20" sqref="D20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28515625" bestFit="1" customWidth="1"/>
    <col min="10" max="11" width="11.5703125" bestFit="1" customWidth="1"/>
    <col min="12" max="12" width="13.28515625" bestFit="1" customWidth="1"/>
  </cols>
  <sheetData>
    <row r="1" spans="1:7" ht="18.75" x14ac:dyDescent="0.3">
      <c r="A1" s="3" t="s">
        <v>3</v>
      </c>
    </row>
    <row r="2" spans="1:7" ht="15.75" thickBot="1" x14ac:dyDescent="0.3"/>
    <row r="3" spans="1:7" x14ac:dyDescent="0.25">
      <c r="A3" s="54"/>
      <c r="B3" s="55" t="s">
        <v>7</v>
      </c>
      <c r="C3" s="56" t="s">
        <v>15</v>
      </c>
      <c r="D3" s="61"/>
      <c r="E3" s="59"/>
    </row>
    <row r="4" spans="1:7" x14ac:dyDescent="0.25">
      <c r="A4" s="154" t="s">
        <v>8</v>
      </c>
      <c r="B4" s="156"/>
      <c r="C4" s="32">
        <v>2016</v>
      </c>
      <c r="D4" s="64" t="s">
        <v>28</v>
      </c>
      <c r="E4" s="60"/>
    </row>
    <row r="5" spans="1:7" ht="15.75" thickBot="1" x14ac:dyDescent="0.3">
      <c r="A5" s="157" t="s">
        <v>13</v>
      </c>
      <c r="B5" s="158"/>
      <c r="C5" s="57">
        <v>536835</v>
      </c>
      <c r="D5" s="58">
        <f>+D13/C5</f>
        <v>10.257727122858977</v>
      </c>
      <c r="F5" s="150"/>
    </row>
    <row r="6" spans="1:7" x14ac:dyDescent="0.25">
      <c r="A6" s="5"/>
      <c r="B6" s="5"/>
      <c r="C6" s="16"/>
      <c r="E6" s="15"/>
    </row>
    <row r="7" spans="1:7" ht="19.5" thickBot="1" x14ac:dyDescent="0.35">
      <c r="A7" s="5"/>
      <c r="B7" s="52" t="s">
        <v>25</v>
      </c>
      <c r="C7" s="16"/>
      <c r="E7" s="15"/>
    </row>
    <row r="8" spans="1:7" x14ac:dyDescent="0.25">
      <c r="A8" s="34"/>
      <c r="B8" s="35"/>
      <c r="C8" s="35"/>
      <c r="D8" s="35"/>
      <c r="E8" s="35"/>
      <c r="F8" s="36" t="s">
        <v>12</v>
      </c>
      <c r="G8" s="47" t="s">
        <v>29</v>
      </c>
    </row>
    <row r="9" spans="1:7" x14ac:dyDescent="0.25">
      <c r="A9" s="37"/>
      <c r="B9" s="11"/>
      <c r="C9" s="11"/>
      <c r="D9" s="13" t="s">
        <v>6</v>
      </c>
      <c r="E9" s="25" t="s">
        <v>19</v>
      </c>
      <c r="F9" s="18" t="s">
        <v>24</v>
      </c>
      <c r="G9" s="48" t="s">
        <v>12</v>
      </c>
    </row>
    <row r="10" spans="1:7" x14ac:dyDescent="0.25">
      <c r="A10" s="154" t="s">
        <v>4</v>
      </c>
      <c r="B10" s="155"/>
      <c r="C10" s="156"/>
      <c r="D10" s="62">
        <v>2359387.54</v>
      </c>
      <c r="E10" s="12">
        <f>+D10/D13</f>
        <v>0.428457073475568</v>
      </c>
      <c r="F10" s="33">
        <v>220031</v>
      </c>
      <c r="G10" s="49">
        <f>+D10/F10</f>
        <v>10.722977853120696</v>
      </c>
    </row>
    <row r="11" spans="1:7" x14ac:dyDescent="0.25">
      <c r="A11" s="154" t="s">
        <v>9</v>
      </c>
      <c r="B11" s="155"/>
      <c r="C11" s="156"/>
      <c r="D11" s="62">
        <v>2160404.5099999998</v>
      </c>
      <c r="E11" s="12">
        <f>+D11/D13</f>
        <v>0.39232240493989318</v>
      </c>
      <c r="F11" s="27">
        <v>24507</v>
      </c>
      <c r="G11" s="49">
        <f>+D11/F11</f>
        <v>88.154588892969343</v>
      </c>
    </row>
    <row r="12" spans="1:7" x14ac:dyDescent="0.25">
      <c r="A12" s="154" t="s">
        <v>10</v>
      </c>
      <c r="B12" s="155"/>
      <c r="C12" s="156"/>
      <c r="D12" s="62">
        <v>986914.89</v>
      </c>
      <c r="E12" s="12">
        <f>+D12/D13</f>
        <v>0.17922052158453888</v>
      </c>
      <c r="F12" s="5"/>
      <c r="G12" s="38"/>
    </row>
    <row r="13" spans="1:7" ht="15.75" thickBot="1" x14ac:dyDescent="0.3">
      <c r="A13" s="39"/>
      <c r="B13" s="159" t="s">
        <v>5</v>
      </c>
      <c r="C13" s="158"/>
      <c r="D13" s="63">
        <f>SUM(D10:D12)</f>
        <v>5506706.9399999995</v>
      </c>
      <c r="E13" s="40"/>
      <c r="F13" s="41"/>
      <c r="G13" s="42"/>
    </row>
    <row r="15" spans="1:7" ht="19.5" thickBot="1" x14ac:dyDescent="0.35">
      <c r="B15" s="53" t="s">
        <v>26</v>
      </c>
    </row>
    <row r="16" spans="1:7" x14ac:dyDescent="0.25">
      <c r="A16" s="34"/>
      <c r="B16" s="35"/>
      <c r="C16" s="35"/>
      <c r="D16" s="35"/>
      <c r="E16" s="36" t="s">
        <v>20</v>
      </c>
      <c r="F16" s="43" t="s">
        <v>219</v>
      </c>
      <c r="G16" s="44"/>
    </row>
    <row r="17" spans="1:8" ht="18" x14ac:dyDescent="0.35">
      <c r="A17" s="45"/>
      <c r="B17" s="5"/>
      <c r="C17" s="5"/>
      <c r="D17" s="25" t="s">
        <v>11</v>
      </c>
      <c r="E17" s="18" t="s">
        <v>21</v>
      </c>
      <c r="F17" s="14" t="s">
        <v>252</v>
      </c>
      <c r="G17" s="38"/>
    </row>
    <row r="18" spans="1:8" x14ac:dyDescent="0.25">
      <c r="A18" s="154" t="s">
        <v>218</v>
      </c>
      <c r="B18" s="155"/>
      <c r="C18" s="156"/>
      <c r="D18" s="6">
        <f>+'Known Resources'!B41*0.65</f>
        <v>6835283.0406250004</v>
      </c>
      <c r="E18" s="12">
        <f>+D18/(D18+D20)</f>
        <v>1.128710149866381</v>
      </c>
      <c r="F18" s="6">
        <f>+'Known Resources'!D41*0.65</f>
        <v>1770879.6746380297</v>
      </c>
      <c r="G18" s="38"/>
    </row>
    <row r="19" spans="1:8" ht="15.75" thickBot="1" x14ac:dyDescent="0.3">
      <c r="A19" s="154" t="s">
        <v>217</v>
      </c>
      <c r="B19" s="155"/>
      <c r="C19" s="156"/>
      <c r="D19" s="6"/>
      <c r="E19" s="12"/>
      <c r="F19" s="152"/>
      <c r="G19" s="38"/>
    </row>
    <row r="20" spans="1:8" ht="18" x14ac:dyDescent="0.35">
      <c r="A20" s="154" t="s">
        <v>23</v>
      </c>
      <c r="B20" s="155"/>
      <c r="C20" s="156"/>
      <c r="D20" s="50">
        <f>'Unknown Resources'!F61*0.65</f>
        <v>-779447.5</v>
      </c>
      <c r="E20" s="51">
        <f>+D20/(D18+D20)</f>
        <v>-0.12871014986638096</v>
      </c>
      <c r="F20" s="66">
        <f>+'Unknown Resources'!G61*0.65</f>
        <v>-54.701699533293628</v>
      </c>
      <c r="G20" s="68" t="s">
        <v>27</v>
      </c>
    </row>
    <row r="21" spans="1:8" ht="18.75" thickBot="1" x14ac:dyDescent="0.4">
      <c r="A21" s="39"/>
      <c r="B21" s="41"/>
      <c r="C21" s="41"/>
      <c r="D21" s="65">
        <f>+C4</f>
        <v>2016</v>
      </c>
      <c r="E21" s="46" t="s">
        <v>220</v>
      </c>
      <c r="F21" s="67">
        <f>SUM(F18:F20)</f>
        <v>1770824.9729384964</v>
      </c>
      <c r="G21" s="69">
        <f>+F21/G23</f>
        <v>1.724429786352401</v>
      </c>
    </row>
    <row r="22" spans="1:8" ht="18" x14ac:dyDescent="0.35">
      <c r="A22" t="s">
        <v>157</v>
      </c>
    </row>
    <row r="23" spans="1:8" ht="18" x14ac:dyDescent="0.35">
      <c r="F23" s="17" t="s">
        <v>249</v>
      </c>
      <c r="G23" s="27">
        <f>G28</f>
        <v>1026904.6539054703</v>
      </c>
      <c r="H23" s="24"/>
    </row>
    <row r="25" spans="1:8" x14ac:dyDescent="0.25">
      <c r="B25" s="24" t="s">
        <v>14</v>
      </c>
      <c r="F25" s="19"/>
      <c r="G25" s="19"/>
    </row>
    <row r="26" spans="1:8" x14ac:dyDescent="0.25">
      <c r="E26" s="19"/>
      <c r="F26" s="19"/>
      <c r="G26" s="22" t="s">
        <v>18</v>
      </c>
    </row>
    <row r="27" spans="1:8" ht="18" x14ac:dyDescent="0.35">
      <c r="E27" s="19"/>
      <c r="F27" s="19"/>
      <c r="G27" s="23" t="s">
        <v>221</v>
      </c>
      <c r="H27" s="23" t="s">
        <v>1</v>
      </c>
    </row>
    <row r="28" spans="1:8" x14ac:dyDescent="0.25">
      <c r="E28" s="19"/>
      <c r="F28" s="20" t="s">
        <v>15</v>
      </c>
      <c r="G28" s="21">
        <f>H28/1.1023</f>
        <v>1026904.6539054703</v>
      </c>
      <c r="H28" s="21">
        <v>1131957</v>
      </c>
    </row>
    <row r="29" spans="1:8" x14ac:dyDescent="0.25">
      <c r="E29" s="19"/>
      <c r="F29" s="20" t="s">
        <v>16</v>
      </c>
      <c r="G29" s="21">
        <f t="shared" ref="G29:G30" si="0">H29/1.1023</f>
        <v>2176429.2842238955</v>
      </c>
      <c r="H29" s="21">
        <v>2399078</v>
      </c>
    </row>
    <row r="30" spans="1:8" x14ac:dyDescent="0.25">
      <c r="E30" s="19"/>
      <c r="F30" s="20" t="s">
        <v>17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0"/>
  <sheetViews>
    <sheetView topLeftCell="A22" workbookViewId="0">
      <selection activeCell="C41" sqref="C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2" max="12" width="35.7109375" bestFit="1" customWidth="1"/>
    <col min="14" max="14" width="12.7109375" bestFit="1" customWidth="1"/>
    <col min="18" max="18" width="15.85546875" bestFit="1" customWidth="1"/>
    <col min="20" max="20" width="13.28515625" bestFit="1" customWidth="1"/>
    <col min="21" max="21" width="25.7109375" bestFit="1" customWidth="1"/>
  </cols>
  <sheetData>
    <row r="1" spans="1:34" ht="18.75" x14ac:dyDescent="0.3">
      <c r="A1" s="3" t="s">
        <v>2</v>
      </c>
      <c r="B1" s="31">
        <f>+Summary!C4</f>
        <v>2016</v>
      </c>
    </row>
    <row r="2" spans="1:34" ht="18.75" x14ac:dyDescent="0.3">
      <c r="A2" s="3"/>
      <c r="B2" s="7" t="s">
        <v>22</v>
      </c>
      <c r="C2" s="7">
        <f>+Summary!C4</f>
        <v>2016</v>
      </c>
      <c r="D2" s="7" t="s">
        <v>219</v>
      </c>
    </row>
    <row r="3" spans="1:34" ht="19.5" x14ac:dyDescent="0.35">
      <c r="A3" s="4" t="s">
        <v>0</v>
      </c>
      <c r="B3" s="8">
        <f>+Summary!C4</f>
        <v>2016</v>
      </c>
      <c r="C3" s="8" t="s">
        <v>253</v>
      </c>
      <c r="D3" s="8" t="s">
        <v>252</v>
      </c>
      <c r="E3" s="2"/>
      <c r="F3" s="73" t="s">
        <v>75</v>
      </c>
      <c r="G3" s="74">
        <v>222</v>
      </c>
      <c r="H3" s="73" t="s">
        <v>76</v>
      </c>
      <c r="I3" s="75">
        <v>1455836</v>
      </c>
      <c r="K3" t="s">
        <v>158</v>
      </c>
      <c r="L3" t="s">
        <v>159</v>
      </c>
      <c r="M3" t="s">
        <v>160</v>
      </c>
      <c r="N3" t="s">
        <v>161</v>
      </c>
      <c r="O3" t="s">
        <v>162</v>
      </c>
      <c r="P3" t="s">
        <v>163</v>
      </c>
      <c r="Q3" t="s">
        <v>164</v>
      </c>
      <c r="R3" t="s">
        <v>207</v>
      </c>
      <c r="S3" t="s">
        <v>165</v>
      </c>
      <c r="T3" t="s">
        <v>247</v>
      </c>
      <c r="U3" t="s">
        <v>248</v>
      </c>
      <c r="V3" t="s">
        <v>166</v>
      </c>
    </row>
    <row r="4" spans="1:34" x14ac:dyDescent="0.25">
      <c r="A4" s="26" t="s">
        <v>30</v>
      </c>
      <c r="B4" s="27">
        <f>0.15*(R7+R8)</f>
        <v>1612749.9224999996</v>
      </c>
      <c r="C4" s="134">
        <f>D4*2000/B4</f>
        <v>1898.6980035580245</v>
      </c>
      <c r="D4" s="6">
        <f>U7+U8</f>
        <v>1531062.5290445541</v>
      </c>
      <c r="F4" s="73" t="s">
        <v>77</v>
      </c>
      <c r="G4" s="74">
        <v>149</v>
      </c>
      <c r="H4" s="73" t="s">
        <v>78</v>
      </c>
      <c r="I4" s="75">
        <v>40615</v>
      </c>
      <c r="K4" t="s">
        <v>167</v>
      </c>
      <c r="L4" t="s">
        <v>168</v>
      </c>
      <c r="M4">
        <v>7456</v>
      </c>
      <c r="N4">
        <v>1</v>
      </c>
      <c r="P4">
        <v>2016</v>
      </c>
      <c r="Q4" t="s">
        <v>169</v>
      </c>
      <c r="R4">
        <v>18484.55</v>
      </c>
      <c r="S4">
        <v>11173.98</v>
      </c>
      <c r="T4" s="163">
        <f>S4/1.1023</f>
        <v>10136.968157488885</v>
      </c>
      <c r="U4" s="163">
        <f>T4+Y43</f>
        <v>10163.501707648886</v>
      </c>
      <c r="V4">
        <v>188024.21100000001</v>
      </c>
    </row>
    <row r="5" spans="1:34" x14ac:dyDescent="0.25">
      <c r="A5" s="28" t="s">
        <v>31</v>
      </c>
      <c r="B5" s="27">
        <f>R4+R5</f>
        <v>41465.47</v>
      </c>
      <c r="C5" s="134">
        <f>D5*2000/B5</f>
        <v>1107.6508316071008</v>
      </c>
      <c r="D5" s="6">
        <f>U4+U5</f>
        <v>22964.631164239647</v>
      </c>
      <c r="F5" s="73" t="s">
        <v>79</v>
      </c>
      <c r="G5" s="74">
        <v>61.2</v>
      </c>
      <c r="H5" s="73" t="s">
        <v>78</v>
      </c>
      <c r="I5" s="75">
        <v>1087</v>
      </c>
      <c r="K5" t="s">
        <v>167</v>
      </c>
      <c r="L5" t="s">
        <v>168</v>
      </c>
      <c r="M5">
        <v>7456</v>
      </c>
      <c r="N5">
        <v>2</v>
      </c>
      <c r="P5">
        <v>2016</v>
      </c>
      <c r="Q5" t="s">
        <v>169</v>
      </c>
      <c r="R5">
        <v>22980.92</v>
      </c>
      <c r="S5">
        <v>14110.684999999999</v>
      </c>
      <c r="T5" s="163">
        <f t="shared" ref="T5:T9" si="0">S5/1.1023</f>
        <v>12801.129456590763</v>
      </c>
      <c r="U5" s="163">
        <f>T5</f>
        <v>12801.129456590763</v>
      </c>
      <c r="V5">
        <v>237434.02499999999</v>
      </c>
    </row>
    <row r="6" spans="1:34" x14ac:dyDescent="0.25">
      <c r="A6" s="28" t="s">
        <v>32</v>
      </c>
      <c r="B6" s="27">
        <f t="shared" ref="B6:B7" si="1">I5</f>
        <v>1087</v>
      </c>
      <c r="C6" s="134">
        <f>(U28*2204.62262)/B6</f>
        <v>1540.2471568034762</v>
      </c>
      <c r="D6" s="6">
        <f>U28+Y44</f>
        <v>760.17441308399998</v>
      </c>
      <c r="F6" s="73" t="s">
        <v>80</v>
      </c>
      <c r="G6" s="74">
        <v>24</v>
      </c>
      <c r="H6" s="73" t="s">
        <v>78</v>
      </c>
      <c r="I6" s="75">
        <v>18358</v>
      </c>
      <c r="K6" t="s">
        <v>167</v>
      </c>
      <c r="L6" t="s">
        <v>170</v>
      </c>
      <c r="M6">
        <v>55179</v>
      </c>
      <c r="N6" t="s">
        <v>171</v>
      </c>
      <c r="P6">
        <v>2016</v>
      </c>
      <c r="Q6" t="s">
        <v>169</v>
      </c>
      <c r="R6">
        <v>1331972.6599999999</v>
      </c>
      <c r="S6">
        <v>552764.82299999997</v>
      </c>
      <c r="T6" s="163">
        <f t="shared" si="0"/>
        <v>501464.95781547669</v>
      </c>
      <c r="U6" s="163">
        <f>T6+Y50</f>
        <v>501948.59369547671</v>
      </c>
      <c r="V6">
        <v>9301340.8870000001</v>
      </c>
    </row>
    <row r="7" spans="1:34" x14ac:dyDescent="0.25">
      <c r="A7" s="28" t="s">
        <v>33</v>
      </c>
      <c r="B7" s="27">
        <f t="shared" si="1"/>
        <v>18358</v>
      </c>
      <c r="C7" s="134">
        <f>(U29*2204.62262)/B7</f>
        <v>1075.3072418513536</v>
      </c>
      <c r="D7" s="6">
        <f>U29+Y45</f>
        <v>8962.9551608309994</v>
      </c>
      <c r="F7" s="73" t="s">
        <v>81</v>
      </c>
      <c r="G7" s="74">
        <v>278.3</v>
      </c>
      <c r="H7" s="73" t="s">
        <v>78</v>
      </c>
      <c r="I7" s="75">
        <v>1765406</v>
      </c>
      <c r="K7" t="s">
        <v>172</v>
      </c>
      <c r="L7" t="s">
        <v>173</v>
      </c>
      <c r="M7">
        <v>6076</v>
      </c>
      <c r="N7">
        <v>3</v>
      </c>
      <c r="P7">
        <v>2016</v>
      </c>
      <c r="Q7" t="s">
        <v>169</v>
      </c>
      <c r="R7">
        <v>5633089.0099999998</v>
      </c>
      <c r="S7">
        <v>5894410.409</v>
      </c>
      <c r="T7" s="163">
        <f>(0.15*S7)/1.1023</f>
        <v>802106.10664066032</v>
      </c>
      <c r="U7" s="163">
        <f>T7+Y41+Y42</f>
        <v>813617.07993814035</v>
      </c>
      <c r="V7" s="138">
        <v>56201471.214000002</v>
      </c>
    </row>
    <row r="8" spans="1:34" x14ac:dyDescent="0.25">
      <c r="A8" s="28" t="s">
        <v>34</v>
      </c>
      <c r="B8" s="27">
        <f>R9</f>
        <v>1790560.01</v>
      </c>
      <c r="C8" s="134">
        <f>(D8*2000)/B8</f>
        <v>735.54522229293764</v>
      </c>
      <c r="D8" s="6">
        <f>U9</f>
        <v>658518.93029214733</v>
      </c>
      <c r="F8" s="73" t="s">
        <v>82</v>
      </c>
      <c r="G8" s="74">
        <v>6.9</v>
      </c>
      <c r="H8" s="73" t="s">
        <v>78</v>
      </c>
      <c r="I8" s="76">
        <v>2730</v>
      </c>
      <c r="K8" t="s">
        <v>172</v>
      </c>
      <c r="L8" t="s">
        <v>173</v>
      </c>
      <c r="M8">
        <v>6076</v>
      </c>
      <c r="N8">
        <v>4</v>
      </c>
      <c r="P8">
        <v>2016</v>
      </c>
      <c r="Q8" t="s">
        <v>169</v>
      </c>
      <c r="R8">
        <v>5118577.1399999997</v>
      </c>
      <c r="S8">
        <v>5272267.4570000004</v>
      </c>
      <c r="T8" s="163">
        <f>(0.15*S8)/1.1023</f>
        <v>717445.44910641387</v>
      </c>
      <c r="U8" s="163">
        <f>T8</f>
        <v>717445.44910641387</v>
      </c>
      <c r="V8" s="138">
        <v>50269533.001000002</v>
      </c>
    </row>
    <row r="9" spans="1:34" x14ac:dyDescent="0.25">
      <c r="A9" s="28" t="s">
        <v>35</v>
      </c>
      <c r="B9" s="27">
        <f t="shared" ref="B9:B18" si="2">I8</f>
        <v>2730</v>
      </c>
      <c r="C9" s="134">
        <f>(U31*2204.62262)/B9</f>
        <v>169.85435627351836</v>
      </c>
      <c r="D9" s="6">
        <f>U31+Y47</f>
        <v>212.45490355860002</v>
      </c>
      <c r="F9" s="73" t="s">
        <v>83</v>
      </c>
      <c r="G9" s="77">
        <v>50</v>
      </c>
      <c r="H9" s="73" t="s">
        <v>84</v>
      </c>
      <c r="I9" s="75">
        <v>338406</v>
      </c>
      <c r="K9" t="s">
        <v>174</v>
      </c>
      <c r="L9" t="s">
        <v>175</v>
      </c>
      <c r="M9">
        <v>7350</v>
      </c>
      <c r="N9" t="s">
        <v>176</v>
      </c>
      <c r="P9">
        <v>2016</v>
      </c>
      <c r="Q9" t="s">
        <v>169</v>
      </c>
      <c r="R9">
        <v>1790560.01</v>
      </c>
      <c r="S9">
        <v>725187.33799999999</v>
      </c>
      <c r="T9" s="163">
        <f t="shared" si="0"/>
        <v>657885.6373038193</v>
      </c>
      <c r="U9" s="163">
        <f>T9+Y46</f>
        <v>658518.93029214733</v>
      </c>
      <c r="V9" s="138">
        <v>12202643.199999999</v>
      </c>
    </row>
    <row r="10" spans="1:34" x14ac:dyDescent="0.25">
      <c r="A10" s="28" t="s">
        <v>94</v>
      </c>
      <c r="B10" s="27">
        <f t="shared" si="2"/>
        <v>338406</v>
      </c>
      <c r="C10" s="134">
        <v>0</v>
      </c>
      <c r="D10" s="6">
        <f t="shared" ref="D6:D10" si="3">(+B10*C10)/2000</f>
        <v>0</v>
      </c>
      <c r="F10" s="73" t="s">
        <v>85</v>
      </c>
      <c r="G10" s="74">
        <v>15</v>
      </c>
      <c r="H10" s="73" t="s">
        <v>86</v>
      </c>
      <c r="I10" s="75">
        <v>96851</v>
      </c>
    </row>
    <row r="11" spans="1:34" x14ac:dyDescent="0.25">
      <c r="A11" s="28" t="s">
        <v>36</v>
      </c>
      <c r="B11" s="27">
        <f t="shared" si="2"/>
        <v>96851</v>
      </c>
      <c r="C11" s="134">
        <v>0</v>
      </c>
      <c r="D11" s="6">
        <f t="shared" ref="D11:D40" si="4">(+B11*C11)/2000</f>
        <v>0</v>
      </c>
      <c r="F11" s="73" t="s">
        <v>87</v>
      </c>
      <c r="G11" s="74">
        <v>15</v>
      </c>
      <c r="H11" s="73" t="s">
        <v>86</v>
      </c>
      <c r="I11" s="75">
        <v>88444</v>
      </c>
    </row>
    <row r="12" spans="1:34" x14ac:dyDescent="0.25">
      <c r="A12" s="28" t="s">
        <v>37</v>
      </c>
      <c r="B12" s="27">
        <f t="shared" si="2"/>
        <v>88444</v>
      </c>
      <c r="C12" s="134">
        <v>0</v>
      </c>
      <c r="D12" s="6">
        <f t="shared" si="4"/>
        <v>0</v>
      </c>
      <c r="F12" s="73" t="s">
        <v>88</v>
      </c>
      <c r="G12" s="74">
        <v>20</v>
      </c>
      <c r="H12" s="73" t="s">
        <v>86</v>
      </c>
      <c r="I12" s="75">
        <v>108780</v>
      </c>
    </row>
    <row r="13" spans="1:34" x14ac:dyDescent="0.25">
      <c r="A13" s="28" t="s">
        <v>38</v>
      </c>
      <c r="B13" s="27">
        <f t="shared" si="2"/>
        <v>108780</v>
      </c>
      <c r="C13" s="134">
        <f t="shared" ref="C13:C18" si="5">(V20*2204.62262)/B13</f>
        <v>0</v>
      </c>
      <c r="D13" s="6">
        <f t="shared" si="4"/>
        <v>0</v>
      </c>
      <c r="F13" s="73" t="s">
        <v>89</v>
      </c>
      <c r="G13" s="74">
        <v>36</v>
      </c>
      <c r="H13" s="73" t="s">
        <v>86</v>
      </c>
      <c r="I13" s="75">
        <v>182385</v>
      </c>
      <c r="AH13" s="138"/>
    </row>
    <row r="14" spans="1:34" x14ac:dyDescent="0.25">
      <c r="A14" s="28" t="s">
        <v>39</v>
      </c>
      <c r="B14" s="27">
        <f t="shared" si="2"/>
        <v>182385</v>
      </c>
      <c r="C14" s="134">
        <f t="shared" si="5"/>
        <v>0</v>
      </c>
      <c r="D14" s="6">
        <f t="shared" si="4"/>
        <v>0</v>
      </c>
      <c r="F14" s="73" t="s">
        <v>90</v>
      </c>
      <c r="G14" s="74">
        <v>88</v>
      </c>
      <c r="H14" s="73" t="s">
        <v>86</v>
      </c>
      <c r="I14" s="75">
        <v>525331</v>
      </c>
      <c r="AH14" s="138"/>
    </row>
    <row r="15" spans="1:34" x14ac:dyDescent="0.25">
      <c r="A15" s="28" t="s">
        <v>40</v>
      </c>
      <c r="B15" s="27">
        <f t="shared" si="2"/>
        <v>525331</v>
      </c>
      <c r="C15" s="134">
        <f t="shared" si="5"/>
        <v>0</v>
      </c>
      <c r="D15" s="6">
        <f t="shared" si="4"/>
        <v>0</v>
      </c>
      <c r="F15" s="73" t="s">
        <v>91</v>
      </c>
      <c r="G15" s="74">
        <v>10.199999999999999</v>
      </c>
      <c r="H15" s="73" t="s">
        <v>86</v>
      </c>
      <c r="I15" s="75">
        <v>62708</v>
      </c>
      <c r="AH15" s="138"/>
    </row>
    <row r="16" spans="1:34" x14ac:dyDescent="0.25">
      <c r="A16" s="28" t="s">
        <v>41</v>
      </c>
      <c r="B16" s="27">
        <f t="shared" si="2"/>
        <v>62708</v>
      </c>
      <c r="C16" s="134">
        <f t="shared" si="5"/>
        <v>0</v>
      </c>
      <c r="D16" s="6">
        <f t="shared" si="4"/>
        <v>0</v>
      </c>
      <c r="F16" s="73" t="s">
        <v>92</v>
      </c>
      <c r="G16" s="74">
        <v>273</v>
      </c>
      <c r="H16" s="73" t="s">
        <v>86</v>
      </c>
      <c r="I16" s="75">
        <v>1075975</v>
      </c>
      <c r="AH16" s="138"/>
    </row>
    <row r="17" spans="1:34" x14ac:dyDescent="0.25">
      <c r="A17" s="28" t="s">
        <v>42</v>
      </c>
      <c r="B17" s="27">
        <f t="shared" si="2"/>
        <v>1075975</v>
      </c>
      <c r="C17" s="134">
        <f t="shared" si="5"/>
        <v>0</v>
      </c>
      <c r="D17" s="6">
        <f t="shared" si="4"/>
        <v>0</v>
      </c>
      <c r="F17" s="73" t="s">
        <v>93</v>
      </c>
      <c r="G17" s="74">
        <v>562.4</v>
      </c>
      <c r="H17" s="73" t="s">
        <v>86</v>
      </c>
      <c r="I17" s="75">
        <v>1695642</v>
      </c>
    </row>
    <row r="18" spans="1:34" x14ac:dyDescent="0.25">
      <c r="A18" s="28" t="s">
        <v>43</v>
      </c>
      <c r="B18" s="27">
        <f t="shared" si="2"/>
        <v>1695642</v>
      </c>
      <c r="C18" s="134">
        <f t="shared" si="5"/>
        <v>0</v>
      </c>
      <c r="D18" s="6">
        <f t="shared" si="4"/>
        <v>0</v>
      </c>
      <c r="AH18" s="138"/>
    </row>
    <row r="19" spans="1:34" x14ac:dyDescent="0.25">
      <c r="A19" s="28" t="s">
        <v>68</v>
      </c>
      <c r="B19" s="27">
        <f>R6</f>
        <v>1331972.6599999999</v>
      </c>
      <c r="C19" s="134">
        <f>(D19*2000)/B19</f>
        <v>753.69203703546998</v>
      </c>
      <c r="D19" s="6">
        <f>U6</f>
        <v>501948.59369547671</v>
      </c>
    </row>
    <row r="20" spans="1:34" ht="15.75" x14ac:dyDescent="0.25">
      <c r="A20" s="28" t="s">
        <v>146</v>
      </c>
      <c r="B20" s="27">
        <v>0</v>
      </c>
      <c r="C20" s="27">
        <v>0</v>
      </c>
      <c r="D20" s="6">
        <f t="shared" si="4"/>
        <v>0</v>
      </c>
      <c r="E20" s="144"/>
      <c r="F20" s="80">
        <v>2016</v>
      </c>
      <c r="G20" s="79"/>
      <c r="H20" s="81"/>
      <c r="I20" s="82" t="s">
        <v>95</v>
      </c>
      <c r="J20" s="82" t="s">
        <v>96</v>
      </c>
      <c r="K20" s="83" t="s">
        <v>97</v>
      </c>
      <c r="L20" s="84" t="s">
        <v>98</v>
      </c>
      <c r="M20" s="83" t="s">
        <v>99</v>
      </c>
      <c r="N20" s="83" t="s">
        <v>100</v>
      </c>
      <c r="O20" s="83" t="s">
        <v>101</v>
      </c>
      <c r="P20" s="84" t="s">
        <v>102</v>
      </c>
      <c r="Q20" s="84" t="s">
        <v>103</v>
      </c>
      <c r="R20" s="85" t="s">
        <v>104</v>
      </c>
      <c r="S20" s="85" t="s">
        <v>105</v>
      </c>
      <c r="T20" s="85" t="s">
        <v>106</v>
      </c>
      <c r="U20" s="86" t="s">
        <v>107</v>
      </c>
    </row>
    <row r="21" spans="1:34" ht="75.75" x14ac:dyDescent="0.25">
      <c r="A21" s="28" t="s">
        <v>156</v>
      </c>
      <c r="B21" s="27">
        <v>485844</v>
      </c>
      <c r="C21" s="27">
        <v>0</v>
      </c>
      <c r="D21" s="6">
        <f t="shared" si="4"/>
        <v>0</v>
      </c>
      <c r="F21" s="87"/>
      <c r="G21" s="88"/>
      <c r="H21" s="89"/>
      <c r="I21" s="90" t="s">
        <v>108</v>
      </c>
      <c r="J21" s="90" t="s">
        <v>109</v>
      </c>
      <c r="K21" s="90" t="s">
        <v>110</v>
      </c>
      <c r="L21" s="90" t="s">
        <v>111</v>
      </c>
      <c r="M21" s="90" t="s">
        <v>112</v>
      </c>
      <c r="N21" s="90" t="s">
        <v>113</v>
      </c>
      <c r="O21" s="90" t="s">
        <v>114</v>
      </c>
      <c r="P21" s="91" t="s">
        <v>115</v>
      </c>
      <c r="Q21" s="91" t="s">
        <v>116</v>
      </c>
      <c r="R21" s="91" t="s">
        <v>117</v>
      </c>
      <c r="S21" s="91" t="s">
        <v>118</v>
      </c>
      <c r="T21" s="91" t="s">
        <v>119</v>
      </c>
      <c r="U21" s="92" t="s">
        <v>120</v>
      </c>
    </row>
    <row r="22" spans="1:34" ht="30" x14ac:dyDescent="0.25">
      <c r="A22" s="28" t="s">
        <v>209</v>
      </c>
      <c r="B22" s="27">
        <v>3624</v>
      </c>
      <c r="C22" s="27">
        <v>0</v>
      </c>
      <c r="D22" s="6">
        <f t="shared" si="4"/>
        <v>0</v>
      </c>
      <c r="F22" s="78"/>
      <c r="G22" s="93"/>
      <c r="H22" s="81"/>
      <c r="I22" s="94"/>
      <c r="J22" s="94"/>
      <c r="K22" s="94"/>
      <c r="L22" s="94"/>
      <c r="M22" s="95" t="s">
        <v>121</v>
      </c>
      <c r="N22" s="95" t="s">
        <v>122</v>
      </c>
      <c r="O22" s="95"/>
      <c r="P22" s="96"/>
      <c r="Q22" s="96"/>
      <c r="R22" s="97"/>
      <c r="S22" s="97"/>
      <c r="T22" s="92" t="s">
        <v>123</v>
      </c>
      <c r="U22" s="98" t="s">
        <v>124</v>
      </c>
    </row>
    <row r="23" spans="1:34" x14ac:dyDescent="0.25">
      <c r="A23" s="28" t="s">
        <v>147</v>
      </c>
      <c r="B23" s="27">
        <v>343757</v>
      </c>
      <c r="C23" s="27">
        <v>0</v>
      </c>
      <c r="D23" s="6">
        <f t="shared" si="4"/>
        <v>0</v>
      </c>
      <c r="F23" s="99" t="s">
        <v>125</v>
      </c>
      <c r="G23" s="100" t="s">
        <v>78</v>
      </c>
      <c r="H23" s="101">
        <v>0.5</v>
      </c>
      <c r="I23" s="102">
        <v>1000</v>
      </c>
      <c r="J23" s="103" t="s">
        <v>126</v>
      </c>
      <c r="K23" s="104">
        <v>5.0999999999999997E-2</v>
      </c>
      <c r="L23" s="105" t="s">
        <v>127</v>
      </c>
      <c r="M23" s="103" t="s">
        <v>128</v>
      </c>
      <c r="N23" s="102">
        <f>I23*K23</f>
        <v>51</v>
      </c>
      <c r="O23" s="106" t="s">
        <v>129</v>
      </c>
      <c r="P23" s="107">
        <v>14</v>
      </c>
      <c r="Q23" s="103" t="s">
        <v>130</v>
      </c>
      <c r="R23" s="135">
        <v>1</v>
      </c>
      <c r="S23" s="136">
        <v>1</v>
      </c>
      <c r="T23" s="108">
        <f>+N23*P23*R23*S23*3.66666666666667</f>
        <v>2618.0000000000023</v>
      </c>
      <c r="U23" s="109">
        <f>T23/1000</f>
        <v>2.6180000000000021</v>
      </c>
    </row>
    <row r="24" spans="1:34" x14ac:dyDescent="0.25">
      <c r="A24" s="28" t="s">
        <v>148</v>
      </c>
      <c r="B24" s="27">
        <v>9873</v>
      </c>
      <c r="C24" s="27">
        <v>0</v>
      </c>
      <c r="D24" s="6">
        <f t="shared" si="4"/>
        <v>0</v>
      </c>
      <c r="F24" s="110" t="s">
        <v>131</v>
      </c>
      <c r="G24" s="111" t="s">
        <v>132</v>
      </c>
      <c r="H24" s="111" t="s">
        <v>133</v>
      </c>
      <c r="I24" s="112"/>
      <c r="J24" s="113"/>
      <c r="K24" s="113"/>
      <c r="L24" s="113"/>
      <c r="M24" s="113"/>
      <c r="N24" s="113"/>
      <c r="O24" s="113"/>
      <c r="P24" s="114"/>
      <c r="Q24" s="115"/>
      <c r="R24" s="116"/>
      <c r="S24" s="116"/>
      <c r="T24" s="116"/>
      <c r="U24" s="113"/>
    </row>
    <row r="25" spans="1:34" ht="30" x14ac:dyDescent="0.25">
      <c r="A25" s="28" t="s">
        <v>149</v>
      </c>
      <c r="B25" s="27">
        <v>1237</v>
      </c>
      <c r="C25" s="27">
        <v>0</v>
      </c>
      <c r="D25" s="6">
        <f t="shared" si="4"/>
        <v>0</v>
      </c>
      <c r="F25" s="117" t="s">
        <v>30</v>
      </c>
      <c r="G25" s="117" t="s">
        <v>76</v>
      </c>
      <c r="H25" s="137">
        <v>0.15</v>
      </c>
      <c r="I25" s="118">
        <v>929720</v>
      </c>
      <c r="J25" s="119" t="s">
        <v>134</v>
      </c>
      <c r="K25" s="120">
        <v>17.024999999999999</v>
      </c>
      <c r="L25" s="119" t="s">
        <v>135</v>
      </c>
      <c r="M25" s="119" t="s">
        <v>128</v>
      </c>
      <c r="N25" s="121">
        <f>I25*K25</f>
        <v>15828482.999999998</v>
      </c>
      <c r="O25" s="122" t="s">
        <v>136</v>
      </c>
      <c r="P25" s="123">
        <v>93.4</v>
      </c>
      <c r="Q25" s="122" t="s">
        <v>137</v>
      </c>
      <c r="R25" s="124">
        <v>0.98</v>
      </c>
      <c r="S25" s="125">
        <v>1</v>
      </c>
      <c r="T25" s="126">
        <f t="shared" ref="T25:T32" si="6">+N25*P25*R25*S25</f>
        <v>1448812705.9559999</v>
      </c>
      <c r="U25" s="126">
        <f t="shared" ref="U25:U32" si="7">T25/1000</f>
        <v>1448812.7059559999</v>
      </c>
    </row>
    <row r="26" spans="1:34" ht="25.5" x14ac:dyDescent="0.25">
      <c r="A26" s="28" t="s">
        <v>152</v>
      </c>
      <c r="B26" s="27">
        <v>349771</v>
      </c>
      <c r="C26" s="27">
        <v>0</v>
      </c>
      <c r="D26" s="6">
        <f t="shared" si="4"/>
        <v>0</v>
      </c>
      <c r="F26" s="117" t="s">
        <v>30</v>
      </c>
      <c r="G26" s="117" t="s">
        <v>138</v>
      </c>
      <c r="H26" s="127">
        <v>0.15</v>
      </c>
      <c r="I26" s="118">
        <v>2504</v>
      </c>
      <c r="J26" s="119" t="s">
        <v>139</v>
      </c>
      <c r="K26" s="123">
        <f>140000*42/1000000</f>
        <v>5.88</v>
      </c>
      <c r="L26" s="128" t="s">
        <v>140</v>
      </c>
      <c r="M26" s="119" t="s">
        <v>128</v>
      </c>
      <c r="N26" s="121">
        <f>(I26*K26)</f>
        <v>14723.52</v>
      </c>
      <c r="O26" s="122" t="s">
        <v>136</v>
      </c>
      <c r="P26" s="123">
        <v>73.959999999999994</v>
      </c>
      <c r="Q26" s="122" t="s">
        <v>137</v>
      </c>
      <c r="R26" s="124">
        <v>0.99</v>
      </c>
      <c r="S26" s="125">
        <v>1</v>
      </c>
      <c r="T26" s="126">
        <f t="shared" si="6"/>
        <v>1078062.0238079999</v>
      </c>
      <c r="U26" s="126">
        <f t="shared" si="7"/>
        <v>1078.0620238079998</v>
      </c>
    </row>
    <row r="27" spans="1:34" x14ac:dyDescent="0.25">
      <c r="A27" s="28" t="s">
        <v>150</v>
      </c>
      <c r="B27" s="27">
        <v>42</v>
      </c>
      <c r="C27" s="27">
        <v>0</v>
      </c>
      <c r="D27" s="6">
        <f t="shared" si="4"/>
        <v>0</v>
      </c>
      <c r="F27" s="117" t="s">
        <v>141</v>
      </c>
      <c r="G27" s="117" t="s">
        <v>78</v>
      </c>
      <c r="H27" s="127">
        <v>1</v>
      </c>
      <c r="I27" s="123">
        <v>497.33</v>
      </c>
      <c r="J27" s="119" t="s">
        <v>142</v>
      </c>
      <c r="K27" s="129">
        <v>1026</v>
      </c>
      <c r="L27" s="119" t="s">
        <v>143</v>
      </c>
      <c r="M27" s="119" t="s">
        <v>128</v>
      </c>
      <c r="N27" s="121">
        <f t="shared" ref="N27:N31" si="8">I27*K27</f>
        <v>510260.57999999996</v>
      </c>
      <c r="O27" s="122" t="s">
        <v>136</v>
      </c>
      <c r="P27" s="123">
        <v>53.06</v>
      </c>
      <c r="Q27" s="122" t="s">
        <v>137</v>
      </c>
      <c r="R27" s="124">
        <v>0.995</v>
      </c>
      <c r="S27" s="125">
        <v>1</v>
      </c>
      <c r="T27" s="126">
        <f t="shared" si="6"/>
        <v>26939054.242926002</v>
      </c>
      <c r="U27" s="126">
        <f t="shared" si="7"/>
        <v>26939.054242926002</v>
      </c>
    </row>
    <row r="28" spans="1:34" x14ac:dyDescent="0.25">
      <c r="A28" s="28" t="s">
        <v>151</v>
      </c>
      <c r="B28" s="27">
        <v>160591</v>
      </c>
      <c r="C28" s="27">
        <v>0</v>
      </c>
      <c r="D28" s="6">
        <f t="shared" si="4"/>
        <v>0</v>
      </c>
      <c r="F28" s="117" t="s">
        <v>144</v>
      </c>
      <c r="G28" s="117" t="s">
        <v>78</v>
      </c>
      <c r="H28" s="127">
        <v>1</v>
      </c>
      <c r="I28" s="123">
        <v>14.02</v>
      </c>
      <c r="J28" s="119" t="s">
        <v>142</v>
      </c>
      <c r="K28" s="129">
        <v>1026</v>
      </c>
      <c r="L28" s="119" t="s">
        <v>143</v>
      </c>
      <c r="M28" s="119" t="s">
        <v>128</v>
      </c>
      <c r="N28" s="121">
        <f t="shared" si="8"/>
        <v>14384.52</v>
      </c>
      <c r="O28" s="122" t="s">
        <v>136</v>
      </c>
      <c r="P28" s="123">
        <v>53.06</v>
      </c>
      <c r="Q28" s="122" t="s">
        <v>137</v>
      </c>
      <c r="R28" s="124">
        <v>0.995</v>
      </c>
      <c r="S28" s="125">
        <v>1</v>
      </c>
      <c r="T28" s="126">
        <f t="shared" si="6"/>
        <v>759426.41804400005</v>
      </c>
      <c r="U28" s="126">
        <f t="shared" si="7"/>
        <v>759.426418044</v>
      </c>
    </row>
    <row r="29" spans="1:34" x14ac:dyDescent="0.25">
      <c r="A29" s="28" t="s">
        <v>65</v>
      </c>
      <c r="B29" s="27">
        <v>14316</v>
      </c>
      <c r="C29" s="27">
        <v>0</v>
      </c>
      <c r="D29" s="6">
        <f t="shared" si="4"/>
        <v>0</v>
      </c>
      <c r="F29" s="117" t="s">
        <v>33</v>
      </c>
      <c r="G29" s="117" t="s">
        <v>78</v>
      </c>
      <c r="H29" s="127">
        <v>1</v>
      </c>
      <c r="I29" s="123">
        <v>165.30500000000001</v>
      </c>
      <c r="J29" s="119" t="s">
        <v>142</v>
      </c>
      <c r="K29" s="129">
        <v>1026</v>
      </c>
      <c r="L29" s="119" t="s">
        <v>143</v>
      </c>
      <c r="M29" s="119" t="s">
        <v>128</v>
      </c>
      <c r="N29" s="121">
        <f t="shared" si="8"/>
        <v>169602.93</v>
      </c>
      <c r="O29" s="122" t="s">
        <v>136</v>
      </c>
      <c r="P29" s="123">
        <v>53.06</v>
      </c>
      <c r="Q29" s="122" t="s">
        <v>137</v>
      </c>
      <c r="R29" s="124">
        <v>0.995</v>
      </c>
      <c r="S29" s="125">
        <v>1</v>
      </c>
      <c r="T29" s="126">
        <f t="shared" si="6"/>
        <v>8954135.8084709998</v>
      </c>
      <c r="U29" s="126">
        <f t="shared" si="7"/>
        <v>8954.1358084709991</v>
      </c>
    </row>
    <row r="30" spans="1:34" x14ac:dyDescent="0.25">
      <c r="A30" s="28" t="s">
        <v>65</v>
      </c>
      <c r="B30" s="27">
        <v>71024</v>
      </c>
      <c r="C30" s="27">
        <v>0</v>
      </c>
      <c r="D30" s="6">
        <f t="shared" si="4"/>
        <v>0</v>
      </c>
      <c r="F30" s="117" t="s">
        <v>34</v>
      </c>
      <c r="G30" s="117" t="s">
        <v>78</v>
      </c>
      <c r="H30" s="127">
        <v>1</v>
      </c>
      <c r="I30" s="123">
        <v>11870.089</v>
      </c>
      <c r="J30" s="119" t="s">
        <v>142</v>
      </c>
      <c r="K30" s="129">
        <v>1026</v>
      </c>
      <c r="L30" s="119" t="s">
        <v>143</v>
      </c>
      <c r="M30" s="119" t="s">
        <v>128</v>
      </c>
      <c r="N30" s="121">
        <f t="shared" si="8"/>
        <v>12178711.313999999</v>
      </c>
      <c r="O30" s="122" t="s">
        <v>136</v>
      </c>
      <c r="P30" s="123">
        <v>53.06</v>
      </c>
      <c r="Q30" s="122" t="s">
        <v>137</v>
      </c>
      <c r="R30" s="124">
        <v>0.995</v>
      </c>
      <c r="S30" s="125">
        <v>1</v>
      </c>
      <c r="T30" s="126">
        <f t="shared" si="6"/>
        <v>642971410.20923579</v>
      </c>
      <c r="U30" s="126">
        <f t="shared" si="7"/>
        <v>642971.41020923574</v>
      </c>
    </row>
    <row r="31" spans="1:34" x14ac:dyDescent="0.25">
      <c r="A31" s="28" t="s">
        <v>153</v>
      </c>
      <c r="B31" s="27">
        <v>10503</v>
      </c>
      <c r="C31" s="27">
        <v>0</v>
      </c>
      <c r="D31" s="6">
        <f t="shared" si="4"/>
        <v>0</v>
      </c>
      <c r="F31" s="117" t="s">
        <v>35</v>
      </c>
      <c r="G31" s="117" t="s">
        <v>78</v>
      </c>
      <c r="H31" s="127">
        <v>1</v>
      </c>
      <c r="I31" s="123">
        <v>3.883</v>
      </c>
      <c r="J31" s="119" t="s">
        <v>142</v>
      </c>
      <c r="K31" s="129">
        <v>1026</v>
      </c>
      <c r="L31" s="119" t="s">
        <v>143</v>
      </c>
      <c r="M31" s="119" t="s">
        <v>128</v>
      </c>
      <c r="N31" s="121">
        <f t="shared" si="8"/>
        <v>3983.9580000000001</v>
      </c>
      <c r="O31" s="122" t="s">
        <v>136</v>
      </c>
      <c r="P31" s="123">
        <v>53.06</v>
      </c>
      <c r="Q31" s="122" t="s">
        <v>137</v>
      </c>
      <c r="R31" s="124">
        <v>0.995</v>
      </c>
      <c r="S31" s="125">
        <v>1</v>
      </c>
      <c r="T31" s="126">
        <f t="shared" si="6"/>
        <v>210331.86742260001</v>
      </c>
      <c r="U31" s="126">
        <f t="shared" si="7"/>
        <v>210.33186742260003</v>
      </c>
    </row>
    <row r="32" spans="1:34" x14ac:dyDescent="0.25">
      <c r="A32" s="28" t="s">
        <v>154</v>
      </c>
      <c r="B32" s="27">
        <v>57674</v>
      </c>
      <c r="C32" s="27">
        <v>0</v>
      </c>
      <c r="D32" s="6">
        <f t="shared" si="4"/>
        <v>0</v>
      </c>
      <c r="F32" s="117"/>
      <c r="G32" s="130"/>
      <c r="H32" s="127">
        <v>1</v>
      </c>
      <c r="I32" s="123"/>
      <c r="J32" s="119"/>
      <c r="K32" s="118"/>
      <c r="L32" s="119"/>
      <c r="M32" s="119"/>
      <c r="N32" s="121">
        <f>I50*K32</f>
        <v>0</v>
      </c>
      <c r="O32" s="122"/>
      <c r="P32" s="118"/>
      <c r="Q32" s="122"/>
      <c r="R32" s="131"/>
      <c r="S32" s="125"/>
      <c r="T32" s="126">
        <f t="shared" si="6"/>
        <v>0</v>
      </c>
      <c r="U32" s="126">
        <f t="shared" si="7"/>
        <v>0</v>
      </c>
    </row>
    <row r="33" spans="1:26" x14ac:dyDescent="0.25">
      <c r="A33" s="28" t="s">
        <v>155</v>
      </c>
      <c r="B33" s="27">
        <v>920</v>
      </c>
      <c r="C33" s="27"/>
      <c r="D33" s="6">
        <f t="shared" si="4"/>
        <v>0</v>
      </c>
      <c r="F33" s="132" t="s">
        <v>145</v>
      </c>
      <c r="G33" s="133" t="s">
        <v>78</v>
      </c>
      <c r="H33" s="127">
        <v>1</v>
      </c>
      <c r="I33" s="123"/>
      <c r="J33" s="119" t="s">
        <v>142</v>
      </c>
      <c r="K33" s="129">
        <v>1026</v>
      </c>
      <c r="L33" s="119" t="s">
        <v>143</v>
      </c>
      <c r="M33" s="119" t="s">
        <v>128</v>
      </c>
      <c r="N33" s="121">
        <f>I33*K33</f>
        <v>0</v>
      </c>
      <c r="O33" s="122" t="s">
        <v>136</v>
      </c>
      <c r="P33" s="123">
        <v>53.06</v>
      </c>
      <c r="Q33" s="122" t="s">
        <v>137</v>
      </c>
      <c r="R33" s="124">
        <v>0.995</v>
      </c>
      <c r="S33" s="125">
        <v>1</v>
      </c>
      <c r="T33" s="126">
        <f>+N33*P33*R33*S33</f>
        <v>0</v>
      </c>
      <c r="U33" s="126">
        <f>T33/1000</f>
        <v>0</v>
      </c>
    </row>
    <row r="34" spans="1:26" x14ac:dyDescent="0.25">
      <c r="A34" s="28" t="s">
        <v>208</v>
      </c>
      <c r="B34" s="27">
        <v>33199</v>
      </c>
      <c r="C34" s="27"/>
      <c r="D34" s="6">
        <f t="shared" si="4"/>
        <v>0</v>
      </c>
    </row>
    <row r="35" spans="1:26" x14ac:dyDescent="0.25">
      <c r="A35" s="28"/>
      <c r="B35" s="27"/>
      <c r="C35" s="27"/>
      <c r="D35" s="6">
        <f t="shared" si="4"/>
        <v>0</v>
      </c>
      <c r="F35" t="s">
        <v>222</v>
      </c>
      <c r="J35" t="s">
        <v>223</v>
      </c>
      <c r="L35" t="s">
        <v>224</v>
      </c>
      <c r="Q35" t="s">
        <v>225</v>
      </c>
      <c r="S35" t="s">
        <v>226</v>
      </c>
      <c r="U35" t="s">
        <v>227</v>
      </c>
      <c r="V35" t="s">
        <v>228</v>
      </c>
    </row>
    <row r="36" spans="1:26" x14ac:dyDescent="0.25">
      <c r="A36" s="28"/>
      <c r="B36" s="27"/>
      <c r="C36" s="27"/>
      <c r="D36" s="6">
        <f t="shared" si="4"/>
        <v>0</v>
      </c>
      <c r="F36" t="s">
        <v>229</v>
      </c>
      <c r="G36">
        <v>2016</v>
      </c>
      <c r="J36" t="s">
        <v>95</v>
      </c>
      <c r="K36" t="s">
        <v>96</v>
      </c>
      <c r="L36" t="s">
        <v>97</v>
      </c>
      <c r="M36" t="s">
        <v>98</v>
      </c>
      <c r="N36" t="s">
        <v>99</v>
      </c>
      <c r="O36" t="s">
        <v>100</v>
      </c>
      <c r="P36" t="s">
        <v>101</v>
      </c>
      <c r="Q36" t="s">
        <v>102</v>
      </c>
      <c r="R36" t="s">
        <v>103</v>
      </c>
      <c r="S36" t="s">
        <v>104</v>
      </c>
      <c r="T36" t="s">
        <v>105</v>
      </c>
      <c r="U36" t="s">
        <v>106</v>
      </c>
      <c r="V36" t="s">
        <v>107</v>
      </c>
      <c r="W36" t="s">
        <v>230</v>
      </c>
    </row>
    <row r="37" spans="1:26" x14ac:dyDescent="0.25">
      <c r="A37" s="28"/>
      <c r="B37" s="27"/>
      <c r="C37" s="27"/>
      <c r="D37" s="6">
        <f t="shared" si="4"/>
        <v>0</v>
      </c>
      <c r="F37" s="70"/>
      <c r="G37" s="70"/>
      <c r="H37" s="71"/>
      <c r="I37" s="142"/>
      <c r="J37" s="142" t="s">
        <v>108</v>
      </c>
      <c r="K37" s="72" t="s">
        <v>109</v>
      </c>
      <c r="L37" s="141" t="s">
        <v>110</v>
      </c>
      <c r="M37" t="s">
        <v>111</v>
      </c>
      <c r="N37" t="s">
        <v>112</v>
      </c>
      <c r="O37" t="s">
        <v>113</v>
      </c>
      <c r="P37" t="s">
        <v>114</v>
      </c>
      <c r="Q37" t="s">
        <v>231</v>
      </c>
      <c r="R37" t="s">
        <v>116</v>
      </c>
      <c r="S37" t="s">
        <v>232</v>
      </c>
      <c r="T37" t="s">
        <v>233</v>
      </c>
      <c r="U37" t="s">
        <v>118</v>
      </c>
      <c r="V37" t="s">
        <v>234</v>
      </c>
      <c r="W37" t="s">
        <v>235</v>
      </c>
      <c r="Y37" s="153" t="s">
        <v>236</v>
      </c>
    </row>
    <row r="38" spans="1:26" x14ac:dyDescent="0.25">
      <c r="A38" s="28"/>
      <c r="B38" s="27"/>
      <c r="C38" s="27"/>
      <c r="D38" s="6">
        <f t="shared" si="4"/>
        <v>0</v>
      </c>
      <c r="F38" s="70"/>
      <c r="G38" s="70"/>
      <c r="H38" s="71"/>
      <c r="I38" s="142"/>
      <c r="J38" s="142"/>
      <c r="K38" s="72"/>
      <c r="N38" t="s">
        <v>121</v>
      </c>
      <c r="O38" t="s">
        <v>122</v>
      </c>
      <c r="V38" t="s">
        <v>237</v>
      </c>
      <c r="W38" t="s">
        <v>238</v>
      </c>
      <c r="Y38" s="153"/>
    </row>
    <row r="39" spans="1:26" x14ac:dyDescent="0.25">
      <c r="A39" s="28"/>
      <c r="B39" s="27"/>
      <c r="C39" s="27"/>
      <c r="D39" s="6">
        <f t="shared" si="4"/>
        <v>0</v>
      </c>
      <c r="F39" s="70" t="s">
        <v>239</v>
      </c>
      <c r="G39" s="70"/>
      <c r="H39" s="71"/>
      <c r="I39" s="142"/>
      <c r="J39" s="142">
        <v>1000</v>
      </c>
      <c r="K39" s="72" t="s">
        <v>126</v>
      </c>
      <c r="L39">
        <v>5.0999999999999997E-2</v>
      </c>
      <c r="M39" t="s">
        <v>127</v>
      </c>
      <c r="N39" t="s">
        <v>128</v>
      </c>
      <c r="O39">
        <v>51</v>
      </c>
      <c r="P39" t="s">
        <v>129</v>
      </c>
      <c r="Q39">
        <v>1E-3</v>
      </c>
      <c r="R39" t="s">
        <v>240</v>
      </c>
      <c r="S39">
        <v>2E-3</v>
      </c>
      <c r="T39" t="s">
        <v>241</v>
      </c>
      <c r="U39">
        <v>1</v>
      </c>
      <c r="V39">
        <v>5.1000000000000004E-2</v>
      </c>
      <c r="W39">
        <v>0.10200000000000001</v>
      </c>
      <c r="Y39" s="153"/>
    </row>
    <row r="40" spans="1:26" ht="15.75" thickBot="1" x14ac:dyDescent="0.3">
      <c r="A40" s="29"/>
      <c r="B40" s="30"/>
      <c r="C40" s="30"/>
      <c r="D40" s="9">
        <f t="shared" si="4"/>
        <v>0</v>
      </c>
      <c r="F40" s="70" t="s">
        <v>242</v>
      </c>
      <c r="G40" s="70" t="s">
        <v>131</v>
      </c>
      <c r="H40" s="71" t="s">
        <v>132</v>
      </c>
      <c r="I40" s="142" t="s">
        <v>133</v>
      </c>
      <c r="J40" s="142"/>
      <c r="K40" s="72"/>
      <c r="Y40" s="153"/>
      <c r="Z40" s="70" t="s">
        <v>131</v>
      </c>
    </row>
    <row r="41" spans="1:26" ht="16.5" thickTop="1" thickBot="1" x14ac:dyDescent="0.3">
      <c r="A41" s="1"/>
      <c r="B41" s="10">
        <f>SUM(B4:B40)</f>
        <v>10515820.0625</v>
      </c>
      <c r="C41" s="164">
        <f>D41/B41</f>
        <v>0.25907920185790945</v>
      </c>
      <c r="D41" s="10">
        <f>SUM(D4:D40)</f>
        <v>2724430.2686738917</v>
      </c>
      <c r="F41">
        <v>1</v>
      </c>
      <c r="G41" t="s">
        <v>30</v>
      </c>
      <c r="H41" t="s">
        <v>76</v>
      </c>
      <c r="I41">
        <v>0.15</v>
      </c>
      <c r="J41">
        <v>929720</v>
      </c>
      <c r="K41" t="s">
        <v>134</v>
      </c>
      <c r="L41">
        <v>17.024999999999999</v>
      </c>
      <c r="M41" t="s">
        <v>135</v>
      </c>
      <c r="N41" t="s">
        <v>128</v>
      </c>
      <c r="O41">
        <v>15828482.999999998</v>
      </c>
      <c r="P41" t="s">
        <v>136</v>
      </c>
      <c r="Q41">
        <v>1.0999999999999999E-2</v>
      </c>
      <c r="R41" t="s">
        <v>243</v>
      </c>
      <c r="S41">
        <v>1.6000000000000001E-3</v>
      </c>
      <c r="T41" t="s">
        <v>243</v>
      </c>
      <c r="U41">
        <v>1</v>
      </c>
      <c r="V41">
        <v>174113.31299999997</v>
      </c>
      <c r="W41">
        <v>25325.572799999998</v>
      </c>
      <c r="Y41" s="153">
        <v>11507.307140999999</v>
      </c>
      <c r="Z41" t="s">
        <v>30</v>
      </c>
    </row>
    <row r="42" spans="1:26" x14ac:dyDescent="0.25">
      <c r="F42">
        <v>2</v>
      </c>
      <c r="G42" t="s">
        <v>30</v>
      </c>
      <c r="H42" t="s">
        <v>138</v>
      </c>
      <c r="I42">
        <v>0.15</v>
      </c>
      <c r="J42">
        <v>2504</v>
      </c>
      <c r="K42" t="s">
        <v>139</v>
      </c>
      <c r="L42">
        <v>5.88</v>
      </c>
      <c r="M42" t="s">
        <v>244</v>
      </c>
      <c r="N42" t="s">
        <v>128</v>
      </c>
      <c r="O42">
        <v>14723.52</v>
      </c>
      <c r="P42" t="s">
        <v>136</v>
      </c>
      <c r="Q42">
        <v>3.0000000000000001E-3</v>
      </c>
      <c r="R42" t="s">
        <v>243</v>
      </c>
      <c r="S42">
        <v>5.9999999999999995E-4</v>
      </c>
      <c r="T42" t="s">
        <v>243</v>
      </c>
      <c r="U42">
        <v>1</v>
      </c>
      <c r="V42">
        <v>44.170560000000002</v>
      </c>
      <c r="W42">
        <v>8.8341119999999993</v>
      </c>
      <c r="Y42" s="153">
        <v>3.6661564799999997</v>
      </c>
      <c r="Z42" t="s">
        <v>30</v>
      </c>
    </row>
    <row r="43" spans="1:26" x14ac:dyDescent="0.25">
      <c r="F43">
        <v>3</v>
      </c>
      <c r="G43" t="s">
        <v>141</v>
      </c>
      <c r="H43" t="s">
        <v>78</v>
      </c>
      <c r="I43">
        <v>1</v>
      </c>
      <c r="J43">
        <v>497.33</v>
      </c>
      <c r="K43" t="s">
        <v>142</v>
      </c>
      <c r="L43">
        <v>1026</v>
      </c>
      <c r="M43" t="s">
        <v>143</v>
      </c>
      <c r="N43" t="s">
        <v>128</v>
      </c>
      <c r="O43">
        <v>510260.57999999996</v>
      </c>
      <c r="P43" t="s">
        <v>136</v>
      </c>
      <c r="Q43">
        <v>1E-3</v>
      </c>
      <c r="R43" t="s">
        <v>243</v>
      </c>
      <c r="S43">
        <v>1E-4</v>
      </c>
      <c r="T43" t="s">
        <v>243</v>
      </c>
      <c r="U43">
        <v>1</v>
      </c>
      <c r="V43">
        <v>510.26057999999995</v>
      </c>
      <c r="W43">
        <v>51.026057999999999</v>
      </c>
      <c r="Y43" s="153">
        <v>26.533550159999997</v>
      </c>
      <c r="Z43" t="s">
        <v>141</v>
      </c>
    </row>
    <row r="44" spans="1:26" x14ac:dyDescent="0.25">
      <c r="F44">
        <v>4</v>
      </c>
      <c r="G44" t="s">
        <v>144</v>
      </c>
      <c r="H44" t="s">
        <v>78</v>
      </c>
      <c r="I44">
        <v>1</v>
      </c>
      <c r="J44">
        <v>14.02</v>
      </c>
      <c r="K44" t="s">
        <v>142</v>
      </c>
      <c r="L44">
        <v>1026</v>
      </c>
      <c r="M44" t="s">
        <v>143</v>
      </c>
      <c r="N44" t="s">
        <v>128</v>
      </c>
      <c r="O44">
        <v>14384.52</v>
      </c>
      <c r="P44" t="s">
        <v>136</v>
      </c>
      <c r="Q44">
        <v>1E-3</v>
      </c>
      <c r="R44" t="s">
        <v>243</v>
      </c>
      <c r="S44">
        <v>1E-4</v>
      </c>
      <c r="T44" t="s">
        <v>243</v>
      </c>
      <c r="U44">
        <v>1</v>
      </c>
      <c r="V44">
        <v>14.38452</v>
      </c>
      <c r="W44">
        <v>1.4384520000000001</v>
      </c>
      <c r="Y44" s="153">
        <v>0.74799504000000006</v>
      </c>
      <c r="Z44" t="s">
        <v>144</v>
      </c>
    </row>
    <row r="45" spans="1:26" x14ac:dyDescent="0.25">
      <c r="A45" s="70"/>
      <c r="B45" s="70"/>
      <c r="C45" s="71"/>
      <c r="D45" s="72"/>
      <c r="F45">
        <v>5</v>
      </c>
      <c r="G45" t="s">
        <v>33</v>
      </c>
      <c r="H45" t="s">
        <v>78</v>
      </c>
      <c r="I45">
        <v>1</v>
      </c>
      <c r="J45">
        <v>165.30500000000001</v>
      </c>
      <c r="K45" t="s">
        <v>142</v>
      </c>
      <c r="L45">
        <v>1026</v>
      </c>
      <c r="M45" t="s">
        <v>143</v>
      </c>
      <c r="N45" t="s">
        <v>128</v>
      </c>
      <c r="O45">
        <v>169602.93</v>
      </c>
      <c r="P45" t="s">
        <v>136</v>
      </c>
      <c r="Q45">
        <v>1E-3</v>
      </c>
      <c r="R45" t="s">
        <v>243</v>
      </c>
      <c r="S45">
        <v>1E-4</v>
      </c>
      <c r="T45" t="s">
        <v>243</v>
      </c>
      <c r="U45">
        <v>1</v>
      </c>
      <c r="V45">
        <v>169.60292999999999</v>
      </c>
      <c r="W45">
        <v>16.960293</v>
      </c>
      <c r="Y45" s="153">
        <v>8.8193523599999999</v>
      </c>
      <c r="Z45" t="s">
        <v>33</v>
      </c>
    </row>
    <row r="46" spans="1:26" x14ac:dyDescent="0.25">
      <c r="A46" s="70"/>
      <c r="B46" s="70"/>
      <c r="C46" s="71"/>
      <c r="D46" s="72"/>
      <c r="F46">
        <v>6</v>
      </c>
      <c r="G46" t="s">
        <v>34</v>
      </c>
      <c r="H46" t="s">
        <v>78</v>
      </c>
      <c r="I46">
        <v>1</v>
      </c>
      <c r="J46">
        <v>11870.089</v>
      </c>
      <c r="K46" t="s">
        <v>142</v>
      </c>
      <c r="L46">
        <v>1026</v>
      </c>
      <c r="M46" t="s">
        <v>143</v>
      </c>
      <c r="N46" t="s">
        <v>128</v>
      </c>
      <c r="O46">
        <v>12178711.313999999</v>
      </c>
      <c r="P46" t="s">
        <v>136</v>
      </c>
      <c r="Q46">
        <v>1E-3</v>
      </c>
      <c r="R46" t="s">
        <v>243</v>
      </c>
      <c r="S46">
        <v>1E-4</v>
      </c>
      <c r="T46" t="s">
        <v>243</v>
      </c>
      <c r="U46">
        <v>1</v>
      </c>
      <c r="V46">
        <v>12178.711314</v>
      </c>
      <c r="W46">
        <v>1217.8711314</v>
      </c>
      <c r="Y46" s="153">
        <v>633.29298832800009</v>
      </c>
      <c r="Z46" t="s">
        <v>34</v>
      </c>
    </row>
    <row r="47" spans="1:26" x14ac:dyDescent="0.25">
      <c r="F47">
        <v>7</v>
      </c>
      <c r="G47" t="s">
        <v>35</v>
      </c>
      <c r="H47" t="s">
        <v>78</v>
      </c>
      <c r="I47">
        <v>1</v>
      </c>
      <c r="J47">
        <v>39.792999999999999</v>
      </c>
      <c r="K47" t="s">
        <v>142</v>
      </c>
      <c r="L47">
        <v>1026</v>
      </c>
      <c r="M47" t="s">
        <v>143</v>
      </c>
      <c r="N47" t="s">
        <v>128</v>
      </c>
      <c r="O47">
        <v>40827.618000000002</v>
      </c>
      <c r="P47" t="s">
        <v>136</v>
      </c>
      <c r="Q47">
        <v>1E-3</v>
      </c>
      <c r="R47" t="s">
        <v>243</v>
      </c>
      <c r="S47">
        <v>1E-4</v>
      </c>
      <c r="T47" t="s">
        <v>243</v>
      </c>
      <c r="U47">
        <v>1</v>
      </c>
      <c r="V47">
        <v>40.827618000000001</v>
      </c>
      <c r="W47">
        <v>4.0827618000000001</v>
      </c>
      <c r="Y47" s="153">
        <v>2.1230361360000001</v>
      </c>
      <c r="Z47" t="s">
        <v>35</v>
      </c>
    </row>
    <row r="48" spans="1:26" x14ac:dyDescent="0.25">
      <c r="F48">
        <v>8</v>
      </c>
      <c r="G48" t="s">
        <v>245</v>
      </c>
      <c r="H48" t="s">
        <v>78</v>
      </c>
      <c r="I48">
        <v>1</v>
      </c>
      <c r="J48">
        <v>3.8610000000000002</v>
      </c>
      <c r="K48" t="s">
        <v>142</v>
      </c>
      <c r="L48">
        <v>1026</v>
      </c>
      <c r="M48" t="s">
        <v>143</v>
      </c>
      <c r="N48" t="s">
        <v>128</v>
      </c>
      <c r="O48">
        <v>3961.3860000000004</v>
      </c>
      <c r="P48" t="e">
        <v>#REF!</v>
      </c>
      <c r="Q48">
        <v>1E-3</v>
      </c>
      <c r="R48" t="s">
        <v>243</v>
      </c>
      <c r="S48">
        <v>1E-4</v>
      </c>
      <c r="T48" t="s">
        <v>243</v>
      </c>
      <c r="U48">
        <v>1</v>
      </c>
      <c r="V48">
        <v>3.9613860000000005</v>
      </c>
      <c r="W48">
        <v>0.39613860000000006</v>
      </c>
      <c r="Y48" s="153">
        <v>0.20599207200000003</v>
      </c>
      <c r="Z48" t="s">
        <v>245</v>
      </c>
    </row>
    <row r="49" spans="6:26" x14ac:dyDescent="0.25">
      <c r="F49">
        <v>9</v>
      </c>
      <c r="I49" t="s">
        <v>246</v>
      </c>
      <c r="J49">
        <v>0</v>
      </c>
      <c r="K49">
        <v>0</v>
      </c>
      <c r="L49">
        <v>0</v>
      </c>
      <c r="M49" t="s">
        <v>246</v>
      </c>
      <c r="N49" t="s">
        <v>246</v>
      </c>
      <c r="O49" t="s">
        <v>246</v>
      </c>
      <c r="P49" t="s">
        <v>246</v>
      </c>
      <c r="Q49" t="s">
        <v>246</v>
      </c>
      <c r="R49" t="s">
        <v>246</v>
      </c>
      <c r="S49" t="s">
        <v>246</v>
      </c>
      <c r="T49" t="s">
        <v>246</v>
      </c>
      <c r="U49" t="s">
        <v>246</v>
      </c>
      <c r="V49" t="s">
        <v>246</v>
      </c>
      <c r="W49" t="s">
        <v>246</v>
      </c>
      <c r="Y49" s="153"/>
    </row>
    <row r="50" spans="6:26" x14ac:dyDescent="0.25">
      <c r="F50">
        <v>10</v>
      </c>
      <c r="G50" t="s">
        <v>145</v>
      </c>
      <c r="I50">
        <v>1</v>
      </c>
      <c r="J50">
        <v>9065</v>
      </c>
      <c r="K50" t="s">
        <v>142</v>
      </c>
      <c r="L50">
        <v>1026</v>
      </c>
      <c r="M50" t="s">
        <v>143</v>
      </c>
      <c r="N50" t="s">
        <v>128</v>
      </c>
      <c r="O50">
        <v>9300690</v>
      </c>
      <c r="P50" t="e">
        <v>#REF!</v>
      </c>
      <c r="Q50">
        <v>1E-3</v>
      </c>
      <c r="R50" t="s">
        <v>243</v>
      </c>
      <c r="S50">
        <v>1E-4</v>
      </c>
      <c r="T50" t="s">
        <v>243</v>
      </c>
      <c r="U50">
        <v>1</v>
      </c>
      <c r="V50">
        <v>9300.69</v>
      </c>
      <c r="W50">
        <v>930.06900000000007</v>
      </c>
      <c r="Y50" s="153">
        <v>483.63587999999999</v>
      </c>
      <c r="Z50" t="s">
        <v>145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7"/>
  <sheetViews>
    <sheetView workbookViewId="0">
      <selection activeCell="G63" sqref="G63"/>
    </sheetView>
  </sheetViews>
  <sheetFormatPr defaultRowHeight="15" x14ac:dyDescent="0.25"/>
  <cols>
    <col min="1" max="1" width="50" bestFit="1" customWidth="1"/>
    <col min="2" max="2" width="10.85546875" customWidth="1"/>
    <col min="4" max="4" width="30.28515625" customWidth="1"/>
    <col min="6" max="6" width="10.5703125" bestFit="1" customWidth="1"/>
    <col min="7" max="7" width="16" bestFit="1" customWidth="1"/>
    <col min="8" max="8" width="11.140625" bestFit="1" customWidth="1"/>
  </cols>
  <sheetData>
    <row r="1" spans="1:17" ht="16.5" thickBot="1" x14ac:dyDescent="0.3">
      <c r="A1" s="147" t="s">
        <v>210</v>
      </c>
      <c r="B1" s="148">
        <v>2016</v>
      </c>
      <c r="G1" s="160"/>
      <c r="H1" s="160"/>
      <c r="I1" s="160"/>
      <c r="J1" s="160"/>
      <c r="K1" s="143"/>
      <c r="Q1" s="141"/>
    </row>
    <row r="2" spans="1:17" ht="18" x14ac:dyDescent="0.35">
      <c r="A2" s="140"/>
      <c r="B2" s="161" t="s">
        <v>215</v>
      </c>
      <c r="C2" s="161"/>
      <c r="D2" s="161"/>
      <c r="E2" s="162"/>
      <c r="F2" s="151">
        <v>0.437</v>
      </c>
      <c r="G2" t="s">
        <v>216</v>
      </c>
      <c r="H2" s="139"/>
      <c r="I2" s="139"/>
      <c r="J2" s="139"/>
    </row>
    <row r="3" spans="1:17" ht="18" x14ac:dyDescent="0.35">
      <c r="E3" t="s">
        <v>211</v>
      </c>
      <c r="F3" s="144">
        <f>'Known Resources'!C41</f>
        <v>0.25907920185790945</v>
      </c>
      <c r="G3" t="s">
        <v>216</v>
      </c>
    </row>
    <row r="4" spans="1:17" ht="45" x14ac:dyDescent="0.25">
      <c r="A4" s="145" t="s">
        <v>177</v>
      </c>
      <c r="B4" s="145" t="s">
        <v>178</v>
      </c>
      <c r="C4" s="145"/>
      <c r="D4" s="145" t="s">
        <v>177</v>
      </c>
      <c r="E4" s="145" t="s">
        <v>179</v>
      </c>
      <c r="F4" s="145" t="s">
        <v>212</v>
      </c>
      <c r="G4" s="146" t="s">
        <v>250</v>
      </c>
      <c r="H4" s="146"/>
    </row>
    <row r="5" spans="1:17" x14ac:dyDescent="0.25">
      <c r="A5" s="70" t="s">
        <v>44</v>
      </c>
      <c r="B5" s="72">
        <v>100</v>
      </c>
      <c r="D5" s="70"/>
      <c r="E5" s="70"/>
      <c r="F5" s="141">
        <f>B5-E5</f>
        <v>100</v>
      </c>
      <c r="G5" s="141">
        <f>IF(F5&gt;0,F5*$F$2,F5*$F$3)</f>
        <v>43.7</v>
      </c>
      <c r="H5" s="141"/>
    </row>
    <row r="6" spans="1:17" x14ac:dyDescent="0.25">
      <c r="A6" s="70" t="s">
        <v>180</v>
      </c>
      <c r="B6" s="72">
        <v>144787</v>
      </c>
      <c r="D6" s="70" t="s">
        <v>180</v>
      </c>
      <c r="E6" s="72">
        <v>323403</v>
      </c>
      <c r="F6" s="141">
        <f t="shared" ref="F6:F59" si="0">B6-E6</f>
        <v>-178616</v>
      </c>
      <c r="G6" s="141">
        <f t="shared" ref="G6:G59" si="1">IF(F6&gt;0,F6*$F$2,F6*$F$3)</f>
        <v>-46275.690719052356</v>
      </c>
      <c r="H6" s="141"/>
    </row>
    <row r="7" spans="1:17" x14ac:dyDescent="0.25">
      <c r="A7" s="70" t="s">
        <v>45</v>
      </c>
      <c r="B7" s="72">
        <v>1400</v>
      </c>
      <c r="D7" s="70" t="s">
        <v>45</v>
      </c>
      <c r="E7" s="72">
        <v>40</v>
      </c>
      <c r="F7" s="141">
        <f t="shared" si="0"/>
        <v>1360</v>
      </c>
      <c r="G7" s="141">
        <f t="shared" si="1"/>
        <v>594.32000000000005</v>
      </c>
      <c r="H7" s="141"/>
    </row>
    <row r="8" spans="1:17" x14ac:dyDescent="0.25">
      <c r="A8" s="70" t="s">
        <v>181</v>
      </c>
      <c r="B8" s="72">
        <v>579356</v>
      </c>
      <c r="D8" s="70" t="s">
        <v>181</v>
      </c>
      <c r="E8" s="72">
        <v>125799</v>
      </c>
      <c r="F8" s="141">
        <f t="shared" si="0"/>
        <v>453557</v>
      </c>
      <c r="G8" s="141">
        <f t="shared" si="1"/>
        <v>198204.40900000001</v>
      </c>
      <c r="H8" s="141"/>
    </row>
    <row r="9" spans="1:17" x14ac:dyDescent="0.25">
      <c r="A9" s="70" t="s">
        <v>46</v>
      </c>
      <c r="B9" s="72">
        <v>4600</v>
      </c>
      <c r="D9" s="70" t="s">
        <v>46</v>
      </c>
      <c r="E9" s="72">
        <v>27990</v>
      </c>
      <c r="F9" s="141">
        <f t="shared" si="0"/>
        <v>-23390</v>
      </c>
      <c r="G9" s="141">
        <f t="shared" si="1"/>
        <v>-6059.8625314565015</v>
      </c>
      <c r="H9" s="141"/>
    </row>
    <row r="10" spans="1:17" x14ac:dyDescent="0.25">
      <c r="A10" s="70" t="s">
        <v>184</v>
      </c>
      <c r="B10" s="72">
        <v>46</v>
      </c>
      <c r="D10" s="70" t="s">
        <v>182</v>
      </c>
      <c r="E10" s="72">
        <v>56</v>
      </c>
      <c r="F10" s="141">
        <f t="shared" si="0"/>
        <v>-10</v>
      </c>
      <c r="G10" s="141">
        <f t="shared" si="1"/>
        <v>-2.5907920185790942</v>
      </c>
      <c r="H10" s="141"/>
    </row>
    <row r="11" spans="1:17" x14ac:dyDescent="0.25">
      <c r="A11" s="70" t="s">
        <v>183</v>
      </c>
      <c r="B11" s="72">
        <v>505</v>
      </c>
      <c r="D11" s="70" t="s">
        <v>183</v>
      </c>
      <c r="E11" s="72">
        <v>262</v>
      </c>
      <c r="F11" s="141">
        <f t="shared" si="0"/>
        <v>243</v>
      </c>
      <c r="G11" s="141">
        <f t="shared" si="1"/>
        <v>106.191</v>
      </c>
      <c r="H11" s="141"/>
    </row>
    <row r="12" spans="1:17" x14ac:dyDescent="0.25">
      <c r="A12" s="70" t="s">
        <v>47</v>
      </c>
      <c r="B12" s="72">
        <v>21065</v>
      </c>
      <c r="D12" s="70" t="s">
        <v>47</v>
      </c>
      <c r="E12" s="72">
        <v>26288</v>
      </c>
      <c r="F12" s="141">
        <f t="shared" si="0"/>
        <v>-5223</v>
      </c>
      <c r="G12" s="141">
        <f t="shared" si="1"/>
        <v>-1353.1706713038611</v>
      </c>
      <c r="H12" s="141"/>
    </row>
    <row r="13" spans="1:17" x14ac:dyDescent="0.25">
      <c r="A13" s="70" t="s">
        <v>185</v>
      </c>
      <c r="B13" s="72">
        <v>14184</v>
      </c>
      <c r="D13" s="70" t="s">
        <v>185</v>
      </c>
      <c r="E13" s="72">
        <v>11816</v>
      </c>
      <c r="F13" s="141">
        <f t="shared" si="0"/>
        <v>2368</v>
      </c>
      <c r="G13" s="141">
        <f t="shared" si="1"/>
        <v>1034.816</v>
      </c>
      <c r="H13" s="141"/>
    </row>
    <row r="14" spans="1:17" x14ac:dyDescent="0.25">
      <c r="A14" s="70" t="s">
        <v>186</v>
      </c>
      <c r="B14" s="72">
        <v>38002</v>
      </c>
      <c r="D14" s="70" t="s">
        <v>186</v>
      </c>
      <c r="E14" s="72">
        <v>10406</v>
      </c>
      <c r="F14" s="141">
        <f t="shared" si="0"/>
        <v>27596</v>
      </c>
      <c r="G14" s="141">
        <f t="shared" si="1"/>
        <v>12059.451999999999</v>
      </c>
      <c r="H14" s="141"/>
    </row>
    <row r="15" spans="1:17" x14ac:dyDescent="0.25">
      <c r="A15" s="70" t="s">
        <v>48</v>
      </c>
      <c r="B15" s="72">
        <v>9000</v>
      </c>
      <c r="D15" s="70" t="s">
        <v>48</v>
      </c>
      <c r="E15" s="72">
        <v>25570</v>
      </c>
      <c r="F15" s="141">
        <f t="shared" si="0"/>
        <v>-16570</v>
      </c>
      <c r="G15" s="141">
        <f t="shared" si="1"/>
        <v>-4292.9423747855599</v>
      </c>
      <c r="H15" s="141"/>
    </row>
    <row r="16" spans="1:17" x14ac:dyDescent="0.25">
      <c r="A16" s="70" t="s">
        <v>49</v>
      </c>
      <c r="B16" s="72">
        <v>5063</v>
      </c>
      <c r="D16" s="70" t="s">
        <v>49</v>
      </c>
      <c r="E16" s="72">
        <v>7888</v>
      </c>
      <c r="F16" s="141">
        <f t="shared" si="0"/>
        <v>-2825</v>
      </c>
      <c r="G16" s="141">
        <f t="shared" si="1"/>
        <v>-731.8987452485942</v>
      </c>
      <c r="H16" s="141"/>
    </row>
    <row r="17" spans="1:8" x14ac:dyDescent="0.25">
      <c r="A17" s="70" t="s">
        <v>50</v>
      </c>
      <c r="B17" s="72">
        <v>2308</v>
      </c>
      <c r="D17" s="70" t="s">
        <v>50</v>
      </c>
      <c r="E17" s="72">
        <v>4653</v>
      </c>
      <c r="F17" s="141">
        <f t="shared" si="0"/>
        <v>-2345</v>
      </c>
      <c r="G17" s="141">
        <f t="shared" si="1"/>
        <v>-607.54072835679767</v>
      </c>
      <c r="H17" s="141"/>
    </row>
    <row r="18" spans="1:8" x14ac:dyDescent="0.25">
      <c r="A18" s="70" t="s">
        <v>187</v>
      </c>
      <c r="B18" s="72">
        <v>0</v>
      </c>
      <c r="D18" s="70" t="s">
        <v>187</v>
      </c>
      <c r="E18" s="72">
        <v>7800</v>
      </c>
      <c r="F18" s="141">
        <f t="shared" si="0"/>
        <v>-7800</v>
      </c>
      <c r="G18" s="141">
        <f t="shared" si="1"/>
        <v>-2020.8177744916936</v>
      </c>
      <c r="H18" s="141"/>
    </row>
    <row r="19" spans="1:8" x14ac:dyDescent="0.25">
      <c r="A19" s="70" t="s">
        <v>51</v>
      </c>
      <c r="B19" s="72">
        <v>67500</v>
      </c>
      <c r="C19" s="141"/>
      <c r="D19" s="70" t="s">
        <v>188</v>
      </c>
      <c r="E19" s="72">
        <v>105912</v>
      </c>
      <c r="F19" s="141">
        <f t="shared" si="0"/>
        <v>-38412</v>
      </c>
      <c r="G19" s="141">
        <f t="shared" si="1"/>
        <v>-9951.7503017660183</v>
      </c>
      <c r="H19" s="141"/>
    </row>
    <row r="20" spans="1:8" x14ac:dyDescent="0.25">
      <c r="A20" s="70" t="s">
        <v>189</v>
      </c>
      <c r="B20" s="72">
        <v>0</v>
      </c>
      <c r="C20" s="141"/>
      <c r="D20" s="70" t="s">
        <v>189</v>
      </c>
      <c r="E20" s="72">
        <v>585570</v>
      </c>
      <c r="F20" s="141">
        <f t="shared" si="0"/>
        <v>-585570</v>
      </c>
      <c r="G20" s="141">
        <f t="shared" si="1"/>
        <v>-151709.00823193602</v>
      </c>
      <c r="H20" s="141"/>
    </row>
    <row r="21" spans="1:8" x14ac:dyDescent="0.25">
      <c r="A21" s="70" t="s">
        <v>190</v>
      </c>
      <c r="B21" s="72">
        <v>8107</v>
      </c>
      <c r="D21" s="70" t="s">
        <v>190</v>
      </c>
      <c r="E21" s="72">
        <v>2702</v>
      </c>
      <c r="F21" s="141">
        <f t="shared" si="0"/>
        <v>5405</v>
      </c>
      <c r="G21" s="141">
        <f t="shared" si="1"/>
        <v>2361.9850000000001</v>
      </c>
      <c r="H21" s="141"/>
    </row>
    <row r="22" spans="1:8" x14ac:dyDescent="0.25">
      <c r="A22" s="70" t="s">
        <v>52</v>
      </c>
      <c r="B22" s="72">
        <v>22883</v>
      </c>
      <c r="D22" s="70" t="s">
        <v>52</v>
      </c>
      <c r="E22" s="72">
        <v>22050</v>
      </c>
      <c r="F22" s="141">
        <f t="shared" si="0"/>
        <v>833</v>
      </c>
      <c r="G22" s="141">
        <f t="shared" si="1"/>
        <v>364.02100000000002</v>
      </c>
      <c r="H22" s="141"/>
    </row>
    <row r="23" spans="1:8" x14ac:dyDescent="0.25">
      <c r="A23" s="70" t="s">
        <v>191</v>
      </c>
      <c r="B23" s="72">
        <v>7432</v>
      </c>
      <c r="D23" s="70" t="s">
        <v>191</v>
      </c>
      <c r="E23" s="72">
        <v>23218</v>
      </c>
      <c r="F23" s="141">
        <f t="shared" si="0"/>
        <v>-15786</v>
      </c>
      <c r="G23" s="141">
        <f t="shared" si="1"/>
        <v>-4089.8242805289588</v>
      </c>
      <c r="H23" s="141"/>
    </row>
    <row r="24" spans="1:8" x14ac:dyDescent="0.25">
      <c r="A24" s="70" t="s">
        <v>53</v>
      </c>
      <c r="B24" s="72">
        <v>21849</v>
      </c>
      <c r="D24" s="70" t="s">
        <v>53</v>
      </c>
      <c r="E24" s="72">
        <v>36831</v>
      </c>
      <c r="F24" s="141">
        <f t="shared" si="0"/>
        <v>-14982</v>
      </c>
      <c r="G24" s="141">
        <f t="shared" si="1"/>
        <v>-3881.5246022351994</v>
      </c>
      <c r="H24" s="141"/>
    </row>
    <row r="25" spans="1:8" x14ac:dyDescent="0.25">
      <c r="A25" s="70" t="s">
        <v>54</v>
      </c>
      <c r="B25" s="72">
        <v>6</v>
      </c>
      <c r="D25" s="70" t="s">
        <v>54</v>
      </c>
      <c r="E25" s="72">
        <v>0</v>
      </c>
      <c r="F25" s="141">
        <f t="shared" si="0"/>
        <v>6</v>
      </c>
      <c r="G25" s="141">
        <f t="shared" si="1"/>
        <v>2.6219999999999999</v>
      </c>
      <c r="H25" s="141"/>
    </row>
    <row r="26" spans="1:8" x14ac:dyDescent="0.25">
      <c r="A26" s="70" t="s">
        <v>192</v>
      </c>
      <c r="B26" s="72">
        <v>1</v>
      </c>
      <c r="D26" s="70" t="s">
        <v>192</v>
      </c>
      <c r="E26" s="72">
        <v>52</v>
      </c>
      <c r="F26" s="141">
        <f t="shared" si="0"/>
        <v>-51</v>
      </c>
      <c r="G26" s="141">
        <f t="shared" si="1"/>
        <v>-13.213039294753381</v>
      </c>
      <c r="H26" s="141"/>
    </row>
    <row r="27" spans="1:8" x14ac:dyDescent="0.25">
      <c r="A27" s="70" t="s">
        <v>55</v>
      </c>
      <c r="B27" s="72">
        <v>3265</v>
      </c>
      <c r="D27" s="70" t="s">
        <v>55</v>
      </c>
      <c r="E27" s="72">
        <v>0</v>
      </c>
      <c r="F27" s="141">
        <f t="shared" si="0"/>
        <v>3265</v>
      </c>
      <c r="G27" s="141">
        <f t="shared" si="1"/>
        <v>1426.8050000000001</v>
      </c>
      <c r="H27" s="141"/>
    </row>
    <row r="28" spans="1:8" x14ac:dyDescent="0.25">
      <c r="A28" s="70" t="s">
        <v>56</v>
      </c>
      <c r="B28" s="72">
        <v>96756</v>
      </c>
      <c r="D28" s="70" t="s">
        <v>56</v>
      </c>
      <c r="E28" s="72">
        <v>32248</v>
      </c>
      <c r="F28" s="141">
        <f t="shared" si="0"/>
        <v>64508</v>
      </c>
      <c r="G28" s="141">
        <f t="shared" si="1"/>
        <v>28189.995999999999</v>
      </c>
      <c r="H28" s="141"/>
    </row>
    <row r="29" spans="1:8" x14ac:dyDescent="0.25">
      <c r="A29" s="70" t="s">
        <v>193</v>
      </c>
      <c r="B29" s="72">
        <v>103</v>
      </c>
      <c r="D29" s="70"/>
      <c r="E29" s="72"/>
      <c r="F29" s="141">
        <f t="shared" si="0"/>
        <v>103</v>
      </c>
      <c r="G29" s="141">
        <f t="shared" si="1"/>
        <v>45.011000000000003</v>
      </c>
      <c r="H29" s="141"/>
    </row>
    <row r="30" spans="1:8" x14ac:dyDescent="0.25">
      <c r="A30" s="70" t="s">
        <v>57</v>
      </c>
      <c r="B30" s="72">
        <v>2054</v>
      </c>
      <c r="D30" s="70" t="s">
        <v>57</v>
      </c>
      <c r="E30" s="72">
        <v>2032</v>
      </c>
      <c r="F30" s="141">
        <f t="shared" si="0"/>
        <v>22</v>
      </c>
      <c r="G30" s="141">
        <f t="shared" si="1"/>
        <v>9.6140000000000008</v>
      </c>
      <c r="H30" s="141"/>
    </row>
    <row r="31" spans="1:8" x14ac:dyDescent="0.25">
      <c r="A31" s="70" t="s">
        <v>58</v>
      </c>
      <c r="B31" s="72">
        <v>56953</v>
      </c>
      <c r="D31" s="70" t="s">
        <v>58</v>
      </c>
      <c r="E31" s="72">
        <v>96529</v>
      </c>
      <c r="F31" s="141">
        <f t="shared" si="0"/>
        <v>-39576</v>
      </c>
      <c r="G31" s="141">
        <f t="shared" si="1"/>
        <v>-10253.318492728624</v>
      </c>
      <c r="H31" s="141"/>
    </row>
    <row r="32" spans="1:8" x14ac:dyDescent="0.25">
      <c r="A32" s="70" t="s">
        <v>59</v>
      </c>
      <c r="B32" s="72">
        <v>53607</v>
      </c>
      <c r="D32" s="70" t="s">
        <v>59</v>
      </c>
      <c r="E32" s="72">
        <v>183514</v>
      </c>
      <c r="F32" s="141">
        <f t="shared" si="0"/>
        <v>-129907</v>
      </c>
      <c r="G32" s="141">
        <f t="shared" si="1"/>
        <v>-33656.20187575544</v>
      </c>
      <c r="H32" s="141"/>
    </row>
    <row r="33" spans="1:8" x14ac:dyDescent="0.25">
      <c r="A33" s="70" t="s">
        <v>194</v>
      </c>
      <c r="B33" s="72">
        <v>0</v>
      </c>
      <c r="D33" s="70" t="s">
        <v>194</v>
      </c>
      <c r="E33" s="72">
        <v>7497</v>
      </c>
      <c r="F33" s="141">
        <f t="shared" si="0"/>
        <v>-7497</v>
      </c>
      <c r="G33" s="141">
        <f t="shared" si="1"/>
        <v>-1942.3167763287472</v>
      </c>
      <c r="H33" s="141"/>
    </row>
    <row r="34" spans="1:8" x14ac:dyDescent="0.25">
      <c r="A34" s="70" t="s">
        <v>195</v>
      </c>
      <c r="B34" s="72">
        <v>0</v>
      </c>
      <c r="D34" s="70" t="s">
        <v>195</v>
      </c>
      <c r="E34" s="72">
        <v>22909</v>
      </c>
      <c r="F34" s="141">
        <f t="shared" si="0"/>
        <v>-22909</v>
      </c>
      <c r="G34" s="141">
        <f t="shared" si="1"/>
        <v>-5935.2454353628473</v>
      </c>
      <c r="H34" s="141"/>
    </row>
    <row r="35" spans="1:8" x14ac:dyDescent="0.25">
      <c r="A35" s="70" t="s">
        <v>60</v>
      </c>
      <c r="B35" s="72">
        <v>14050</v>
      </c>
      <c r="D35" s="70" t="s">
        <v>60</v>
      </c>
      <c r="E35" s="72">
        <v>0</v>
      </c>
      <c r="F35" s="141">
        <f t="shared" si="0"/>
        <v>14050</v>
      </c>
      <c r="G35" s="141">
        <f t="shared" si="1"/>
        <v>6139.85</v>
      </c>
      <c r="H35" s="141"/>
    </row>
    <row r="36" spans="1:8" x14ac:dyDescent="0.25">
      <c r="A36" s="70" t="s">
        <v>197</v>
      </c>
      <c r="B36" s="72">
        <v>0</v>
      </c>
      <c r="D36" s="70" t="s">
        <v>197</v>
      </c>
      <c r="E36" s="72">
        <v>400</v>
      </c>
      <c r="F36" s="141">
        <f t="shared" si="0"/>
        <v>-400</v>
      </c>
      <c r="G36" s="141">
        <f t="shared" si="1"/>
        <v>-103.63168074316378</v>
      </c>
      <c r="H36" s="141"/>
    </row>
    <row r="37" spans="1:8" x14ac:dyDescent="0.25">
      <c r="A37" s="70" t="s">
        <v>196</v>
      </c>
      <c r="B37" s="72">
        <v>10942</v>
      </c>
      <c r="D37" s="70" t="s">
        <v>196</v>
      </c>
      <c r="E37" s="72">
        <v>162849</v>
      </c>
      <c r="F37" s="141">
        <f t="shared" si="0"/>
        <v>-151907</v>
      </c>
      <c r="G37" s="141">
        <f t="shared" si="1"/>
        <v>-39355.944316629451</v>
      </c>
      <c r="H37" s="141"/>
    </row>
    <row r="38" spans="1:8" x14ac:dyDescent="0.25">
      <c r="A38" s="70" t="s">
        <v>61</v>
      </c>
      <c r="B38" s="72">
        <v>67267</v>
      </c>
      <c r="D38" s="70" t="s">
        <v>61</v>
      </c>
      <c r="E38" s="72">
        <v>150110</v>
      </c>
      <c r="F38" s="141">
        <f t="shared" si="0"/>
        <v>-82843</v>
      </c>
      <c r="G38" s="141">
        <f t="shared" si="1"/>
        <v>-21462.898319514792</v>
      </c>
      <c r="H38" s="141"/>
    </row>
    <row r="39" spans="1:8" x14ac:dyDescent="0.25">
      <c r="A39" s="70" t="s">
        <v>198</v>
      </c>
      <c r="B39" s="72">
        <v>18027</v>
      </c>
      <c r="D39" s="70" t="s">
        <v>198</v>
      </c>
      <c r="E39" s="72">
        <v>101242</v>
      </c>
      <c r="F39" s="141">
        <f t="shared" si="0"/>
        <v>-83215</v>
      </c>
      <c r="G39" s="141">
        <f t="shared" si="1"/>
        <v>-21559.275782605935</v>
      </c>
      <c r="H39" s="141"/>
    </row>
    <row r="40" spans="1:8" x14ac:dyDescent="0.25">
      <c r="A40" s="70" t="s">
        <v>62</v>
      </c>
      <c r="B40" s="72">
        <v>138808</v>
      </c>
      <c r="D40" s="70" t="s">
        <v>62</v>
      </c>
      <c r="E40" s="72">
        <v>124848</v>
      </c>
      <c r="F40" s="141">
        <f t="shared" si="0"/>
        <v>13960</v>
      </c>
      <c r="G40" s="141">
        <f t="shared" si="1"/>
        <v>6100.52</v>
      </c>
      <c r="H40" s="141"/>
    </row>
    <row r="41" spans="1:8" x14ac:dyDescent="0.25">
      <c r="A41" s="70" t="s">
        <v>199</v>
      </c>
      <c r="B41" s="72">
        <v>2000</v>
      </c>
      <c r="D41" s="70" t="s">
        <v>199</v>
      </c>
      <c r="E41" s="72">
        <v>17000</v>
      </c>
      <c r="F41" s="141">
        <f t="shared" si="0"/>
        <v>-15000</v>
      </c>
      <c r="G41" s="141">
        <f t="shared" si="1"/>
        <v>-3886.1880278686417</v>
      </c>
      <c r="H41" s="141"/>
    </row>
    <row r="42" spans="1:8" x14ac:dyDescent="0.25">
      <c r="A42" s="70" t="s">
        <v>63</v>
      </c>
      <c r="B42" s="72">
        <v>31291</v>
      </c>
      <c r="D42" s="70" t="s">
        <v>63</v>
      </c>
      <c r="E42" s="72">
        <v>3099</v>
      </c>
      <c r="F42" s="141">
        <f t="shared" si="0"/>
        <v>28192</v>
      </c>
      <c r="G42" s="141">
        <f t="shared" si="1"/>
        <v>12319.904</v>
      </c>
      <c r="H42" s="141"/>
    </row>
    <row r="43" spans="1:8" x14ac:dyDescent="0.25">
      <c r="A43" s="70" t="s">
        <v>64</v>
      </c>
      <c r="B43" s="72">
        <v>11648</v>
      </c>
      <c r="D43" s="70" t="s">
        <v>64</v>
      </c>
      <c r="E43" s="72">
        <v>3614</v>
      </c>
      <c r="F43" s="141">
        <f t="shared" si="0"/>
        <v>8034</v>
      </c>
      <c r="G43" s="141">
        <f t="shared" si="1"/>
        <v>3510.8580000000002</v>
      </c>
      <c r="H43" s="141"/>
    </row>
    <row r="44" spans="1:8" x14ac:dyDescent="0.25">
      <c r="A44" s="70" t="s">
        <v>65</v>
      </c>
      <c r="B44" s="72">
        <v>0</v>
      </c>
      <c r="D44" s="70" t="s">
        <v>65</v>
      </c>
      <c r="E44" s="72">
        <v>157752</v>
      </c>
      <c r="F44" s="141">
        <f t="shared" si="0"/>
        <v>-157752</v>
      </c>
      <c r="G44" s="141">
        <f t="shared" si="1"/>
        <v>-40870.26225148893</v>
      </c>
      <c r="H44" s="141"/>
    </row>
    <row r="45" spans="1:8" x14ac:dyDescent="0.25">
      <c r="A45" s="70" t="s">
        <v>66</v>
      </c>
      <c r="B45" s="72">
        <v>38600</v>
      </c>
      <c r="D45" s="70" t="s">
        <v>66</v>
      </c>
      <c r="E45" s="72">
        <v>12440</v>
      </c>
      <c r="F45" s="141">
        <f t="shared" si="0"/>
        <v>26160</v>
      </c>
      <c r="G45" s="141">
        <f t="shared" si="1"/>
        <v>11431.92</v>
      </c>
      <c r="H45" s="141"/>
    </row>
    <row r="46" spans="1:8" x14ac:dyDescent="0.25">
      <c r="A46" s="70" t="s">
        <v>200</v>
      </c>
      <c r="B46" s="72">
        <v>84678</v>
      </c>
      <c r="D46" s="70" t="s">
        <v>200</v>
      </c>
      <c r="E46" s="72">
        <v>94017</v>
      </c>
      <c r="F46" s="141">
        <f t="shared" si="0"/>
        <v>-9339</v>
      </c>
      <c r="G46" s="141">
        <f t="shared" si="1"/>
        <v>-2419.5406661510165</v>
      </c>
      <c r="H46" s="141"/>
    </row>
    <row r="47" spans="1:8" x14ac:dyDescent="0.25">
      <c r="A47" s="70" t="s">
        <v>67</v>
      </c>
      <c r="B47" s="72">
        <v>0</v>
      </c>
      <c r="D47" s="70" t="s">
        <v>67</v>
      </c>
      <c r="E47" s="72">
        <v>6389</v>
      </c>
      <c r="F47" s="141">
        <f t="shared" si="0"/>
        <v>-6389</v>
      </c>
      <c r="G47" s="141">
        <f t="shared" si="1"/>
        <v>-1655.2570206701835</v>
      </c>
      <c r="H47" s="141"/>
    </row>
    <row r="48" spans="1:8" x14ac:dyDescent="0.25">
      <c r="A48" s="70" t="s">
        <v>201</v>
      </c>
      <c r="B48" s="72">
        <v>0</v>
      </c>
      <c r="D48" s="70" t="s">
        <v>201</v>
      </c>
      <c r="E48" s="72">
        <v>640</v>
      </c>
      <c r="F48" s="141">
        <f t="shared" si="0"/>
        <v>-640</v>
      </c>
      <c r="G48" s="141">
        <f t="shared" si="1"/>
        <v>-165.81068918906203</v>
      </c>
      <c r="H48" s="141"/>
    </row>
    <row r="49" spans="1:8" x14ac:dyDescent="0.25">
      <c r="A49" s="70" t="s">
        <v>69</v>
      </c>
      <c r="B49" s="72">
        <v>32780</v>
      </c>
      <c r="D49" s="70" t="s">
        <v>69</v>
      </c>
      <c r="E49" s="72">
        <v>19746</v>
      </c>
      <c r="F49" s="141">
        <f t="shared" si="0"/>
        <v>13034</v>
      </c>
      <c r="G49" s="141">
        <f t="shared" si="1"/>
        <v>5695.8580000000002</v>
      </c>
      <c r="H49" s="141"/>
    </row>
    <row r="50" spans="1:8" x14ac:dyDescent="0.25">
      <c r="A50" s="70" t="s">
        <v>70</v>
      </c>
      <c r="B50" s="72">
        <v>161172</v>
      </c>
      <c r="D50" s="70" t="s">
        <v>70</v>
      </c>
      <c r="E50" s="72">
        <v>343023</v>
      </c>
      <c r="F50" s="141">
        <f t="shared" si="0"/>
        <v>-181851</v>
      </c>
      <c r="G50" s="141">
        <f t="shared" si="1"/>
        <v>-47113.811937062688</v>
      </c>
      <c r="H50" s="141"/>
    </row>
    <row r="51" spans="1:8" x14ac:dyDescent="0.25">
      <c r="A51" s="70" t="s">
        <v>202</v>
      </c>
      <c r="B51" s="72">
        <v>0</v>
      </c>
      <c r="D51" s="70" t="s">
        <v>202</v>
      </c>
      <c r="E51" s="72">
        <v>68</v>
      </c>
      <c r="F51" s="141">
        <f t="shared" si="0"/>
        <v>-68</v>
      </c>
      <c r="G51" s="141">
        <f t="shared" si="1"/>
        <v>-17.617385726337844</v>
      </c>
      <c r="H51" s="141"/>
    </row>
    <row r="52" spans="1:8" x14ac:dyDescent="0.25">
      <c r="A52" s="70" t="s">
        <v>71</v>
      </c>
      <c r="B52" s="72">
        <v>725</v>
      </c>
      <c r="D52" s="70" t="s">
        <v>71</v>
      </c>
      <c r="E52" s="72">
        <v>672</v>
      </c>
      <c r="F52" s="141">
        <f t="shared" si="0"/>
        <v>53</v>
      </c>
      <c r="G52" s="141">
        <f t="shared" si="1"/>
        <v>23.161000000000001</v>
      </c>
      <c r="H52" s="141"/>
    </row>
    <row r="53" spans="1:8" x14ac:dyDescent="0.25">
      <c r="A53" s="70" t="s">
        <v>72</v>
      </c>
      <c r="B53" s="72">
        <v>5539</v>
      </c>
      <c r="D53" s="70" t="s">
        <v>72</v>
      </c>
      <c r="E53" s="72">
        <v>14070</v>
      </c>
      <c r="F53" s="141">
        <f t="shared" si="0"/>
        <v>-8531</v>
      </c>
      <c r="G53" s="141">
        <f t="shared" si="1"/>
        <v>-2210.2046710498253</v>
      </c>
      <c r="H53" s="141"/>
    </row>
    <row r="54" spans="1:8" x14ac:dyDescent="0.25">
      <c r="A54" s="70" t="s">
        <v>213</v>
      </c>
      <c r="B54" s="72">
        <v>122485</v>
      </c>
      <c r="D54" s="70" t="s">
        <v>213</v>
      </c>
      <c r="E54" s="72">
        <v>0</v>
      </c>
      <c r="F54" s="141">
        <f t="shared" si="0"/>
        <v>122485</v>
      </c>
      <c r="G54" s="141">
        <f t="shared" si="1"/>
        <v>53525.945</v>
      </c>
      <c r="H54" s="141"/>
    </row>
    <row r="55" spans="1:8" x14ac:dyDescent="0.25">
      <c r="A55" s="70" t="s">
        <v>73</v>
      </c>
      <c r="B55" s="72">
        <v>26746</v>
      </c>
      <c r="D55" s="70" t="s">
        <v>73</v>
      </c>
      <c r="E55" s="72">
        <v>13538</v>
      </c>
      <c r="F55" s="141">
        <f t="shared" si="0"/>
        <v>13208</v>
      </c>
      <c r="G55" s="141">
        <f t="shared" si="1"/>
        <v>5771.8959999999997</v>
      </c>
      <c r="H55" s="141"/>
    </row>
    <row r="56" spans="1:8" x14ac:dyDescent="0.25">
      <c r="A56" s="70" t="s">
        <v>74</v>
      </c>
      <c r="B56" s="72">
        <v>18473</v>
      </c>
      <c r="D56" s="70" t="s">
        <v>203</v>
      </c>
      <c r="E56" s="72">
        <v>56521</v>
      </c>
      <c r="F56" s="141">
        <f t="shared" si="0"/>
        <v>-38048</v>
      </c>
      <c r="G56" s="141">
        <f t="shared" si="1"/>
        <v>-9857.445472289739</v>
      </c>
      <c r="H56" s="141"/>
    </row>
    <row r="57" spans="1:8" x14ac:dyDescent="0.25">
      <c r="A57" s="70" t="s">
        <v>204</v>
      </c>
      <c r="B57" s="72">
        <v>76983</v>
      </c>
      <c r="D57" s="70" t="s">
        <v>204</v>
      </c>
      <c r="E57" s="72">
        <v>248423</v>
      </c>
      <c r="F57" s="141">
        <f t="shared" si="0"/>
        <v>-171440</v>
      </c>
      <c r="G57" s="141">
        <f t="shared" si="1"/>
        <v>-44416.538366519999</v>
      </c>
      <c r="H57" s="141"/>
    </row>
    <row r="58" spans="1:8" x14ac:dyDescent="0.25">
      <c r="A58" s="70" t="s">
        <v>205</v>
      </c>
      <c r="B58" s="72">
        <v>400</v>
      </c>
      <c r="D58" s="70" t="s">
        <v>205</v>
      </c>
      <c r="E58" s="72">
        <v>800</v>
      </c>
      <c r="F58" s="141">
        <f t="shared" si="0"/>
        <v>-400</v>
      </c>
      <c r="G58" s="141">
        <f t="shared" si="1"/>
        <v>-103.63168074316378</v>
      </c>
      <c r="H58" s="141"/>
    </row>
    <row r="59" spans="1:8" x14ac:dyDescent="0.25">
      <c r="A59" s="70" t="s">
        <v>206</v>
      </c>
      <c r="B59" s="72">
        <v>1600</v>
      </c>
      <c r="D59" s="70" t="s">
        <v>206</v>
      </c>
      <c r="E59" s="72"/>
      <c r="F59" s="141">
        <f t="shared" si="0"/>
        <v>1600</v>
      </c>
      <c r="G59" s="141">
        <f t="shared" si="1"/>
        <v>699.2</v>
      </c>
      <c r="H59" s="141"/>
    </row>
    <row r="60" spans="1:8" x14ac:dyDescent="0.25">
      <c r="A60" s="70"/>
      <c r="B60" s="72"/>
    </row>
    <row r="61" spans="1:8" x14ac:dyDescent="0.25">
      <c r="B61" s="141">
        <f>SUM(B5:B59)</f>
        <v>2025146</v>
      </c>
      <c r="C61" s="141"/>
      <c r="D61" s="141"/>
      <c r="E61" s="141">
        <f t="shared" ref="E61:F61" si="2">SUM(E5:E59)</f>
        <v>3224296</v>
      </c>
      <c r="F61" s="141">
        <f t="shared" si="2"/>
        <v>-1199150</v>
      </c>
      <c r="G61" s="141">
        <f>SUM(G5:G59)/2000</f>
        <v>-84.156460820451727</v>
      </c>
      <c r="H61" s="141"/>
    </row>
    <row r="62" spans="1:8" ht="44.25" customHeight="1" x14ac:dyDescent="0.25">
      <c r="F62" s="149" t="s">
        <v>214</v>
      </c>
      <c r="G62" s="149" t="s">
        <v>251</v>
      </c>
      <c r="H62" s="149"/>
    </row>
    <row r="87" spans="6:6" x14ac:dyDescent="0.25">
      <c r="F87" s="141"/>
    </row>
  </sheetData>
  <mergeCells count="2">
    <mergeCell ref="G1:J1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2022-05-31T07:00:00+00:00</OpenedDate>
    <Date1 xmlns="dc463f71-b30c-4ab2-9473-d307f9d35888">2022-05-31T07:00:00+00:00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220395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FC8D93B885BC4F896C3A3D4E58C1D3" ma:contentTypeVersion="28" ma:contentTypeDescription="" ma:contentTypeScope="" ma:versionID="d27732ad638b01e1bb803726393e36e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5419DB-981C-452B-B22A-7FD39DE409A1}"/>
</file>

<file path=customXml/itemProps3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8A50A363-3BE2-4E2C-9AF8-0BC87525C8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2021-05-28T15:10:32Z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0x0101006E56B4D1795A2E4DB2F0B01679ED314A003BFC8D93B885BC4F896C3A3D4E58C1D3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