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DA9A7E28-5779-4035-AFA9-4F948E5C0236}" xr6:coauthVersionLast="46" xr6:coauthVersionMax="46" xr10:uidLastSave="{00000000-0000-0000-0000-000000000000}"/>
  <bookViews>
    <workbookView xWindow="-120" yWindow="-120" windowWidth="29040" windowHeight="15840" firstSheet="6" activeTab="11" xr2:uid="{00000000-000D-0000-FFFF-FFFF00000000}"/>
  </bookViews>
  <sheets>
    <sheet name="Pg 1 Res Nat Gas Deferral" sheetId="26" r:id="rId1"/>
    <sheet name="Pg 2 Non-Res Nat Gas Deferral" sheetId="2" r:id="rId2"/>
    <sheet name="Pg 3 UG-190335 Auth-1" sheetId="1" r:id="rId3"/>
    <sheet name="Pg 4 UG-190335 Auth-2" sheetId="20" r:id="rId4"/>
    <sheet name="Pg 5 UG-190335 Auth-3" sheetId="21" r:id="rId5"/>
    <sheet name="Pg 6 UG-190335 Auth-4" sheetId="22" r:id="rId6"/>
    <sheet name="Pg 7 UG-200901 Auth-1" sheetId="17" r:id="rId7"/>
    <sheet name="Acerno_Cache_XXXXX" sheetId="16" state="veryHidden" r:id="rId8"/>
    <sheet name="Pg 8 UG-200901 Auth-2" sheetId="23" r:id="rId9"/>
    <sheet name="Pg 9 UG-200901 Auth-3" sheetId="24" r:id="rId10"/>
    <sheet name="Pg 10 UG-200901 Auth-4" sheetId="25" r:id="rId11"/>
    <sheet name="Pg 11 Annual Adj (12-2021)" sheetId="27" r:id="rId12"/>
  </sheets>
  <definedNames>
    <definedName name="_xlnm.Print_Area" localSheetId="2">'Pg 3 UG-190335 Auth-1'!$A$1:$K$34</definedName>
    <definedName name="_xlnm.Print_Area" localSheetId="6">'Pg 7 UG-200901 Auth-1'!$A$1:$K$33</definedName>
    <definedName name="_xlnm.Print_Titles" localSheetId="0">'Pg 1 Res Nat Gas Deferral'!$1:$7</definedName>
    <definedName name="_xlnm.Print_Titles" localSheetId="1">'Pg 2 Non-Res Nat Gas Deferral'!$1:$7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0" i="2" l="1"/>
  <c r="O21" i="26"/>
  <c r="O28" i="26" s="1"/>
  <c r="O29" i="26" s="1"/>
  <c r="Q29" i="26" s="1"/>
  <c r="D40" i="27"/>
  <c r="D41" i="27" s="1"/>
  <c r="D39" i="27"/>
  <c r="D36" i="27"/>
  <c r="D31" i="27"/>
  <c r="D30" i="27"/>
  <c r="D27" i="27"/>
  <c r="D26" i="27"/>
  <c r="D20" i="27"/>
  <c r="D19" i="27"/>
  <c r="D21" i="27" s="1"/>
  <c r="D16" i="27"/>
  <c r="D11" i="27"/>
  <c r="D10" i="27"/>
  <c r="D7" i="27"/>
  <c r="D6" i="27"/>
  <c r="F29" i="2"/>
  <c r="G29" i="2" s="1"/>
  <c r="H29" i="2" s="1"/>
  <c r="I29" i="2" s="1"/>
  <c r="J29" i="2" s="1"/>
  <c r="K29" i="2" s="1"/>
  <c r="L29" i="2" s="1"/>
  <c r="E29" i="2"/>
  <c r="N28" i="2"/>
  <c r="E28" i="2"/>
  <c r="F28" i="2"/>
  <c r="G28" i="2"/>
  <c r="H28" i="2"/>
  <c r="I28" i="2"/>
  <c r="J28" i="2"/>
  <c r="K28" i="2"/>
  <c r="L28" i="2"/>
  <c r="N19" i="2"/>
  <c r="O19" i="2"/>
  <c r="E19" i="2"/>
  <c r="F19" i="2"/>
  <c r="G19" i="2"/>
  <c r="H19" i="2"/>
  <c r="I19" i="2"/>
  <c r="J19" i="2"/>
  <c r="K19" i="2"/>
  <c r="L19" i="2"/>
  <c r="D24" i="2"/>
  <c r="E24" i="2"/>
  <c r="F24" i="2"/>
  <c r="D23" i="2"/>
  <c r="E23" i="2"/>
  <c r="F23" i="2"/>
  <c r="D22" i="2"/>
  <c r="E22" i="2"/>
  <c r="F22" i="2"/>
  <c r="D18" i="2"/>
  <c r="E18" i="2"/>
  <c r="F18" i="2"/>
  <c r="D31" i="26"/>
  <c r="G31" i="26"/>
  <c r="F30" i="26"/>
  <c r="G30" i="26" s="1"/>
  <c r="H30" i="26" s="1"/>
  <c r="I30" i="26" s="1"/>
  <c r="J30" i="26" s="1"/>
  <c r="K30" i="26" s="1"/>
  <c r="L30" i="26" s="1"/>
  <c r="N29" i="26"/>
  <c r="E29" i="26"/>
  <c r="F29" i="26"/>
  <c r="G29" i="26"/>
  <c r="H29" i="26"/>
  <c r="I29" i="26"/>
  <c r="J29" i="26"/>
  <c r="K29" i="26"/>
  <c r="L29" i="26"/>
  <c r="N20" i="26"/>
  <c r="O20" i="26"/>
  <c r="E20" i="26"/>
  <c r="F20" i="26"/>
  <c r="G20" i="26"/>
  <c r="H20" i="26"/>
  <c r="I20" i="26"/>
  <c r="J20" i="26"/>
  <c r="K20" i="26"/>
  <c r="L20" i="26"/>
  <c r="D20" i="26"/>
  <c r="D25" i="26"/>
  <c r="E25" i="26"/>
  <c r="F25" i="26"/>
  <c r="D24" i="26"/>
  <c r="E24" i="26"/>
  <c r="F24" i="26"/>
  <c r="D23" i="26"/>
  <c r="E23" i="26"/>
  <c r="F23" i="26"/>
  <c r="D19" i="26"/>
  <c r="E19" i="26"/>
  <c r="F19" i="26"/>
  <c r="D32" i="27" l="1"/>
  <c r="D28" i="27"/>
  <c r="D34" i="27" s="1"/>
  <c r="D37" i="27" s="1"/>
  <c r="D43" i="27" s="1"/>
  <c r="D12" i="27"/>
  <c r="Q20" i="26"/>
  <c r="F37" i="1"/>
  <c r="C32" i="2" l="1"/>
  <c r="C33" i="26"/>
  <c r="N30" i="26"/>
  <c r="O30" i="26" s="1"/>
  <c r="E30" i="26"/>
  <c r="C28" i="26"/>
  <c r="C27" i="26"/>
  <c r="F26" i="26"/>
  <c r="F27" i="26" s="1"/>
  <c r="E26" i="26"/>
  <c r="E27" i="26" s="1"/>
  <c r="D26" i="26"/>
  <c r="D27" i="26" s="1"/>
  <c r="C26" i="26"/>
  <c r="O25" i="26"/>
  <c r="N25" i="26"/>
  <c r="M25" i="26"/>
  <c r="L25" i="26"/>
  <c r="K25" i="26"/>
  <c r="J25" i="26"/>
  <c r="I25" i="26"/>
  <c r="H25" i="26"/>
  <c r="G25" i="26"/>
  <c r="Q25" i="26" s="1"/>
  <c r="C25" i="26"/>
  <c r="O24" i="26"/>
  <c r="N24" i="26"/>
  <c r="N26" i="26" s="1"/>
  <c r="M24" i="26"/>
  <c r="M26" i="26" s="1"/>
  <c r="L24" i="26"/>
  <c r="L26" i="26" s="1"/>
  <c r="K24" i="26"/>
  <c r="K26" i="26" s="1"/>
  <c r="J24" i="26"/>
  <c r="J26" i="26" s="1"/>
  <c r="I24" i="26"/>
  <c r="I26" i="26" s="1"/>
  <c r="I27" i="26" s="1"/>
  <c r="H24" i="26"/>
  <c r="G24" i="26"/>
  <c r="C24" i="26"/>
  <c r="O23" i="26"/>
  <c r="N23" i="26"/>
  <c r="M23" i="26"/>
  <c r="L23" i="26"/>
  <c r="K23" i="26"/>
  <c r="J23" i="26"/>
  <c r="I23" i="26"/>
  <c r="H23" i="26"/>
  <c r="G23" i="26"/>
  <c r="Q23" i="26" s="1"/>
  <c r="C23" i="26"/>
  <c r="A20" i="26"/>
  <c r="A21" i="26" s="1"/>
  <c r="O19" i="26"/>
  <c r="N19" i="26"/>
  <c r="M19" i="26"/>
  <c r="L19" i="26"/>
  <c r="K19" i="26"/>
  <c r="J19" i="26"/>
  <c r="I19" i="26"/>
  <c r="H19" i="26"/>
  <c r="G19" i="26"/>
  <c r="D8" i="27" s="1"/>
  <c r="D14" i="27" s="1"/>
  <c r="D17" i="27" s="1"/>
  <c r="D23" i="27" s="1"/>
  <c r="C19" i="26"/>
  <c r="E6" i="26"/>
  <c r="F6" i="26" s="1"/>
  <c r="G6" i="26" s="1"/>
  <c r="H6" i="26" s="1"/>
  <c r="I6" i="26" s="1"/>
  <c r="J6" i="26" s="1"/>
  <c r="K6" i="26" s="1"/>
  <c r="L6" i="26" s="1"/>
  <c r="M6" i="26" s="1"/>
  <c r="N6" i="26" s="1"/>
  <c r="O6" i="26" s="1"/>
  <c r="J27" i="26" l="1"/>
  <c r="L27" i="26"/>
  <c r="N27" i="26"/>
  <c r="K27" i="26"/>
  <c r="M27" i="26"/>
  <c r="G26" i="26"/>
  <c r="G27" i="26" s="1"/>
  <c r="O26" i="26"/>
  <c r="O27" i="26" s="1"/>
  <c r="C21" i="26"/>
  <c r="H26" i="26"/>
  <c r="H27" i="26" s="1"/>
  <c r="Q19" i="26"/>
  <c r="Q24" i="26"/>
  <c r="B28" i="24"/>
  <c r="B27" i="24"/>
  <c r="P15" i="24"/>
  <c r="K16" i="24" s="1"/>
  <c r="P11" i="24"/>
  <c r="A9" i="24"/>
  <c r="A10" i="24" s="1"/>
  <c r="A11" i="24" s="1"/>
  <c r="A12" i="24" s="1"/>
  <c r="A13" i="24" s="1"/>
  <c r="A14" i="24" s="1"/>
  <c r="A15" i="24" s="1"/>
  <c r="A16" i="24" s="1"/>
  <c r="A17" i="24" s="1"/>
  <c r="A18" i="24" s="1"/>
  <c r="A19" i="24" s="1"/>
  <c r="A20" i="24" s="1"/>
  <c r="A4" i="24"/>
  <c r="A2" i="24"/>
  <c r="C13" i="23"/>
  <c r="A4" i="23"/>
  <c r="E20" i="25"/>
  <c r="E22" i="25" s="1"/>
  <c r="A6" i="25"/>
  <c r="B28" i="21"/>
  <c r="B27" i="21"/>
  <c r="P15" i="21"/>
  <c r="O16" i="21" s="1"/>
  <c r="A9" i="21"/>
  <c r="A10" i="21" s="1"/>
  <c r="A11" i="21" s="1"/>
  <c r="A12" i="21" s="1"/>
  <c r="A13" i="21" s="1"/>
  <c r="A14" i="21" s="1"/>
  <c r="A15" i="21" s="1"/>
  <c r="A16" i="21" s="1"/>
  <c r="A17" i="21" s="1"/>
  <c r="A18" i="21" s="1"/>
  <c r="A19" i="21" s="1"/>
  <c r="A20" i="21" s="1"/>
  <c r="A4" i="21"/>
  <c r="A2" i="21"/>
  <c r="C13" i="20"/>
  <c r="A4" i="20"/>
  <c r="E19" i="22"/>
  <c r="E21" i="22" s="1"/>
  <c r="E23" i="22" s="1"/>
  <c r="A5" i="22"/>
  <c r="Q26" i="26" l="1"/>
  <c r="J16" i="24"/>
  <c r="F16" i="24"/>
  <c r="N16" i="24"/>
  <c r="I16" i="24"/>
  <c r="N12" i="24"/>
  <c r="H12" i="24"/>
  <c r="J12" i="24"/>
  <c r="E12" i="24"/>
  <c r="M12" i="24"/>
  <c r="K12" i="24"/>
  <c r="C21" i="24"/>
  <c r="A21" i="24"/>
  <c r="A22" i="24" s="1"/>
  <c r="A23" i="24" s="1"/>
  <c r="A24" i="24" s="1"/>
  <c r="G12" i="24"/>
  <c r="O12" i="24"/>
  <c r="I12" i="24"/>
  <c r="D12" i="24"/>
  <c r="L12" i="24"/>
  <c r="L16" i="24"/>
  <c r="D16" i="24"/>
  <c r="E16" i="24"/>
  <c r="M16" i="24"/>
  <c r="O16" i="24"/>
  <c r="G16" i="24"/>
  <c r="F12" i="24"/>
  <c r="H16" i="24"/>
  <c r="E24" i="25"/>
  <c r="E26" i="25" s="1"/>
  <c r="E16" i="21"/>
  <c r="F16" i="21"/>
  <c r="H16" i="21"/>
  <c r="I16" i="21"/>
  <c r="M16" i="21"/>
  <c r="N16" i="21"/>
  <c r="C21" i="21"/>
  <c r="A21" i="21"/>
  <c r="A22" i="21" s="1"/>
  <c r="A23" i="21" s="1"/>
  <c r="A24" i="21" s="1"/>
  <c r="K16" i="21"/>
  <c r="P11" i="21"/>
  <c r="L12" i="21" s="1"/>
  <c r="D16" i="21"/>
  <c r="L16" i="21"/>
  <c r="J16" i="21"/>
  <c r="G16" i="21"/>
  <c r="E25" i="22"/>
  <c r="F12" i="21" l="1"/>
  <c r="G12" i="21"/>
  <c r="C25" i="24"/>
  <c r="A25" i="24"/>
  <c r="A26" i="24" s="1"/>
  <c r="A27" i="24" s="1"/>
  <c r="A28" i="24" s="1"/>
  <c r="P12" i="24"/>
  <c r="P16" i="24"/>
  <c r="D12" i="21"/>
  <c r="N12" i="21"/>
  <c r="A25" i="21"/>
  <c r="A26" i="21" s="1"/>
  <c r="A27" i="21" s="1"/>
  <c r="A28" i="21" s="1"/>
  <c r="C25" i="21"/>
  <c r="P16" i="21"/>
  <c r="M12" i="21"/>
  <c r="E12" i="21"/>
  <c r="J12" i="21"/>
  <c r="I12" i="21"/>
  <c r="H12" i="21"/>
  <c r="K12" i="21"/>
  <c r="O12" i="21"/>
  <c r="P12" i="21" l="1"/>
  <c r="C27" i="2" l="1"/>
  <c r="C26" i="2"/>
  <c r="C25" i="2"/>
  <c r="C24" i="2"/>
  <c r="C23" i="2"/>
  <c r="C22" i="2"/>
  <c r="C20" i="2"/>
  <c r="C18" i="2"/>
  <c r="O24" i="2" l="1"/>
  <c r="O23" i="2"/>
  <c r="O22" i="2"/>
  <c r="O18" i="2"/>
  <c r="N24" i="2"/>
  <c r="N23" i="2"/>
  <c r="N22" i="2"/>
  <c r="N18" i="2"/>
  <c r="M24" i="2"/>
  <c r="M23" i="2"/>
  <c r="M22" i="2"/>
  <c r="M18" i="2"/>
  <c r="L24" i="2"/>
  <c r="L23" i="2"/>
  <c r="L22" i="2"/>
  <c r="L18" i="2"/>
  <c r="K24" i="2"/>
  <c r="K23" i="2"/>
  <c r="K22" i="2"/>
  <c r="K18" i="2"/>
  <c r="J24" i="2"/>
  <c r="J23" i="2"/>
  <c r="J22" i="2"/>
  <c r="J18" i="2"/>
  <c r="I24" i="2"/>
  <c r="I23" i="2"/>
  <c r="I22" i="2"/>
  <c r="I18" i="2"/>
  <c r="H24" i="2"/>
  <c r="H23" i="2"/>
  <c r="H22" i="2"/>
  <c r="H18" i="2"/>
  <c r="G23" i="2"/>
  <c r="G22" i="2"/>
  <c r="G18" i="2"/>
  <c r="G24" i="2" l="1"/>
  <c r="H9" i="17"/>
  <c r="E29" i="17" l="1"/>
  <c r="D29" i="17"/>
  <c r="D27" i="17"/>
  <c r="E26" i="17"/>
  <c r="E11" i="23" s="1"/>
  <c r="D26" i="17"/>
  <c r="D11" i="23" s="1"/>
  <c r="F21" i="17"/>
  <c r="E21" i="17"/>
  <c r="D21" i="17"/>
  <c r="D28" i="17" s="1"/>
  <c r="D24" i="23" s="1"/>
  <c r="H19" i="17"/>
  <c r="E15" i="17"/>
  <c r="D15" i="17"/>
  <c r="D25" i="23" s="1"/>
  <c r="K14" i="17"/>
  <c r="K15" i="17" s="1"/>
  <c r="G15" i="17"/>
  <c r="E27" i="17"/>
  <c r="C13" i="17"/>
  <c r="K11" i="17"/>
  <c r="I11" i="17"/>
  <c r="H11" i="17"/>
  <c r="E11" i="17"/>
  <c r="D11" i="17"/>
  <c r="C10" i="17"/>
  <c r="G11" i="17"/>
  <c r="F11" i="17"/>
  <c r="C9" i="17"/>
  <c r="C19" i="17" l="1"/>
  <c r="E17" i="17"/>
  <c r="E23" i="17"/>
  <c r="D17" i="17"/>
  <c r="D23" i="17" s="1"/>
  <c r="D9" i="23" s="1"/>
  <c r="D13" i="23" s="1"/>
  <c r="K17" i="17"/>
  <c r="C11" i="17"/>
  <c r="G17" i="17"/>
  <c r="K20" i="17"/>
  <c r="K21" i="17" s="1"/>
  <c r="G21" i="17"/>
  <c r="E28" i="17" s="1"/>
  <c r="E24" i="23" s="1"/>
  <c r="F15" i="17"/>
  <c r="C15" i="17" s="1"/>
  <c r="D30" i="17"/>
  <c r="E37" i="17" l="1"/>
  <c r="E38" i="17" s="1"/>
  <c r="D23" i="23"/>
  <c r="D26" i="23" s="1"/>
  <c r="P20" i="24"/>
  <c r="E25" i="23"/>
  <c r="K23" i="17"/>
  <c r="C21" i="17"/>
  <c r="G23" i="17"/>
  <c r="D37" i="17"/>
  <c r="D38" i="17" s="1"/>
  <c r="E30" i="17"/>
  <c r="F17" i="17"/>
  <c r="H21" i="24" l="1"/>
  <c r="H21" i="26" s="1"/>
  <c r="H28" i="26" s="1"/>
  <c r="L21" i="24"/>
  <c r="L21" i="26" s="1"/>
  <c r="L28" i="26" s="1"/>
  <c r="D21" i="24"/>
  <c r="G21" i="24"/>
  <c r="K21" i="24"/>
  <c r="K21" i="26" s="1"/>
  <c r="K28" i="26" s="1"/>
  <c r="N21" i="24"/>
  <c r="N21" i="26" s="1"/>
  <c r="N28" i="26" s="1"/>
  <c r="O21" i="24"/>
  <c r="F21" i="24"/>
  <c r="M21" i="24"/>
  <c r="M20" i="26" s="1"/>
  <c r="M21" i="26" s="1"/>
  <c r="M28" i="26" s="1"/>
  <c r="M29" i="26" s="1"/>
  <c r="E21" i="24"/>
  <c r="I21" i="24"/>
  <c r="I21" i="26" s="1"/>
  <c r="I28" i="26" s="1"/>
  <c r="J21" i="24"/>
  <c r="J21" i="26" s="1"/>
  <c r="J28" i="26" s="1"/>
  <c r="F23" i="17"/>
  <c r="E9" i="23" s="1"/>
  <c r="E13" i="23" s="1"/>
  <c r="C17" i="17"/>
  <c r="G21" i="26" l="1"/>
  <c r="E23" i="23"/>
  <c r="E26" i="23" s="1"/>
  <c r="P24" i="24"/>
  <c r="P21" i="24"/>
  <c r="F37" i="17"/>
  <c r="F38" i="17" s="1"/>
  <c r="C23" i="17"/>
  <c r="G28" i="26" l="1"/>
  <c r="K25" i="24"/>
  <c r="J25" i="24"/>
  <c r="N25" i="24"/>
  <c r="I25" i="24"/>
  <c r="D25" i="24"/>
  <c r="F25" i="24"/>
  <c r="E25" i="24"/>
  <c r="H25" i="24"/>
  <c r="O25" i="24"/>
  <c r="M25" i="24"/>
  <c r="G25" i="24"/>
  <c r="L25" i="24"/>
  <c r="E6" i="2"/>
  <c r="P25" i="24" l="1"/>
  <c r="F6" i="2"/>
  <c r="Q24" i="2"/>
  <c r="G6" i="2" l="1"/>
  <c r="Q18" i="2"/>
  <c r="Q22" i="2"/>
  <c r="H6" i="2" l="1"/>
  <c r="I6" i="2" s="1"/>
  <c r="H25" i="2" l="1"/>
  <c r="L25" i="2"/>
  <c r="E25" i="2"/>
  <c r="I25" i="2"/>
  <c r="M25" i="2"/>
  <c r="F25" i="2"/>
  <c r="J25" i="2"/>
  <c r="N25" i="2"/>
  <c r="G25" i="2"/>
  <c r="K25" i="2"/>
  <c r="O25" i="2"/>
  <c r="J6" i="2"/>
  <c r="K26" i="2" l="1"/>
  <c r="F26" i="2"/>
  <c r="L26" i="2"/>
  <c r="G26" i="2"/>
  <c r="M26" i="2"/>
  <c r="H26" i="2"/>
  <c r="D25" i="2"/>
  <c r="Q23" i="2"/>
  <c r="N26" i="2"/>
  <c r="I26" i="2"/>
  <c r="O26" i="2"/>
  <c r="J26" i="2"/>
  <c r="E26" i="2"/>
  <c r="K6" i="2"/>
  <c r="Q25" i="2" l="1"/>
  <c r="D26" i="2"/>
  <c r="L6" i="2"/>
  <c r="M6" i="2" l="1"/>
  <c r="N6" i="2" l="1"/>
  <c r="O6" i="2" l="1"/>
  <c r="K14" i="1" l="1"/>
  <c r="K15" i="1" s="1"/>
  <c r="K11" i="1"/>
  <c r="D29" i="1"/>
  <c r="D27" i="1"/>
  <c r="D26" i="1"/>
  <c r="D11" i="20" s="1"/>
  <c r="E21" i="1"/>
  <c r="D21" i="1"/>
  <c r="D28" i="1" s="1"/>
  <c r="D24" i="20" s="1"/>
  <c r="H19" i="1"/>
  <c r="E15" i="1"/>
  <c r="D15" i="1"/>
  <c r="D25" i="20" s="1"/>
  <c r="H13" i="1"/>
  <c r="G15" i="1"/>
  <c r="E27" i="1"/>
  <c r="E11" i="1"/>
  <c r="D11" i="1"/>
  <c r="C10" i="1"/>
  <c r="I11" i="1"/>
  <c r="H9" i="1"/>
  <c r="C9" i="1" l="1"/>
  <c r="D30" i="1"/>
  <c r="C13" i="1"/>
  <c r="D17" i="1"/>
  <c r="D23" i="1" s="1"/>
  <c r="D9" i="20" s="1"/>
  <c r="D13" i="20" s="1"/>
  <c r="E17" i="1"/>
  <c r="E23" i="1" s="1"/>
  <c r="F11" i="1"/>
  <c r="F15" i="1"/>
  <c r="E25" i="20" s="1"/>
  <c r="K17" i="1"/>
  <c r="G21" i="1"/>
  <c r="K20" i="1"/>
  <c r="K21" i="1" s="1"/>
  <c r="C19" i="1"/>
  <c r="G11" i="1"/>
  <c r="G17" i="1" s="1"/>
  <c r="H11" i="1"/>
  <c r="E29" i="1"/>
  <c r="F21" i="1"/>
  <c r="E26" i="1"/>
  <c r="E11" i="20" s="1"/>
  <c r="D23" i="20" l="1"/>
  <c r="D26" i="20" s="1"/>
  <c r="P20" i="21"/>
  <c r="E37" i="1"/>
  <c r="E38" i="1" s="1"/>
  <c r="C15" i="1"/>
  <c r="C11" i="1"/>
  <c r="G23" i="1"/>
  <c r="K23" i="1"/>
  <c r="F17" i="1"/>
  <c r="C17" i="1" s="1"/>
  <c r="D37" i="1"/>
  <c r="D38" i="1" s="1"/>
  <c r="C21" i="1"/>
  <c r="E28" i="1"/>
  <c r="E24" i="20" s="1"/>
  <c r="L21" i="21" l="1"/>
  <c r="M21" i="21"/>
  <c r="E21" i="21"/>
  <c r="E21" i="26" s="1"/>
  <c r="E28" i="26" s="1"/>
  <c r="H21" i="21"/>
  <c r="K21" i="21"/>
  <c r="J21" i="21"/>
  <c r="D21" i="21"/>
  <c r="O21" i="21"/>
  <c r="I21" i="21"/>
  <c r="G21" i="21"/>
  <c r="N21" i="21"/>
  <c r="F21" i="21"/>
  <c r="F21" i="26" s="1"/>
  <c r="F28" i="26" s="1"/>
  <c r="F23" i="1"/>
  <c r="E9" i="20" s="1"/>
  <c r="E13" i="20" s="1"/>
  <c r="E30" i="1"/>
  <c r="D21" i="26" l="1"/>
  <c r="D28" i="26" s="1"/>
  <c r="E23" i="20"/>
  <c r="E26" i="20" s="1"/>
  <c r="P24" i="21"/>
  <c r="P21" i="21"/>
  <c r="F38" i="1"/>
  <c r="C23" i="1"/>
  <c r="D29" i="26" l="1"/>
  <c r="L25" i="21"/>
  <c r="F25" i="21"/>
  <c r="O25" i="21"/>
  <c r="N25" i="21"/>
  <c r="J25" i="21"/>
  <c r="G25" i="21"/>
  <c r="E25" i="21"/>
  <c r="H25" i="21"/>
  <c r="K25" i="21"/>
  <c r="I25" i="21"/>
  <c r="D25" i="21"/>
  <c r="M25" i="21"/>
  <c r="G20" i="2"/>
  <c r="K20" i="2"/>
  <c r="K27" i="2" s="1"/>
  <c r="I20" i="2"/>
  <c r="I27" i="2" s="1"/>
  <c r="L20" i="2"/>
  <c r="L27" i="2" s="1"/>
  <c r="N20" i="2"/>
  <c r="N27" i="2" s="1"/>
  <c r="H20" i="2"/>
  <c r="H27" i="2" s="1"/>
  <c r="M19" i="2"/>
  <c r="M20" i="2" s="1"/>
  <c r="M27" i="2" s="1"/>
  <c r="J20" i="2"/>
  <c r="J27" i="2" s="1"/>
  <c r="D32" i="26" l="1"/>
  <c r="D33" i="26"/>
  <c r="E31" i="26" s="1"/>
  <c r="P25" i="21"/>
  <c r="E20" i="2"/>
  <c r="E27" i="2" s="1"/>
  <c r="F20" i="2"/>
  <c r="F27" i="2" s="1"/>
  <c r="G27" i="2"/>
  <c r="M28" i="2"/>
  <c r="E32" i="26" l="1"/>
  <c r="D19" i="2"/>
  <c r="E33" i="26" l="1"/>
  <c r="F31" i="26" s="1"/>
  <c r="O27" i="2"/>
  <c r="O28" i="2" s="1"/>
  <c r="D20" i="2"/>
  <c r="Q19" i="2"/>
  <c r="F32" i="26" l="1"/>
  <c r="Q21" i="26"/>
  <c r="D27" i="2"/>
  <c r="Q20" i="2"/>
  <c r="F33" i="26" l="1"/>
  <c r="G32" i="26" s="1"/>
  <c r="Q28" i="26"/>
  <c r="D28" i="2"/>
  <c r="Q28" i="2" s="1"/>
  <c r="Q27" i="2"/>
  <c r="G33" i="26" l="1"/>
  <c r="H31" i="26" s="1"/>
  <c r="H32" i="26" s="1"/>
  <c r="D30" i="2"/>
  <c r="D31" i="2" s="1"/>
  <c r="H33" i="26" l="1"/>
  <c r="I31" i="26" s="1"/>
  <c r="I32" i="26" s="1"/>
  <c r="I33" i="26"/>
  <c r="J31" i="26" s="1"/>
  <c r="J32" i="26" s="1"/>
  <c r="D32" i="2"/>
  <c r="D34" i="2" s="1"/>
  <c r="J33" i="26" l="1"/>
  <c r="K31" i="26" s="1"/>
  <c r="K32" i="26" s="1"/>
  <c r="E30" i="2"/>
  <c r="E32" i="2" s="1"/>
  <c r="E34" i="2" s="1"/>
  <c r="K33" i="26" l="1"/>
  <c r="L31" i="26" s="1"/>
  <c r="L32" i="26" s="1"/>
  <c r="E31" i="2"/>
  <c r="F30" i="2"/>
  <c r="F32" i="2" s="1"/>
  <c r="F34" i="2" s="1"/>
  <c r="L33" i="26" l="1"/>
  <c r="M31" i="26" s="1"/>
  <c r="M32" i="26" s="1"/>
  <c r="G30" i="2"/>
  <c r="F31" i="2"/>
  <c r="M33" i="26" l="1"/>
  <c r="N31" i="26" s="1"/>
  <c r="N32" i="26" s="1"/>
  <c r="G32" i="2"/>
  <c r="G34" i="2" s="1"/>
  <c r="G31" i="2"/>
  <c r="N33" i="26" l="1"/>
  <c r="O31" i="26" s="1"/>
  <c r="O33" i="26" s="1"/>
  <c r="H30" i="2"/>
  <c r="Q31" i="26" l="1"/>
  <c r="O32" i="26"/>
  <c r="Q32" i="26" s="1"/>
  <c r="H32" i="2"/>
  <c r="H34" i="2" s="1"/>
  <c r="H31" i="2"/>
  <c r="I30" i="2" l="1"/>
  <c r="I32" i="2" s="1"/>
  <c r="I34" i="2" s="1"/>
  <c r="J30" i="2" l="1"/>
  <c r="I31" i="2"/>
  <c r="J32" i="2" l="1"/>
  <c r="J34" i="2" s="1"/>
  <c r="J31" i="2"/>
  <c r="K30" i="2" l="1"/>
  <c r="K32" i="2" l="1"/>
  <c r="K34" i="2" s="1"/>
  <c r="K31" i="2"/>
  <c r="L30" i="2" l="1"/>
  <c r="L32" i="2" s="1"/>
  <c r="L34" i="2" s="1"/>
  <c r="M30" i="2" l="1"/>
  <c r="L31" i="2"/>
  <c r="M32" i="2" l="1"/>
  <c r="M34" i="2" s="1"/>
  <c r="M31" i="2"/>
  <c r="N30" i="2" l="1"/>
  <c r="N32" i="2" s="1"/>
  <c r="N34" i="2" s="1"/>
  <c r="O30" i="2" l="1"/>
  <c r="O32" i="2" s="1"/>
  <c r="O34" i="2" s="1"/>
  <c r="N31" i="2"/>
  <c r="Q30" i="2" l="1"/>
  <c r="O31" i="2"/>
  <c r="Q31" i="2" s="1"/>
</calcChain>
</file>

<file path=xl/sharedStrings.xml><?xml version="1.0" encoding="utf-8"?>
<sst xmlns="http://schemas.openxmlformats.org/spreadsheetml/2006/main" count="434" uniqueCount="186">
  <si>
    <t>Avista Utilities</t>
  </si>
  <si>
    <t>Natural Gas Decoupling Mechanism</t>
  </si>
  <si>
    <t>Development of Decoupled Revenue by Rate Schedule - Natural Gas</t>
  </si>
  <si>
    <t xml:space="preserve"> </t>
  </si>
  <si>
    <t>RESIDENTIAL</t>
  </si>
  <si>
    <t xml:space="preserve">GENERAL SVC. </t>
  </si>
  <si>
    <t>LG. GEN. SVC.</t>
  </si>
  <si>
    <t>INTERRUPTIBLE</t>
  </si>
  <si>
    <t>SCHEDULES</t>
  </si>
  <si>
    <t>TOTAL</t>
  </si>
  <si>
    <t>SCHEDULE 101/102</t>
  </si>
  <si>
    <t>SCH. 111/112/116</t>
  </si>
  <si>
    <t>SCH. 121/122/126</t>
  </si>
  <si>
    <t>SCH 131</t>
  </si>
  <si>
    <t>146 &amp; 148</t>
  </si>
  <si>
    <t>Allowed Revenue Decrease (Attachment 2)</t>
  </si>
  <si>
    <t>Allowed Base Rate Revenue</t>
  </si>
  <si>
    <t>Schedule 150 PGA Rates excluded from base rates</t>
  </si>
  <si>
    <t>Variable Gas Supply Revenue</t>
  </si>
  <si>
    <t>Delivery Revenue  (Ln 3 - Ln 6)</t>
  </si>
  <si>
    <t xml:space="preserve"> Allowed Basic / Minimum Charges</t>
  </si>
  <si>
    <t>Basic Charge Revenue (Ln 8 * Ln 9)</t>
  </si>
  <si>
    <t>Excluded From Decoupling</t>
  </si>
  <si>
    <t>Decoupled Revenue</t>
  </si>
  <si>
    <t>Residential</t>
  </si>
  <si>
    <t>Non-Residential Group</t>
  </si>
  <si>
    <t>Average Number of Customers (Line 8 / 12)</t>
  </si>
  <si>
    <t>Annual Therms</t>
  </si>
  <si>
    <t>Basic Charge Revenues</t>
  </si>
  <si>
    <t>Customer Bills</t>
  </si>
  <si>
    <t>Average Basic Charge</t>
  </si>
  <si>
    <t>Attachment 5, Page 1</t>
  </si>
  <si>
    <t>check calculations - DO NOT PRINT</t>
  </si>
  <si>
    <t>avg decoupled rev/th</t>
  </si>
  <si>
    <t>check to avg rates</t>
  </si>
  <si>
    <t>Development of Decoupled Revenue Per Customer - Natural Gas</t>
  </si>
  <si>
    <t>Line No.</t>
  </si>
  <si>
    <t>Source</t>
  </si>
  <si>
    <t>Residential Schedules*</t>
  </si>
  <si>
    <t>Non-Residential Schedules**</t>
  </si>
  <si>
    <t>(a)</t>
  </si>
  <si>
    <t>(b)</t>
  </si>
  <si>
    <t>(c)</t>
  </si>
  <si>
    <t>(d)</t>
  </si>
  <si>
    <t>Decoupled Revenues</t>
  </si>
  <si>
    <t>Test Year # of Customers 12 ME12.2016</t>
  </si>
  <si>
    <t>Revenue Data</t>
  </si>
  <si>
    <t>Decoupled Revenue Per Customer</t>
  </si>
  <si>
    <t xml:space="preserve">*Rate Schedules 101, 102.  </t>
  </si>
  <si>
    <t xml:space="preserve">**Rate Schedules 111, 112, 116, 121, 122, 126, 131.  </t>
  </si>
  <si>
    <t>Revenues</t>
  </si>
  <si>
    <t>From Revenue Per Customer</t>
  </si>
  <si>
    <t>From Basic Charges</t>
  </si>
  <si>
    <t>From Gas Supply</t>
  </si>
  <si>
    <t>Total</t>
  </si>
  <si>
    <t>Schedule</t>
  </si>
  <si>
    <t>'Development of Monthly Decoupled Revenue Per Customer - Natural Gas</t>
  </si>
  <si>
    <t>Jan</t>
  </si>
  <si>
    <t>Feb</t>
  </si>
  <si>
    <t>Mar</t>
  </si>
  <si>
    <t>Apr</t>
  </si>
  <si>
    <t>May</t>
  </si>
  <si>
    <t>Jun</t>
  </si>
  <si>
    <t>Jul</t>
  </si>
  <si>
    <t>Aug</t>
  </si>
  <si>
    <t>Sep</t>
  </si>
  <si>
    <t>Oct</t>
  </si>
  <si>
    <t>Nov</t>
  </si>
  <si>
    <t>Dec</t>
  </si>
  <si>
    <t>(e)</t>
  </si>
  <si>
    <t>(f)</t>
  </si>
  <si>
    <t>(g)</t>
  </si>
  <si>
    <t>(h)</t>
  </si>
  <si>
    <t>(i)</t>
  </si>
  <si>
    <t>(j)</t>
  </si>
  <si>
    <t>(k)</t>
  </si>
  <si>
    <t>(l)</t>
  </si>
  <si>
    <t>(m)</t>
  </si>
  <si>
    <t>(n)</t>
  </si>
  <si>
    <t>(o)</t>
  </si>
  <si>
    <t>Natural Gas Delivery Volume</t>
  </si>
  <si>
    <t>Residential*</t>
  </si>
  <si>
    <t xml:space="preserve"> - Weather-Normalized Therm Delivery Volume</t>
  </si>
  <si>
    <t>Monthly Rate Year</t>
  </si>
  <si>
    <t xml:space="preserve">  - % of Annual Total</t>
  </si>
  <si>
    <t>% of Total</t>
  </si>
  <si>
    <t>Non-Residential**</t>
  </si>
  <si>
    <t>Monthly Decoupled Revenue Per Customer ("RPC")</t>
  </si>
  <si>
    <t>Attachment 5, P. 2 L. 3</t>
  </si>
  <si>
    <t xml:space="preserve">  -Monthly Decoupled RPC</t>
  </si>
  <si>
    <t>Attachment 5, Page 3</t>
  </si>
  <si>
    <t>AVISTA UTILITIES</t>
  </si>
  <si>
    <t>REVENUE CONVERSION FACTOR</t>
  </si>
  <si>
    <t>WASHINGTON NATURAL GAS</t>
  </si>
  <si>
    <t xml:space="preserve">Line </t>
  </si>
  <si>
    <t>No.</t>
  </si>
  <si>
    <t>Description</t>
  </si>
  <si>
    <t>Factor</t>
  </si>
  <si>
    <t>Expense:</t>
  </si>
  <si>
    <t xml:space="preserve">  Uncollectibles  </t>
  </si>
  <si>
    <t xml:space="preserve">  Commission Fees </t>
  </si>
  <si>
    <t xml:space="preserve">  Washington Excise Tax  </t>
  </si>
  <si>
    <t xml:space="preserve">    Total Expense</t>
  </si>
  <si>
    <t>Net Operating Income Before FIT</t>
  </si>
  <si>
    <t xml:space="preserve">  Federal Income Tax @ 21%</t>
  </si>
  <si>
    <t>(Per Order No. 6; UE-120437, dated 6/20/2012 - "hard" CF rounded to 6 digits)</t>
  </si>
  <si>
    <t>Residential Group</t>
  </si>
  <si>
    <t>Actual Customers</t>
  </si>
  <si>
    <t>Revenue System</t>
  </si>
  <si>
    <t>Monthly Decoupled Revenue per Customer</t>
  </si>
  <si>
    <t>Actual Fixed Charge Revenue</t>
  </si>
  <si>
    <t>Customer Decoupled Payments</t>
  </si>
  <si>
    <t>Residential Revenue Per Customer Received</t>
  </si>
  <si>
    <t>Deferral - Surcharge (Rebate)</t>
  </si>
  <si>
    <t>Deferral - Revenue Related Expenses</t>
  </si>
  <si>
    <t>Rev Conv Factor</t>
  </si>
  <si>
    <t>FERC Rate</t>
  </si>
  <si>
    <t>Interest on Deferral</t>
  </si>
  <si>
    <t>Avg Balance Calc</t>
  </si>
  <si>
    <t>Monthly Residential Deferral Totals</t>
  </si>
  <si>
    <t>Cumulative Deferral (Rebate) Balance</t>
  </si>
  <si>
    <t>Non-Residential Revenue Per Customer Received</t>
  </si>
  <si>
    <t>Monthly Non-Residential Deferral Totals</t>
  </si>
  <si>
    <t>Total Cumulative Deferral (Rebate)</t>
  </si>
  <si>
    <t>Non-Residential</t>
  </si>
  <si>
    <t>Total Normalized 12 ME Dec 2018 Revenue</t>
  </si>
  <si>
    <t>Normalized Therms (12ME Dec 2018 Test Year)</t>
  </si>
  <si>
    <t>Customer Bills (12ME Dec 2018 Test Year)</t>
  </si>
  <si>
    <t>TWELVE MONTHS ENDED DECEMBER 31, 2018</t>
  </si>
  <si>
    <t>Actual Base Rate Revenue</t>
  </si>
  <si>
    <t>New Customers</t>
  </si>
  <si>
    <t>New Customer Base Rate Revenue</t>
  </si>
  <si>
    <t>Actual Usage ("Therms)</t>
  </si>
  <si>
    <t>New Customer Fixed Charge Revenue</t>
  </si>
  <si>
    <t>New Customer Usage (Therms)</t>
  </si>
  <si>
    <t>Actual/Test Year Existing Customers</t>
  </si>
  <si>
    <t>Actual Usage /Test Year Existing</t>
  </si>
  <si>
    <t>Actual Base Rate Revenue / Test Year Existing</t>
  </si>
  <si>
    <t>Actual Fixed Charge Revenue / Test Year Existing</t>
  </si>
  <si>
    <t>Attachment 4, Page 3</t>
  </si>
  <si>
    <t>Test Year Existing Customers</t>
  </si>
  <si>
    <t>Actual Usage (Therms) /Test Year Existing</t>
  </si>
  <si>
    <t>Attachment 4, Page 1</t>
  </si>
  <si>
    <t>Test Year # of Customers 12 ME12.2018</t>
  </si>
  <si>
    <t xml:space="preserve">  -UG-190335Decoupled RPC</t>
  </si>
  <si>
    <t xml:space="preserve">  -UG-190335 Decoupled RPC</t>
  </si>
  <si>
    <t xml:space="preserve">**Rate Schedules 111, 112, 116, 131.  </t>
  </si>
  <si>
    <t>Purpose:</t>
  </si>
  <si>
    <t>Procedure:</t>
  </si>
  <si>
    <t>Decoupled Revenue to record for December to reflect true-up</t>
  </si>
  <si>
    <t>December Decoupled Revenue per Customer (line 10, column n in Deferral Calc)</t>
  </si>
  <si>
    <t>Net increase/(decrease) to Decoupled Revenue due to Average Calculation</t>
  </si>
  <si>
    <t>December Decoupled Revenue per Customer (line 34, column n in Deferral Calc)</t>
  </si>
  <si>
    <t>As required by UG-190335 (UE-190222, consolidated) paragraph 111, the Company is required to calculate decoupled revenue using YTD average customers, compare to what was recorded using monthly customer counts, and record the difference so that the annual decoupled revenue is based on YTD average customers.</t>
  </si>
  <si>
    <t>* As approved in Docket No. UG-190335, the Company is required to calculate decoupled revenue using YTD average customers, compare to what was recorded using monthly customer counts, and record the difference in December so that the annual decoupled revenue is based on YTD average customers. This amount includes that annual true-up that resulted in a decrease to decoupled revenue of $19,742.07.</t>
  </si>
  <si>
    <t>*</t>
  </si>
  <si>
    <t>**</t>
  </si>
  <si>
    <t>** As approved in Docket No. UG-190335, the Company is required to calculate decoupled revenue using YTD average customers, compare to what was recorded using monthly customer counts, and record the difference in December so that the annual decoupled revenue is based on YTD average customers. This amount includes that annual true-up that resulted in a decrease to decoupled revenue of $12,689.42.</t>
  </si>
  <si>
    <t>(22) + (44)</t>
  </si>
  <si>
    <t>Washington Docket No. UG-190355 Compliance Filing</t>
  </si>
  <si>
    <t>Attachment 4, Page 2</t>
  </si>
  <si>
    <t>Attachment 4, Page 4</t>
  </si>
  <si>
    <t>Washington Docket No. UG-200901 Compliance Filing</t>
  </si>
  <si>
    <t>TWELVE MONTHS ENDED DECEMBER 31, 2019</t>
  </si>
  <si>
    <t>Separately for residential and non-residential, calculated average customers and multiplied that by the sum of decoupled revenue by month  to calculate total allowed decoupled revenue for the period based on average customers. Note, the average customer calculation and allowed revenue was broken out into the period of Jan - Sep 2021 when the UG-190335 authorized base was in effect and Oct - Dec 2021 when the UG-200901 authorized base was in effect. This was compared to the amount recorded using monthly actual customers and monthly decoupled revenue per customer. The difference was recorded with the monthly decoupled revenue for December 2021.</t>
  </si>
  <si>
    <t>Average Actual Customers (average of line 9 in Deferral Calc for Jan-Sep 2021 - UG-190335)</t>
  </si>
  <si>
    <t>Sum of Decoupled Revenue (sum of line 10 in Deferral Calc for Jan-Sep 2021 - UG-190335)</t>
  </si>
  <si>
    <t>Total Decoupled Revenue using Average Actual Customers</t>
  </si>
  <si>
    <t>A</t>
  </si>
  <si>
    <t>Average Actual Customers (average of line 9 in Deferral Calc for Oct-Dec 2021 - UG-200901)</t>
  </si>
  <si>
    <t>Sum of Decoupled Revenue (sum of line 10 in Deferral Calc for Oct-Dec 2021 - UG-200901)</t>
  </si>
  <si>
    <t>Total Annual Authorized Decoupled Revenue using Average Actual Customers</t>
  </si>
  <si>
    <t>Less January - November Decoupled Revenue (sum of line 11 in Deferral Calc for Jan-Dec 2021)</t>
  </si>
  <si>
    <t>December Actual Customers (line 9, column n in Deferral Calc)</t>
  </si>
  <si>
    <t>Total Decoupled Revenue for December using monthly actuals</t>
  </si>
  <si>
    <t>Average Actual Customers (average of line 33 in Deferral Calc for Jan-Sep 2021 - UG-190335)</t>
  </si>
  <si>
    <t>Sum of Decoupled Revenue (sum of line 34 in Deferral Calc for Jan-Sep 2021 - UG-190335)</t>
  </si>
  <si>
    <t>B</t>
  </si>
  <si>
    <t>Average Actual Customers (average of line 33 in Deferral Calc for Oct-Dec 2021 - UG-200901)</t>
  </si>
  <si>
    <t>Sum of Decoupled Revenue (sum of line 34 in Deferral Calc for Oct-Dec 2021 - UG-200901)</t>
  </si>
  <si>
    <t>Less January - November Decoupled Revenue (sum of line 35 in Deferral Calc for Jan-Nov 2021)</t>
  </si>
  <si>
    <t>December Actual Customers (line 33, column n in Deferral Calc)</t>
  </si>
  <si>
    <t>Revised</t>
  </si>
  <si>
    <t>Decoupling Mechanism
UG-190335 Base effective 4/1/2020 &amp; UG-200901 Base Effective 10-1-2021</t>
  </si>
  <si>
    <t>Development of WA Natural Gas Deferrals (Calendar Year 2021)</t>
  </si>
  <si>
    <t>Decoupling Mechanism
UG-190335 Base effective 4/1/2020 &amp; UG-200901 Base Effective 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</si>
</sst>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409]mmm\-yy;@"/>
    <numFmt numFmtId="168" formatCode="0.000000"/>
    <numFmt numFmtId="169" formatCode="&quot;$&quot;#,##0.00"/>
  </numFmts>
  <fonts count="37" x14ac:knownFonts="1">
    <font>
      <sz val="11"/>
      <color theme="1"/>
      <name val="Calibri"/>
      <family val="2"/>
      <scheme val="minor"/>
    </font>
    <font>
      <sz val="11"/>
      <color theme="1"/>
      <name val="Calibri"/>
      <family val="2"/>
      <scheme val="minor"/>
    </font>
    <font>
      <sz val="10"/>
      <color theme="1"/>
      <name val="Calibri"/>
      <family val="2"/>
    </font>
    <font>
      <b/>
      <sz val="12"/>
      <name val="Times New Roman"/>
      <family val="1"/>
    </font>
    <font>
      <b/>
      <sz val="12"/>
      <color theme="1"/>
      <name val="Times New Roman"/>
      <family val="1"/>
    </font>
    <font>
      <sz val="12"/>
      <color theme="1"/>
      <name val="Times New Roman"/>
      <family val="1"/>
    </font>
    <font>
      <sz val="11"/>
      <name val="Times New Roman"/>
      <family val="1"/>
    </font>
    <font>
      <sz val="12"/>
      <name val="Times New Roman"/>
      <family val="1"/>
    </font>
    <font>
      <b/>
      <sz val="14"/>
      <color theme="1"/>
      <name val="Calibri"/>
      <family val="2"/>
      <scheme val="minor"/>
    </font>
    <font>
      <sz val="14"/>
      <color theme="1"/>
      <name val="Calibri"/>
      <family val="2"/>
      <scheme val="minor"/>
    </font>
    <font>
      <b/>
      <sz val="10"/>
      <name val="Arial"/>
      <family val="2"/>
    </font>
    <font>
      <sz val="10"/>
      <name val="Arial"/>
      <family val="2"/>
    </font>
    <font>
      <b/>
      <sz val="14"/>
      <name val="Times New Roman"/>
      <family val="1"/>
    </font>
    <font>
      <sz val="10"/>
      <color theme="1"/>
      <name val="Times New Roman"/>
      <family val="1"/>
    </font>
    <font>
      <b/>
      <sz val="10"/>
      <name val="Times New Roman"/>
      <family val="1"/>
    </font>
    <font>
      <b/>
      <i/>
      <u/>
      <sz val="10"/>
      <color theme="1"/>
      <name val="Times New Roman"/>
      <family val="1"/>
    </font>
    <font>
      <b/>
      <u/>
      <sz val="10"/>
      <color theme="1"/>
      <name val="Times New Roman"/>
      <family val="1"/>
    </font>
    <font>
      <i/>
      <u/>
      <sz val="10"/>
      <color theme="1"/>
      <name val="Times New Roman"/>
      <family val="1"/>
    </font>
    <font>
      <sz val="11"/>
      <color theme="1"/>
      <name val="Times New Roman"/>
      <family val="1"/>
    </font>
    <font>
      <sz val="10"/>
      <name val="Times New Roman"/>
      <family val="1"/>
    </font>
    <font>
      <b/>
      <sz val="11"/>
      <name val="Times New Roman"/>
      <family val="1"/>
    </font>
    <font>
      <b/>
      <sz val="11"/>
      <color theme="1"/>
      <name val="Times New Roman"/>
      <family val="1"/>
    </font>
    <font>
      <b/>
      <sz val="9"/>
      <name val="Times New Roman"/>
      <family val="1"/>
    </font>
    <font>
      <b/>
      <sz val="10"/>
      <color indexed="48"/>
      <name val="Times New Roman"/>
      <family val="1"/>
    </font>
    <font>
      <sz val="10"/>
      <color indexed="48"/>
      <name val="Times New Roman"/>
      <family val="1"/>
    </font>
    <font>
      <sz val="10"/>
      <color indexed="12"/>
      <name val="Times New Roman"/>
      <family val="1"/>
    </font>
    <font>
      <i/>
      <sz val="10"/>
      <name val="Times New Roman"/>
      <family val="1"/>
    </font>
    <font>
      <i/>
      <sz val="9"/>
      <name val="Times New Roman"/>
      <family val="1"/>
    </font>
    <font>
      <b/>
      <sz val="11"/>
      <color theme="1"/>
      <name val="Calibri"/>
      <family val="2"/>
      <scheme val="minor"/>
    </font>
    <font>
      <b/>
      <sz val="10"/>
      <color theme="1"/>
      <name val="Times New Roman"/>
      <family val="1"/>
    </font>
    <font>
      <sz val="10"/>
      <color rgb="FF3333FF"/>
      <name val="Times New Roman"/>
      <family val="1"/>
    </font>
    <font>
      <sz val="10"/>
      <name val="Calibri"/>
      <family val="2"/>
    </font>
    <font>
      <sz val="10"/>
      <color theme="1"/>
      <name val="Tahoma"/>
      <family val="2"/>
    </font>
    <font>
      <b/>
      <sz val="10"/>
      <color rgb="FFFF0000"/>
      <name val="Times New Roman"/>
      <family val="1"/>
    </font>
    <font>
      <b/>
      <sz val="11"/>
      <color rgb="FFFF0000"/>
      <name val="Calibri"/>
      <family val="2"/>
      <scheme val="minor"/>
    </font>
    <font>
      <sz val="10"/>
      <color theme="6" tint="-0.499984740745262"/>
      <name val="Times New Roman"/>
      <family val="1"/>
    </font>
    <font>
      <sz val="10"/>
      <color rgb="FF0000FF"/>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s>
  <borders count="7">
    <border>
      <left/>
      <right/>
      <top/>
      <bottom/>
      <diagonal/>
    </border>
    <border>
      <left style="thick">
        <color auto="1"/>
      </left>
      <right/>
      <top/>
      <bottom/>
      <diagonal/>
    </border>
    <border>
      <left/>
      <right/>
      <top/>
      <bottom style="thin">
        <color indexed="64"/>
      </bottom>
      <diagonal/>
    </border>
    <border>
      <left style="thick">
        <color auto="1"/>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0" fillId="3" borderId="2" applyNumberFormat="0">
      <alignment horizontal="center" vertical="center" wrapText="1"/>
    </xf>
    <xf numFmtId="44" fontId="11" fillId="0" borderId="0" applyFont="0" applyFill="0" applyBorder="0" applyAlignment="0" applyProtection="0"/>
    <xf numFmtId="43" fontId="2" fillId="0" borderId="0" applyFont="0" applyFill="0" applyBorder="0" applyAlignment="0" applyProtection="0"/>
    <xf numFmtId="0" fontId="10" fillId="3" borderId="2" applyNumberFormat="0">
      <alignment horizontal="center" vertical="center" wrapText="1"/>
    </xf>
    <xf numFmtId="9" fontId="2" fillId="0" borderId="0" applyFont="0" applyFill="0" applyBorder="0" applyAlignment="0" applyProtection="0"/>
    <xf numFmtId="44" fontId="2" fillId="0" borderId="0" applyFont="0" applyFill="0" applyBorder="0" applyAlignment="0" applyProtection="0"/>
    <xf numFmtId="0" fontId="11" fillId="0" borderId="0"/>
    <xf numFmtId="0" fontId="3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0" fontId="4" fillId="2" borderId="0" xfId="0" applyFont="1" applyFill="1" applyAlignment="1">
      <alignment horizontal="center"/>
    </xf>
    <xf numFmtId="0" fontId="5" fillId="2" borderId="0" xfId="0" applyFont="1" applyFill="1"/>
    <xf numFmtId="0" fontId="6" fillId="2" borderId="0" xfId="0" applyFont="1" applyFill="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5" fillId="2" borderId="1" xfId="0" applyFont="1" applyFill="1" applyBorder="1"/>
    <xf numFmtId="0" fontId="0" fillId="2" borderId="0" xfId="0" applyFill="1" applyBorder="1"/>
    <xf numFmtId="164" fontId="5" fillId="2" borderId="0" xfId="2" applyNumberFormat="1" applyFont="1" applyFill="1"/>
    <xf numFmtId="164" fontId="5" fillId="0" borderId="0" xfId="2" applyNumberFormat="1" applyFont="1" applyFill="1"/>
    <xf numFmtId="164" fontId="5" fillId="0" borderId="1" xfId="2" applyNumberFormat="1" applyFont="1" applyFill="1" applyBorder="1"/>
    <xf numFmtId="164" fontId="5" fillId="0" borderId="0" xfId="2" applyNumberFormat="1" applyFont="1" applyFill="1" applyBorder="1"/>
    <xf numFmtId="0" fontId="7" fillId="2" borderId="0" xfId="0" applyFont="1" applyFill="1"/>
    <xf numFmtId="164" fontId="5" fillId="2" borderId="0" xfId="0" applyNumberFormat="1" applyFont="1" applyFill="1"/>
    <xf numFmtId="164" fontId="5" fillId="2" borderId="1" xfId="0" applyNumberFormat="1" applyFont="1" applyFill="1" applyBorder="1"/>
    <xf numFmtId="164" fontId="5" fillId="2" borderId="0" xfId="0" applyNumberFormat="1" applyFont="1" applyFill="1" applyBorder="1"/>
    <xf numFmtId="165" fontId="5" fillId="2" borderId="0" xfId="0" applyNumberFormat="1" applyFont="1" applyFill="1"/>
    <xf numFmtId="165" fontId="5" fillId="2" borderId="0" xfId="1" applyNumberFormat="1" applyFont="1" applyFill="1"/>
    <xf numFmtId="165" fontId="5" fillId="2" borderId="1" xfId="1" applyNumberFormat="1" applyFont="1" applyFill="1" applyBorder="1"/>
    <xf numFmtId="165" fontId="5" fillId="2" borderId="0" xfId="1" applyNumberFormat="1" applyFont="1" applyFill="1" applyBorder="1"/>
    <xf numFmtId="0" fontId="5" fillId="0" borderId="0" xfId="0" applyFont="1" applyFill="1"/>
    <xf numFmtId="166" fontId="5" fillId="0" borderId="0" xfId="2" applyNumberFormat="1" applyFont="1" applyFill="1"/>
    <xf numFmtId="0" fontId="0" fillId="0" borderId="1" xfId="0" applyBorder="1"/>
    <xf numFmtId="0" fontId="0" fillId="0" borderId="0" xfId="0" applyBorder="1"/>
    <xf numFmtId="37" fontId="5" fillId="2" borderId="0" xfId="0" applyNumberFormat="1" applyFont="1" applyFill="1"/>
    <xf numFmtId="7" fontId="5" fillId="0" borderId="0" xfId="2" applyNumberFormat="1" applyFont="1" applyFill="1"/>
    <xf numFmtId="7" fontId="5" fillId="0" borderId="0" xfId="2" applyNumberFormat="1" applyFont="1" applyFill="1" applyAlignment="1">
      <alignment horizontal="center"/>
    </xf>
    <xf numFmtId="164" fontId="5" fillId="2" borderId="1" xfId="2" applyNumberFormat="1" applyFont="1" applyFill="1" applyBorder="1" applyAlignment="1">
      <alignment horizontal="center"/>
    </xf>
    <xf numFmtId="164" fontId="5" fillId="2" borderId="0" xfId="2" applyNumberFormat="1" applyFont="1" applyFill="1" applyAlignment="1">
      <alignment horizontal="center"/>
    </xf>
    <xf numFmtId="0" fontId="5" fillId="0" borderId="0" xfId="0" applyFont="1"/>
    <xf numFmtId="0" fontId="0" fillId="2" borderId="1" xfId="0" applyFill="1" applyBorder="1" applyAlignment="1">
      <alignment vertical="center"/>
    </xf>
    <xf numFmtId="0" fontId="0" fillId="2" borderId="0" xfId="0" applyFill="1" applyBorder="1" applyAlignment="1">
      <alignment vertical="center"/>
    </xf>
    <xf numFmtId="0" fontId="5" fillId="2" borderId="0" xfId="0" applyFont="1" applyFill="1" applyAlignment="1">
      <alignment horizontal="center"/>
    </xf>
    <xf numFmtId="44" fontId="0" fillId="0" borderId="0" xfId="0" applyNumberFormat="1"/>
    <xf numFmtId="7" fontId="5" fillId="2" borderId="0" xfId="2" applyNumberFormat="1" applyFont="1" applyFill="1"/>
    <xf numFmtId="0" fontId="8" fillId="0" borderId="0" xfId="0" applyFont="1"/>
    <xf numFmtId="0" fontId="9" fillId="0" borderId="0" xfId="0" applyFont="1"/>
    <xf numFmtId="164" fontId="0" fillId="0" borderId="0" xfId="0" applyNumberFormat="1"/>
    <xf numFmtId="166" fontId="0" fillId="0" borderId="0" xfId="0" applyNumberFormat="1"/>
    <xf numFmtId="0" fontId="5" fillId="2" borderId="0" xfId="4" applyFont="1" applyFill="1"/>
    <xf numFmtId="41" fontId="3" fillId="2" borderId="2" xfId="5" applyNumberFormat="1" applyFont="1" applyFill="1" applyBorder="1">
      <alignment horizontal="center" vertical="center" wrapText="1"/>
    </xf>
    <xf numFmtId="0" fontId="5" fillId="2" borderId="2" xfId="4" applyFont="1" applyFill="1" applyBorder="1"/>
    <xf numFmtId="0" fontId="5" fillId="2" borderId="0" xfId="4" applyFont="1" applyFill="1" applyAlignment="1">
      <alignment horizontal="center"/>
    </xf>
    <xf numFmtId="0" fontId="5" fillId="2" borderId="0" xfId="4" applyFont="1" applyFill="1" applyAlignment="1">
      <alignment horizontal="left"/>
    </xf>
    <xf numFmtId="164" fontId="5" fillId="2" borderId="0" xfId="6" applyNumberFormat="1" applyFont="1" applyFill="1"/>
    <xf numFmtId="165" fontId="5" fillId="2" borderId="0" xfId="7" applyNumberFormat="1" applyFont="1" applyFill="1" applyBorder="1"/>
    <xf numFmtId="44" fontId="5" fillId="2" borderId="0" xfId="6" applyNumberFormat="1" applyFont="1" applyFill="1"/>
    <xf numFmtId="0" fontId="5" fillId="2" borderId="0" xfId="4" quotePrefix="1" applyFont="1" applyFill="1" applyAlignment="1">
      <alignment horizontal="left"/>
    </xf>
    <xf numFmtId="164" fontId="5" fillId="2" borderId="0" xfId="4" applyNumberFormat="1" applyFont="1" applyFill="1"/>
    <xf numFmtId="0" fontId="5" fillId="0" borderId="0" xfId="0" applyFont="1" applyAlignment="1">
      <alignment horizontal="right"/>
    </xf>
    <xf numFmtId="164" fontId="5" fillId="0" borderId="0" xfId="2" applyNumberFormat="1" applyFont="1"/>
    <xf numFmtId="164" fontId="5" fillId="0" borderId="4" xfId="2" applyNumberFormat="1" applyFont="1" applyBorder="1"/>
    <xf numFmtId="164" fontId="0" fillId="0" borderId="0" xfId="2" applyNumberFormat="1" applyFont="1"/>
    <xf numFmtId="165" fontId="0" fillId="0" borderId="0" xfId="1" applyNumberFormat="1" applyFont="1"/>
    <xf numFmtId="0" fontId="13" fillId="2" borderId="0" xfId="4" applyFont="1" applyFill="1"/>
    <xf numFmtId="0" fontId="13" fillId="2" borderId="0" xfId="4" applyFont="1" applyFill="1" applyAlignment="1">
      <alignment horizontal="center"/>
    </xf>
    <xf numFmtId="41" fontId="14" fillId="2" borderId="2" xfId="8" applyNumberFormat="1" applyFont="1" applyFill="1" applyBorder="1">
      <alignment horizontal="center" vertical="center" wrapText="1"/>
    </xf>
    <xf numFmtId="0" fontId="13" fillId="2" borderId="2" xfId="4" applyFont="1" applyFill="1" applyBorder="1"/>
    <xf numFmtId="41" fontId="14" fillId="2" borderId="2" xfId="8" applyNumberFormat="1" applyFont="1" applyFill="1" applyBorder="1" applyAlignment="1">
      <alignment horizontal="center" vertical="center" wrapText="1"/>
    </xf>
    <xf numFmtId="167" fontId="14" fillId="2" borderId="2" xfId="8" applyNumberFormat="1" applyFont="1" applyFill="1" applyBorder="1">
      <alignment horizontal="center" vertical="center" wrapText="1"/>
    </xf>
    <xf numFmtId="0" fontId="15" fillId="2" borderId="0" xfId="4" applyFont="1" applyFill="1" applyAlignment="1">
      <alignment horizontal="left"/>
    </xf>
    <xf numFmtId="0" fontId="16" fillId="2" borderId="0" xfId="4" applyFont="1" applyFill="1"/>
    <xf numFmtId="164" fontId="13" fillId="2" borderId="0" xfId="6" applyNumberFormat="1" applyFont="1" applyFill="1"/>
    <xf numFmtId="3" fontId="13" fillId="2" borderId="0" xfId="4" applyNumberFormat="1" applyFont="1" applyFill="1"/>
    <xf numFmtId="0" fontId="17" fillId="2" borderId="0" xfId="4" applyFont="1" applyFill="1"/>
    <xf numFmtId="0" fontId="13" fillId="2" borderId="0" xfId="4" quotePrefix="1" applyFont="1" applyFill="1" applyAlignment="1">
      <alignment horizontal="left"/>
    </xf>
    <xf numFmtId="165" fontId="18" fillId="0" borderId="0" xfId="0" applyNumberFormat="1" applyFont="1"/>
    <xf numFmtId="3" fontId="19" fillId="2" borderId="0" xfId="4" applyNumberFormat="1" applyFont="1" applyFill="1"/>
    <xf numFmtId="0" fontId="19" fillId="2" borderId="0" xfId="4" quotePrefix="1" applyFont="1" applyFill="1" applyAlignment="1">
      <alignment horizontal="center"/>
    </xf>
    <xf numFmtId="10" fontId="19" fillId="2" borderId="0" xfId="9" applyNumberFormat="1" applyFont="1" applyFill="1"/>
    <xf numFmtId="0" fontId="19" fillId="2" borderId="0" xfId="4" applyFont="1" applyFill="1" applyAlignment="1">
      <alignment horizontal="center"/>
    </xf>
    <xf numFmtId="0" fontId="19" fillId="2" borderId="0" xfId="4" applyFont="1" applyFill="1"/>
    <xf numFmtId="10" fontId="13" fillId="2" borderId="0" xfId="9" applyNumberFormat="1" applyFont="1" applyFill="1"/>
    <xf numFmtId="44" fontId="13" fillId="2" borderId="0" xfId="10" applyFont="1" applyFill="1" applyAlignment="1">
      <alignment horizontal="center"/>
    </xf>
    <xf numFmtId="44" fontId="13" fillId="2" borderId="0" xfId="4" applyNumberFormat="1" applyFont="1" applyFill="1"/>
    <xf numFmtId="165" fontId="13" fillId="2" borderId="0" xfId="7" applyNumberFormat="1" applyFont="1" applyFill="1" applyAlignment="1">
      <alignment horizontal="center"/>
    </xf>
    <xf numFmtId="0" fontId="18" fillId="0" borderId="0" xfId="0" applyFont="1"/>
    <xf numFmtId="0" fontId="22" fillId="0" borderId="0" xfId="0" applyFont="1" applyBorder="1" applyAlignment="1">
      <alignment horizontal="center"/>
    </xf>
    <xf numFmtId="0" fontId="19" fillId="0" borderId="0" xfId="0" applyFont="1"/>
    <xf numFmtId="168" fontId="23" fillId="0" borderId="0" xfId="0" applyNumberFormat="1" applyFont="1" applyAlignment="1">
      <alignment horizontal="center"/>
    </xf>
    <xf numFmtId="168" fontId="19" fillId="0" borderId="0" xfId="0" applyNumberFormat="1" applyFont="1"/>
    <xf numFmtId="168" fontId="14" fillId="0" borderId="0" xfId="0" applyNumberFormat="1" applyFont="1"/>
    <xf numFmtId="0" fontId="22" fillId="0" borderId="2" xfId="0" applyFont="1" applyBorder="1" applyAlignment="1">
      <alignment horizontal="center"/>
    </xf>
    <xf numFmtId="0" fontId="19" fillId="0" borderId="0" xfId="0" applyFont="1" applyAlignment="1">
      <alignment horizontal="center"/>
    </xf>
    <xf numFmtId="0" fontId="22" fillId="0" borderId="0" xfId="0" applyFont="1" applyAlignment="1">
      <alignment horizontal="center"/>
    </xf>
    <xf numFmtId="168" fontId="19" fillId="0" borderId="0" xfId="11" applyNumberFormat="1" applyFont="1"/>
    <xf numFmtId="168" fontId="24" fillId="0" borderId="0" xfId="11" applyNumberFormat="1" applyFont="1"/>
    <xf numFmtId="168" fontId="25" fillId="0" borderId="0" xfId="0" applyNumberFormat="1" applyFont="1"/>
    <xf numFmtId="168" fontId="19" fillId="0" borderId="5" xfId="0" applyNumberFormat="1" applyFont="1" applyBorder="1"/>
    <xf numFmtId="10" fontId="24" fillId="0" borderId="0" xfId="0" applyNumberFormat="1" applyFont="1"/>
    <xf numFmtId="0" fontId="26" fillId="0" borderId="0" xfId="0" applyFont="1"/>
    <xf numFmtId="168" fontId="27" fillId="0" borderId="0" xfId="0" applyNumberFormat="1" applyFont="1"/>
    <xf numFmtId="0" fontId="29" fillId="2" borderId="0" xfId="4" applyFont="1" applyFill="1"/>
    <xf numFmtId="0" fontId="29" fillId="2" borderId="2" xfId="4" applyFont="1" applyFill="1" applyBorder="1" applyAlignment="1">
      <alignment horizontal="center" vertical="center" wrapText="1"/>
    </xf>
    <xf numFmtId="0" fontId="29" fillId="2" borderId="2" xfId="4" applyFont="1" applyFill="1" applyBorder="1" applyAlignment="1">
      <alignment vertical="center"/>
    </xf>
    <xf numFmtId="0" fontId="29" fillId="2" borderId="2" xfId="4" applyFont="1" applyFill="1" applyBorder="1" applyAlignment="1">
      <alignment horizontal="center" vertical="center"/>
    </xf>
    <xf numFmtId="167" fontId="29" fillId="2" borderId="2" xfId="4" applyNumberFormat="1" applyFont="1" applyFill="1" applyBorder="1" applyAlignment="1">
      <alignment horizontal="center" vertical="center"/>
    </xf>
    <xf numFmtId="0" fontId="29" fillId="2" borderId="0" xfId="4" applyFont="1" applyFill="1" applyAlignment="1">
      <alignment horizontal="center"/>
    </xf>
    <xf numFmtId="165" fontId="30" fillId="2" borderId="0" xfId="7" applyNumberFormat="1" applyFont="1" applyFill="1"/>
    <xf numFmtId="165" fontId="19" fillId="2" borderId="0" xfId="7" applyNumberFormat="1" applyFont="1" applyFill="1"/>
    <xf numFmtId="164" fontId="19" fillId="2" borderId="0" xfId="4" applyNumberFormat="1" applyFont="1" applyFill="1"/>
    <xf numFmtId="165" fontId="19" fillId="2" borderId="0" xfId="4" applyNumberFormat="1" applyFont="1" applyFill="1"/>
    <xf numFmtId="0" fontId="13" fillId="2" borderId="0" xfId="4" applyFont="1" applyFill="1" applyAlignment="1">
      <alignment horizontal="left" wrapText="1"/>
    </xf>
    <xf numFmtId="164" fontId="30" fillId="2" borderId="0" xfId="2" applyNumberFormat="1" applyFont="1" applyFill="1"/>
    <xf numFmtId="164" fontId="19" fillId="2" borderId="0" xfId="2" applyNumberFormat="1" applyFont="1" applyFill="1"/>
    <xf numFmtId="169" fontId="19" fillId="2" borderId="0" xfId="4" applyNumberFormat="1" applyFont="1" applyFill="1" applyAlignment="1">
      <alignment vertical="center"/>
    </xf>
    <xf numFmtId="164" fontId="19" fillId="2" borderId="0" xfId="10" applyNumberFormat="1" applyFont="1" applyFill="1"/>
    <xf numFmtId="164" fontId="14" fillId="2" borderId="4" xfId="4" applyNumberFormat="1" applyFont="1" applyFill="1" applyBorder="1"/>
    <xf numFmtId="164" fontId="14" fillId="2" borderId="6" xfId="4" applyNumberFormat="1" applyFont="1" applyFill="1" applyBorder="1"/>
    <xf numFmtId="164" fontId="19" fillId="2" borderId="0" xfId="4" applyNumberFormat="1" applyFont="1" applyFill="1" applyAlignment="1">
      <alignment vertical="center"/>
    </xf>
    <xf numFmtId="0" fontId="13" fillId="2" borderId="0" xfId="4" applyFont="1" applyFill="1" applyAlignment="1">
      <alignment horizontal="left"/>
    </xf>
    <xf numFmtId="169" fontId="13" fillId="2" borderId="0" xfId="4" applyNumberFormat="1" applyFont="1" applyFill="1"/>
    <xf numFmtId="0" fontId="29" fillId="2" borderId="0" xfId="4" applyFont="1" applyFill="1" applyBorder="1"/>
    <xf numFmtId="0" fontId="13" fillId="2" borderId="0" xfId="4" applyFont="1" applyFill="1" applyBorder="1" applyAlignment="1">
      <alignment horizontal="center"/>
    </xf>
    <xf numFmtId="164" fontId="19" fillId="2" borderId="0" xfId="4" applyNumberFormat="1" applyFont="1" applyFill="1" applyBorder="1"/>
    <xf numFmtId="169" fontId="19" fillId="2" borderId="0" xfId="4" applyNumberFormat="1" applyFont="1" applyFill="1" applyBorder="1" applyAlignment="1">
      <alignment vertical="center"/>
    </xf>
    <xf numFmtId="164" fontId="19" fillId="2" borderId="0" xfId="10" applyNumberFormat="1" applyFont="1" applyFill="1" applyBorder="1"/>
    <xf numFmtId="169" fontId="13" fillId="2" borderId="0" xfId="4" applyNumberFormat="1" applyFont="1" applyFill="1" applyBorder="1"/>
    <xf numFmtId="0" fontId="13" fillId="2" borderId="0" xfId="4" applyFont="1" applyFill="1" applyBorder="1"/>
    <xf numFmtId="0" fontId="0" fillId="0" borderId="0" xfId="0" applyAlignment="1">
      <alignment shrinkToFit="1"/>
    </xf>
    <xf numFmtId="0" fontId="4" fillId="2" borderId="0" xfId="0" applyFont="1" applyFill="1" applyAlignment="1">
      <alignment horizontal="center"/>
    </xf>
    <xf numFmtId="0" fontId="13" fillId="2" borderId="0" xfId="4" applyFont="1" applyFill="1" applyAlignment="1">
      <alignment horizontal="center" vertical="center"/>
    </xf>
    <xf numFmtId="164" fontId="19" fillId="2" borderId="0" xfId="2" applyNumberFormat="1" applyFont="1" applyFill="1" applyAlignment="1">
      <alignment vertical="center"/>
    </xf>
    <xf numFmtId="0" fontId="13" fillId="2" borderId="0" xfId="4" applyFont="1" applyFill="1" applyAlignment="1">
      <alignment vertical="center" wrapText="1"/>
    </xf>
    <xf numFmtId="0" fontId="28" fillId="2" borderId="0" xfId="0" applyFont="1" applyFill="1" applyAlignment="1">
      <alignment horizontal="right" vertical="top"/>
    </xf>
    <xf numFmtId="0" fontId="28" fillId="2" borderId="0" xfId="0" applyFont="1" applyFill="1" applyAlignment="1">
      <alignment horizontal="right"/>
    </xf>
    <xf numFmtId="0" fontId="0" fillId="2" borderId="0" xfId="0" applyFill="1"/>
    <xf numFmtId="0" fontId="0" fillId="2" borderId="0" xfId="0" applyFill="1" applyAlignment="1">
      <alignment horizontal="right"/>
    </xf>
    <xf numFmtId="165" fontId="0" fillId="2" borderId="0" xfId="1" applyNumberFormat="1" applyFont="1" applyFill="1"/>
    <xf numFmtId="44" fontId="0" fillId="2" borderId="2" xfId="2" applyFont="1" applyFill="1" applyBorder="1"/>
    <xf numFmtId="44" fontId="0" fillId="2" borderId="0" xfId="2" applyFont="1" applyFill="1"/>
    <xf numFmtId="43" fontId="0" fillId="2" borderId="2" xfId="1" applyFont="1" applyFill="1" applyBorder="1"/>
    <xf numFmtId="44" fontId="0" fillId="4" borderId="0" xfId="2" applyFont="1" applyFill="1"/>
    <xf numFmtId="44" fontId="0" fillId="2" borderId="0" xfId="0" applyNumberFormat="1" applyFill="1"/>
    <xf numFmtId="164" fontId="14" fillId="2" borderId="0" xfId="4" applyNumberFormat="1" applyFont="1" applyFill="1" applyBorder="1"/>
    <xf numFmtId="0" fontId="4" fillId="2" borderId="0" xfId="4" applyFont="1" applyFill="1" applyAlignment="1">
      <alignment horizontal="center"/>
    </xf>
    <xf numFmtId="0" fontId="4" fillId="2" borderId="0" xfId="4" quotePrefix="1" applyFont="1" applyFill="1" applyAlignment="1">
      <alignment horizontal="center"/>
    </xf>
    <xf numFmtId="0" fontId="8" fillId="0" borderId="0" xfId="0" applyFont="1" applyFill="1"/>
    <xf numFmtId="0" fontId="2" fillId="2" borderId="0" xfId="4" applyFill="1"/>
    <xf numFmtId="165" fontId="30" fillId="2" borderId="0" xfId="7" applyNumberFormat="1" applyFont="1" applyFill="1" applyBorder="1"/>
    <xf numFmtId="164" fontId="30" fillId="2" borderId="0" xfId="2" applyNumberFormat="1" applyFont="1" applyFill="1" applyBorder="1"/>
    <xf numFmtId="165" fontId="2" fillId="2" borderId="0" xfId="4" applyNumberFormat="1" applyFill="1"/>
    <xf numFmtId="0" fontId="13" fillId="2" borderId="0" xfId="4" applyFont="1" applyFill="1" applyAlignment="1">
      <alignment horizontal="center" vertical="center" wrapText="1"/>
    </xf>
    <xf numFmtId="0" fontId="13" fillId="2" borderId="0" xfId="4" applyFont="1" applyFill="1" applyAlignment="1">
      <alignment horizontal="center" wrapText="1"/>
    </xf>
    <xf numFmtId="164" fontId="33" fillId="2" borderId="0" xfId="4" applyNumberFormat="1" applyFont="1" applyFill="1" applyAlignment="1">
      <alignment horizontal="left"/>
    </xf>
    <xf numFmtId="10" fontId="19" fillId="2" borderId="0" xfId="3" applyNumberFormat="1" applyFont="1" applyFill="1"/>
    <xf numFmtId="164" fontId="31" fillId="2" borderId="0" xfId="4" applyNumberFormat="1" applyFont="1" applyFill="1"/>
    <xf numFmtId="165" fontId="19" fillId="2" borderId="0" xfId="7" applyNumberFormat="1" applyFont="1" applyFill="1" applyBorder="1"/>
    <xf numFmtId="164" fontId="19" fillId="2" borderId="0" xfId="2" applyNumberFormat="1" applyFont="1" applyFill="1" applyBorder="1"/>
    <xf numFmtId="164" fontId="19" fillId="2" borderId="0" xfId="2" applyNumberFormat="1" applyFont="1" applyFill="1" applyBorder="1" applyAlignment="1">
      <alignment vertical="center"/>
    </xf>
    <xf numFmtId="164" fontId="19" fillId="2" borderId="2" xfId="10" applyNumberFormat="1" applyFont="1" applyFill="1" applyBorder="1"/>
    <xf numFmtId="0" fontId="34" fillId="2" borderId="0" xfId="0" applyFont="1" applyFill="1"/>
    <xf numFmtId="0" fontId="34" fillId="2" borderId="0" xfId="0" applyFont="1" applyFill="1" applyAlignment="1">
      <alignment horizontal="right"/>
    </xf>
    <xf numFmtId="9" fontId="35" fillId="2" borderId="0" xfId="3" applyFont="1" applyFill="1" applyAlignment="1">
      <alignment horizontal="center"/>
    </xf>
    <xf numFmtId="10" fontId="36" fillId="2" borderId="0" xfId="3" applyNumberFormat="1" applyFont="1" applyFill="1"/>
    <xf numFmtId="0" fontId="4" fillId="2" borderId="0" xfId="4" applyFont="1" applyFill="1" applyAlignment="1">
      <alignment horizontal="center"/>
    </xf>
    <xf numFmtId="0" fontId="4" fillId="2" borderId="0" xfId="4" applyFont="1" applyFill="1" applyAlignment="1">
      <alignment horizontal="center" wrapText="1"/>
    </xf>
    <xf numFmtId="0" fontId="4" fillId="2" borderId="0" xfId="4" quotePrefix="1" applyFont="1" applyFill="1" applyAlignment="1">
      <alignment horizontal="center"/>
    </xf>
    <xf numFmtId="0" fontId="14" fillId="2" borderId="0" xfId="4" applyFont="1" applyFill="1" applyAlignment="1">
      <alignment horizontal="left" wrapText="1"/>
    </xf>
    <xf numFmtId="0" fontId="3" fillId="2" borderId="0" xfId="4" quotePrefix="1" applyFont="1" applyFill="1" applyAlignment="1">
      <alignment horizontal="center"/>
    </xf>
    <xf numFmtId="0" fontId="4" fillId="2" borderId="0" xfId="0" applyFont="1" applyFill="1" applyAlignment="1">
      <alignment horizont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3" fillId="2" borderId="0" xfId="4" applyFont="1" applyFill="1" applyAlignment="1">
      <alignment horizontal="center"/>
    </xf>
    <xf numFmtId="0" fontId="12" fillId="2" borderId="0" xfId="4" applyFont="1" applyFill="1" applyAlignment="1">
      <alignment horizontal="center"/>
    </xf>
    <xf numFmtId="0" fontId="12" fillId="2" borderId="0" xfId="4" quotePrefix="1" applyFont="1" applyFill="1" applyAlignment="1">
      <alignment horizontal="center"/>
    </xf>
    <xf numFmtId="0" fontId="21" fillId="2" borderId="0" xfId="4" applyFont="1" applyFill="1" applyAlignment="1">
      <alignment horizontal="center"/>
    </xf>
    <xf numFmtId="0" fontId="20" fillId="0" borderId="0" xfId="0" applyFont="1" applyBorder="1" applyAlignment="1">
      <alignment horizontal="center"/>
    </xf>
    <xf numFmtId="168" fontId="20" fillId="0" borderId="0" xfId="0" applyNumberFormat="1" applyFont="1" applyAlignment="1">
      <alignment horizontal="center"/>
    </xf>
    <xf numFmtId="0" fontId="20" fillId="0" borderId="0" xfId="0" applyFont="1" applyAlignment="1">
      <alignment horizontal="center"/>
    </xf>
    <xf numFmtId="0" fontId="0" fillId="2" borderId="0" xfId="0" applyFill="1" applyAlignment="1">
      <alignment horizontal="left" vertical="top" wrapText="1"/>
    </xf>
    <xf numFmtId="0" fontId="28" fillId="2" borderId="0" xfId="0" applyFont="1" applyFill="1" applyAlignment="1">
      <alignment horizontal="center"/>
    </xf>
  </cellXfs>
  <cellStyles count="17">
    <cellStyle name="Comma" xfId="1" builtinId="3"/>
    <cellStyle name="Comma 2" xfId="7" xr:uid="{00000000-0005-0000-0000-000001000000}"/>
    <cellStyle name="Comma 3" xfId="14" xr:uid="{DE096301-09E5-41BA-9E56-EEDFCC758A31}"/>
    <cellStyle name="Currency" xfId="2" builtinId="4"/>
    <cellStyle name="Currency 2" xfId="10" xr:uid="{00000000-0005-0000-0000-000003000000}"/>
    <cellStyle name="Currency 2 2" xfId="6" xr:uid="{00000000-0005-0000-0000-000004000000}"/>
    <cellStyle name="Currency 3" xfId="15" xr:uid="{5D05611E-2E69-4748-B6C9-060D9EEBF530}"/>
    <cellStyle name="Normal" xfId="0" builtinId="0"/>
    <cellStyle name="Normal 2" xfId="4" xr:uid="{00000000-0005-0000-0000-000006000000}"/>
    <cellStyle name="Normal 2 2" xfId="11" xr:uid="{00000000-0005-0000-0000-000007000000}"/>
    <cellStyle name="Normal 3" xfId="13" xr:uid="{BF4DD3C5-C012-40C7-B9A6-15345B7500CE}"/>
    <cellStyle name="Normal 4" xfId="12" xr:uid="{F849BD27-BE6E-4041-9EDB-82BAD7C8DB0A}"/>
    <cellStyle name="Percent" xfId="3" builtinId="5"/>
    <cellStyle name="Percent 2" xfId="9" xr:uid="{00000000-0005-0000-0000-000009000000}"/>
    <cellStyle name="Percent 3" xfId="16" xr:uid="{1A1A4B48-DB9E-41C6-B0C0-E298E8F1E066}"/>
    <cellStyle name="Report Heading 2" xfId="5" xr:uid="{00000000-0005-0000-0000-00000A000000}"/>
    <cellStyle name="Report Heading 3 2" xfId="8" xr:uid="{00000000-0005-0000-0000-00000B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177800</xdr:colOff>
      <xdr:row>13</xdr:row>
      <xdr:rowOff>38100</xdr:rowOff>
    </xdr:from>
    <xdr:to>
      <xdr:col>2</xdr:col>
      <xdr:colOff>287899</xdr:colOff>
      <xdr:row>13</xdr:row>
      <xdr:rowOff>171450</xdr:rowOff>
    </xdr:to>
    <xdr:pic>
      <xdr:nvPicPr>
        <xdr:cNvPr id="2" name="Tmk_Sigma">
          <a:extLst>
            <a:ext uri="{FF2B5EF4-FFF2-40B4-BE49-F238E27FC236}">
              <a16:creationId xmlns:a16="http://schemas.microsoft.com/office/drawing/2014/main" id="{C1F02A14-8667-43C1-85EC-392D83ABFF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0450" y="4171950"/>
          <a:ext cx="110099"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177800</xdr:colOff>
      <xdr:row>33</xdr:row>
      <xdr:rowOff>38100</xdr:rowOff>
    </xdr:from>
    <xdr:ext cx="110099" cy="133350"/>
    <xdr:pic>
      <xdr:nvPicPr>
        <xdr:cNvPr id="3" name="Tmk_Sigma">
          <a:extLst>
            <a:ext uri="{FF2B5EF4-FFF2-40B4-BE49-F238E27FC236}">
              <a16:creationId xmlns:a16="http://schemas.microsoft.com/office/drawing/2014/main" id="{A84BF17D-6A7B-47D6-A517-89D5EA76EA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0450" y="7981950"/>
          <a:ext cx="110099"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DD1B0-F169-4562-826D-4F573D0DC8E2}">
  <sheetPr>
    <pageSetUpPr fitToPage="1"/>
  </sheetPr>
  <dimension ref="A1:Q34"/>
  <sheetViews>
    <sheetView topLeftCell="B1" zoomScaleNormal="100" workbookViewId="0">
      <selection activeCell="F11" sqref="F11"/>
    </sheetView>
  </sheetViews>
  <sheetFormatPr defaultRowHeight="15" x14ac:dyDescent="0.25"/>
  <cols>
    <col min="1" max="1" width="9.42578125" customWidth="1"/>
    <col min="2" max="2" width="33" customWidth="1"/>
    <col min="3" max="3" width="18.5703125" customWidth="1"/>
    <col min="4" max="4" width="14.85546875" bestFit="1" customWidth="1"/>
    <col min="5" max="6" width="14.42578125" bestFit="1" customWidth="1"/>
    <col min="7" max="7" width="14.140625" bestFit="1" customWidth="1"/>
    <col min="8" max="8" width="13.42578125" customWidth="1"/>
    <col min="9" max="9" width="13" bestFit="1" customWidth="1"/>
    <col min="10" max="10" width="13.28515625" bestFit="1" customWidth="1"/>
    <col min="11" max="11" width="12.7109375" bestFit="1" customWidth="1"/>
    <col min="12" max="13" width="14.140625" bestFit="1" customWidth="1"/>
    <col min="14" max="14" width="14.85546875" bestFit="1" customWidth="1"/>
    <col min="15" max="15" width="15.42578125" bestFit="1" customWidth="1"/>
    <col min="16" max="16" width="4.85546875" bestFit="1" customWidth="1"/>
    <col min="17" max="17" width="15" customWidth="1"/>
  </cols>
  <sheetData>
    <row r="1" spans="1:17" ht="15.75" x14ac:dyDescent="0.25">
      <c r="A1" s="156" t="s">
        <v>0</v>
      </c>
      <c r="B1" s="156"/>
      <c r="C1" s="156"/>
      <c r="D1" s="156"/>
      <c r="E1" s="156"/>
      <c r="F1" s="156"/>
      <c r="G1" s="156"/>
      <c r="H1" s="156"/>
      <c r="I1" s="156"/>
      <c r="J1" s="156"/>
      <c r="K1" s="156"/>
      <c r="L1" s="156"/>
      <c r="M1" s="156"/>
      <c r="N1" s="156"/>
      <c r="O1" s="156"/>
      <c r="P1" s="136"/>
      <c r="Q1" s="139"/>
    </row>
    <row r="2" spans="1:17" ht="33" customHeight="1" x14ac:dyDescent="0.25">
      <c r="A2" s="157" t="s">
        <v>183</v>
      </c>
      <c r="B2" s="156"/>
      <c r="C2" s="156"/>
      <c r="D2" s="156"/>
      <c r="E2" s="156"/>
      <c r="F2" s="156"/>
      <c r="G2" s="156"/>
      <c r="H2" s="156"/>
      <c r="I2" s="156"/>
      <c r="J2" s="156"/>
      <c r="K2" s="156"/>
      <c r="L2" s="156"/>
      <c r="M2" s="156"/>
      <c r="N2" s="156"/>
      <c r="O2" s="156"/>
      <c r="P2" s="136"/>
      <c r="Q2" s="139"/>
    </row>
    <row r="3" spans="1:17" ht="15.75" customHeight="1" x14ac:dyDescent="0.25">
      <c r="A3" s="158" t="s">
        <v>184</v>
      </c>
      <c r="B3" s="156"/>
      <c r="C3" s="156"/>
      <c r="D3" s="156"/>
      <c r="E3" s="156"/>
      <c r="F3" s="156"/>
      <c r="G3" s="156"/>
      <c r="H3" s="156"/>
      <c r="I3" s="156"/>
      <c r="J3" s="156"/>
      <c r="K3" s="156"/>
      <c r="L3" s="156"/>
      <c r="M3" s="156"/>
      <c r="N3" s="156"/>
      <c r="O3" s="156"/>
      <c r="P3" s="136"/>
      <c r="Q3" s="139"/>
    </row>
    <row r="4" spans="1:17" ht="15" customHeight="1" x14ac:dyDescent="0.25">
      <c r="A4" s="137"/>
      <c r="B4" s="136"/>
      <c r="C4" s="136"/>
      <c r="D4" s="56"/>
      <c r="E4" s="136"/>
      <c r="F4" s="136"/>
      <c r="G4" s="136"/>
      <c r="H4" s="136"/>
      <c r="I4" s="136"/>
      <c r="J4" s="136"/>
      <c r="K4" s="136"/>
      <c r="L4" s="136"/>
      <c r="M4" s="136"/>
      <c r="N4" s="136"/>
      <c r="O4" s="136"/>
      <c r="P4" s="136"/>
      <c r="Q4" s="139"/>
    </row>
    <row r="5" spans="1:17" x14ac:dyDescent="0.25">
      <c r="A5" s="55"/>
      <c r="B5" s="55"/>
      <c r="C5" s="55"/>
      <c r="D5" s="154" t="s">
        <v>182</v>
      </c>
      <c r="E5" s="154" t="s">
        <v>182</v>
      </c>
      <c r="F5" s="154" t="s">
        <v>182</v>
      </c>
      <c r="G5" s="93"/>
      <c r="H5" s="113"/>
      <c r="I5" s="93"/>
      <c r="J5" s="93"/>
      <c r="K5" s="93"/>
      <c r="L5" s="93"/>
      <c r="M5" s="93"/>
      <c r="N5" s="93"/>
      <c r="O5" s="93"/>
      <c r="P5" s="93"/>
      <c r="Q5" s="139"/>
    </row>
    <row r="6" spans="1:17" x14ac:dyDescent="0.25">
      <c r="A6" s="94" t="s">
        <v>36</v>
      </c>
      <c r="B6" s="95"/>
      <c r="C6" s="96" t="s">
        <v>37</v>
      </c>
      <c r="D6" s="97">
        <v>43831</v>
      </c>
      <c r="E6" s="97">
        <f t="shared" ref="E6:O6" si="0">EDATE(D6,1)</f>
        <v>43862</v>
      </c>
      <c r="F6" s="97">
        <f t="shared" si="0"/>
        <v>43891</v>
      </c>
      <c r="G6" s="97">
        <f t="shared" si="0"/>
        <v>43922</v>
      </c>
      <c r="H6" s="97">
        <f t="shared" si="0"/>
        <v>43952</v>
      </c>
      <c r="I6" s="97">
        <f t="shared" si="0"/>
        <v>43983</v>
      </c>
      <c r="J6" s="97">
        <f t="shared" si="0"/>
        <v>44013</v>
      </c>
      <c r="K6" s="97">
        <f t="shared" si="0"/>
        <v>44044</v>
      </c>
      <c r="L6" s="97">
        <f t="shared" si="0"/>
        <v>44075</v>
      </c>
      <c r="M6" s="97">
        <f t="shared" si="0"/>
        <v>44105</v>
      </c>
      <c r="N6" s="97">
        <f t="shared" si="0"/>
        <v>44136</v>
      </c>
      <c r="O6" s="97">
        <f t="shared" si="0"/>
        <v>44166</v>
      </c>
      <c r="P6" s="97"/>
      <c r="Q6" s="97" t="s">
        <v>54</v>
      </c>
    </row>
    <row r="7" spans="1:17" ht="16.899999999999999" customHeight="1" x14ac:dyDescent="0.25">
      <c r="A7" s="56"/>
      <c r="B7" s="56" t="s">
        <v>40</v>
      </c>
      <c r="C7" s="56" t="s">
        <v>41</v>
      </c>
      <c r="D7" s="56" t="s">
        <v>42</v>
      </c>
      <c r="E7" s="56" t="s">
        <v>43</v>
      </c>
      <c r="F7" s="114" t="s">
        <v>69</v>
      </c>
      <c r="G7" s="114" t="s">
        <v>70</v>
      </c>
      <c r="H7" s="114" t="s">
        <v>71</v>
      </c>
      <c r="I7" s="56" t="s">
        <v>72</v>
      </c>
      <c r="J7" s="56" t="s">
        <v>73</v>
      </c>
      <c r="K7" s="56" t="s">
        <v>74</v>
      </c>
      <c r="L7" s="56" t="s">
        <v>75</v>
      </c>
      <c r="M7" s="56" t="s">
        <v>76</v>
      </c>
      <c r="N7" s="56" t="s">
        <v>77</v>
      </c>
      <c r="O7" s="56" t="s">
        <v>78</v>
      </c>
      <c r="P7" s="56"/>
      <c r="Q7" s="56" t="s">
        <v>79</v>
      </c>
    </row>
    <row r="8" spans="1:17" x14ac:dyDescent="0.25">
      <c r="A8" s="56"/>
      <c r="B8" s="56"/>
      <c r="C8" s="56"/>
      <c r="D8" s="56"/>
      <c r="E8" s="56"/>
      <c r="F8" s="114"/>
      <c r="G8" s="114"/>
      <c r="H8" s="114"/>
      <c r="I8" s="56"/>
      <c r="J8" s="56"/>
      <c r="K8" s="56"/>
      <c r="L8" s="56"/>
      <c r="M8" s="56"/>
      <c r="N8" s="56"/>
      <c r="O8" s="56"/>
      <c r="P8" s="56"/>
      <c r="Q8" s="56"/>
    </row>
    <row r="9" spans="1:17" x14ac:dyDescent="0.25">
      <c r="A9" s="56"/>
      <c r="B9" s="98" t="s">
        <v>106</v>
      </c>
      <c r="C9" s="56"/>
      <c r="D9" s="56"/>
      <c r="E9" s="56"/>
      <c r="F9" s="114"/>
      <c r="G9" s="114"/>
      <c r="H9" s="114"/>
      <c r="I9" s="56"/>
      <c r="J9" s="56"/>
      <c r="K9" s="56"/>
      <c r="L9" s="56"/>
      <c r="M9" s="56"/>
      <c r="N9" s="56"/>
      <c r="O9" s="56"/>
      <c r="P9" s="56"/>
      <c r="Q9" s="139"/>
    </row>
    <row r="10" spans="1:17" x14ac:dyDescent="0.25">
      <c r="A10" s="56">
        <v>1</v>
      </c>
      <c r="B10" s="55" t="s">
        <v>107</v>
      </c>
      <c r="C10" s="56" t="s">
        <v>108</v>
      </c>
      <c r="D10" s="140">
        <v>170038</v>
      </c>
      <c r="E10" s="140">
        <v>170038</v>
      </c>
      <c r="F10" s="140">
        <v>170038</v>
      </c>
      <c r="G10" s="140">
        <v>170295</v>
      </c>
      <c r="H10" s="99">
        <v>170263</v>
      </c>
      <c r="I10" s="99">
        <v>170396</v>
      </c>
      <c r="J10" s="99">
        <v>170444</v>
      </c>
      <c r="K10" s="99">
        <v>170724</v>
      </c>
      <c r="L10" s="99">
        <v>170589</v>
      </c>
      <c r="M10" s="99">
        <v>171132</v>
      </c>
      <c r="N10" s="99">
        <v>171256</v>
      </c>
      <c r="O10" s="99">
        <v>171774</v>
      </c>
      <c r="P10" s="99"/>
      <c r="Q10" s="139"/>
    </row>
    <row r="11" spans="1:17" x14ac:dyDescent="0.25">
      <c r="A11" s="56">
        <v>2</v>
      </c>
      <c r="B11" s="111" t="s">
        <v>132</v>
      </c>
      <c r="C11" s="56" t="s">
        <v>108</v>
      </c>
      <c r="D11" s="140">
        <v>20684874.68</v>
      </c>
      <c r="E11" s="140">
        <v>21500858.140000001</v>
      </c>
      <c r="F11" s="140">
        <v>14765517.559470002</v>
      </c>
      <c r="G11" s="140">
        <v>8962164.9129600003</v>
      </c>
      <c r="H11" s="99">
        <v>4466067.9769600006</v>
      </c>
      <c r="I11" s="99">
        <v>2745598.80914</v>
      </c>
      <c r="J11" s="99">
        <v>2048449.11748</v>
      </c>
      <c r="K11" s="99">
        <v>2330904.0396099999</v>
      </c>
      <c r="L11" s="99">
        <v>3156000.9421799998</v>
      </c>
      <c r="M11" s="99">
        <v>8316627.8256000001</v>
      </c>
      <c r="N11" s="99">
        <v>14219304.448170001</v>
      </c>
      <c r="O11" s="99">
        <v>23797280.63256</v>
      </c>
      <c r="P11" s="99"/>
      <c r="Q11" s="139"/>
    </row>
    <row r="12" spans="1:17" x14ac:dyDescent="0.25">
      <c r="A12" s="56">
        <v>3</v>
      </c>
      <c r="B12" s="55" t="s">
        <v>129</v>
      </c>
      <c r="C12" s="56" t="s">
        <v>108</v>
      </c>
      <c r="D12" s="141">
        <v>11496789.643540001</v>
      </c>
      <c r="E12" s="141">
        <v>11782889.353449998</v>
      </c>
      <c r="F12" s="141">
        <v>8420597.6388599593</v>
      </c>
      <c r="G12" s="141">
        <v>5288492.5889100013</v>
      </c>
      <c r="H12" s="104">
        <v>3492252.0720700016</v>
      </c>
      <c r="I12" s="104">
        <v>2800620.9913500007</v>
      </c>
      <c r="J12" s="104">
        <v>2499581.3275100035</v>
      </c>
      <c r="K12" s="104">
        <v>2697285.8936900008</v>
      </c>
      <c r="L12" s="104">
        <v>2845244.2998299999</v>
      </c>
      <c r="M12" s="104">
        <v>5661049.0983200027</v>
      </c>
      <c r="N12" s="104">
        <v>7955293.4251699988</v>
      </c>
      <c r="O12" s="104">
        <v>13471458.445499999</v>
      </c>
      <c r="P12" s="104"/>
      <c r="Q12" s="139"/>
    </row>
    <row r="13" spans="1:17" x14ac:dyDescent="0.25">
      <c r="A13" s="56">
        <v>4</v>
      </c>
      <c r="B13" s="55" t="s">
        <v>110</v>
      </c>
      <c r="C13" s="56" t="s">
        <v>108</v>
      </c>
      <c r="D13" s="141">
        <v>1564897</v>
      </c>
      <c r="E13" s="141">
        <v>1561448.5</v>
      </c>
      <c r="F13" s="141">
        <v>1768947.5</v>
      </c>
      <c r="G13" s="141">
        <v>1636897.5</v>
      </c>
      <c r="H13" s="104">
        <v>1637980.5</v>
      </c>
      <c r="I13" s="104">
        <v>1647015</v>
      </c>
      <c r="J13" s="104">
        <v>1644906</v>
      </c>
      <c r="K13" s="104">
        <v>1648687</v>
      </c>
      <c r="L13" s="104">
        <v>1643699.5</v>
      </c>
      <c r="M13" s="104">
        <v>1648858</v>
      </c>
      <c r="N13" s="104">
        <v>1648972</v>
      </c>
      <c r="O13" s="104">
        <v>1650321</v>
      </c>
      <c r="P13" s="104"/>
      <c r="Q13" s="139"/>
    </row>
    <row r="14" spans="1:17" ht="20.25" customHeight="1" x14ac:dyDescent="0.25">
      <c r="A14" s="56">
        <v>5</v>
      </c>
      <c r="B14" s="55" t="s">
        <v>130</v>
      </c>
      <c r="C14" s="56" t="s">
        <v>108</v>
      </c>
      <c r="D14" s="140">
        <v>6135</v>
      </c>
      <c r="E14" s="140">
        <v>5922</v>
      </c>
      <c r="F14" s="140">
        <v>6787</v>
      </c>
      <c r="G14" s="140">
        <v>6599</v>
      </c>
      <c r="H14" s="140">
        <v>6840</v>
      </c>
      <c r="I14" s="140">
        <v>6970</v>
      </c>
      <c r="J14" s="140">
        <v>7188</v>
      </c>
      <c r="K14" s="140">
        <v>7394</v>
      </c>
      <c r="L14" s="140">
        <v>7540</v>
      </c>
      <c r="M14" s="140">
        <v>4403</v>
      </c>
      <c r="N14" s="140">
        <v>4679</v>
      </c>
      <c r="O14" s="140">
        <v>4909</v>
      </c>
      <c r="P14" s="140"/>
      <c r="Q14" s="139"/>
    </row>
    <row r="15" spans="1:17" x14ac:dyDescent="0.25">
      <c r="A15" s="56">
        <v>6</v>
      </c>
      <c r="B15" s="111" t="s">
        <v>134</v>
      </c>
      <c r="C15" s="56" t="s">
        <v>108</v>
      </c>
      <c r="D15" s="140">
        <v>701591.52821000002</v>
      </c>
      <c r="E15" s="140">
        <v>695498.35623000003</v>
      </c>
      <c r="F15" s="140">
        <v>639367.32978000003</v>
      </c>
      <c r="G15" s="140">
        <v>402019.35765999998</v>
      </c>
      <c r="H15" s="140">
        <v>201657.17991000001</v>
      </c>
      <c r="I15" s="140">
        <v>114044.96580000001</v>
      </c>
      <c r="J15" s="140">
        <v>68683.080369999996</v>
      </c>
      <c r="K15" s="140">
        <v>57571.474719999998</v>
      </c>
      <c r="L15" s="140">
        <v>77980.005170000004</v>
      </c>
      <c r="M15" s="140">
        <v>116188.32299</v>
      </c>
      <c r="N15" s="140">
        <v>292557.34742000001</v>
      </c>
      <c r="O15" s="140">
        <v>513683.35798999999</v>
      </c>
      <c r="P15" s="140"/>
      <c r="Q15" s="139"/>
    </row>
    <row r="16" spans="1:17" x14ac:dyDescent="0.25">
      <c r="A16" s="56">
        <v>7</v>
      </c>
      <c r="B16" s="55" t="s">
        <v>131</v>
      </c>
      <c r="C16" s="56" t="s">
        <v>108</v>
      </c>
      <c r="D16" s="141">
        <v>389558.33</v>
      </c>
      <c r="E16" s="141">
        <v>384687.93</v>
      </c>
      <c r="F16" s="141">
        <v>360703.04</v>
      </c>
      <c r="G16" s="141">
        <v>241488.2</v>
      </c>
      <c r="H16" s="141">
        <v>152689.60000000001</v>
      </c>
      <c r="I16" s="141">
        <v>115221.55</v>
      </c>
      <c r="J16" s="141">
        <v>98470.65</v>
      </c>
      <c r="K16" s="141">
        <v>94893.459999999992</v>
      </c>
      <c r="L16" s="141">
        <v>105266.31000000001</v>
      </c>
      <c r="M16" s="141">
        <v>95883.64</v>
      </c>
      <c r="N16" s="141">
        <v>192178.34</v>
      </c>
      <c r="O16" s="141">
        <v>316498.32</v>
      </c>
      <c r="P16" s="141"/>
      <c r="Q16" s="139"/>
    </row>
    <row r="17" spans="1:17" x14ac:dyDescent="0.25">
      <c r="A17" s="56">
        <v>8</v>
      </c>
      <c r="B17" s="55" t="s">
        <v>133</v>
      </c>
      <c r="C17" s="56" t="s">
        <v>108</v>
      </c>
      <c r="D17" s="141">
        <v>58748</v>
      </c>
      <c r="E17" s="141">
        <v>56268.5</v>
      </c>
      <c r="F17" s="141">
        <v>64514.5</v>
      </c>
      <c r="G17" s="141">
        <v>62956.5</v>
      </c>
      <c r="H17" s="141">
        <v>65236.5</v>
      </c>
      <c r="I17" s="141">
        <v>66167.5</v>
      </c>
      <c r="J17" s="141">
        <v>68374.559999999998</v>
      </c>
      <c r="K17" s="141">
        <v>70157.5</v>
      </c>
      <c r="L17" s="141">
        <v>71468.5</v>
      </c>
      <c r="M17" s="141">
        <v>41876</v>
      </c>
      <c r="N17" s="141">
        <v>44697.5</v>
      </c>
      <c r="O17" s="141">
        <v>46749.5</v>
      </c>
      <c r="P17" s="141"/>
      <c r="Q17" s="139"/>
    </row>
    <row r="18" spans="1:17" x14ac:dyDescent="0.25">
      <c r="A18" s="56"/>
      <c r="B18" s="98"/>
      <c r="C18" s="56"/>
      <c r="D18" s="56"/>
      <c r="E18" s="56"/>
      <c r="F18" s="114"/>
      <c r="G18" s="114"/>
      <c r="H18" s="114"/>
      <c r="I18" s="56"/>
      <c r="J18" s="56"/>
      <c r="K18" s="56"/>
      <c r="L18" s="56"/>
      <c r="M18" s="56"/>
      <c r="N18" s="56"/>
      <c r="O18" s="56"/>
      <c r="P18" s="56"/>
      <c r="Q18" s="139"/>
    </row>
    <row r="19" spans="1:17" x14ac:dyDescent="0.25">
      <c r="A19" s="56">
        <v>9</v>
      </c>
      <c r="B19" s="55" t="s">
        <v>135</v>
      </c>
      <c r="C19" s="56" t="str">
        <f>"("&amp;A10&amp;") - ("&amp;A14&amp;")"</f>
        <v>(1) - (5)</v>
      </c>
      <c r="D19" s="148">
        <f t="shared" ref="D19:F19" si="1">D10-D14</f>
        <v>163903</v>
      </c>
      <c r="E19" s="148">
        <f t="shared" si="1"/>
        <v>164116</v>
      </c>
      <c r="F19" s="148">
        <f t="shared" si="1"/>
        <v>163251</v>
      </c>
      <c r="G19" s="148">
        <f>G10-G14</f>
        <v>163696</v>
      </c>
      <c r="H19" s="100">
        <f t="shared" ref="H19:O19" si="2">H10-H14</f>
        <v>163423</v>
      </c>
      <c r="I19" s="100">
        <f>I10-I14</f>
        <v>163426</v>
      </c>
      <c r="J19" s="100">
        <f t="shared" si="2"/>
        <v>163256</v>
      </c>
      <c r="K19" s="100">
        <f t="shared" si="2"/>
        <v>163330</v>
      </c>
      <c r="L19" s="100">
        <f t="shared" si="2"/>
        <v>163049</v>
      </c>
      <c r="M19" s="100">
        <f t="shared" si="2"/>
        <v>166729</v>
      </c>
      <c r="N19" s="100">
        <f t="shared" si="2"/>
        <v>166577</v>
      </c>
      <c r="O19" s="100">
        <f t="shared" si="2"/>
        <v>166865</v>
      </c>
      <c r="P19" s="100"/>
      <c r="Q19" s="100">
        <f>SUM(D19:O19)</f>
        <v>1971621</v>
      </c>
    </row>
    <row r="20" spans="1:17" ht="25.5" x14ac:dyDescent="0.25">
      <c r="A20" s="122">
        <f t="shared" ref="A20:A21" si="3">A19+1</f>
        <v>10</v>
      </c>
      <c r="B20" s="143" t="s">
        <v>109</v>
      </c>
      <c r="C20" s="144" t="s">
        <v>139</v>
      </c>
      <c r="D20" s="106">
        <f>'Pg 5 UG-190335 Auth-3'!D21</f>
        <v>64.181302344348566</v>
      </c>
      <c r="E20" s="106">
        <f>'Pg 5 UG-190335 Auth-3'!E21</f>
        <v>48.758321797385605</v>
      </c>
      <c r="F20" s="106">
        <f>'Pg 5 UG-190335 Auth-3'!F21</f>
        <v>44.017626240525921</v>
      </c>
      <c r="G20" s="106">
        <f>'Pg 5 UG-190335 Auth-3'!G21</f>
        <v>27.528453134263444</v>
      </c>
      <c r="H20" s="106">
        <f>'Pg 5 UG-190335 Auth-3'!H21</f>
        <v>16.274018081808052</v>
      </c>
      <c r="I20" s="106">
        <f>'Pg 5 UG-190335 Auth-3'!I21</f>
        <v>8.7168382222626644</v>
      </c>
      <c r="J20" s="106">
        <f>'Pg 5 UG-190335 Auth-3'!J21</f>
        <v>6.4785954827932208</v>
      </c>
      <c r="K20" s="106">
        <f>'Pg 5 UG-190335 Auth-3'!K21</f>
        <v>6.2518978959999378</v>
      </c>
      <c r="L20" s="106">
        <f>'Pg 5 UG-190335 Auth-3'!L21</f>
        <v>8.6899263250780123</v>
      </c>
      <c r="M20" s="106">
        <f>'Pg 9 UG-200901 Auth-3'!M21</f>
        <v>31.595218326471958</v>
      </c>
      <c r="N20" s="106">
        <f>'Pg 9 UG-200901 Auth-3'!N21</f>
        <v>53.329025330411902</v>
      </c>
      <c r="O20" s="106">
        <f>'Pg 9 UG-200901 Auth-3'!O21</f>
        <v>70.534058792224968</v>
      </c>
      <c r="P20" s="106"/>
      <c r="Q20" s="106">
        <f>SUM(D20:O20)</f>
        <v>386.35528197357428</v>
      </c>
    </row>
    <row r="21" spans="1:17" x14ac:dyDescent="0.25">
      <c r="A21" s="56">
        <f t="shared" si="3"/>
        <v>11</v>
      </c>
      <c r="B21" s="55" t="s">
        <v>23</v>
      </c>
      <c r="C21" s="56" t="str">
        <f>"("&amp;A19&amp;") x ("&amp;A20&amp;")"</f>
        <v>(9) x (10)</v>
      </c>
      <c r="D21" s="101">
        <f t="shared" ref="D21:N21" si="4">D19*D20</f>
        <v>10519507.998145763</v>
      </c>
      <c r="E21" s="101">
        <f t="shared" si="4"/>
        <v>8002020.7400997356</v>
      </c>
      <c r="F21" s="115">
        <f t="shared" si="4"/>
        <v>7185921.5013920972</v>
      </c>
      <c r="G21" s="115">
        <f t="shared" si="4"/>
        <v>4506297.6642663889</v>
      </c>
      <c r="H21" s="115">
        <f t="shared" si="4"/>
        <v>2659548.8569833171</v>
      </c>
      <c r="I21" s="101">
        <f t="shared" si="4"/>
        <v>1424558.0033114981</v>
      </c>
      <c r="J21" s="101">
        <f t="shared" si="4"/>
        <v>1057669.58413889</v>
      </c>
      <c r="K21" s="101">
        <f t="shared" si="4"/>
        <v>1021122.4833536699</v>
      </c>
      <c r="L21" s="101">
        <f t="shared" si="4"/>
        <v>1416883.7973776448</v>
      </c>
      <c r="M21" s="101">
        <f t="shared" si="4"/>
        <v>5267839.1563543435</v>
      </c>
      <c r="N21" s="101">
        <f t="shared" si="4"/>
        <v>8883389.0524640232</v>
      </c>
      <c r="O21" s="101">
        <f>O19*O20-45472.97</f>
        <v>11724192.750364618</v>
      </c>
      <c r="P21" s="145" t="s">
        <v>155</v>
      </c>
      <c r="Q21" s="101">
        <f>SUM(D21:O21)</f>
        <v>63668951.588251993</v>
      </c>
    </row>
    <row r="22" spans="1:17" x14ac:dyDescent="0.25">
      <c r="A22" s="56"/>
      <c r="B22" s="55"/>
      <c r="C22" s="56"/>
      <c r="D22" s="101"/>
      <c r="E22" s="101"/>
      <c r="F22" s="115"/>
      <c r="G22" s="115"/>
      <c r="H22" s="115"/>
      <c r="I22" s="101"/>
      <c r="J22" s="101"/>
      <c r="K22" s="101"/>
      <c r="L22" s="101"/>
      <c r="M22" s="101"/>
      <c r="N22" s="101"/>
      <c r="O22" s="101"/>
      <c r="P22" s="101"/>
      <c r="Q22" s="101"/>
    </row>
    <row r="23" spans="1:17" x14ac:dyDescent="0.25">
      <c r="A23" s="56">
        <v>12</v>
      </c>
      <c r="B23" s="55" t="s">
        <v>136</v>
      </c>
      <c r="C23" s="56" t="str">
        <f>"("&amp;A11&amp;") - ("&amp;A15&amp;")"</f>
        <v>(2) - (6)</v>
      </c>
      <c r="D23" s="148">
        <f t="shared" ref="D23:F23" si="5">D11-D15</f>
        <v>19983283.15179</v>
      </c>
      <c r="E23" s="148">
        <f t="shared" si="5"/>
        <v>20805359.783770002</v>
      </c>
      <c r="F23" s="148">
        <f t="shared" si="5"/>
        <v>14126150.229690002</v>
      </c>
      <c r="G23" s="148">
        <f>G11-G15</f>
        <v>8560145.5553000011</v>
      </c>
      <c r="H23" s="100">
        <f>H11-H15</f>
        <v>4264410.7970500002</v>
      </c>
      <c r="I23" s="100">
        <f t="shared" ref="I23:O23" si="6">I11-I15</f>
        <v>2631553.8433400001</v>
      </c>
      <c r="J23" s="100">
        <f t="shared" si="6"/>
        <v>1979766.0371099999</v>
      </c>
      <c r="K23" s="100">
        <f t="shared" si="6"/>
        <v>2273332.56489</v>
      </c>
      <c r="L23" s="100">
        <f t="shared" si="6"/>
        <v>3078020.93701</v>
      </c>
      <c r="M23" s="100">
        <f t="shared" si="6"/>
        <v>8200439.5026099999</v>
      </c>
      <c r="N23" s="100">
        <f t="shared" si="6"/>
        <v>13926747.100750001</v>
      </c>
      <c r="O23" s="100">
        <f t="shared" si="6"/>
        <v>23283597.274569999</v>
      </c>
      <c r="P23" s="100"/>
      <c r="Q23" s="102">
        <f>SUM(D23:O23)</f>
        <v>123112806.77788</v>
      </c>
    </row>
    <row r="24" spans="1:17" ht="26.25" x14ac:dyDescent="0.25">
      <c r="A24" s="56">
        <v>13</v>
      </c>
      <c r="B24" s="103" t="s">
        <v>137</v>
      </c>
      <c r="C24" s="56" t="str">
        <f>"("&amp;A12&amp;") - ("&amp;A16&amp;")"</f>
        <v>(3) - (7)</v>
      </c>
      <c r="D24" s="149">
        <f t="shared" ref="D24:F24" si="7">D12-D16</f>
        <v>11107231.31354</v>
      </c>
      <c r="E24" s="149">
        <f t="shared" si="7"/>
        <v>11398201.423449999</v>
      </c>
      <c r="F24" s="149">
        <f t="shared" si="7"/>
        <v>8059894.5988599593</v>
      </c>
      <c r="G24" s="149">
        <f>G12-G16</f>
        <v>5047004.3889100011</v>
      </c>
      <c r="H24" s="105">
        <f t="shared" ref="H24:O25" si="8">H12-H16</f>
        <v>3339562.4720700015</v>
      </c>
      <c r="I24" s="105">
        <f t="shared" si="8"/>
        <v>2685399.4413500009</v>
      </c>
      <c r="J24" s="105">
        <f t="shared" si="8"/>
        <v>2401110.6775100036</v>
      </c>
      <c r="K24" s="105">
        <f t="shared" si="8"/>
        <v>2602392.4336900008</v>
      </c>
      <c r="L24" s="105">
        <f t="shared" si="8"/>
        <v>2739977.9898299999</v>
      </c>
      <c r="M24" s="105">
        <f t="shared" si="8"/>
        <v>5565165.458320003</v>
      </c>
      <c r="N24" s="105">
        <f t="shared" si="8"/>
        <v>7763115.0851699989</v>
      </c>
      <c r="O24" s="105">
        <f t="shared" si="8"/>
        <v>13154960.125499999</v>
      </c>
      <c r="P24" s="105"/>
      <c r="Q24" s="105">
        <f>SUM(D24:O24)</f>
        <v>75864015.408199966</v>
      </c>
    </row>
    <row r="25" spans="1:17" ht="27" customHeight="1" x14ac:dyDescent="0.25">
      <c r="A25" s="122">
        <v>14</v>
      </c>
      <c r="B25" s="124" t="s">
        <v>138</v>
      </c>
      <c r="C25" s="122" t="str">
        <f>"("&amp;A13&amp;") - ("&amp;A17&amp;")"</f>
        <v>(4) - (8)</v>
      </c>
      <c r="D25" s="150">
        <f t="shared" ref="D25:F25" si="9">D13-D17</f>
        <v>1506149</v>
      </c>
      <c r="E25" s="150">
        <f t="shared" si="9"/>
        <v>1505180</v>
      </c>
      <c r="F25" s="150">
        <f t="shared" si="9"/>
        <v>1704433</v>
      </c>
      <c r="G25" s="150">
        <f>G13-G17</f>
        <v>1573941</v>
      </c>
      <c r="H25" s="123">
        <f t="shared" si="8"/>
        <v>1572744</v>
      </c>
      <c r="I25" s="123">
        <f t="shared" si="8"/>
        <v>1580847.5</v>
      </c>
      <c r="J25" s="123">
        <f t="shared" si="8"/>
        <v>1576531.44</v>
      </c>
      <c r="K25" s="123">
        <f t="shared" si="8"/>
        <v>1578529.5</v>
      </c>
      <c r="L25" s="123">
        <f t="shared" si="8"/>
        <v>1572231</v>
      </c>
      <c r="M25" s="123">
        <f t="shared" si="8"/>
        <v>1606982</v>
      </c>
      <c r="N25" s="123">
        <f t="shared" si="8"/>
        <v>1604274.5</v>
      </c>
      <c r="O25" s="123">
        <f t="shared" si="8"/>
        <v>1603571.5</v>
      </c>
      <c r="P25" s="123"/>
      <c r="Q25" s="123">
        <f>SUM(D25:O25)</f>
        <v>18985414.439999998</v>
      </c>
    </row>
    <row r="26" spans="1:17" x14ac:dyDescent="0.25">
      <c r="A26" s="56">
        <v>15</v>
      </c>
      <c r="B26" s="55" t="s">
        <v>111</v>
      </c>
      <c r="C26" s="56" t="str">
        <f>"("&amp;A24&amp;") - ("&amp;A25&amp;")"</f>
        <v>(13) - (14)</v>
      </c>
      <c r="D26" s="101">
        <f>D24-D25</f>
        <v>9601082.3135400005</v>
      </c>
      <c r="E26" s="101">
        <f t="shared" ref="E26:O26" si="10">E24-E25</f>
        <v>9893021.4234499987</v>
      </c>
      <c r="F26" s="115">
        <f t="shared" si="10"/>
        <v>6355461.5988599593</v>
      </c>
      <c r="G26" s="115">
        <f t="shared" si="10"/>
        <v>3473063.3889100011</v>
      </c>
      <c r="H26" s="115">
        <f t="shared" si="10"/>
        <v>1766818.4720700015</v>
      </c>
      <c r="I26" s="101">
        <f t="shared" si="10"/>
        <v>1104551.9413500009</v>
      </c>
      <c r="J26" s="101">
        <f t="shared" si="10"/>
        <v>824579.23751000362</v>
      </c>
      <c r="K26" s="101">
        <f t="shared" si="10"/>
        <v>1023862.9336900008</v>
      </c>
      <c r="L26" s="101">
        <f t="shared" si="10"/>
        <v>1167746.9898299999</v>
      </c>
      <c r="M26" s="101">
        <f t="shared" si="10"/>
        <v>3958183.458320003</v>
      </c>
      <c r="N26" s="101">
        <f t="shared" si="10"/>
        <v>6158840.5851699989</v>
      </c>
      <c r="O26" s="101">
        <f t="shared" si="10"/>
        <v>11551388.625499999</v>
      </c>
      <c r="P26" s="101"/>
      <c r="Q26" s="101">
        <f>SUM(D26:O26)</f>
        <v>56878600.968199976</v>
      </c>
    </row>
    <row r="27" spans="1:17" x14ac:dyDescent="0.25">
      <c r="A27" s="56">
        <v>16</v>
      </c>
      <c r="B27" s="111" t="s">
        <v>112</v>
      </c>
      <c r="C27" s="56" t="str">
        <f>"("&amp;A26&amp;") / ("&amp;A19&amp;")"</f>
        <v>(15) / (9)</v>
      </c>
      <c r="D27" s="106">
        <f>D26/D19</f>
        <v>58.577831482889273</v>
      </c>
      <c r="E27" s="106">
        <f t="shared" ref="E27:L27" si="11">E26/E19</f>
        <v>60.280663819798185</v>
      </c>
      <c r="F27" s="116">
        <f t="shared" si="11"/>
        <v>38.930613588032905</v>
      </c>
      <c r="G27" s="116">
        <f t="shared" si="11"/>
        <v>21.216544013964917</v>
      </c>
      <c r="H27" s="116">
        <f t="shared" si="11"/>
        <v>10.811320756992599</v>
      </c>
      <c r="I27" s="106">
        <f t="shared" si="11"/>
        <v>6.7587283623780854</v>
      </c>
      <c r="J27" s="106">
        <f t="shared" si="11"/>
        <v>5.0508357273852331</v>
      </c>
      <c r="K27" s="106">
        <f t="shared" si="11"/>
        <v>6.2686765057858373</v>
      </c>
      <c r="L27" s="106">
        <f t="shared" si="11"/>
        <v>7.1619389866236522</v>
      </c>
      <c r="M27" s="106">
        <f>M26/M19</f>
        <v>23.740221906926827</v>
      </c>
      <c r="N27" s="106">
        <f>N26/N19</f>
        <v>36.972934950023109</v>
      </c>
      <c r="O27" s="106">
        <f>O26/O19</f>
        <v>69.225952869085788</v>
      </c>
      <c r="P27" s="106"/>
      <c r="Q27" s="106"/>
    </row>
    <row r="28" spans="1:17" x14ac:dyDescent="0.25">
      <c r="A28" s="56">
        <v>17</v>
      </c>
      <c r="B28" s="55" t="s">
        <v>113</v>
      </c>
      <c r="C28" s="56" t="str">
        <f>"("&amp;A$23&amp;") - ("&amp;A26&amp;")"</f>
        <v>(12) - (15)</v>
      </c>
      <c r="D28" s="101">
        <f>D21-D26</f>
        <v>918425.68460576236</v>
      </c>
      <c r="E28" s="101">
        <f t="shared" ref="E28:N28" si="12">E21-E26</f>
        <v>-1891000.6833502632</v>
      </c>
      <c r="F28" s="115">
        <f t="shared" si="12"/>
        <v>830459.90253213793</v>
      </c>
      <c r="G28" s="115">
        <f t="shared" si="12"/>
        <v>1033234.2753563877</v>
      </c>
      <c r="H28" s="101">
        <f t="shared" si="12"/>
        <v>892730.38491331553</v>
      </c>
      <c r="I28" s="101">
        <f t="shared" si="12"/>
        <v>320006.06196149718</v>
      </c>
      <c r="J28" s="101">
        <f t="shared" si="12"/>
        <v>233090.34662888641</v>
      </c>
      <c r="K28" s="101">
        <f t="shared" si="12"/>
        <v>-2740.4503363309195</v>
      </c>
      <c r="L28" s="101">
        <f t="shared" si="12"/>
        <v>249136.80754764494</v>
      </c>
      <c r="M28" s="101">
        <f t="shared" si="12"/>
        <v>1309655.6980343405</v>
      </c>
      <c r="N28" s="101">
        <f t="shared" si="12"/>
        <v>2724548.4672940243</v>
      </c>
      <c r="O28" s="101">
        <f>O21-O26</f>
        <v>172804.12486461923</v>
      </c>
      <c r="P28" s="101"/>
      <c r="Q28" s="147">
        <f t="shared" ref="Q28:Q31" si="13">SUM(D28:O28)</f>
        <v>6790350.6200520219</v>
      </c>
    </row>
    <row r="29" spans="1:17" x14ac:dyDescent="0.25">
      <c r="A29" s="56">
        <v>18</v>
      </c>
      <c r="B29" s="55" t="s">
        <v>114</v>
      </c>
      <c r="C29" s="56" t="s">
        <v>115</v>
      </c>
      <c r="D29" s="101">
        <f>D28*-'Pg 6 UG-190335 Auth-4'!$E$19</f>
        <v>-40553.08610376744</v>
      </c>
      <c r="E29" s="101">
        <f>E28*-'Pg 6 UG-190335 Auth-4'!$E$19</f>
        <v>83497.135173330869</v>
      </c>
      <c r="F29" s="101">
        <f>F28*-'Pg 6 UG-190335 Auth-4'!$E$19</f>
        <v>-36668.956996306551</v>
      </c>
      <c r="G29" s="101">
        <f>G28*-'Pg 6 UG-190335 Auth-4'!$E$19</f>
        <v>-45622.459428361297</v>
      </c>
      <c r="H29" s="101">
        <f>H28*-'Pg 6 UG-190335 Auth-4'!$E$19</f>
        <v>-39418.510145847446</v>
      </c>
      <c r="I29" s="101">
        <f>I28*-'Pg 6 UG-190335 Auth-4'!$E$19</f>
        <v>-14129.867665909907</v>
      </c>
      <c r="J29" s="101">
        <f>J28*-'Pg 6 UG-190335 Auth-4'!$E$19</f>
        <v>-10292.104255398479</v>
      </c>
      <c r="K29" s="101">
        <f>K28*-'Pg 6 UG-190335 Auth-4'!$E$19</f>
        <v>121.00458460069176</v>
      </c>
      <c r="L29" s="101">
        <f>L28*-'Pg 6 UG-190335 Auth-4'!$E$19</f>
        <v>-11000.635737266262</v>
      </c>
      <c r="M29" s="101">
        <f>M28*-'Pg 10 UG-200901 Auth-4'!$E$20</f>
        <v>-57255.527806665297</v>
      </c>
      <c r="N29" s="101">
        <f>N28*-'Pg 10 UG-200901 Auth-4'!$E$20</f>
        <v>-119111.80989316016</v>
      </c>
      <c r="O29" s="101">
        <f>O28*-'Pg 10 UG-200901 Auth-4'!$E$20</f>
        <v>-7554.6507308314231</v>
      </c>
      <c r="P29" s="101"/>
      <c r="Q29" s="147">
        <f>SUM(D29:O29)</f>
        <v>-297989.46900558274</v>
      </c>
    </row>
    <row r="30" spans="1:17" x14ac:dyDescent="0.25">
      <c r="A30" s="56">
        <v>19</v>
      </c>
      <c r="B30" s="55"/>
      <c r="C30" s="56" t="s">
        <v>116</v>
      </c>
      <c r="D30" s="155">
        <v>3.2500000000000001E-2</v>
      </c>
      <c r="E30" s="146">
        <f>D30</f>
        <v>3.2500000000000001E-2</v>
      </c>
      <c r="F30" s="146">
        <f t="shared" ref="F30:L30" si="14">E30</f>
        <v>3.2500000000000001E-2</v>
      </c>
      <c r="G30" s="146">
        <f t="shared" si="14"/>
        <v>3.2500000000000001E-2</v>
      </c>
      <c r="H30" s="146">
        <f t="shared" si="14"/>
        <v>3.2500000000000001E-2</v>
      </c>
      <c r="I30" s="146">
        <f t="shared" si="14"/>
        <v>3.2500000000000001E-2</v>
      </c>
      <c r="J30" s="146">
        <f t="shared" si="14"/>
        <v>3.2500000000000001E-2</v>
      </c>
      <c r="K30" s="146">
        <f t="shared" si="14"/>
        <v>3.2500000000000001E-2</v>
      </c>
      <c r="L30" s="146">
        <f t="shared" si="14"/>
        <v>3.2500000000000001E-2</v>
      </c>
      <c r="M30" s="155">
        <v>3.2500000000000001E-2</v>
      </c>
      <c r="N30" s="146">
        <f>IF(N10&gt;0,M30,0)</f>
        <v>3.2500000000000001E-2</v>
      </c>
      <c r="O30" s="146">
        <f>IF(O10&gt;0,N30,0)</f>
        <v>3.2500000000000001E-2</v>
      </c>
      <c r="P30" s="146"/>
      <c r="Q30" s="147"/>
    </row>
    <row r="31" spans="1:17" x14ac:dyDescent="0.25">
      <c r="A31" s="56">
        <v>20</v>
      </c>
      <c r="B31" s="55" t="s">
        <v>117</v>
      </c>
      <c r="C31" s="56" t="s">
        <v>118</v>
      </c>
      <c r="D31" s="107">
        <f>(D28+D29)/2*D30/12</f>
        <v>1188.7858104714517</v>
      </c>
      <c r="E31" s="107">
        <f>(D33+(E28+E29)/2)*E30/12</f>
        <v>-66.869805643332853</v>
      </c>
      <c r="F31" s="151">
        <f t="shared" ref="F31:O31" si="15">(E33+(F28+F29)/2)*F30/12</f>
        <v>-1439.7867274434409</v>
      </c>
      <c r="G31" s="117">
        <f>(F33+(G28+G29)/2)*G30/12</f>
        <v>968.63008965204062</v>
      </c>
      <c r="H31" s="117">
        <f t="shared" si="15"/>
        <v>3464.1709606283298</v>
      </c>
      <c r="I31" s="107">
        <f t="shared" si="15"/>
        <v>5043.2869338362534</v>
      </c>
      <c r="J31" s="107">
        <f t="shared" si="15"/>
        <v>5772.8591356047655</v>
      </c>
      <c r="K31" s="107">
        <f t="shared" si="15"/>
        <v>6086.6527495223272</v>
      </c>
      <c r="L31" s="107">
        <f t="shared" si="15"/>
        <v>6422.0663339233688</v>
      </c>
      <c r="M31" s="107">
        <f t="shared" si="15"/>
        <v>8457.8940600876103</v>
      </c>
      <c r="N31" s="107">
        <f t="shared" si="15"/>
        <v>13704.954893913995</v>
      </c>
      <c r="O31" s="107">
        <f t="shared" si="15"/>
        <v>17494.04328320485</v>
      </c>
      <c r="P31" s="107"/>
      <c r="Q31" s="147">
        <f t="shared" si="13"/>
        <v>67096.687717758221</v>
      </c>
    </row>
    <row r="32" spans="1:17" ht="15.75" thickBot="1" x14ac:dyDescent="0.3">
      <c r="A32" s="56">
        <v>21</v>
      </c>
      <c r="B32" s="93" t="s">
        <v>119</v>
      </c>
      <c r="C32" s="56"/>
      <c r="D32" s="108">
        <f>D28+D29+D31</f>
        <v>879061.38431246637</v>
      </c>
      <c r="E32" s="108">
        <f t="shared" ref="E32:O32" si="16">E28+E29+E31</f>
        <v>-1807570.4179825757</v>
      </c>
      <c r="F32" s="135">
        <f t="shared" si="16"/>
        <v>792351.15880838793</v>
      </c>
      <c r="G32" s="108">
        <f t="shared" si="16"/>
        <v>988580.44601767848</v>
      </c>
      <c r="H32" s="108">
        <f t="shared" si="16"/>
        <v>856776.04572809639</v>
      </c>
      <c r="I32" s="108">
        <f t="shared" si="16"/>
        <v>310919.48122942349</v>
      </c>
      <c r="J32" s="108">
        <f t="shared" si="16"/>
        <v>228571.1015090927</v>
      </c>
      <c r="K32" s="108">
        <f t="shared" si="16"/>
        <v>3467.2069977920996</v>
      </c>
      <c r="L32" s="108">
        <f t="shared" si="16"/>
        <v>244558.23814430204</v>
      </c>
      <c r="M32" s="108">
        <f t="shared" si="16"/>
        <v>1260858.0642877629</v>
      </c>
      <c r="N32" s="108">
        <f t="shared" si="16"/>
        <v>2619141.6122947782</v>
      </c>
      <c r="O32" s="108">
        <f t="shared" si="16"/>
        <v>182743.51741699263</v>
      </c>
      <c r="P32" s="108"/>
      <c r="Q32" s="108">
        <f>SUM(D32:O32)</f>
        <v>6559457.8387641972</v>
      </c>
    </row>
    <row r="33" spans="1:17" ht="15.75" thickBot="1" x14ac:dyDescent="0.3">
      <c r="A33" s="56">
        <v>22</v>
      </c>
      <c r="B33" s="55" t="s">
        <v>120</v>
      </c>
      <c r="C33" s="56" t="str">
        <f>"Σ(("&amp;A28&amp;") ,("&amp;A29&amp;") , ("&amp;A31&amp;"))"</f>
        <v>Σ((17) ,(18) , (20))</v>
      </c>
      <c r="D33" s="101">
        <f>D28+D29+D31</f>
        <v>879061.38431246637</v>
      </c>
      <c r="E33" s="101">
        <f>D33+E28+E29+E31</f>
        <v>-928509.03367010923</v>
      </c>
      <c r="F33" s="115">
        <f t="shared" ref="F33:N33" si="17">E33+F28+F29+F31</f>
        <v>-136157.8748617213</v>
      </c>
      <c r="G33" s="115">
        <f t="shared" si="17"/>
        <v>852422.57115595718</v>
      </c>
      <c r="H33" s="115">
        <f t="shared" si="17"/>
        <v>1709198.6168840537</v>
      </c>
      <c r="I33" s="101">
        <f t="shared" si="17"/>
        <v>2020118.0981134772</v>
      </c>
      <c r="J33" s="101">
        <f t="shared" si="17"/>
        <v>2248689.1996225705</v>
      </c>
      <c r="K33" s="101">
        <f t="shared" si="17"/>
        <v>2252156.4066203623</v>
      </c>
      <c r="L33" s="101">
        <f t="shared" si="17"/>
        <v>2496714.6447646646</v>
      </c>
      <c r="M33" s="101">
        <f t="shared" si="17"/>
        <v>3757572.7090524272</v>
      </c>
      <c r="N33" s="101">
        <f t="shared" si="17"/>
        <v>6376714.321347205</v>
      </c>
      <c r="O33" s="109">
        <f>N33+O28+O29+O31</f>
        <v>6559457.8387641972</v>
      </c>
      <c r="P33" s="135"/>
      <c r="Q33" s="139"/>
    </row>
    <row r="34" spans="1:17" ht="27.75" customHeight="1" x14ac:dyDescent="0.25">
      <c r="A34" s="56"/>
      <c r="B34" s="159" t="s">
        <v>154</v>
      </c>
      <c r="C34" s="159"/>
      <c r="D34" s="159"/>
      <c r="E34" s="159"/>
      <c r="F34" s="159"/>
      <c r="G34" s="159"/>
      <c r="H34" s="159"/>
      <c r="I34" s="159"/>
      <c r="J34" s="159"/>
      <c r="K34" s="159"/>
      <c r="L34" s="159"/>
      <c r="M34" s="159"/>
      <c r="N34" s="159"/>
      <c r="O34" s="159"/>
      <c r="P34" s="159"/>
      <c r="Q34" s="127"/>
    </row>
  </sheetData>
  <mergeCells count="4">
    <mergeCell ref="A1:O1"/>
    <mergeCell ref="A2:O2"/>
    <mergeCell ref="A3:O3"/>
    <mergeCell ref="B34:P34"/>
  </mergeCells>
  <pageMargins left="0.7" right="0.7" top="0.75" bottom="0.75" header="0.3" footer="0.3"/>
  <pageSetup scale="49" orientation="landscape" horizontalDpi="1200" verticalDpi="1200" r:id="rId1"/>
  <headerFoot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D8E5-409E-48D2-BAC2-6B10FB3A286E}">
  <sheetPr>
    <pageSetUpPr fitToPage="1"/>
  </sheetPr>
  <dimension ref="A1:P30"/>
  <sheetViews>
    <sheetView topLeftCell="B15" zoomScaleNormal="100" workbookViewId="0">
      <selection activeCell="F49" sqref="F49"/>
    </sheetView>
  </sheetViews>
  <sheetFormatPr defaultRowHeight="15" x14ac:dyDescent="0.25"/>
  <cols>
    <col min="1" max="1" width="5.7109375" customWidth="1"/>
    <col min="2" max="2" width="42.7109375" bestFit="1" customWidth="1"/>
    <col min="3" max="3" width="18.28515625" bestFit="1" customWidth="1"/>
    <col min="4" max="4" width="13.42578125" bestFit="1" customWidth="1"/>
    <col min="5" max="6" width="13" bestFit="1" customWidth="1"/>
    <col min="7" max="7" width="11.85546875" bestFit="1" customWidth="1"/>
    <col min="8" max="10" width="12.28515625" bestFit="1" customWidth="1"/>
    <col min="11" max="11" width="11.85546875" bestFit="1" customWidth="1"/>
    <col min="12" max="12" width="12.28515625" bestFit="1" customWidth="1"/>
    <col min="13" max="13" width="11.85546875" bestFit="1" customWidth="1"/>
    <col min="14" max="14" width="13" bestFit="1" customWidth="1"/>
    <col min="15" max="15" width="13.42578125" bestFit="1" customWidth="1"/>
    <col min="16" max="16" width="12.5703125" bestFit="1" customWidth="1"/>
  </cols>
  <sheetData>
    <row r="1" spans="1:16" ht="18.75" x14ac:dyDescent="0.3">
      <c r="A1" s="165" t="s">
        <v>0</v>
      </c>
      <c r="B1" s="165"/>
      <c r="C1" s="165"/>
      <c r="D1" s="165"/>
      <c r="E1" s="165"/>
      <c r="F1" s="165"/>
      <c r="G1" s="165"/>
      <c r="H1" s="165"/>
      <c r="I1" s="165"/>
      <c r="J1" s="165"/>
      <c r="K1" s="165"/>
      <c r="L1" s="165"/>
      <c r="M1" s="165"/>
      <c r="N1" s="165"/>
      <c r="O1" s="165"/>
      <c r="P1" s="165"/>
    </row>
    <row r="2" spans="1:16" ht="18.75" x14ac:dyDescent="0.3">
      <c r="A2" s="165" t="str">
        <f>'Pg 7 UG-200901 Auth-1'!A2</f>
        <v>Natural Gas Decoupling Mechanism</v>
      </c>
      <c r="B2" s="165"/>
      <c r="C2" s="165"/>
      <c r="D2" s="165"/>
      <c r="E2" s="165"/>
      <c r="F2" s="165"/>
      <c r="G2" s="165"/>
      <c r="H2" s="165"/>
      <c r="I2" s="165"/>
      <c r="J2" s="165"/>
      <c r="K2" s="165"/>
      <c r="L2" s="165"/>
      <c r="M2" s="165"/>
      <c r="N2" s="165"/>
      <c r="O2" s="165"/>
      <c r="P2" s="165"/>
    </row>
    <row r="3" spans="1:16" ht="18.75" x14ac:dyDescent="0.3">
      <c r="A3" s="166" t="s">
        <v>56</v>
      </c>
      <c r="B3" s="166"/>
      <c r="C3" s="166"/>
      <c r="D3" s="166"/>
      <c r="E3" s="166"/>
      <c r="F3" s="166"/>
      <c r="G3" s="166"/>
      <c r="H3" s="166"/>
      <c r="I3" s="166"/>
      <c r="J3" s="166"/>
      <c r="K3" s="166"/>
      <c r="L3" s="166"/>
      <c r="M3" s="166"/>
      <c r="N3" s="166"/>
      <c r="O3" s="166"/>
      <c r="P3" s="166"/>
    </row>
    <row r="4" spans="1:16" ht="18.75" x14ac:dyDescent="0.3">
      <c r="A4" s="165" t="str">
        <f>'Pg 7 UG-200901 Auth-1'!A4</f>
        <v>Washington Docket No. UG-200901 Compliance Filing</v>
      </c>
      <c r="B4" s="165"/>
      <c r="C4" s="165"/>
      <c r="D4" s="165"/>
      <c r="E4" s="165"/>
      <c r="F4" s="165"/>
      <c r="G4" s="165"/>
      <c r="H4" s="165"/>
      <c r="I4" s="165"/>
      <c r="J4" s="165"/>
      <c r="K4" s="165"/>
      <c r="L4" s="165"/>
      <c r="M4" s="165"/>
      <c r="N4" s="165"/>
      <c r="O4" s="165"/>
      <c r="P4" s="165"/>
    </row>
    <row r="5" spans="1:16" x14ac:dyDescent="0.25">
      <c r="A5" s="55"/>
      <c r="B5" s="55"/>
      <c r="C5" s="56"/>
      <c r="D5" s="56"/>
      <c r="E5" s="56"/>
      <c r="F5" s="56"/>
      <c r="G5" s="56"/>
      <c r="H5" s="55"/>
      <c r="I5" s="55"/>
      <c r="J5" s="55"/>
      <c r="K5" s="55"/>
      <c r="L5" s="55"/>
      <c r="M5" s="55"/>
      <c r="N5" s="55"/>
      <c r="O5" s="55"/>
      <c r="P5" s="55"/>
    </row>
    <row r="6" spans="1:16" ht="25.5" x14ac:dyDescent="0.25">
      <c r="A6" s="57" t="s">
        <v>36</v>
      </c>
      <c r="B6" s="58"/>
      <c r="C6" s="59" t="s">
        <v>37</v>
      </c>
      <c r="D6" s="60" t="s">
        <v>57</v>
      </c>
      <c r="E6" s="60" t="s">
        <v>58</v>
      </c>
      <c r="F6" s="60" t="s">
        <v>59</v>
      </c>
      <c r="G6" s="60" t="s">
        <v>60</v>
      </c>
      <c r="H6" s="60" t="s">
        <v>61</v>
      </c>
      <c r="I6" s="60" t="s">
        <v>62</v>
      </c>
      <c r="J6" s="60" t="s">
        <v>63</v>
      </c>
      <c r="K6" s="60" t="s">
        <v>64</v>
      </c>
      <c r="L6" s="60" t="s">
        <v>65</v>
      </c>
      <c r="M6" s="60" t="s">
        <v>66</v>
      </c>
      <c r="N6" s="60" t="s">
        <v>67</v>
      </c>
      <c r="O6" s="60" t="s">
        <v>68</v>
      </c>
      <c r="P6" s="57" t="s">
        <v>9</v>
      </c>
    </row>
    <row r="7" spans="1:16" x14ac:dyDescent="0.25">
      <c r="A7" s="55"/>
      <c r="B7" s="56" t="s">
        <v>40</v>
      </c>
      <c r="C7" s="56" t="s">
        <v>41</v>
      </c>
      <c r="D7" s="56" t="s">
        <v>42</v>
      </c>
      <c r="E7" s="56" t="s">
        <v>43</v>
      </c>
      <c r="F7" s="56" t="s">
        <v>69</v>
      </c>
      <c r="G7" s="56" t="s">
        <v>70</v>
      </c>
      <c r="H7" s="56" t="s">
        <v>71</v>
      </c>
      <c r="I7" s="56" t="s">
        <v>72</v>
      </c>
      <c r="J7" s="56" t="s">
        <v>73</v>
      </c>
      <c r="K7" s="56" t="s">
        <v>74</v>
      </c>
      <c r="L7" s="56" t="s">
        <v>75</v>
      </c>
      <c r="M7" s="56" t="s">
        <v>76</v>
      </c>
      <c r="N7" s="56" t="s">
        <v>77</v>
      </c>
      <c r="O7" s="56" t="s">
        <v>78</v>
      </c>
      <c r="P7" s="56" t="s">
        <v>79</v>
      </c>
    </row>
    <row r="8" spans="1:16" x14ac:dyDescent="0.25">
      <c r="A8" s="56">
        <v>1</v>
      </c>
      <c r="B8" s="61"/>
      <c r="C8" s="56"/>
      <c r="D8" s="56"/>
      <c r="E8" s="56"/>
      <c r="F8" s="56"/>
      <c r="G8" s="56"/>
      <c r="H8" s="56"/>
      <c r="I8" s="56"/>
      <c r="J8" s="55"/>
      <c r="K8" s="55"/>
      <c r="L8" s="55"/>
      <c r="M8" s="55"/>
      <c r="N8" s="55"/>
      <c r="O8" s="55"/>
      <c r="P8" s="55"/>
    </row>
    <row r="9" spans="1:16" x14ac:dyDescent="0.25">
      <c r="A9" s="56">
        <f t="shared" ref="A9:A28" si="0">A8+1</f>
        <v>2</v>
      </c>
      <c r="B9" s="62" t="s">
        <v>80</v>
      </c>
      <c r="C9" s="56"/>
      <c r="D9" s="55"/>
      <c r="E9" s="55"/>
      <c r="F9" s="55"/>
      <c r="G9" s="55"/>
      <c r="H9" s="63"/>
      <c r="I9" s="63"/>
      <c r="J9" s="55"/>
      <c r="K9" s="55"/>
      <c r="L9" s="55"/>
      <c r="M9" s="55"/>
      <c r="N9" s="55"/>
      <c r="O9" s="55"/>
      <c r="P9" s="64"/>
    </row>
    <row r="10" spans="1:16" x14ac:dyDescent="0.25">
      <c r="A10" s="56">
        <f t="shared" si="0"/>
        <v>3</v>
      </c>
      <c r="B10" s="65" t="s">
        <v>81</v>
      </c>
      <c r="C10" s="56"/>
      <c r="D10" s="55"/>
      <c r="E10" s="55"/>
      <c r="F10" s="55"/>
      <c r="G10" s="55"/>
      <c r="H10" s="55"/>
      <c r="I10" s="55"/>
      <c r="J10" s="55"/>
      <c r="K10" s="55"/>
      <c r="L10" s="55"/>
      <c r="M10" s="55"/>
      <c r="N10" s="55"/>
      <c r="O10" s="55"/>
      <c r="P10" s="64"/>
    </row>
    <row r="11" spans="1:16" x14ac:dyDescent="0.25">
      <c r="A11" s="56">
        <f t="shared" si="0"/>
        <v>4</v>
      </c>
      <c r="B11" s="66" t="s">
        <v>82</v>
      </c>
      <c r="C11" s="56" t="s">
        <v>83</v>
      </c>
      <c r="D11" s="67">
        <v>22053451.06749</v>
      </c>
      <c r="E11" s="67">
        <v>17838630.537940003</v>
      </c>
      <c r="F11" s="67">
        <v>15392331.434899997</v>
      </c>
      <c r="G11" s="67">
        <v>9335433.8068300001</v>
      </c>
      <c r="H11" s="67">
        <v>6176184.7046499997</v>
      </c>
      <c r="I11" s="67">
        <v>3137237.9128</v>
      </c>
      <c r="J11" s="67">
        <v>2719095.96147</v>
      </c>
      <c r="K11" s="67">
        <v>2706113.12733</v>
      </c>
      <c r="L11" s="67">
        <v>2771534.1403299998</v>
      </c>
      <c r="M11" s="67">
        <v>10154965.928239999</v>
      </c>
      <c r="N11" s="67">
        <v>17140392.246090002</v>
      </c>
      <c r="O11" s="67">
        <v>22670233.084459998</v>
      </c>
      <c r="P11" s="68">
        <f>SUM(D11:O11)</f>
        <v>132095603.95253</v>
      </c>
    </row>
    <row r="12" spans="1:16" x14ac:dyDescent="0.25">
      <c r="A12" s="56">
        <f t="shared" si="0"/>
        <v>5</v>
      </c>
      <c r="B12" s="55" t="s">
        <v>84</v>
      </c>
      <c r="C12" s="69" t="s">
        <v>85</v>
      </c>
      <c r="D12" s="70">
        <f t="shared" ref="D12:O12" si="1">D11/$P11</f>
        <v>0.16695068123096019</v>
      </c>
      <c r="E12" s="70">
        <f t="shared" si="1"/>
        <v>0.13504333228492987</v>
      </c>
      <c r="F12" s="70">
        <f t="shared" si="1"/>
        <v>0.1165241762355044</v>
      </c>
      <c r="G12" s="70">
        <f t="shared" si="1"/>
        <v>7.0671797754789711E-2</v>
      </c>
      <c r="H12" s="70">
        <f t="shared" si="1"/>
        <v>4.6755414410834438E-2</v>
      </c>
      <c r="I12" s="70">
        <f t="shared" si="1"/>
        <v>2.3749752595305148E-2</v>
      </c>
      <c r="J12" s="70">
        <f t="shared" si="1"/>
        <v>2.0584303187312251E-2</v>
      </c>
      <c r="K12" s="70">
        <f t="shared" si="1"/>
        <v>2.0486019567331488E-2</v>
      </c>
      <c r="L12" s="70">
        <f t="shared" si="1"/>
        <v>2.0981274602642954E-2</v>
      </c>
      <c r="M12" s="70">
        <f t="shared" si="1"/>
        <v>7.687588098608715E-2</v>
      </c>
      <c r="N12" s="70">
        <f t="shared" si="1"/>
        <v>0.12975747665493539</v>
      </c>
      <c r="O12" s="70">
        <f t="shared" si="1"/>
        <v>0.17161989048936704</v>
      </c>
      <c r="P12" s="70">
        <f>SUM(D12:O12)</f>
        <v>1</v>
      </c>
    </row>
    <row r="13" spans="1:16" x14ac:dyDescent="0.25">
      <c r="A13" s="56">
        <f t="shared" si="0"/>
        <v>6</v>
      </c>
      <c r="B13" s="55"/>
      <c r="C13" s="71"/>
      <c r="D13" s="72"/>
      <c r="E13" s="72"/>
      <c r="F13" s="72"/>
      <c r="G13" s="72"/>
      <c r="H13" s="72"/>
      <c r="I13" s="72"/>
      <c r="J13" s="72"/>
      <c r="K13" s="72"/>
      <c r="L13" s="72"/>
      <c r="M13" s="72"/>
      <c r="N13" s="72"/>
      <c r="O13" s="72"/>
      <c r="P13" s="72"/>
    </row>
    <row r="14" spans="1:16" x14ac:dyDescent="0.25">
      <c r="A14" s="56">
        <f t="shared" si="0"/>
        <v>7</v>
      </c>
      <c r="B14" s="65" t="s">
        <v>86</v>
      </c>
      <c r="C14" s="72"/>
      <c r="D14" s="72"/>
      <c r="E14" s="72"/>
      <c r="F14" s="72"/>
      <c r="G14" s="72"/>
      <c r="H14" s="72"/>
      <c r="I14" s="72"/>
      <c r="J14" s="72"/>
      <c r="K14" s="72"/>
      <c r="L14" s="72"/>
      <c r="M14" s="72"/>
      <c r="N14" s="72"/>
      <c r="O14" s="72"/>
      <c r="P14" s="72"/>
    </row>
    <row r="15" spans="1:16" x14ac:dyDescent="0.25">
      <c r="A15" s="56">
        <f t="shared" si="0"/>
        <v>8</v>
      </c>
      <c r="B15" s="66" t="s">
        <v>82</v>
      </c>
      <c r="C15" s="56" t="s">
        <v>83</v>
      </c>
      <c r="D15" s="67">
        <v>8577346.0812400002</v>
      </c>
      <c r="E15" s="67">
        <v>7573569.3179900013</v>
      </c>
      <c r="F15" s="67">
        <v>6130349.9129899992</v>
      </c>
      <c r="G15" s="67">
        <v>4993381.634779999</v>
      </c>
      <c r="H15" s="67">
        <v>3224279.6242300002</v>
      </c>
      <c r="I15" s="67">
        <v>2598073.50722</v>
      </c>
      <c r="J15" s="67">
        <v>2115988.7692299997</v>
      </c>
      <c r="K15" s="67">
        <v>2178138.1103099999</v>
      </c>
      <c r="L15" s="67">
        <v>2697187.96893</v>
      </c>
      <c r="M15" s="67">
        <v>4650251.5913500004</v>
      </c>
      <c r="N15" s="67">
        <v>6926057.0081899995</v>
      </c>
      <c r="O15" s="67">
        <v>8661298.1063599996</v>
      </c>
      <c r="P15" s="68">
        <f>SUM(D15:O15)</f>
        <v>60325921.632819995</v>
      </c>
    </row>
    <row r="16" spans="1:16" x14ac:dyDescent="0.25">
      <c r="A16" s="56">
        <f t="shared" si="0"/>
        <v>9</v>
      </c>
      <c r="B16" s="55" t="s">
        <v>84</v>
      </c>
      <c r="C16" s="69" t="s">
        <v>85</v>
      </c>
      <c r="D16" s="73">
        <f t="shared" ref="D16:O16" si="2">D15/$P15</f>
        <v>0.14218342379328924</v>
      </c>
      <c r="E16" s="73">
        <f t="shared" si="2"/>
        <v>0.12554419581166651</v>
      </c>
      <c r="F16" s="73">
        <f t="shared" si="2"/>
        <v>0.10162049326495187</v>
      </c>
      <c r="G16" s="73">
        <f t="shared" si="2"/>
        <v>8.2773399885587101E-2</v>
      </c>
      <c r="H16" s="73">
        <f t="shared" si="2"/>
        <v>5.3447664568722443E-2</v>
      </c>
      <c r="I16" s="73">
        <f t="shared" si="2"/>
        <v>4.3067282469937962E-2</v>
      </c>
      <c r="J16" s="73">
        <f t="shared" si="2"/>
        <v>3.5075945993982248E-2</v>
      </c>
      <c r="K16" s="73">
        <f t="shared" si="2"/>
        <v>3.6106172128914406E-2</v>
      </c>
      <c r="L16" s="73">
        <f t="shared" si="2"/>
        <v>4.4710265436916412E-2</v>
      </c>
      <c r="M16" s="73">
        <f t="shared" si="2"/>
        <v>7.7085462857148554E-2</v>
      </c>
      <c r="N16" s="73">
        <f t="shared" si="2"/>
        <v>0.11481062900864021</v>
      </c>
      <c r="O16" s="73">
        <f t="shared" si="2"/>
        <v>0.14357506478024309</v>
      </c>
      <c r="P16" s="73">
        <f>SUM(D16:O16)</f>
        <v>1</v>
      </c>
    </row>
    <row r="17" spans="1:16" x14ac:dyDescent="0.25">
      <c r="A17" s="56">
        <f t="shared" si="0"/>
        <v>10</v>
      </c>
      <c r="B17" s="55"/>
      <c r="C17" s="56"/>
      <c r="D17" s="73"/>
      <c r="E17" s="64"/>
      <c r="F17" s="64"/>
      <c r="G17" s="64"/>
      <c r="H17" s="64"/>
      <c r="I17" s="64"/>
      <c r="J17" s="64"/>
      <c r="K17" s="64"/>
      <c r="L17" s="64"/>
      <c r="M17" s="64"/>
      <c r="N17" s="64"/>
      <c r="O17" s="64"/>
      <c r="P17" s="64"/>
    </row>
    <row r="18" spans="1:16" x14ac:dyDescent="0.25">
      <c r="A18" s="56">
        <f t="shared" si="0"/>
        <v>11</v>
      </c>
      <c r="B18" s="62" t="s">
        <v>87</v>
      </c>
      <c r="C18" s="56"/>
      <c r="D18" s="73"/>
      <c r="E18" s="64"/>
      <c r="F18" s="64"/>
      <c r="G18" s="64"/>
      <c r="H18" s="64"/>
      <c r="I18" s="64"/>
      <c r="J18" s="64"/>
      <c r="K18" s="64"/>
      <c r="L18" s="64"/>
      <c r="M18" s="64"/>
      <c r="N18" s="64"/>
      <c r="O18" s="64"/>
      <c r="P18" s="64"/>
    </row>
    <row r="19" spans="1:16" x14ac:dyDescent="0.25">
      <c r="A19" s="56">
        <f t="shared" si="0"/>
        <v>12</v>
      </c>
      <c r="B19" s="65" t="s">
        <v>81</v>
      </c>
      <c r="C19" s="56"/>
      <c r="D19" s="73"/>
      <c r="E19" s="55"/>
      <c r="F19" s="55"/>
      <c r="G19" s="55"/>
      <c r="H19" s="55"/>
      <c r="I19" s="55"/>
      <c r="J19" s="55"/>
      <c r="K19" s="55"/>
      <c r="L19" s="55"/>
      <c r="M19" s="55"/>
      <c r="N19" s="55"/>
      <c r="O19" s="55"/>
      <c r="P19" s="55"/>
    </row>
    <row r="20" spans="1:16" x14ac:dyDescent="0.25">
      <c r="A20" s="56">
        <f t="shared" si="0"/>
        <v>13</v>
      </c>
      <c r="B20" s="55" t="s">
        <v>144</v>
      </c>
      <c r="C20" s="56" t="s">
        <v>88</v>
      </c>
      <c r="D20" s="55"/>
      <c r="E20" s="55"/>
      <c r="F20" s="55"/>
      <c r="G20" s="55"/>
      <c r="H20" s="55"/>
      <c r="I20" s="55"/>
      <c r="J20" s="55"/>
      <c r="K20" s="55"/>
      <c r="L20" s="55"/>
      <c r="M20" s="55"/>
      <c r="N20" s="55"/>
      <c r="O20" s="55"/>
      <c r="P20" s="74">
        <f>'Pg 8 UG-200901 Auth-2'!D13</f>
        <v>410.99</v>
      </c>
    </row>
    <row r="21" spans="1:16" x14ac:dyDescent="0.25">
      <c r="A21" s="56">
        <f t="shared" si="0"/>
        <v>14</v>
      </c>
      <c r="B21" s="55" t="s">
        <v>89</v>
      </c>
      <c r="C21" s="56" t="str">
        <f>"("&amp;'Pg 7 UG-200901 Auth-1'!A$12&amp;") x ("&amp;A20&amp;")"</f>
        <v>() x (13)</v>
      </c>
      <c r="D21" s="75">
        <f t="shared" ref="D21:O21" si="3">$P20*D$12</f>
        <v>68.61506047911233</v>
      </c>
      <c r="E21" s="75">
        <f t="shared" si="3"/>
        <v>55.501459135783328</v>
      </c>
      <c r="F21" s="75">
        <f t="shared" si="3"/>
        <v>47.890271191029953</v>
      </c>
      <c r="G21" s="75">
        <f t="shared" si="3"/>
        <v>29.045402159241025</v>
      </c>
      <c r="H21" s="75">
        <f t="shared" si="3"/>
        <v>19.216007768708845</v>
      </c>
      <c r="I21" s="75">
        <f t="shared" si="3"/>
        <v>9.7609108191444633</v>
      </c>
      <c r="J21" s="75">
        <f t="shared" si="3"/>
        <v>8.4599427669534624</v>
      </c>
      <c r="K21" s="75">
        <f t="shared" si="3"/>
        <v>8.419549181977569</v>
      </c>
      <c r="L21" s="75">
        <f t="shared" si="3"/>
        <v>8.6230940489402279</v>
      </c>
      <c r="M21" s="75">
        <f t="shared" si="3"/>
        <v>31.595218326471958</v>
      </c>
      <c r="N21" s="75">
        <f t="shared" si="3"/>
        <v>53.329025330411902</v>
      </c>
      <c r="O21" s="75">
        <f t="shared" si="3"/>
        <v>70.534058792224968</v>
      </c>
      <c r="P21" s="74">
        <f>SUM(D21:O21)</f>
        <v>410.99000000000012</v>
      </c>
    </row>
    <row r="22" spans="1:16" x14ac:dyDescent="0.25">
      <c r="A22" s="56">
        <f t="shared" si="0"/>
        <v>15</v>
      </c>
      <c r="B22" s="55"/>
      <c r="C22" s="76"/>
      <c r="D22" s="55"/>
      <c r="E22" s="55"/>
      <c r="F22" s="55"/>
      <c r="G22" s="55"/>
      <c r="H22" s="55"/>
      <c r="I22" s="55"/>
      <c r="J22" s="55"/>
      <c r="K22" s="55"/>
      <c r="L22" s="55"/>
      <c r="M22" s="55"/>
      <c r="N22" s="55"/>
      <c r="O22" s="55"/>
      <c r="P22" s="74"/>
    </row>
    <row r="23" spans="1:16" x14ac:dyDescent="0.25">
      <c r="A23" s="56">
        <f t="shared" si="0"/>
        <v>16</v>
      </c>
      <c r="B23" s="65" t="s">
        <v>86</v>
      </c>
      <c r="C23" s="76"/>
      <c r="D23" s="55"/>
      <c r="E23" s="55"/>
      <c r="F23" s="55"/>
      <c r="G23" s="55"/>
      <c r="H23" s="55"/>
      <c r="I23" s="55"/>
      <c r="J23" s="55"/>
      <c r="K23" s="55"/>
      <c r="L23" s="55"/>
      <c r="M23" s="55"/>
      <c r="N23" s="55"/>
      <c r="O23" s="55"/>
      <c r="P23" s="74"/>
    </row>
    <row r="24" spans="1:16" x14ac:dyDescent="0.25">
      <c r="A24" s="56">
        <f t="shared" si="0"/>
        <v>17</v>
      </c>
      <c r="B24" s="55" t="s">
        <v>145</v>
      </c>
      <c r="C24" s="56" t="s">
        <v>88</v>
      </c>
      <c r="D24" s="55"/>
      <c r="E24" s="55"/>
      <c r="F24" s="55"/>
      <c r="G24" s="55"/>
      <c r="H24" s="55"/>
      <c r="I24" s="55"/>
      <c r="J24" s="55"/>
      <c r="K24" s="55"/>
      <c r="L24" s="55"/>
      <c r="M24" s="55"/>
      <c r="N24" s="55"/>
      <c r="O24" s="55"/>
      <c r="P24" s="74">
        <f>'Pg 8 UG-200901 Auth-2'!E13</f>
        <v>5182.28</v>
      </c>
    </row>
    <row r="25" spans="1:16" x14ac:dyDescent="0.25">
      <c r="A25" s="56">
        <f t="shared" si="0"/>
        <v>18</v>
      </c>
      <c r="B25" s="55" t="s">
        <v>89</v>
      </c>
      <c r="C25" s="56" t="str">
        <f>"("&amp;'Pg 7 UG-200901 Auth-1'!A$16&amp;") x ("&amp;A24&amp;")"</f>
        <v>() x (17)</v>
      </c>
      <c r="D25" s="75">
        <f t="shared" ref="D25:O25" si="4">$P24*D$16</f>
        <v>736.83431345548695</v>
      </c>
      <c r="E25" s="75">
        <f t="shared" si="4"/>
        <v>650.60517507088309</v>
      </c>
      <c r="F25" s="75">
        <f t="shared" si="4"/>
        <v>526.62584983709473</v>
      </c>
      <c r="G25" s="75">
        <f t="shared" si="4"/>
        <v>428.95493475908029</v>
      </c>
      <c r="H25" s="75">
        <f t="shared" si="4"/>
        <v>276.98076314119891</v>
      </c>
      <c r="I25" s="75">
        <f t="shared" si="4"/>
        <v>223.18671659831008</v>
      </c>
      <c r="J25" s="75">
        <f t="shared" si="4"/>
        <v>181.77337340569431</v>
      </c>
      <c r="K25" s="75">
        <f t="shared" si="4"/>
        <v>187.11229370023054</v>
      </c>
      <c r="L25" s="75">
        <f t="shared" si="4"/>
        <v>231.70111436842316</v>
      </c>
      <c r="M25" s="75">
        <f t="shared" si="4"/>
        <v>399.47845245534381</v>
      </c>
      <c r="N25" s="75">
        <f t="shared" si="4"/>
        <v>594.98082649889591</v>
      </c>
      <c r="O25" s="75">
        <f t="shared" si="4"/>
        <v>744.04618670935815</v>
      </c>
      <c r="P25" s="74">
        <f>SUM(D25:O25)</f>
        <v>5182.28</v>
      </c>
    </row>
    <row r="26" spans="1:16" x14ac:dyDescent="0.25">
      <c r="A26" s="56">
        <f t="shared" si="0"/>
        <v>19</v>
      </c>
      <c r="B26" s="55"/>
      <c r="C26" s="76"/>
      <c r="D26" s="56"/>
      <c r="E26" s="56"/>
      <c r="F26" s="56"/>
      <c r="G26" s="56"/>
      <c r="H26" s="55"/>
      <c r="I26" s="55"/>
      <c r="J26" s="55"/>
      <c r="K26" s="55"/>
      <c r="L26" s="55"/>
      <c r="M26" s="55"/>
      <c r="N26" s="55"/>
      <c r="O26" s="55"/>
      <c r="P26" s="74"/>
    </row>
    <row r="27" spans="1:16" x14ac:dyDescent="0.25">
      <c r="A27" s="56">
        <f t="shared" si="0"/>
        <v>20</v>
      </c>
      <c r="B27" s="55" t="str">
        <f>'Pg 8 UG-200901 Auth-2'!B16</f>
        <v xml:space="preserve">*Rate Schedules 101, 102.  </v>
      </c>
      <c r="C27" s="76"/>
      <c r="D27" s="56"/>
      <c r="E27" s="56"/>
      <c r="F27" s="56"/>
      <c r="G27" s="56"/>
      <c r="H27" s="55"/>
      <c r="I27" s="55"/>
      <c r="J27" s="55"/>
      <c r="K27" s="55"/>
      <c r="L27" s="55"/>
      <c r="M27" s="55"/>
      <c r="N27" s="55"/>
      <c r="O27" s="55"/>
      <c r="P27" s="74"/>
    </row>
    <row r="28" spans="1:16" x14ac:dyDescent="0.25">
      <c r="A28" s="56">
        <f t="shared" si="0"/>
        <v>21</v>
      </c>
      <c r="B28" s="55" t="str">
        <f>'Pg 8 UG-200901 Auth-2'!B17</f>
        <v xml:space="preserve">**Rate Schedules 111, 112, 116, 131.  </v>
      </c>
      <c r="C28" s="56"/>
      <c r="D28" s="56"/>
      <c r="E28" s="56"/>
      <c r="F28" s="56"/>
      <c r="G28" s="56"/>
      <c r="H28" s="55"/>
      <c r="I28" s="55"/>
      <c r="J28" s="55"/>
      <c r="K28" s="55"/>
      <c r="L28" s="55"/>
      <c r="M28" s="55"/>
      <c r="N28" s="55"/>
      <c r="O28" s="55"/>
      <c r="P28" s="55"/>
    </row>
    <row r="29" spans="1:16" x14ac:dyDescent="0.25">
      <c r="A29" s="77"/>
      <c r="B29" s="77"/>
      <c r="C29" s="77"/>
      <c r="D29" s="77"/>
      <c r="E29" s="77"/>
      <c r="F29" s="77"/>
      <c r="G29" s="77"/>
      <c r="H29" s="77"/>
      <c r="I29" s="77"/>
      <c r="J29" s="77"/>
      <c r="K29" s="77"/>
      <c r="L29" s="77"/>
      <c r="M29" s="77"/>
      <c r="N29" s="77"/>
      <c r="O29" s="77"/>
      <c r="P29" s="77"/>
    </row>
    <row r="30" spans="1:16" ht="18.75" x14ac:dyDescent="0.3">
      <c r="A30" s="138" t="s">
        <v>139</v>
      </c>
    </row>
  </sheetData>
  <mergeCells count="4">
    <mergeCell ref="A4:P4"/>
    <mergeCell ref="A1:P1"/>
    <mergeCell ref="A2:P2"/>
    <mergeCell ref="A3:P3"/>
  </mergeCells>
  <pageMargins left="0.7" right="0.7" top="0.75" bottom="0.75" header="0.3" footer="0.3"/>
  <pageSetup scale="54" orientation="landscape" horizontalDpi="1200" verticalDpi="1200" r:id="rId1"/>
  <headerFooter>
    <oddFooter>&amp;L&amp;F&amp;R&amp;A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1000-7FD8-496A-B37C-B819156A7CD3}">
  <sheetPr>
    <pageSetUpPr fitToPage="1"/>
  </sheetPr>
  <dimension ref="A1:E32"/>
  <sheetViews>
    <sheetView topLeftCell="A18" zoomScaleNormal="100" workbookViewId="0">
      <selection activeCell="H52" sqref="H52"/>
    </sheetView>
  </sheetViews>
  <sheetFormatPr defaultRowHeight="15" x14ac:dyDescent="0.25"/>
  <cols>
    <col min="1" max="1" width="26.140625" bestFit="1" customWidth="1"/>
    <col min="3" max="3" width="58.7109375" bestFit="1" customWidth="1"/>
    <col min="5" max="5" width="10.42578125" bestFit="1" customWidth="1"/>
  </cols>
  <sheetData>
    <row r="1" spans="1:5" x14ac:dyDescent="0.25">
      <c r="A1" s="169" t="s">
        <v>91</v>
      </c>
      <c r="B1" s="169"/>
      <c r="C1" s="169"/>
      <c r="D1" s="169"/>
      <c r="E1" s="169"/>
    </row>
    <row r="2" spans="1:5" x14ac:dyDescent="0.25">
      <c r="A2" s="169" t="s">
        <v>92</v>
      </c>
      <c r="B2" s="169"/>
      <c r="C2" s="169"/>
      <c r="D2" s="169"/>
      <c r="E2" s="169"/>
    </row>
    <row r="3" spans="1:5" x14ac:dyDescent="0.25">
      <c r="A3" s="170" t="s">
        <v>93</v>
      </c>
      <c r="B3" s="170"/>
      <c r="C3" s="170"/>
      <c r="D3" s="170"/>
      <c r="E3" s="170"/>
    </row>
    <row r="4" spans="1:5" x14ac:dyDescent="0.25">
      <c r="A4" s="168" t="s">
        <v>163</v>
      </c>
      <c r="B4" s="168"/>
      <c r="C4" s="168"/>
      <c r="D4" s="168"/>
      <c r="E4" s="168"/>
    </row>
    <row r="5" spans="1:5" x14ac:dyDescent="0.25">
      <c r="A5" s="168"/>
      <c r="B5" s="168"/>
      <c r="C5" s="168"/>
      <c r="D5" s="168"/>
      <c r="E5" s="168"/>
    </row>
    <row r="6" spans="1:5" x14ac:dyDescent="0.25">
      <c r="A6" s="167" t="str">
        <f>'Pg 7 UG-200901 Auth-1'!A4</f>
        <v>Washington Docket No. UG-200901 Compliance Filing</v>
      </c>
      <c r="B6" s="167"/>
      <c r="C6" s="167"/>
      <c r="D6" s="167"/>
      <c r="E6" s="167"/>
    </row>
    <row r="7" spans="1:5" x14ac:dyDescent="0.25">
      <c r="A7" s="78"/>
      <c r="B7" s="79"/>
      <c r="C7" s="80"/>
      <c r="D7" s="81"/>
      <c r="E7" s="82"/>
    </row>
    <row r="8" spans="1:5" x14ac:dyDescent="0.25">
      <c r="A8" s="78" t="s">
        <v>94</v>
      </c>
      <c r="B8" s="79"/>
      <c r="C8" s="78"/>
      <c r="D8" s="81"/>
      <c r="E8" s="78"/>
    </row>
    <row r="9" spans="1:5" x14ac:dyDescent="0.25">
      <c r="A9" s="83" t="s">
        <v>95</v>
      </c>
      <c r="B9" s="79"/>
      <c r="C9" s="83" t="s">
        <v>96</v>
      </c>
      <c r="D9" s="81"/>
      <c r="E9" s="83" t="s">
        <v>97</v>
      </c>
    </row>
    <row r="10" spans="1:5" x14ac:dyDescent="0.25">
      <c r="A10" s="78"/>
      <c r="B10" s="79"/>
      <c r="C10" s="81"/>
      <c r="D10" s="81"/>
      <c r="E10" s="81"/>
    </row>
    <row r="11" spans="1:5" x14ac:dyDescent="0.25">
      <c r="A11" s="84">
        <v>1</v>
      </c>
      <c r="B11" s="79"/>
      <c r="C11" s="82" t="s">
        <v>50</v>
      </c>
      <c r="D11" s="81"/>
      <c r="E11" s="81">
        <v>1</v>
      </c>
    </row>
    <row r="12" spans="1:5" x14ac:dyDescent="0.25">
      <c r="A12" s="84"/>
      <c r="B12" s="79"/>
      <c r="C12" s="82"/>
      <c r="D12" s="81"/>
      <c r="E12" s="81"/>
    </row>
    <row r="13" spans="1:5" x14ac:dyDescent="0.25">
      <c r="A13" s="84"/>
      <c r="B13" s="79"/>
      <c r="C13" s="82" t="s">
        <v>98</v>
      </c>
      <c r="D13" s="81"/>
      <c r="E13" s="81"/>
    </row>
    <row r="14" spans="1:5" x14ac:dyDescent="0.25">
      <c r="A14" s="84">
        <v>2</v>
      </c>
      <c r="B14" s="85"/>
      <c r="C14" s="81" t="s">
        <v>99</v>
      </c>
      <c r="D14" s="81"/>
      <c r="E14" s="86">
        <v>3.326E-3</v>
      </c>
    </row>
    <row r="15" spans="1:5" x14ac:dyDescent="0.25">
      <c r="A15" s="84"/>
      <c r="B15" s="79"/>
      <c r="C15" s="81"/>
      <c r="D15" s="81"/>
      <c r="E15" s="86"/>
    </row>
    <row r="16" spans="1:5" x14ac:dyDescent="0.25">
      <c r="A16" s="84">
        <v>3</v>
      </c>
      <c r="B16" s="79"/>
      <c r="C16" s="81" t="s">
        <v>100</v>
      </c>
      <c r="D16" s="81"/>
      <c r="E16" s="87">
        <v>2E-3</v>
      </c>
    </row>
    <row r="17" spans="1:5" x14ac:dyDescent="0.25">
      <c r="A17" s="84"/>
      <c r="B17" s="79"/>
      <c r="C17" s="81"/>
      <c r="D17" s="81"/>
      <c r="E17" s="86"/>
    </row>
    <row r="18" spans="1:5" x14ac:dyDescent="0.25">
      <c r="A18" s="84">
        <v>4</v>
      </c>
      <c r="B18" s="79"/>
      <c r="C18" s="81" t="s">
        <v>101</v>
      </c>
      <c r="D18" s="81"/>
      <c r="E18" s="86">
        <v>3.8392000000000003E-2</v>
      </c>
    </row>
    <row r="19" spans="1:5" x14ac:dyDescent="0.25">
      <c r="A19" s="84"/>
      <c r="B19" s="79"/>
      <c r="C19" s="81"/>
      <c r="D19" s="81"/>
      <c r="E19" s="88"/>
    </row>
    <row r="20" spans="1:5" x14ac:dyDescent="0.25">
      <c r="A20" s="84">
        <v>6</v>
      </c>
      <c r="B20" s="79"/>
      <c r="C20" s="81" t="s">
        <v>102</v>
      </c>
      <c r="D20" s="81"/>
      <c r="E20" s="89">
        <f>SUM(E14:E18)</f>
        <v>4.3718E-2</v>
      </c>
    </row>
    <row r="21" spans="1:5" x14ac:dyDescent="0.25">
      <c r="A21" s="84"/>
      <c r="B21" s="79"/>
      <c r="C21" s="81"/>
      <c r="D21" s="81"/>
      <c r="E21" s="81"/>
    </row>
    <row r="22" spans="1:5" x14ac:dyDescent="0.25">
      <c r="A22" s="84">
        <v>7</v>
      </c>
      <c r="B22" s="79"/>
      <c r="C22" s="81" t="s">
        <v>103</v>
      </c>
      <c r="D22" s="81"/>
      <c r="E22" s="81">
        <f>E11-E20</f>
        <v>0.95628199999999997</v>
      </c>
    </row>
    <row r="23" spans="1:5" x14ac:dyDescent="0.25">
      <c r="A23" s="84"/>
      <c r="B23" s="79"/>
      <c r="C23" s="81"/>
      <c r="D23" s="81"/>
      <c r="E23" s="81"/>
    </row>
    <row r="24" spans="1:5" x14ac:dyDescent="0.25">
      <c r="A24" s="84">
        <v>8</v>
      </c>
      <c r="B24" s="79"/>
      <c r="C24" s="81" t="s">
        <v>104</v>
      </c>
      <c r="D24" s="90"/>
      <c r="E24" s="81">
        <f>E22*0.21</f>
        <v>0.20081921999999999</v>
      </c>
    </row>
    <row r="25" spans="1:5" x14ac:dyDescent="0.25">
      <c r="A25" s="79"/>
      <c r="B25" s="79"/>
      <c r="C25" s="81"/>
      <c r="D25" s="81"/>
      <c r="E25" s="81"/>
    </row>
    <row r="26" spans="1:5" x14ac:dyDescent="0.25">
      <c r="A26" s="84">
        <v>9</v>
      </c>
      <c r="B26" s="79"/>
      <c r="C26" s="81" t="s">
        <v>92</v>
      </c>
      <c r="D26" s="81"/>
      <c r="E26" s="81">
        <f>ROUND(E22-E24,6)</f>
        <v>0.755463</v>
      </c>
    </row>
    <row r="27" spans="1:5" x14ac:dyDescent="0.25">
      <c r="A27" s="79"/>
      <c r="B27" s="79"/>
      <c r="C27" s="81"/>
      <c r="D27" s="81"/>
      <c r="E27" s="91"/>
    </row>
    <row r="28" spans="1:5" x14ac:dyDescent="0.25">
      <c r="A28" s="79"/>
      <c r="B28" s="79"/>
      <c r="C28" s="92" t="s">
        <v>105</v>
      </c>
      <c r="D28" s="81"/>
      <c r="E28" s="91"/>
    </row>
    <row r="32" spans="1:5" ht="18.75" x14ac:dyDescent="0.3">
      <c r="A32" s="138" t="s">
        <v>161</v>
      </c>
    </row>
  </sheetData>
  <mergeCells count="6">
    <mergeCell ref="A6:E6"/>
    <mergeCell ref="A1:E1"/>
    <mergeCell ref="A2:E2"/>
    <mergeCell ref="A3:E3"/>
    <mergeCell ref="A4:E4"/>
    <mergeCell ref="A5:E5"/>
  </mergeCells>
  <pageMargins left="0.7" right="0.7" top="0.75" bottom="0.75" header="0.3" footer="0.3"/>
  <pageSetup scale="79" orientation="portrait" horizontalDpi="1200" verticalDpi="1200" r:id="rId1"/>
  <headerFooter>
    <oddFooter>&amp;L&amp;F&amp;R&amp;A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54E64-6295-4A9A-88DC-ADA3A1BEDF72}">
  <sheetPr>
    <pageSetUpPr fitToPage="1"/>
  </sheetPr>
  <dimension ref="A1:E44"/>
  <sheetViews>
    <sheetView tabSelected="1" zoomScaleNormal="100" workbookViewId="0">
      <selection activeCell="D17" sqref="D17"/>
    </sheetView>
  </sheetViews>
  <sheetFormatPr defaultRowHeight="15" x14ac:dyDescent="0.25"/>
  <cols>
    <col min="1" max="1" width="10.140625" bestFit="1" customWidth="1"/>
    <col min="2" max="2" width="84" customWidth="1"/>
    <col min="3" max="3" width="6.5703125" customWidth="1"/>
    <col min="4" max="4" width="16.5703125" customWidth="1"/>
    <col min="5" max="5" width="4.140625" customWidth="1"/>
  </cols>
  <sheetData>
    <row r="1" spans="1:5" ht="47.45" customHeight="1" x14ac:dyDescent="0.25">
      <c r="A1" s="125" t="s">
        <v>147</v>
      </c>
      <c r="B1" s="171" t="s">
        <v>153</v>
      </c>
      <c r="C1" s="171"/>
      <c r="D1" s="171"/>
      <c r="E1" s="152"/>
    </row>
    <row r="2" spans="1:5" x14ac:dyDescent="0.25">
      <c r="A2" s="126"/>
      <c r="B2" s="127"/>
      <c r="C2" s="127"/>
      <c r="D2" s="127"/>
      <c r="E2" s="152"/>
    </row>
    <row r="3" spans="1:5" ht="92.45" customHeight="1" x14ac:dyDescent="0.25">
      <c r="A3" s="125" t="s">
        <v>148</v>
      </c>
      <c r="B3" s="171" t="s">
        <v>164</v>
      </c>
      <c r="C3" s="171"/>
      <c r="D3" s="171"/>
      <c r="E3" s="152"/>
    </row>
    <row r="4" spans="1:5" x14ac:dyDescent="0.25">
      <c r="A4" s="128"/>
      <c r="B4" s="127"/>
      <c r="C4" s="127"/>
      <c r="D4" s="127"/>
      <c r="E4" s="152"/>
    </row>
    <row r="5" spans="1:5" x14ac:dyDescent="0.25">
      <c r="A5" s="128"/>
      <c r="B5" s="172" t="s">
        <v>24</v>
      </c>
      <c r="C5" s="172"/>
      <c r="D5" s="172"/>
      <c r="E5" s="152"/>
    </row>
    <row r="6" spans="1:5" x14ac:dyDescent="0.25">
      <c r="A6" s="128"/>
      <c r="B6" s="127" t="s">
        <v>165</v>
      </c>
      <c r="C6" s="127"/>
      <c r="D6" s="129">
        <f>AVERAGE('Pg 1 Res Nat Gas Deferral'!D19:L19)</f>
        <v>163494.44444444444</v>
      </c>
      <c r="E6" s="152"/>
    </row>
    <row r="7" spans="1:5" x14ac:dyDescent="0.25">
      <c r="A7" s="128"/>
      <c r="B7" s="127" t="s">
        <v>166</v>
      </c>
      <c r="C7" s="127"/>
      <c r="D7" s="130">
        <f>SUM('Pg 1 Res Nat Gas Deferral'!D20:L20)</f>
        <v>230.89697952446539</v>
      </c>
      <c r="E7" s="152"/>
    </row>
    <row r="8" spans="1:5" x14ac:dyDescent="0.25">
      <c r="A8" s="128"/>
      <c r="B8" s="127" t="s">
        <v>167</v>
      </c>
      <c r="C8" s="127"/>
      <c r="D8" s="131">
        <f>D6*D7</f>
        <v>37750373.391252734</v>
      </c>
      <c r="E8" s="152" t="s">
        <v>168</v>
      </c>
    </row>
    <row r="9" spans="1:5" x14ac:dyDescent="0.25">
      <c r="A9" s="128"/>
      <c r="B9" s="127"/>
      <c r="C9" s="127"/>
      <c r="D9" s="131"/>
      <c r="E9" s="152"/>
    </row>
    <row r="10" spans="1:5" x14ac:dyDescent="0.25">
      <c r="A10" s="128"/>
      <c r="B10" s="127" t="s">
        <v>169</v>
      </c>
      <c r="C10" s="127"/>
      <c r="D10" s="129">
        <f>AVERAGE('Pg 1 Res Nat Gas Deferral'!M19:O19)</f>
        <v>166723.66666666666</v>
      </c>
      <c r="E10" s="152"/>
    </row>
    <row r="11" spans="1:5" x14ac:dyDescent="0.25">
      <c r="A11" s="128"/>
      <c r="B11" s="127" t="s">
        <v>170</v>
      </c>
      <c r="C11" s="127"/>
      <c r="D11" s="130">
        <f>SUM('Pg 1 Res Nat Gas Deferral'!M20:O20)</f>
        <v>155.45830244910883</v>
      </c>
      <c r="E11" s="152"/>
    </row>
    <row r="12" spans="1:5" x14ac:dyDescent="0.25">
      <c r="A12" s="128"/>
      <c r="B12" s="127" t="s">
        <v>167</v>
      </c>
      <c r="C12" s="127"/>
      <c r="D12" s="131">
        <f>D10*D11</f>
        <v>25918578.198091067</v>
      </c>
      <c r="E12" s="152" t="s">
        <v>168</v>
      </c>
    </row>
    <row r="13" spans="1:5" x14ac:dyDescent="0.25">
      <c r="A13" s="128"/>
      <c r="B13" s="127"/>
      <c r="C13" s="127"/>
      <c r="D13" s="131"/>
      <c r="E13" s="152"/>
    </row>
    <row r="14" spans="1:5" x14ac:dyDescent="0.25">
      <c r="A14" s="128"/>
      <c r="B14" s="127" t="s">
        <v>171</v>
      </c>
      <c r="C14" s="153" t="s">
        <v>168</v>
      </c>
      <c r="D14" s="131">
        <f>D8+D12</f>
        <v>63668951.589343801</v>
      </c>
      <c r="E14" s="152"/>
    </row>
    <row r="15" spans="1:5" x14ac:dyDescent="0.25">
      <c r="A15" s="128"/>
      <c r="B15" s="127"/>
      <c r="C15" s="127"/>
      <c r="D15" s="131"/>
      <c r="E15" s="152"/>
    </row>
    <row r="16" spans="1:5" x14ac:dyDescent="0.25">
      <c r="A16" s="128"/>
      <c r="B16" s="127" t="s">
        <v>172</v>
      </c>
      <c r="C16" s="127"/>
      <c r="D16" s="132">
        <f>SUM('Pg 1 Res Nat Gas Deferral'!D21:N21)</f>
        <v>51944758.837887377</v>
      </c>
      <c r="E16" s="152"/>
    </row>
    <row r="17" spans="1:5" x14ac:dyDescent="0.25">
      <c r="A17" s="128"/>
      <c r="B17" s="127" t="s">
        <v>149</v>
      </c>
      <c r="C17" s="127"/>
      <c r="D17" s="133">
        <f>D14-D16</f>
        <v>11724192.751456425</v>
      </c>
      <c r="E17" s="152"/>
    </row>
    <row r="18" spans="1:5" x14ac:dyDescent="0.25">
      <c r="A18" s="128"/>
      <c r="B18" s="127"/>
      <c r="C18" s="127"/>
      <c r="D18" s="131"/>
      <c r="E18" s="152"/>
    </row>
    <row r="19" spans="1:5" x14ac:dyDescent="0.25">
      <c r="A19" s="128"/>
      <c r="B19" s="127" t="s">
        <v>173</v>
      </c>
      <c r="C19" s="127"/>
      <c r="D19" s="129">
        <f>'Pg 1 Res Nat Gas Deferral'!O19</f>
        <v>166865</v>
      </c>
      <c r="E19" s="152"/>
    </row>
    <row r="20" spans="1:5" x14ac:dyDescent="0.25">
      <c r="A20" s="128"/>
      <c r="B20" s="127" t="s">
        <v>150</v>
      </c>
      <c r="C20" s="127"/>
      <c r="D20" s="130">
        <f>'Pg 1 Res Nat Gas Deferral'!O20</f>
        <v>70.534058792224968</v>
      </c>
      <c r="E20" s="152"/>
    </row>
    <row r="21" spans="1:5" x14ac:dyDescent="0.25">
      <c r="A21" s="128"/>
      <c r="B21" s="127" t="s">
        <v>174</v>
      </c>
      <c r="C21" s="127"/>
      <c r="D21" s="131">
        <f>D19*D20</f>
        <v>11769665.720364619</v>
      </c>
      <c r="E21" s="152"/>
    </row>
    <row r="22" spans="1:5" x14ac:dyDescent="0.25">
      <c r="A22" s="128"/>
      <c r="B22" s="127"/>
      <c r="C22" s="127"/>
      <c r="D22" s="127"/>
      <c r="E22" s="152"/>
    </row>
    <row r="23" spans="1:5" x14ac:dyDescent="0.25">
      <c r="A23" s="128"/>
      <c r="B23" s="127" t="s">
        <v>151</v>
      </c>
      <c r="C23" s="127"/>
      <c r="D23" s="134">
        <f>D17-D21</f>
        <v>-45472.968908194453</v>
      </c>
      <c r="E23" s="152"/>
    </row>
    <row r="24" spans="1:5" x14ac:dyDescent="0.25">
      <c r="A24" s="128"/>
      <c r="B24" s="127"/>
      <c r="C24" s="127"/>
      <c r="D24" s="127"/>
      <c r="E24" s="152"/>
    </row>
    <row r="25" spans="1:5" x14ac:dyDescent="0.25">
      <c r="A25" s="128"/>
      <c r="B25" s="172" t="s">
        <v>124</v>
      </c>
      <c r="C25" s="172"/>
      <c r="D25" s="172"/>
      <c r="E25" s="152"/>
    </row>
    <row r="26" spans="1:5" x14ac:dyDescent="0.25">
      <c r="A26" s="128"/>
      <c r="B26" s="127" t="s">
        <v>175</v>
      </c>
      <c r="C26" s="127"/>
      <c r="D26" s="129">
        <f>AVERAGE('Pg 2 Non-Res Nat Gas Deferral'!D18:L18)</f>
        <v>3126.6666666666665</v>
      </c>
      <c r="E26" s="152"/>
    </row>
    <row r="27" spans="1:5" x14ac:dyDescent="0.25">
      <c r="A27" s="128"/>
      <c r="B27" s="127" t="s">
        <v>176</v>
      </c>
      <c r="C27" s="127"/>
      <c r="D27" s="130">
        <f>SUM('Pg 2 Non-Res Nat Gas Deferral'!D19:L19)</f>
        <v>3278.5642036115073</v>
      </c>
      <c r="E27" s="152"/>
    </row>
    <row r="28" spans="1:5" x14ac:dyDescent="0.25">
      <c r="A28" s="128"/>
      <c r="B28" s="127" t="s">
        <v>167</v>
      </c>
      <c r="C28" s="127"/>
      <c r="D28" s="131">
        <f>D26*D27</f>
        <v>10250977.409958646</v>
      </c>
      <c r="E28" s="152" t="s">
        <v>177</v>
      </c>
    </row>
    <row r="29" spans="1:5" x14ac:dyDescent="0.25">
      <c r="A29" s="128"/>
      <c r="B29" s="127"/>
      <c r="C29" s="127"/>
      <c r="D29" s="131"/>
      <c r="E29" s="152"/>
    </row>
    <row r="30" spans="1:5" x14ac:dyDescent="0.25">
      <c r="A30" s="128"/>
      <c r="B30" s="127" t="s">
        <v>178</v>
      </c>
      <c r="C30" s="127"/>
      <c r="D30" s="129">
        <f>AVERAGE('Pg 2 Non-Res Nat Gas Deferral'!M18:O18)</f>
        <v>3187.3333333333335</v>
      </c>
      <c r="E30" s="152"/>
    </row>
    <row r="31" spans="1:5" x14ac:dyDescent="0.25">
      <c r="A31" s="128"/>
      <c r="B31" s="127" t="s">
        <v>179</v>
      </c>
      <c r="C31" s="127"/>
      <c r="D31" s="130">
        <f>SUM('Pg 2 Non-Res Nat Gas Deferral'!M19:O19)</f>
        <v>1738.505465663598</v>
      </c>
      <c r="E31" s="152"/>
    </row>
    <row r="32" spans="1:5" x14ac:dyDescent="0.25">
      <c r="A32" s="128"/>
      <c r="B32" s="127" t="s">
        <v>167</v>
      </c>
      <c r="C32" s="127"/>
      <c r="D32" s="131">
        <f>D30*D31</f>
        <v>5541196.4208917748</v>
      </c>
      <c r="E32" s="152" t="s">
        <v>177</v>
      </c>
    </row>
    <row r="33" spans="1:5" x14ac:dyDescent="0.25">
      <c r="A33" s="128"/>
      <c r="B33" s="127"/>
      <c r="C33" s="127"/>
      <c r="D33" s="131"/>
      <c r="E33" s="152"/>
    </row>
    <row r="34" spans="1:5" x14ac:dyDescent="0.25">
      <c r="A34" s="128"/>
      <c r="B34" s="127" t="s">
        <v>171</v>
      </c>
      <c r="C34" s="153" t="s">
        <v>177</v>
      </c>
      <c r="D34" s="131">
        <f>D28+D32</f>
        <v>15792173.830850421</v>
      </c>
      <c r="E34" s="152"/>
    </row>
    <row r="35" spans="1:5" x14ac:dyDescent="0.25">
      <c r="A35" s="128"/>
      <c r="B35" s="127"/>
      <c r="C35" s="127"/>
      <c r="D35" s="131"/>
      <c r="E35" s="152"/>
    </row>
    <row r="36" spans="1:5" x14ac:dyDescent="0.25">
      <c r="A36" s="128"/>
      <c r="B36" s="127" t="s">
        <v>180</v>
      </c>
      <c r="C36" s="127"/>
      <c r="D36" s="132">
        <f>SUM('Pg 2 Non-Res Nat Gas Deferral'!D20:N20)</f>
        <v>13420765.60800452</v>
      </c>
      <c r="E36" s="152"/>
    </row>
    <row r="37" spans="1:5" x14ac:dyDescent="0.25">
      <c r="A37" s="128"/>
      <c r="B37" s="127" t="s">
        <v>149</v>
      </c>
      <c r="C37" s="127"/>
      <c r="D37" s="133">
        <f>D34-D36</f>
        <v>2371408.2228459008</v>
      </c>
      <c r="E37" s="152"/>
    </row>
    <row r="38" spans="1:5" x14ac:dyDescent="0.25">
      <c r="A38" s="128"/>
      <c r="B38" s="127"/>
      <c r="C38" s="127"/>
      <c r="D38" s="131"/>
      <c r="E38" s="152"/>
    </row>
    <row r="39" spans="1:5" x14ac:dyDescent="0.25">
      <c r="A39" s="128"/>
      <c r="B39" s="127" t="s">
        <v>181</v>
      </c>
      <c r="C39" s="127"/>
      <c r="D39" s="129">
        <f>'Pg 2 Non-Res Nat Gas Deferral'!O18</f>
        <v>3205</v>
      </c>
      <c r="E39" s="152"/>
    </row>
    <row r="40" spans="1:5" x14ac:dyDescent="0.25">
      <c r="A40" s="128"/>
      <c r="B40" s="127" t="s">
        <v>152</v>
      </c>
      <c r="C40" s="127"/>
      <c r="D40" s="130">
        <f>'Pg 2 Non-Res Nat Gas Deferral'!O19</f>
        <v>744.04618670935815</v>
      </c>
      <c r="E40" s="152"/>
    </row>
    <row r="41" spans="1:5" x14ac:dyDescent="0.25">
      <c r="A41" s="128"/>
      <c r="B41" s="127" t="s">
        <v>174</v>
      </c>
      <c r="C41" s="127"/>
      <c r="D41" s="131">
        <f>D39*D40</f>
        <v>2384668.0284034931</v>
      </c>
      <c r="E41" s="152"/>
    </row>
    <row r="42" spans="1:5" x14ac:dyDescent="0.25">
      <c r="A42" s="128"/>
      <c r="B42" s="127"/>
      <c r="C42" s="127"/>
      <c r="D42" s="127"/>
      <c r="E42" s="152"/>
    </row>
    <row r="43" spans="1:5" x14ac:dyDescent="0.25">
      <c r="A43" s="128"/>
      <c r="B43" s="127" t="s">
        <v>151</v>
      </c>
      <c r="C43" s="127"/>
      <c r="D43" s="134">
        <f>D37-D41</f>
        <v>-13259.805557592306</v>
      </c>
      <c r="E43" s="152"/>
    </row>
    <row r="44" spans="1:5" x14ac:dyDescent="0.25">
      <c r="A44" s="128"/>
      <c r="B44" s="127"/>
      <c r="C44" s="127"/>
      <c r="D44" s="127"/>
      <c r="E44" s="152"/>
    </row>
  </sheetData>
  <mergeCells count="4">
    <mergeCell ref="B1:D1"/>
    <mergeCell ref="B3:D3"/>
    <mergeCell ref="B5:D5"/>
    <mergeCell ref="B25:D25"/>
  </mergeCells>
  <pageMargins left="0.7" right="0.7" top="0.75" bottom="0.75" header="0.3" footer="0.3"/>
  <pageSetup scale="75" orientation="portrait" horizontalDpi="1200" verticalDpi="1200" r:id="rId1"/>
  <headerFooter>
    <oddFooter>&amp;L&amp;F&amp;R&amp;A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topLeftCell="B20" zoomScaleNormal="100" workbookViewId="0">
      <selection activeCell="G52" sqref="G52"/>
    </sheetView>
  </sheetViews>
  <sheetFormatPr defaultRowHeight="15" x14ac:dyDescent="0.25"/>
  <cols>
    <col min="1" max="1" width="9.42578125" customWidth="1"/>
    <col min="2" max="2" width="33" customWidth="1"/>
    <col min="3" max="3" width="18.5703125" customWidth="1"/>
    <col min="4" max="4" width="15.140625" bestFit="1" customWidth="1"/>
    <col min="5" max="6" width="14.42578125" bestFit="1" customWidth="1"/>
    <col min="7" max="7" width="13.28515625" bestFit="1" customWidth="1"/>
    <col min="8" max="8" width="13.42578125" customWidth="1"/>
    <col min="9" max="9" width="14" bestFit="1" customWidth="1"/>
    <col min="10" max="10" width="12.7109375" bestFit="1" customWidth="1"/>
    <col min="11" max="11" width="13.42578125" customWidth="1"/>
    <col min="12" max="12" width="14" bestFit="1" customWidth="1"/>
    <col min="13" max="13" width="14.140625" bestFit="1" customWidth="1"/>
    <col min="14" max="14" width="14" bestFit="1" customWidth="1"/>
    <col min="15" max="15" width="15.5703125" bestFit="1" customWidth="1"/>
    <col min="16" max="16" width="5.85546875" bestFit="1" customWidth="1"/>
    <col min="17" max="17" width="15" customWidth="1"/>
  </cols>
  <sheetData>
    <row r="1" spans="1:17" ht="15.75" x14ac:dyDescent="0.25">
      <c r="A1" s="156" t="s">
        <v>0</v>
      </c>
      <c r="B1" s="156"/>
      <c r="C1" s="156"/>
      <c r="D1" s="156"/>
      <c r="E1" s="156"/>
      <c r="F1" s="156"/>
      <c r="G1" s="156"/>
      <c r="H1" s="156"/>
      <c r="I1" s="156"/>
      <c r="J1" s="156"/>
      <c r="K1" s="156"/>
      <c r="L1" s="156"/>
      <c r="M1" s="156"/>
      <c r="N1" s="156"/>
      <c r="O1" s="156"/>
      <c r="P1" s="136"/>
      <c r="Q1" s="139"/>
    </row>
    <row r="2" spans="1:17" ht="32.25" customHeight="1" x14ac:dyDescent="0.25">
      <c r="A2" s="157" t="s">
        <v>185</v>
      </c>
      <c r="B2" s="156"/>
      <c r="C2" s="156"/>
      <c r="D2" s="156"/>
      <c r="E2" s="156"/>
      <c r="F2" s="156"/>
      <c r="G2" s="156"/>
      <c r="H2" s="156"/>
      <c r="I2" s="156"/>
      <c r="J2" s="156"/>
      <c r="K2" s="156"/>
      <c r="L2" s="156"/>
      <c r="M2" s="156"/>
      <c r="N2" s="156"/>
      <c r="O2" s="156"/>
      <c r="P2" s="136"/>
      <c r="Q2" s="139"/>
    </row>
    <row r="3" spans="1:17" ht="15.75" customHeight="1" x14ac:dyDescent="0.25">
      <c r="A3" s="158" t="s">
        <v>184</v>
      </c>
      <c r="B3" s="156"/>
      <c r="C3" s="156"/>
      <c r="D3" s="156"/>
      <c r="E3" s="156"/>
      <c r="F3" s="156"/>
      <c r="G3" s="156"/>
      <c r="H3" s="156"/>
      <c r="I3" s="156"/>
      <c r="J3" s="156"/>
      <c r="K3" s="156"/>
      <c r="L3" s="156"/>
      <c r="M3" s="156"/>
      <c r="N3" s="156"/>
      <c r="O3" s="156"/>
      <c r="P3" s="136"/>
      <c r="Q3" s="139"/>
    </row>
    <row r="4" spans="1:17" ht="15" customHeight="1" x14ac:dyDescent="0.25">
      <c r="A4" s="137"/>
      <c r="B4" s="136"/>
      <c r="C4" s="136"/>
      <c r="D4" s="56"/>
      <c r="E4" s="136"/>
      <c r="F4" s="136"/>
      <c r="G4" s="136"/>
      <c r="H4" s="136"/>
      <c r="I4" s="136"/>
      <c r="J4" s="136"/>
      <c r="K4" s="136"/>
      <c r="L4" s="136"/>
      <c r="M4" s="136"/>
      <c r="N4" s="136"/>
      <c r="O4" s="136"/>
      <c r="P4" s="136"/>
      <c r="Q4" s="139"/>
    </row>
    <row r="5" spans="1:17" x14ac:dyDescent="0.25">
      <c r="A5" s="55"/>
      <c r="B5" s="55"/>
      <c r="C5" s="55"/>
      <c r="D5" s="154" t="s">
        <v>182</v>
      </c>
      <c r="E5" s="154" t="s">
        <v>182</v>
      </c>
      <c r="F5" s="154" t="s">
        <v>182</v>
      </c>
      <c r="G5" s="93"/>
      <c r="H5" s="113"/>
      <c r="I5" s="93"/>
      <c r="J5" s="93"/>
      <c r="K5" s="93"/>
      <c r="L5" s="93"/>
      <c r="M5" s="93"/>
      <c r="N5" s="93"/>
      <c r="O5" s="93"/>
      <c r="P5" s="93"/>
      <c r="Q5" s="139"/>
    </row>
    <row r="6" spans="1:17" x14ac:dyDescent="0.25">
      <c r="A6" s="94" t="s">
        <v>36</v>
      </c>
      <c r="B6" s="95"/>
      <c r="C6" s="96" t="s">
        <v>37</v>
      </c>
      <c r="D6" s="97">
        <v>43831</v>
      </c>
      <c r="E6" s="97">
        <f t="shared" ref="E6:O6" si="0">EDATE(D6,1)</f>
        <v>43862</v>
      </c>
      <c r="F6" s="97">
        <f t="shared" si="0"/>
        <v>43891</v>
      </c>
      <c r="G6" s="97">
        <f t="shared" si="0"/>
        <v>43922</v>
      </c>
      <c r="H6" s="97">
        <f t="shared" si="0"/>
        <v>43952</v>
      </c>
      <c r="I6" s="97">
        <f t="shared" si="0"/>
        <v>43983</v>
      </c>
      <c r="J6" s="97">
        <f t="shared" si="0"/>
        <v>44013</v>
      </c>
      <c r="K6" s="97">
        <f t="shared" si="0"/>
        <v>44044</v>
      </c>
      <c r="L6" s="97">
        <f t="shared" si="0"/>
        <v>44075</v>
      </c>
      <c r="M6" s="97">
        <f t="shared" si="0"/>
        <v>44105</v>
      </c>
      <c r="N6" s="97">
        <f t="shared" si="0"/>
        <v>44136</v>
      </c>
      <c r="O6" s="97">
        <f t="shared" si="0"/>
        <v>44166</v>
      </c>
      <c r="P6" s="97"/>
      <c r="Q6" s="97" t="s">
        <v>54</v>
      </c>
    </row>
    <row r="7" spans="1:17" ht="16.899999999999999" customHeight="1" x14ac:dyDescent="0.25">
      <c r="A7" s="56"/>
      <c r="B7" s="56" t="s">
        <v>40</v>
      </c>
      <c r="C7" s="56" t="s">
        <v>41</v>
      </c>
      <c r="D7" s="56" t="s">
        <v>42</v>
      </c>
      <c r="E7" s="56" t="s">
        <v>43</v>
      </c>
      <c r="F7" s="114" t="s">
        <v>69</v>
      </c>
      <c r="G7" s="114" t="s">
        <v>70</v>
      </c>
      <c r="H7" s="114" t="s">
        <v>71</v>
      </c>
      <c r="I7" s="56" t="s">
        <v>72</v>
      </c>
      <c r="J7" s="56" t="s">
        <v>73</v>
      </c>
      <c r="K7" s="56" t="s">
        <v>74</v>
      </c>
      <c r="L7" s="56" t="s">
        <v>75</v>
      </c>
      <c r="M7" s="56" t="s">
        <v>76</v>
      </c>
      <c r="N7" s="56" t="s">
        <v>77</v>
      </c>
      <c r="O7" s="56" t="s">
        <v>78</v>
      </c>
      <c r="P7" s="56"/>
      <c r="Q7" s="56" t="s">
        <v>79</v>
      </c>
    </row>
    <row r="8" spans="1:17" x14ac:dyDescent="0.25">
      <c r="A8" s="56"/>
      <c r="B8" s="98" t="s">
        <v>25</v>
      </c>
      <c r="C8" s="56"/>
      <c r="D8" s="56"/>
      <c r="E8" s="56"/>
      <c r="F8" s="114"/>
      <c r="G8" s="114"/>
      <c r="H8" s="114"/>
      <c r="I8" s="56"/>
      <c r="J8" s="56"/>
      <c r="K8" s="56"/>
      <c r="L8" s="56"/>
      <c r="M8" s="56"/>
      <c r="N8" s="56"/>
      <c r="O8" s="56"/>
      <c r="P8" s="56"/>
      <c r="Q8" s="139"/>
    </row>
    <row r="9" spans="1:17" x14ac:dyDescent="0.25">
      <c r="A9" s="56">
        <v>23</v>
      </c>
      <c r="B9" s="55" t="s">
        <v>107</v>
      </c>
      <c r="C9" s="56" t="s">
        <v>108</v>
      </c>
      <c r="D9" s="140">
        <v>3182</v>
      </c>
      <c r="E9" s="140">
        <v>3182</v>
      </c>
      <c r="F9" s="140">
        <v>3182</v>
      </c>
      <c r="G9" s="140">
        <v>3195</v>
      </c>
      <c r="H9" s="99">
        <v>3179</v>
      </c>
      <c r="I9" s="99">
        <v>3181</v>
      </c>
      <c r="J9" s="99">
        <v>3196</v>
      </c>
      <c r="K9" s="99">
        <v>3193</v>
      </c>
      <c r="L9" s="99">
        <v>3192</v>
      </c>
      <c r="M9" s="99">
        <v>3210</v>
      </c>
      <c r="N9" s="99">
        <v>3225</v>
      </c>
      <c r="O9" s="99">
        <v>3253</v>
      </c>
      <c r="P9" s="99"/>
      <c r="Q9" s="139"/>
    </row>
    <row r="10" spans="1:17" x14ac:dyDescent="0.25">
      <c r="A10" s="56">
        <v>24</v>
      </c>
      <c r="B10" s="111" t="s">
        <v>132</v>
      </c>
      <c r="C10" s="56" t="s">
        <v>108</v>
      </c>
      <c r="D10" s="140">
        <v>7591557.9299999997</v>
      </c>
      <c r="E10" s="140">
        <v>7598557.3199999994</v>
      </c>
      <c r="F10" s="140">
        <v>6994945.6278200001</v>
      </c>
      <c r="G10" s="140">
        <v>4053887.0195599999</v>
      </c>
      <c r="H10" s="99">
        <v>2846431.01088</v>
      </c>
      <c r="I10" s="99">
        <v>1971230.0959799998</v>
      </c>
      <c r="J10" s="99">
        <v>1689799.5668800001</v>
      </c>
      <c r="K10" s="99">
        <v>1930412.84589</v>
      </c>
      <c r="L10" s="99">
        <v>2393927.8179299999</v>
      </c>
      <c r="M10" s="99">
        <v>4327019.7875500005</v>
      </c>
      <c r="N10" s="99">
        <v>5630044.5887000002</v>
      </c>
      <c r="O10" s="99">
        <v>9023137.6408999991</v>
      </c>
      <c r="P10" s="99"/>
      <c r="Q10" s="139"/>
    </row>
    <row r="11" spans="1:17" x14ac:dyDescent="0.25">
      <c r="A11" s="56">
        <v>25</v>
      </c>
      <c r="B11" s="55" t="s">
        <v>129</v>
      </c>
      <c r="C11" s="56" t="s">
        <v>108</v>
      </c>
      <c r="D11" s="141">
        <v>1897872.9886800002</v>
      </c>
      <c r="E11" s="141">
        <v>2381220.14206</v>
      </c>
      <c r="F11" s="141">
        <v>2415035.8994399998</v>
      </c>
      <c r="G11" s="141">
        <v>1529319.11094</v>
      </c>
      <c r="H11" s="104">
        <v>1108708.9548000002</v>
      </c>
      <c r="I11" s="104">
        <v>862280.74343999987</v>
      </c>
      <c r="J11" s="104">
        <v>740371.16124000004</v>
      </c>
      <c r="K11" s="104">
        <v>776531.24394000007</v>
      </c>
      <c r="L11" s="104">
        <v>876894.12026</v>
      </c>
      <c r="M11" s="104">
        <v>1321634.8754799999</v>
      </c>
      <c r="N11" s="104">
        <v>1460658.1540399999</v>
      </c>
      <c r="O11" s="104">
        <v>2486342.07228</v>
      </c>
      <c r="P11" s="104"/>
      <c r="Q11" s="139"/>
    </row>
    <row r="12" spans="1:17" x14ac:dyDescent="0.25">
      <c r="A12" s="56">
        <v>26</v>
      </c>
      <c r="B12" s="55" t="s">
        <v>110</v>
      </c>
      <c r="C12" s="56" t="s">
        <v>108</v>
      </c>
      <c r="D12" s="141">
        <v>325728.03999999998</v>
      </c>
      <c r="E12" s="141">
        <v>317030.68</v>
      </c>
      <c r="F12" s="141">
        <v>385341.92</v>
      </c>
      <c r="G12" s="141">
        <v>343856.77</v>
      </c>
      <c r="H12" s="104">
        <v>342227.34</v>
      </c>
      <c r="I12" s="104">
        <v>343651.78</v>
      </c>
      <c r="J12" s="104">
        <v>343735.92</v>
      </c>
      <c r="K12" s="104">
        <v>343772.33999999997</v>
      </c>
      <c r="L12" s="104">
        <v>343530.71</v>
      </c>
      <c r="M12" s="104">
        <v>363467.82</v>
      </c>
      <c r="N12" s="104">
        <v>384641.42000000004</v>
      </c>
      <c r="O12" s="104">
        <v>389100.02</v>
      </c>
      <c r="P12" s="104"/>
      <c r="Q12" s="139"/>
    </row>
    <row r="13" spans="1:17" ht="21" customHeight="1" x14ac:dyDescent="0.25">
      <c r="A13" s="56">
        <v>27</v>
      </c>
      <c r="B13" s="55" t="s">
        <v>130</v>
      </c>
      <c r="C13" s="56" t="s">
        <v>108</v>
      </c>
      <c r="D13" s="140">
        <v>46</v>
      </c>
      <c r="E13" s="140">
        <v>49</v>
      </c>
      <c r="F13" s="140">
        <v>58</v>
      </c>
      <c r="G13" s="140">
        <v>56</v>
      </c>
      <c r="H13" s="140">
        <v>63</v>
      </c>
      <c r="I13" s="140">
        <v>62</v>
      </c>
      <c r="J13" s="140">
        <v>65</v>
      </c>
      <c r="K13" s="140">
        <v>69</v>
      </c>
      <c r="L13" s="140">
        <v>74</v>
      </c>
      <c r="M13" s="140">
        <v>37</v>
      </c>
      <c r="N13" s="140">
        <v>41</v>
      </c>
      <c r="O13" s="140">
        <v>48</v>
      </c>
      <c r="P13" s="140"/>
      <c r="Q13" s="139"/>
    </row>
    <row r="14" spans="1:17" x14ac:dyDescent="0.25">
      <c r="A14" s="56">
        <v>28</v>
      </c>
      <c r="B14" s="111" t="s">
        <v>134</v>
      </c>
      <c r="C14" s="56" t="s">
        <v>108</v>
      </c>
      <c r="D14" s="140">
        <v>185879.90109999999</v>
      </c>
      <c r="E14" s="140">
        <v>212998.96809000001</v>
      </c>
      <c r="F14" s="140">
        <v>245547.13276000001</v>
      </c>
      <c r="G14" s="140">
        <v>124306.58003</v>
      </c>
      <c r="H14" s="140">
        <v>86274.472150000001</v>
      </c>
      <c r="I14" s="140">
        <v>49013.815670000004</v>
      </c>
      <c r="J14" s="140">
        <v>36011.07548</v>
      </c>
      <c r="K14" s="140">
        <v>31806.550299999999</v>
      </c>
      <c r="L14" s="140">
        <v>39268.01786</v>
      </c>
      <c r="M14" s="140">
        <v>21804.831399999999</v>
      </c>
      <c r="N14" s="140">
        <v>44814.42942</v>
      </c>
      <c r="O14" s="140">
        <v>174933.17842000001</v>
      </c>
      <c r="P14" s="140"/>
      <c r="Q14" s="139"/>
    </row>
    <row r="15" spans="1:17" x14ac:dyDescent="0.25">
      <c r="A15" s="56">
        <v>29</v>
      </c>
      <c r="B15" s="55" t="s">
        <v>131</v>
      </c>
      <c r="C15" s="56" t="s">
        <v>108</v>
      </c>
      <c r="D15" s="141">
        <v>50878.38</v>
      </c>
      <c r="E15" s="141">
        <v>58185.919999999998</v>
      </c>
      <c r="F15" s="141">
        <v>67908.63</v>
      </c>
      <c r="G15" s="141">
        <v>39485.449999999997</v>
      </c>
      <c r="H15" s="141">
        <v>31604.43</v>
      </c>
      <c r="I15" s="141">
        <v>18933</v>
      </c>
      <c r="J15" s="141">
        <v>15855.91</v>
      </c>
      <c r="K15" s="141">
        <v>14821.38</v>
      </c>
      <c r="L15" s="141">
        <v>17539.71</v>
      </c>
      <c r="M15" s="141">
        <v>9059.0300000000007</v>
      </c>
      <c r="N15" s="141">
        <v>16526.22</v>
      </c>
      <c r="O15" s="141">
        <v>49758.83</v>
      </c>
      <c r="P15" s="141"/>
      <c r="Q15" s="139"/>
    </row>
    <row r="16" spans="1:17" x14ac:dyDescent="0.25">
      <c r="A16" s="56">
        <v>30</v>
      </c>
      <c r="B16" s="55" t="s">
        <v>133</v>
      </c>
      <c r="C16" s="56" t="s">
        <v>108</v>
      </c>
      <c r="D16" s="141">
        <v>4779.22</v>
      </c>
      <c r="E16" s="141">
        <v>4987.1099999999997</v>
      </c>
      <c r="F16" s="141">
        <v>5961.09</v>
      </c>
      <c r="G16" s="141">
        <v>5954.02</v>
      </c>
      <c r="H16" s="141">
        <v>6649.41</v>
      </c>
      <c r="I16" s="141">
        <v>6531.16</v>
      </c>
      <c r="J16" s="141">
        <v>6878.99</v>
      </c>
      <c r="K16" s="141">
        <v>6944.81</v>
      </c>
      <c r="L16" s="141">
        <v>7718.03</v>
      </c>
      <c r="M16" s="141">
        <v>3567.32</v>
      </c>
      <c r="N16" s="141">
        <v>4423.1899999999996</v>
      </c>
      <c r="O16" s="141">
        <v>5978.99</v>
      </c>
      <c r="P16" s="141"/>
      <c r="Q16" s="139"/>
    </row>
    <row r="17" spans="1:17" x14ac:dyDescent="0.25">
      <c r="A17" s="56"/>
      <c r="B17" s="98"/>
      <c r="C17" s="56"/>
      <c r="D17" s="56"/>
      <c r="E17" s="56"/>
      <c r="F17" s="114"/>
      <c r="G17" s="114"/>
      <c r="H17" s="114"/>
      <c r="I17" s="56"/>
      <c r="J17" s="56"/>
      <c r="K17" s="56"/>
      <c r="L17" s="56"/>
      <c r="M17" s="56"/>
      <c r="N17" s="56"/>
      <c r="O17" s="56"/>
      <c r="P17" s="56"/>
      <c r="Q17" s="139"/>
    </row>
    <row r="18" spans="1:17" x14ac:dyDescent="0.25">
      <c r="A18" s="56">
        <v>31</v>
      </c>
      <c r="B18" s="55" t="s">
        <v>140</v>
      </c>
      <c r="C18" s="56" t="str">
        <f>"("&amp;A9&amp;") - ("&amp;A13&amp;")"</f>
        <v>(23) - (27)</v>
      </c>
      <c r="D18" s="148">
        <f t="shared" ref="D18:F18" si="1">D9-D13</f>
        <v>3136</v>
      </c>
      <c r="E18" s="148">
        <f t="shared" si="1"/>
        <v>3133</v>
      </c>
      <c r="F18" s="148">
        <f t="shared" si="1"/>
        <v>3124</v>
      </c>
      <c r="G18" s="148">
        <f>G9-G13</f>
        <v>3139</v>
      </c>
      <c r="H18" s="100">
        <f t="shared" ref="H18:O18" si="2">H9-H13</f>
        <v>3116</v>
      </c>
      <c r="I18" s="100">
        <f t="shared" si="2"/>
        <v>3119</v>
      </c>
      <c r="J18" s="100">
        <f t="shared" si="2"/>
        <v>3131</v>
      </c>
      <c r="K18" s="100">
        <f t="shared" si="2"/>
        <v>3124</v>
      </c>
      <c r="L18" s="100">
        <f t="shared" si="2"/>
        <v>3118</v>
      </c>
      <c r="M18" s="100">
        <f t="shared" si="2"/>
        <v>3173</v>
      </c>
      <c r="N18" s="100">
        <f t="shared" si="2"/>
        <v>3184</v>
      </c>
      <c r="O18" s="100">
        <f t="shared" si="2"/>
        <v>3205</v>
      </c>
      <c r="P18" s="100"/>
      <c r="Q18" s="142">
        <f>SUM(D18:O18)</f>
        <v>37702</v>
      </c>
    </row>
    <row r="19" spans="1:17" ht="25.5" x14ac:dyDescent="0.25">
      <c r="A19" s="122">
        <v>32</v>
      </c>
      <c r="B19" s="143" t="s">
        <v>109</v>
      </c>
      <c r="C19" s="144" t="s">
        <v>90</v>
      </c>
      <c r="D19" s="106">
        <f>'Pg 5 UG-190335 Auth-3'!D25</f>
        <v>685.77188760394381</v>
      </c>
      <c r="E19" s="106">
        <f>'Pg 5 UG-190335 Auth-3'!E25</f>
        <v>646.17019391079987</v>
      </c>
      <c r="F19" s="106">
        <f>'Pg 5 UG-190335 Auth-3'!F25</f>
        <v>518.29851510685216</v>
      </c>
      <c r="G19" s="106">
        <f>'Pg 5 UG-190335 Auth-3'!G25</f>
        <v>402.99032361790921</v>
      </c>
      <c r="H19" s="106">
        <f>'Pg 5 UG-190335 Auth-3'!H25</f>
        <v>291.99506227931914</v>
      </c>
      <c r="I19" s="106">
        <f>'Pg 5 UG-190335 Auth-3'!I25</f>
        <v>212.4602059762959</v>
      </c>
      <c r="J19" s="106">
        <f>'Pg 5 UG-190335 Auth-3'!J25</f>
        <v>153.38546791191717</v>
      </c>
      <c r="K19" s="106">
        <f>'Pg 5 UG-190335 Auth-3'!K25</f>
        <v>167.80399902052821</v>
      </c>
      <c r="L19" s="106">
        <f>'Pg 5 UG-190335 Auth-3'!L25</f>
        <v>199.68854818394192</v>
      </c>
      <c r="M19" s="106">
        <f>'Pg 9 UG-200901 Auth-3'!M25</f>
        <v>399.47845245534381</v>
      </c>
      <c r="N19" s="106">
        <f>'Pg 9 UG-200901 Auth-3'!N25</f>
        <v>594.98082649889591</v>
      </c>
      <c r="O19" s="106">
        <f>'Pg 9 UG-200901 Auth-3'!O25</f>
        <v>744.04618670935815</v>
      </c>
      <c r="P19" s="106"/>
      <c r="Q19" s="106">
        <f>SUM(D19:O19)</f>
        <v>5017.0696692751053</v>
      </c>
    </row>
    <row r="20" spans="1:17" x14ac:dyDescent="0.25">
      <c r="A20" s="56">
        <v>33</v>
      </c>
      <c r="B20" s="55" t="s">
        <v>23</v>
      </c>
      <c r="C20" s="56" t="str">
        <f>"("&amp;A18&amp;") x ("&amp;A19&amp;")"</f>
        <v>(31) x (32)</v>
      </c>
      <c r="D20" s="101">
        <f t="shared" ref="D20:N20" si="3">D18*D19</f>
        <v>2150580.6395259677</v>
      </c>
      <c r="E20" s="101">
        <f t="shared" si="3"/>
        <v>2024451.2175225359</v>
      </c>
      <c r="F20" s="115">
        <f t="shared" si="3"/>
        <v>1619164.5611938061</v>
      </c>
      <c r="G20" s="115">
        <f t="shared" si="3"/>
        <v>1264986.6258366171</v>
      </c>
      <c r="H20" s="115">
        <f t="shared" si="3"/>
        <v>909856.61406235839</v>
      </c>
      <c r="I20" s="101">
        <f t="shared" si="3"/>
        <v>662663.3824400669</v>
      </c>
      <c r="J20" s="101">
        <f t="shared" si="3"/>
        <v>480249.90003221267</v>
      </c>
      <c r="K20" s="101">
        <f t="shared" si="3"/>
        <v>524219.69294013013</v>
      </c>
      <c r="L20" s="101">
        <f t="shared" si="3"/>
        <v>622628.89323753095</v>
      </c>
      <c r="M20" s="101">
        <f t="shared" si="3"/>
        <v>1267545.129640806</v>
      </c>
      <c r="N20" s="101">
        <f t="shared" si="3"/>
        <v>1894418.9515724846</v>
      </c>
      <c r="O20" s="101">
        <f>O18*O19-13259.81</f>
        <v>2371408.2184034931</v>
      </c>
      <c r="P20" s="145" t="s">
        <v>156</v>
      </c>
      <c r="Q20" s="110">
        <f>SUM(D20:O20)</f>
        <v>15792173.826408014</v>
      </c>
    </row>
    <row r="21" spans="1:17" x14ac:dyDescent="0.25">
      <c r="A21" s="56"/>
      <c r="B21" s="55"/>
      <c r="C21" s="56"/>
      <c r="D21" s="101"/>
      <c r="E21" s="101"/>
      <c r="F21" s="115"/>
      <c r="G21" s="115"/>
      <c r="H21" s="115"/>
      <c r="I21" s="101"/>
      <c r="J21" s="101"/>
      <c r="K21" s="101"/>
      <c r="L21" s="101"/>
      <c r="M21" s="101"/>
      <c r="N21" s="101"/>
      <c r="O21" s="101"/>
      <c r="P21" s="101"/>
      <c r="Q21" s="110"/>
    </row>
    <row r="22" spans="1:17" x14ac:dyDescent="0.25">
      <c r="A22" s="56">
        <v>34</v>
      </c>
      <c r="B22" s="55" t="s">
        <v>141</v>
      </c>
      <c r="C22" s="56" t="str">
        <f>"("&amp;A10&amp;") - ("&amp;A14&amp;")"</f>
        <v>(24) - (28)</v>
      </c>
      <c r="D22" s="148">
        <f t="shared" ref="D22:F22" si="4">D10-D14</f>
        <v>7405678.0288999993</v>
      </c>
      <c r="E22" s="148">
        <f t="shared" si="4"/>
        <v>7385558.3519099997</v>
      </c>
      <c r="F22" s="148">
        <f t="shared" si="4"/>
        <v>6749398.4950599996</v>
      </c>
      <c r="G22" s="148">
        <f>G10-G14</f>
        <v>3929580.4395300001</v>
      </c>
      <c r="H22" s="100">
        <f t="shared" ref="H22:O22" si="5">H10-H14</f>
        <v>2760156.5387300001</v>
      </c>
      <c r="I22" s="100">
        <f t="shared" si="5"/>
        <v>1922216.2803099998</v>
      </c>
      <c r="J22" s="100">
        <f t="shared" si="5"/>
        <v>1653788.4914000002</v>
      </c>
      <c r="K22" s="100">
        <f t="shared" si="5"/>
        <v>1898606.29559</v>
      </c>
      <c r="L22" s="100">
        <f t="shared" si="5"/>
        <v>2354659.8000699999</v>
      </c>
      <c r="M22" s="100">
        <f t="shared" si="5"/>
        <v>4305214.9561500009</v>
      </c>
      <c r="N22" s="100">
        <f t="shared" si="5"/>
        <v>5585230.1592800003</v>
      </c>
      <c r="O22" s="100">
        <f t="shared" si="5"/>
        <v>8848204.4624799993</v>
      </c>
      <c r="P22" s="100"/>
      <c r="Q22" s="100">
        <f>SUM(D22:O22)</f>
        <v>54798292.299410008</v>
      </c>
    </row>
    <row r="23" spans="1:17" ht="26.25" x14ac:dyDescent="0.25">
      <c r="A23" s="56">
        <v>35</v>
      </c>
      <c r="B23" s="103" t="s">
        <v>137</v>
      </c>
      <c r="C23" s="56" t="str">
        <f>"("&amp;A11&amp;") - ("&amp;A15&amp;")"</f>
        <v>(25) - (29)</v>
      </c>
      <c r="D23" s="149">
        <f t="shared" ref="D23:F23" si="6">D11-D15</f>
        <v>1846994.6086800003</v>
      </c>
      <c r="E23" s="149">
        <f t="shared" si="6"/>
        <v>2323034.2220600001</v>
      </c>
      <c r="F23" s="149">
        <f t="shared" si="6"/>
        <v>2347127.2694399999</v>
      </c>
      <c r="G23" s="149">
        <f>G11-G15</f>
        <v>1489833.6609400001</v>
      </c>
      <c r="H23" s="105">
        <f t="shared" ref="H23:O23" si="7">H11-H15</f>
        <v>1077104.5248000002</v>
      </c>
      <c r="I23" s="105">
        <f t="shared" si="7"/>
        <v>843347.74343999987</v>
      </c>
      <c r="J23" s="105">
        <f t="shared" si="7"/>
        <v>724515.25124000001</v>
      </c>
      <c r="K23" s="105">
        <f t="shared" si="7"/>
        <v>761709.86394000007</v>
      </c>
      <c r="L23" s="105">
        <f t="shared" si="7"/>
        <v>859354.41026000003</v>
      </c>
      <c r="M23" s="105">
        <f t="shared" si="7"/>
        <v>1312575.8454799999</v>
      </c>
      <c r="N23" s="105">
        <f t="shared" si="7"/>
        <v>1444131.93404</v>
      </c>
      <c r="O23" s="105">
        <f t="shared" si="7"/>
        <v>2436583.2422799999</v>
      </c>
      <c r="P23" s="105"/>
      <c r="Q23" s="101">
        <f>SUM(D23:O23)</f>
        <v>17466312.5766</v>
      </c>
    </row>
    <row r="24" spans="1:17" ht="29.25" customHeight="1" x14ac:dyDescent="0.25">
      <c r="A24" s="122">
        <v>36</v>
      </c>
      <c r="B24" s="124" t="s">
        <v>138</v>
      </c>
      <c r="C24" s="122" t="str">
        <f>"("&amp;A12&amp;") - ("&amp;A16&amp;")"</f>
        <v>(26) - (30)</v>
      </c>
      <c r="D24" s="150">
        <f t="shared" ref="D24:F24" si="8">D12-D16</f>
        <v>320948.82</v>
      </c>
      <c r="E24" s="150">
        <f t="shared" si="8"/>
        <v>312043.57</v>
      </c>
      <c r="F24" s="150">
        <f t="shared" si="8"/>
        <v>379380.82999999996</v>
      </c>
      <c r="G24" s="150">
        <f>G12-G16</f>
        <v>337902.75</v>
      </c>
      <c r="H24" s="123">
        <f t="shared" ref="H24:O24" si="9">H12-H16</f>
        <v>335577.93000000005</v>
      </c>
      <c r="I24" s="123">
        <f t="shared" si="9"/>
        <v>337120.62000000005</v>
      </c>
      <c r="J24" s="123">
        <f t="shared" si="9"/>
        <v>336856.93</v>
      </c>
      <c r="K24" s="123">
        <f t="shared" si="9"/>
        <v>336827.52999999997</v>
      </c>
      <c r="L24" s="123">
        <f t="shared" si="9"/>
        <v>335812.68</v>
      </c>
      <c r="M24" s="123">
        <f t="shared" si="9"/>
        <v>359900.5</v>
      </c>
      <c r="N24" s="123">
        <f t="shared" si="9"/>
        <v>380218.23000000004</v>
      </c>
      <c r="O24" s="123">
        <f t="shared" si="9"/>
        <v>383121.03</v>
      </c>
      <c r="P24" s="123"/>
      <c r="Q24" s="123">
        <f>SUM(D24:O24)</f>
        <v>4155711.42</v>
      </c>
    </row>
    <row r="25" spans="1:17" x14ac:dyDescent="0.25">
      <c r="A25" s="56">
        <v>37</v>
      </c>
      <c r="B25" s="55" t="s">
        <v>111</v>
      </c>
      <c r="C25" s="56" t="str">
        <f>"("&amp;A23&amp;") - ("&amp;A24&amp;")"</f>
        <v>(35) - (36)</v>
      </c>
      <c r="D25" s="101">
        <f t="shared" ref="D25:O25" si="10">D23-D24</f>
        <v>1526045.7886800002</v>
      </c>
      <c r="E25" s="101">
        <f t="shared" si="10"/>
        <v>2010990.65206</v>
      </c>
      <c r="F25" s="115">
        <f t="shared" si="10"/>
        <v>1967746.4394399999</v>
      </c>
      <c r="G25" s="115">
        <f t="shared" si="10"/>
        <v>1151930.9109400001</v>
      </c>
      <c r="H25" s="115">
        <f t="shared" si="10"/>
        <v>741526.5948000002</v>
      </c>
      <c r="I25" s="101">
        <f t="shared" si="10"/>
        <v>506227.12343999982</v>
      </c>
      <c r="J25" s="101">
        <f t="shared" si="10"/>
        <v>387658.32124000002</v>
      </c>
      <c r="K25" s="101">
        <f t="shared" si="10"/>
        <v>424882.3339400001</v>
      </c>
      <c r="L25" s="101">
        <f t="shared" si="10"/>
        <v>523541.73026000004</v>
      </c>
      <c r="M25" s="101">
        <f t="shared" si="10"/>
        <v>952675.3454799999</v>
      </c>
      <c r="N25" s="101">
        <f t="shared" si="10"/>
        <v>1063913.70404</v>
      </c>
      <c r="O25" s="101">
        <f t="shared" si="10"/>
        <v>2053462.2122799999</v>
      </c>
      <c r="P25" s="101"/>
      <c r="Q25" s="105">
        <f>SUM(D25:O25)</f>
        <v>13310601.1566</v>
      </c>
    </row>
    <row r="26" spans="1:17" x14ac:dyDescent="0.25">
      <c r="A26" s="56">
        <v>38</v>
      </c>
      <c r="B26" s="111" t="s">
        <v>121</v>
      </c>
      <c r="C26" s="56" t="str">
        <f>"("&amp;A25&amp;") / ("&amp;A18&amp;")"</f>
        <v>(37) / (31)</v>
      </c>
      <c r="D26" s="112">
        <f>D25/D18</f>
        <v>486.62174383928578</v>
      </c>
      <c r="E26" s="112">
        <f t="shared" ref="E26:O26" si="11">E25/E18</f>
        <v>641.87381170124479</v>
      </c>
      <c r="F26" s="118">
        <f t="shared" si="11"/>
        <v>629.8804223559539</v>
      </c>
      <c r="G26" s="118">
        <f t="shared" si="11"/>
        <v>366.97384865880855</v>
      </c>
      <c r="H26" s="118">
        <f t="shared" si="11"/>
        <v>237.97387509627734</v>
      </c>
      <c r="I26" s="112">
        <f t="shared" si="11"/>
        <v>162.30430376402688</v>
      </c>
      <c r="J26" s="112">
        <f t="shared" si="11"/>
        <v>123.81294194825935</v>
      </c>
      <c r="K26" s="112">
        <f t="shared" si="11"/>
        <v>136.00586873879644</v>
      </c>
      <c r="L26" s="112">
        <f t="shared" si="11"/>
        <v>167.90947089801156</v>
      </c>
      <c r="M26" s="112">
        <f t="shared" si="11"/>
        <v>300.24435722659939</v>
      </c>
      <c r="N26" s="112">
        <f t="shared" si="11"/>
        <v>334.1437512688442</v>
      </c>
      <c r="O26" s="112">
        <f t="shared" si="11"/>
        <v>640.70583846489853</v>
      </c>
      <c r="P26" s="112"/>
      <c r="Q26" s="112"/>
    </row>
    <row r="27" spans="1:17" x14ac:dyDescent="0.25">
      <c r="A27" s="56">
        <v>39</v>
      </c>
      <c r="B27" s="55" t="s">
        <v>113</v>
      </c>
      <c r="C27" s="56" t="str">
        <f>"("&amp;A20&amp;") - ("&amp;A25&amp;")"</f>
        <v>(33) - (37)</v>
      </c>
      <c r="D27" s="101">
        <f>D20-D25</f>
        <v>624534.85084596742</v>
      </c>
      <c r="E27" s="101">
        <f t="shared" ref="E27:O27" si="12">E20-E25</f>
        <v>13460.565462535946</v>
      </c>
      <c r="F27" s="115">
        <f t="shared" si="12"/>
        <v>-348581.87824619375</v>
      </c>
      <c r="G27" s="115">
        <f t="shared" si="12"/>
        <v>113055.71489661699</v>
      </c>
      <c r="H27" s="101">
        <f t="shared" si="12"/>
        <v>168330.0192623582</v>
      </c>
      <c r="I27" s="101">
        <f t="shared" si="12"/>
        <v>156436.25900006708</v>
      </c>
      <c r="J27" s="101">
        <f t="shared" si="12"/>
        <v>92591.578792212647</v>
      </c>
      <c r="K27" s="101">
        <f t="shared" si="12"/>
        <v>99337.359000130033</v>
      </c>
      <c r="L27" s="101">
        <f t="shared" si="12"/>
        <v>99087.162977530912</v>
      </c>
      <c r="M27" s="101">
        <f t="shared" si="12"/>
        <v>314869.7841608061</v>
      </c>
      <c r="N27" s="101">
        <f t="shared" si="12"/>
        <v>830505.24753248459</v>
      </c>
      <c r="O27" s="101">
        <f t="shared" si="12"/>
        <v>317946.00612349319</v>
      </c>
      <c r="P27" s="101"/>
      <c r="Q27" s="105">
        <f t="shared" ref="Q27:Q30" si="13">SUM(D27:O27)</f>
        <v>2481572.6698080096</v>
      </c>
    </row>
    <row r="28" spans="1:17" x14ac:dyDescent="0.25">
      <c r="A28" s="56">
        <v>40</v>
      </c>
      <c r="B28" s="55" t="s">
        <v>114</v>
      </c>
      <c r="C28" s="56" t="s">
        <v>115</v>
      </c>
      <c r="D28" s="101">
        <f>D27*-'Pg 6 UG-190335 Auth-4'!$E$19</f>
        <v>-27576.336339103691</v>
      </c>
      <c r="E28" s="101">
        <f>E27*-'Pg 6 UG-190335 Auth-4'!$E$19</f>
        <v>-594.35126799827469</v>
      </c>
      <c r="F28" s="101">
        <f>F27*-'Pg 6 UG-190335 Auth-4'!$E$19</f>
        <v>15391.632833960684</v>
      </c>
      <c r="G28" s="101">
        <f>G27*-'Pg 6 UG-190335 Auth-4'!$E$19</f>
        <v>-4991.975091260123</v>
      </c>
      <c r="H28" s="101">
        <f>H27*-'Pg 6 UG-190335 Auth-4'!$E$19</f>
        <v>-7432.612000529426</v>
      </c>
      <c r="I28" s="101">
        <f>I27*-'Pg 6 UG-190335 Auth-4'!$E$19</f>
        <v>-6907.4430161479613</v>
      </c>
      <c r="J28" s="101">
        <f>J27*-'Pg 6 UG-190335 Auth-4'!$E$19</f>
        <v>-4088.3811615701493</v>
      </c>
      <c r="K28" s="101">
        <f>K27*-'Pg 6 UG-190335 Auth-4'!$E$19</f>
        <v>-4386.2410866507416</v>
      </c>
      <c r="L28" s="101">
        <f>L27*-'Pg 6 UG-190335 Auth-4'!$E$19</f>
        <v>-4375.1936812728773</v>
      </c>
      <c r="M28" s="101">
        <f>M27*-'Pg 10 UG-200901 Auth-4'!$E$20</f>
        <v>-13765.477223942122</v>
      </c>
      <c r="N28" s="101">
        <f>N27*-'Pg 10 UG-200901 Auth-4'!$E$20</f>
        <v>-36308.028411625164</v>
      </c>
      <c r="O28" s="101">
        <f>O27*-'Pg 10 UG-200901 Auth-4'!$E$20</f>
        <v>-13899.963495706876</v>
      </c>
      <c r="P28" s="101"/>
      <c r="Q28" s="105">
        <f t="shared" si="13"/>
        <v>-108934.36994184673</v>
      </c>
    </row>
    <row r="29" spans="1:17" x14ac:dyDescent="0.25">
      <c r="A29" s="56">
        <v>41</v>
      </c>
      <c r="B29" s="55"/>
      <c r="C29" s="56" t="s">
        <v>116</v>
      </c>
      <c r="D29" s="155">
        <v>3.2500000000000001E-2</v>
      </c>
      <c r="E29" s="146">
        <f>D29</f>
        <v>3.2500000000000001E-2</v>
      </c>
      <c r="F29" s="146">
        <f t="shared" ref="F29:L29" si="14">E29</f>
        <v>3.2500000000000001E-2</v>
      </c>
      <c r="G29" s="146">
        <f t="shared" si="14"/>
        <v>3.2500000000000001E-2</v>
      </c>
      <c r="H29" s="146">
        <f t="shared" si="14"/>
        <v>3.2500000000000001E-2</v>
      </c>
      <c r="I29" s="146">
        <f t="shared" si="14"/>
        <v>3.2500000000000001E-2</v>
      </c>
      <c r="J29" s="146">
        <f t="shared" si="14"/>
        <v>3.2500000000000001E-2</v>
      </c>
      <c r="K29" s="146">
        <f t="shared" si="14"/>
        <v>3.2500000000000001E-2</v>
      </c>
      <c r="L29" s="146">
        <f t="shared" si="14"/>
        <v>3.2500000000000001E-2</v>
      </c>
      <c r="M29" s="155">
        <v>3.2500000000000001E-2</v>
      </c>
      <c r="N29" s="146">
        <v>3.2500000000000001E-2</v>
      </c>
      <c r="O29" s="146">
        <v>3.2500000000000001E-2</v>
      </c>
      <c r="P29" s="146"/>
      <c r="Q29" s="147"/>
    </row>
    <row r="30" spans="1:17" x14ac:dyDescent="0.25">
      <c r="A30" s="56">
        <v>42</v>
      </c>
      <c r="B30" s="55" t="s">
        <v>117</v>
      </c>
      <c r="C30" s="56" t="s">
        <v>118</v>
      </c>
      <c r="D30" s="107">
        <f>(D27+D28)/2*D29/12</f>
        <v>808.38132172804478</v>
      </c>
      <c r="E30" s="107">
        <f>(D32+(E27+E28)/2)*E29/12</f>
        <v>1636.3750079242056</v>
      </c>
      <c r="F30" s="151">
        <f t="shared" ref="F30:O30" si="15">(E32+(F27+F28)/2)*F29/12</f>
        <v>1207.0347312967049</v>
      </c>
      <c r="G30" s="117">
        <f t="shared" si="15"/>
        <v>905.44497401798844</v>
      </c>
      <c r="H30" s="117">
        <f t="shared" si="15"/>
        <v>1272.1154408094344</v>
      </c>
      <c r="I30" s="107">
        <f t="shared" si="15"/>
        <v>1695.9295974402437</v>
      </c>
      <c r="J30" s="107">
        <f t="shared" si="15"/>
        <v>2022.8577585363635</v>
      </c>
      <c r="K30" s="107">
        <f t="shared" si="15"/>
        <v>2276.7640505983973</v>
      </c>
      <c r="L30" s="107">
        <f t="shared" si="15"/>
        <v>2539.7657171652872</v>
      </c>
      <c r="M30" s="107">
        <f t="shared" si="15"/>
        <v>3082.6454567149626</v>
      </c>
      <c r="N30" s="107">
        <f t="shared" si="15"/>
        <v>4574.2151046967338</v>
      </c>
      <c r="O30" s="107">
        <f t="shared" si="15"/>
        <v>6073.8080208899128</v>
      </c>
      <c r="P30" s="107"/>
      <c r="Q30" s="107">
        <f t="shared" si="13"/>
        <v>28095.337181818279</v>
      </c>
    </row>
    <row r="31" spans="1:17" ht="15.75" thickBot="1" x14ac:dyDescent="0.3">
      <c r="A31" s="56">
        <v>43</v>
      </c>
      <c r="B31" s="93" t="s">
        <v>122</v>
      </c>
      <c r="C31" s="56"/>
      <c r="D31" s="108">
        <f>D27+D28+D30</f>
        <v>597766.89582859178</v>
      </c>
      <c r="E31" s="108">
        <f t="shared" ref="E31:O31" si="16">E27+E28+E30</f>
        <v>14502.589202461877</v>
      </c>
      <c r="F31" s="135">
        <f t="shared" si="16"/>
        <v>-331983.21068093635</v>
      </c>
      <c r="G31" s="108">
        <f t="shared" si="16"/>
        <v>108969.18477937485</v>
      </c>
      <c r="H31" s="108">
        <f t="shared" si="16"/>
        <v>162169.52270263821</v>
      </c>
      <c r="I31" s="108">
        <f t="shared" si="16"/>
        <v>151224.74558135934</v>
      </c>
      <c r="J31" s="108">
        <f t="shared" si="16"/>
        <v>90526.055389178859</v>
      </c>
      <c r="K31" s="108">
        <f t="shared" si="16"/>
        <v>97227.881964077693</v>
      </c>
      <c r="L31" s="108">
        <f t="shared" si="16"/>
        <v>97251.735013423313</v>
      </c>
      <c r="M31" s="108">
        <f t="shared" si="16"/>
        <v>304186.95239357895</v>
      </c>
      <c r="N31" s="108">
        <f t="shared" si="16"/>
        <v>798771.43422555609</v>
      </c>
      <c r="O31" s="108">
        <f t="shared" si="16"/>
        <v>310119.85064867628</v>
      </c>
      <c r="P31" s="108"/>
      <c r="Q31" s="108">
        <f>SUM(D31:O31)</f>
        <v>2400733.6370479809</v>
      </c>
    </row>
    <row r="32" spans="1:17" ht="15.75" thickBot="1" x14ac:dyDescent="0.3">
      <c r="A32" s="56">
        <v>44</v>
      </c>
      <c r="B32" s="55" t="s">
        <v>120</v>
      </c>
      <c r="C32" s="56" t="str">
        <f>"Σ(("&amp;A27&amp;") ,("&amp;A28&amp;") , ("&amp;A30&amp;"))"</f>
        <v>Σ((39) ,(40) , (42))</v>
      </c>
      <c r="D32" s="101">
        <f>D27+D28+D30</f>
        <v>597766.89582859178</v>
      </c>
      <c r="E32" s="101">
        <f>D32+E27+E28+E30</f>
        <v>612269.48503105366</v>
      </c>
      <c r="F32" s="115">
        <f t="shared" ref="F32:O32" si="17">E32+F27+F28+F30</f>
        <v>280286.27435011731</v>
      </c>
      <c r="G32" s="115">
        <f t="shared" si="17"/>
        <v>389255.45912949217</v>
      </c>
      <c r="H32" s="115">
        <f t="shared" si="17"/>
        <v>551424.98183213035</v>
      </c>
      <c r="I32" s="101">
        <f t="shared" si="17"/>
        <v>702649.72741348983</v>
      </c>
      <c r="J32" s="101">
        <f t="shared" si="17"/>
        <v>793175.78280266863</v>
      </c>
      <c r="K32" s="101">
        <f t="shared" si="17"/>
        <v>890403.66476674634</v>
      </c>
      <c r="L32" s="101">
        <f t="shared" si="17"/>
        <v>987655.3997801696</v>
      </c>
      <c r="M32" s="101">
        <f t="shared" si="17"/>
        <v>1291842.3521737487</v>
      </c>
      <c r="N32" s="101">
        <f t="shared" si="17"/>
        <v>2090613.7863993051</v>
      </c>
      <c r="O32" s="109">
        <f t="shared" si="17"/>
        <v>2400733.6370479814</v>
      </c>
      <c r="P32" s="135"/>
      <c r="Q32" s="139"/>
    </row>
    <row r="33" spans="1:17" ht="15.75" thickBot="1" x14ac:dyDescent="0.3">
      <c r="A33" s="56"/>
      <c r="B33" s="55"/>
      <c r="C33" s="55"/>
      <c r="D33" s="55"/>
      <c r="E33" s="55"/>
      <c r="F33" s="119"/>
      <c r="G33" s="119"/>
      <c r="H33" s="119"/>
      <c r="I33" s="55"/>
      <c r="J33" s="55"/>
      <c r="K33" s="55"/>
      <c r="L33" s="55"/>
      <c r="M33" s="55"/>
      <c r="N33" s="55"/>
      <c r="O33" s="55"/>
      <c r="P33" s="55"/>
      <c r="Q33" s="139"/>
    </row>
    <row r="34" spans="1:17" ht="15.75" thickBot="1" x14ac:dyDescent="0.3">
      <c r="A34" s="98">
        <v>45</v>
      </c>
      <c r="B34" s="93" t="s">
        <v>123</v>
      </c>
      <c r="C34" s="98" t="s">
        <v>158</v>
      </c>
      <c r="D34" s="101">
        <f>D32+'Pg 1 Res Nat Gas Deferral'!D33</f>
        <v>1476828.2801410581</v>
      </c>
      <c r="E34" s="101">
        <f>E32+'Pg 1 Res Nat Gas Deferral'!E33</f>
        <v>-316239.54863905557</v>
      </c>
      <c r="F34" s="115">
        <f>F32+'Pg 1 Res Nat Gas Deferral'!F33</f>
        <v>144128.39948839601</v>
      </c>
      <c r="G34" s="115">
        <f>G32+'Pg 1 Res Nat Gas Deferral'!G33</f>
        <v>1241678.0302854492</v>
      </c>
      <c r="H34" s="101">
        <f>H32+'Pg 1 Res Nat Gas Deferral'!H33</f>
        <v>2260623.598716184</v>
      </c>
      <c r="I34" s="101">
        <f>I32+'Pg 1 Res Nat Gas Deferral'!I33</f>
        <v>2722767.8255269672</v>
      </c>
      <c r="J34" s="101">
        <f>J32+'Pg 1 Res Nat Gas Deferral'!J33</f>
        <v>3041864.9824252389</v>
      </c>
      <c r="K34" s="101">
        <f>K32+'Pg 1 Res Nat Gas Deferral'!K33</f>
        <v>3142560.0713871084</v>
      </c>
      <c r="L34" s="101">
        <f>L32+'Pg 1 Res Nat Gas Deferral'!L33</f>
        <v>3484370.0445448342</v>
      </c>
      <c r="M34" s="101">
        <f>M32+'Pg 1 Res Nat Gas Deferral'!M33</f>
        <v>5049415.0612261761</v>
      </c>
      <c r="N34" s="101">
        <f>N32+'Pg 1 Res Nat Gas Deferral'!N33</f>
        <v>8467328.1077465098</v>
      </c>
      <c r="O34" s="109">
        <f>O32+'Pg 1 Res Nat Gas Deferral'!O33</f>
        <v>8960191.4758121781</v>
      </c>
      <c r="P34" s="135"/>
      <c r="Q34" s="139"/>
    </row>
    <row r="35" spans="1:17" ht="27.75" customHeight="1" x14ac:dyDescent="0.25">
      <c r="A35" s="127"/>
      <c r="B35" s="159" t="s">
        <v>157</v>
      </c>
      <c r="C35" s="159"/>
      <c r="D35" s="159"/>
      <c r="E35" s="159"/>
      <c r="F35" s="159"/>
      <c r="G35" s="159"/>
      <c r="H35" s="159"/>
      <c r="I35" s="159"/>
      <c r="J35" s="159"/>
      <c r="K35" s="159"/>
      <c r="L35" s="159"/>
      <c r="M35" s="159"/>
      <c r="N35" s="159"/>
      <c r="O35" s="159"/>
      <c r="P35" s="159"/>
      <c r="Q35" s="127"/>
    </row>
  </sheetData>
  <mergeCells count="4">
    <mergeCell ref="A1:O1"/>
    <mergeCell ref="A2:O2"/>
    <mergeCell ref="A3:O3"/>
    <mergeCell ref="B35:P35"/>
  </mergeCells>
  <pageMargins left="0.7" right="0.7" top="0.75" bottom="0.75" header="0.3" footer="0.3"/>
  <pageSetup scale="48" orientation="landscape" horizontalDpi="1200" verticalDpi="1200" r:id="rId1"/>
  <headerFooter>
    <oddFooter>&amp;L&amp;F&amp;R&amp;A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topLeftCell="A15" zoomScaleNormal="100" workbookViewId="0">
      <selection activeCell="E49" sqref="E49"/>
    </sheetView>
  </sheetViews>
  <sheetFormatPr defaultRowHeight="15" x14ac:dyDescent="0.25"/>
  <cols>
    <col min="1" max="1" width="4.5703125" customWidth="1"/>
    <col min="2" max="2" width="48.7109375" customWidth="1"/>
    <col min="3" max="3" width="19.42578125" customWidth="1"/>
    <col min="4" max="4" width="20.5703125" bestFit="1" customWidth="1"/>
    <col min="5" max="5" width="27.5703125" bestFit="1" customWidth="1"/>
    <col min="6" max="6" width="17.7109375" bestFit="1" customWidth="1"/>
    <col min="7" max="7" width="19.42578125" bestFit="1" customWidth="1"/>
    <col min="8" max="8" width="14.85546875" bestFit="1" customWidth="1"/>
    <col min="9" max="9" width="16.140625" bestFit="1" customWidth="1"/>
    <col min="10" max="10" width="11.7109375" customWidth="1"/>
    <col min="11" max="11" width="11.5703125" bestFit="1" customWidth="1"/>
    <col min="12" max="12" width="11.85546875" customWidth="1"/>
    <col min="13" max="13" width="11.42578125" customWidth="1"/>
    <col min="15" max="15" width="6.5703125" customWidth="1"/>
    <col min="16" max="16" width="42" customWidth="1"/>
    <col min="18" max="18" width="20.140625" customWidth="1"/>
  </cols>
  <sheetData>
    <row r="1" spans="1:11" ht="15.75" x14ac:dyDescent="0.25">
      <c r="A1" s="164" t="s">
        <v>0</v>
      </c>
      <c r="B1" s="164"/>
      <c r="C1" s="164"/>
      <c r="D1" s="164"/>
      <c r="E1" s="164"/>
      <c r="F1" s="164"/>
      <c r="G1" s="164"/>
      <c r="H1" s="164"/>
      <c r="I1" s="164"/>
    </row>
    <row r="2" spans="1:11" ht="15.75" x14ac:dyDescent="0.25">
      <c r="A2" s="164" t="s">
        <v>1</v>
      </c>
      <c r="B2" s="164"/>
      <c r="C2" s="164"/>
      <c r="D2" s="164"/>
      <c r="E2" s="164"/>
      <c r="F2" s="164"/>
      <c r="G2" s="164"/>
      <c r="H2" s="164"/>
      <c r="I2" s="164"/>
    </row>
    <row r="3" spans="1:11" ht="15.75" x14ac:dyDescent="0.25">
      <c r="A3" s="160" t="s">
        <v>2</v>
      </c>
      <c r="B3" s="160"/>
      <c r="C3" s="160"/>
      <c r="D3" s="160"/>
      <c r="E3" s="160"/>
      <c r="F3" s="160"/>
      <c r="G3" s="160"/>
      <c r="H3" s="160"/>
      <c r="I3" s="160"/>
    </row>
    <row r="4" spans="1:11" ht="15.75" x14ac:dyDescent="0.25">
      <c r="A4" s="161" t="s">
        <v>159</v>
      </c>
      <c r="B4" s="161"/>
      <c r="C4" s="161"/>
      <c r="D4" s="161"/>
      <c r="E4" s="161"/>
      <c r="F4" s="161"/>
      <c r="G4" s="161"/>
      <c r="H4" s="161"/>
      <c r="I4" s="161"/>
    </row>
    <row r="5" spans="1:11" ht="15.75" x14ac:dyDescent="0.25">
      <c r="A5" s="1"/>
      <c r="B5" s="1"/>
      <c r="C5" s="1"/>
      <c r="D5" s="1"/>
      <c r="E5" s="1"/>
      <c r="F5" s="1"/>
      <c r="G5" s="1"/>
      <c r="H5" s="1"/>
      <c r="I5" s="1"/>
    </row>
    <row r="6" spans="1:11" ht="15.75" x14ac:dyDescent="0.25">
      <c r="A6" s="2"/>
      <c r="B6" s="2"/>
      <c r="C6" s="3" t="s">
        <v>3</v>
      </c>
      <c r="D6" s="3" t="s">
        <v>4</v>
      </c>
      <c r="E6" s="3" t="s">
        <v>5</v>
      </c>
      <c r="F6" s="3" t="s">
        <v>6</v>
      </c>
      <c r="G6" s="3" t="s">
        <v>7</v>
      </c>
      <c r="H6" s="4" t="s">
        <v>8</v>
      </c>
      <c r="I6" s="3" t="s">
        <v>8</v>
      </c>
      <c r="K6" s="3" t="s">
        <v>55</v>
      </c>
    </row>
    <row r="7" spans="1:11" ht="15.75" x14ac:dyDescent="0.25">
      <c r="A7" s="2"/>
      <c r="B7" s="2"/>
      <c r="C7" s="5" t="s">
        <v>9</v>
      </c>
      <c r="D7" s="5" t="s">
        <v>10</v>
      </c>
      <c r="E7" s="5" t="s">
        <v>11</v>
      </c>
      <c r="F7" s="5" t="s">
        <v>12</v>
      </c>
      <c r="G7" s="5" t="s">
        <v>13</v>
      </c>
      <c r="H7" s="6">
        <v>132</v>
      </c>
      <c r="I7" s="5" t="s">
        <v>14</v>
      </c>
      <c r="K7" s="3">
        <v>132</v>
      </c>
    </row>
    <row r="8" spans="1:11" ht="15.75" x14ac:dyDescent="0.25">
      <c r="A8" s="2"/>
      <c r="B8" s="2"/>
      <c r="C8" s="2"/>
      <c r="D8" s="2"/>
      <c r="E8" s="2"/>
      <c r="F8" s="2"/>
      <c r="G8" s="2"/>
      <c r="H8" s="7"/>
      <c r="I8" s="8"/>
    </row>
    <row r="9" spans="1:11" ht="15.75" x14ac:dyDescent="0.25">
      <c r="A9" s="2">
        <v>1</v>
      </c>
      <c r="B9" s="2" t="s">
        <v>125</v>
      </c>
      <c r="C9" s="9">
        <f>SUM(D9:I9)</f>
        <v>93707000</v>
      </c>
      <c r="D9" s="10">
        <v>71132000</v>
      </c>
      <c r="E9" s="10">
        <v>17418000</v>
      </c>
      <c r="F9" s="10">
        <v>0</v>
      </c>
      <c r="G9" s="10">
        <v>0</v>
      </c>
      <c r="H9" s="11">
        <f>K9</f>
        <v>201000</v>
      </c>
      <c r="I9" s="12">
        <v>4956000</v>
      </c>
      <c r="K9" s="53">
        <v>201000</v>
      </c>
    </row>
    <row r="10" spans="1:11" ht="15.75" x14ac:dyDescent="0.25">
      <c r="A10" s="2">
        <v>2</v>
      </c>
      <c r="B10" s="13" t="s">
        <v>15</v>
      </c>
      <c r="C10" s="9">
        <f>SUM(D10:I10)</f>
        <v>8000000</v>
      </c>
      <c r="D10" s="10">
        <v>6187000</v>
      </c>
      <c r="E10" s="10">
        <v>1515000</v>
      </c>
      <c r="F10" s="10">
        <v>0</v>
      </c>
      <c r="G10" s="10">
        <v>0</v>
      </c>
      <c r="H10" s="11">
        <v>17000</v>
      </c>
      <c r="I10" s="12">
        <v>281000</v>
      </c>
      <c r="K10" s="53">
        <v>0</v>
      </c>
    </row>
    <row r="11" spans="1:11" ht="15.75" x14ac:dyDescent="0.25">
      <c r="A11" s="2">
        <v>3</v>
      </c>
      <c r="B11" s="2" t="s">
        <v>16</v>
      </c>
      <c r="C11" s="9">
        <f>SUM(D11:I11)</f>
        <v>101707000</v>
      </c>
      <c r="D11" s="14">
        <f t="shared" ref="D11:I11" si="0">D9+D10</f>
        <v>77319000</v>
      </c>
      <c r="E11" s="14">
        <f t="shared" si="0"/>
        <v>18933000</v>
      </c>
      <c r="F11" s="14">
        <f t="shared" si="0"/>
        <v>0</v>
      </c>
      <c r="G11" s="14">
        <f>G9+G10</f>
        <v>0</v>
      </c>
      <c r="H11" s="15">
        <f t="shared" si="0"/>
        <v>218000</v>
      </c>
      <c r="I11" s="16">
        <f t="shared" si="0"/>
        <v>5237000</v>
      </c>
      <c r="K11" s="53">
        <f>K9+K10</f>
        <v>201000</v>
      </c>
    </row>
    <row r="12" spans="1:11" ht="15.75" x14ac:dyDescent="0.25">
      <c r="A12" s="2"/>
      <c r="B12" s="2"/>
      <c r="C12" s="2"/>
      <c r="D12" s="2"/>
      <c r="E12" s="2"/>
      <c r="F12" s="2"/>
      <c r="G12" s="2"/>
      <c r="H12" s="7"/>
      <c r="I12" s="8"/>
    </row>
    <row r="13" spans="1:11" ht="15.75" x14ac:dyDescent="0.25">
      <c r="A13" s="2">
        <v>4</v>
      </c>
      <c r="B13" s="2" t="s">
        <v>126</v>
      </c>
      <c r="C13" s="17">
        <f>SUM(D13:I13)</f>
        <v>275981665</v>
      </c>
      <c r="D13" s="18">
        <v>128985980</v>
      </c>
      <c r="E13" s="18">
        <v>55884877</v>
      </c>
      <c r="F13" s="18">
        <v>0</v>
      </c>
      <c r="G13" s="18">
        <v>0</v>
      </c>
      <c r="H13" s="19">
        <f>K13</f>
        <v>985267</v>
      </c>
      <c r="I13" s="20">
        <v>90125541</v>
      </c>
      <c r="K13" s="54">
        <v>985267</v>
      </c>
    </row>
    <row r="14" spans="1:11" ht="15.75" x14ac:dyDescent="0.25">
      <c r="A14" s="2">
        <v>5</v>
      </c>
      <c r="B14" s="2" t="s">
        <v>17</v>
      </c>
      <c r="C14" s="21"/>
      <c r="D14" s="22">
        <v>0</v>
      </c>
      <c r="E14" s="22">
        <v>0</v>
      </c>
      <c r="F14" s="22">
        <v>0</v>
      </c>
      <c r="G14" s="22">
        <v>0</v>
      </c>
      <c r="H14" s="23"/>
      <c r="I14" s="24"/>
      <c r="K14" s="39">
        <f>G14</f>
        <v>0</v>
      </c>
    </row>
    <row r="15" spans="1:11" ht="15.75" x14ac:dyDescent="0.25">
      <c r="A15" s="2">
        <v>6</v>
      </c>
      <c r="B15" s="2" t="s">
        <v>18</v>
      </c>
      <c r="C15" s="9">
        <f>SUM(D15:G15)</f>
        <v>0</v>
      </c>
      <c r="D15" s="9">
        <f>D13*D14</f>
        <v>0</v>
      </c>
      <c r="E15" s="9">
        <f>E13*E14</f>
        <v>0</v>
      </c>
      <c r="F15" s="9">
        <f>F13*F14</f>
        <v>0</v>
      </c>
      <c r="G15" s="9">
        <f>G13*G14</f>
        <v>0</v>
      </c>
      <c r="H15" s="23"/>
      <c r="I15" s="24"/>
      <c r="K15" s="53">
        <f>K13*K14</f>
        <v>0</v>
      </c>
    </row>
    <row r="16" spans="1:11" ht="15.75" x14ac:dyDescent="0.25">
      <c r="A16" s="2"/>
      <c r="B16" s="2"/>
      <c r="C16" s="2"/>
      <c r="D16" s="2"/>
      <c r="E16" s="2"/>
      <c r="F16" s="2"/>
      <c r="G16" s="2"/>
      <c r="H16" s="23"/>
      <c r="I16" s="24"/>
    </row>
    <row r="17" spans="1:11" ht="15.75" x14ac:dyDescent="0.25">
      <c r="A17" s="2">
        <v>7</v>
      </c>
      <c r="B17" s="2" t="s">
        <v>19</v>
      </c>
      <c r="C17" s="9">
        <f>SUM(D17:G17)</f>
        <v>96252000</v>
      </c>
      <c r="D17" s="14">
        <f>D11-D15</f>
        <v>77319000</v>
      </c>
      <c r="E17" s="14">
        <f>E11-E15</f>
        <v>18933000</v>
      </c>
      <c r="F17" s="14">
        <f>F11-F15</f>
        <v>0</v>
      </c>
      <c r="G17" s="14">
        <f>G11-G15</f>
        <v>0</v>
      </c>
      <c r="H17" s="15"/>
      <c r="I17" s="8"/>
      <c r="K17" s="38">
        <f>K11-K15</f>
        <v>201000</v>
      </c>
    </row>
    <row r="18" spans="1:11" ht="15.75" x14ac:dyDescent="0.25">
      <c r="A18" s="2"/>
      <c r="B18" s="2"/>
      <c r="C18" s="2"/>
      <c r="D18" s="2"/>
      <c r="E18" s="2"/>
      <c r="F18" s="2"/>
      <c r="G18" s="2"/>
      <c r="H18" s="7"/>
      <c r="I18" s="8"/>
    </row>
    <row r="19" spans="1:11" ht="15.75" x14ac:dyDescent="0.25">
      <c r="A19" s="2">
        <v>8</v>
      </c>
      <c r="B19" s="2" t="s">
        <v>127</v>
      </c>
      <c r="C19" s="17">
        <f>SUM(D19:I19)</f>
        <v>1978935</v>
      </c>
      <c r="D19" s="25">
        <v>1941495</v>
      </c>
      <c r="E19" s="25">
        <v>36876</v>
      </c>
      <c r="F19" s="25">
        <v>0</v>
      </c>
      <c r="G19" s="25">
        <v>0</v>
      </c>
      <c r="H19" s="19">
        <f>K19</f>
        <v>24</v>
      </c>
      <c r="I19" s="20">
        <v>540</v>
      </c>
      <c r="K19">
        <v>24</v>
      </c>
    </row>
    <row r="20" spans="1:11" ht="15.75" x14ac:dyDescent="0.25">
      <c r="A20" s="2">
        <v>9</v>
      </c>
      <c r="B20" s="2" t="s">
        <v>20</v>
      </c>
      <c r="C20" s="9"/>
      <c r="D20" s="26">
        <v>9.5</v>
      </c>
      <c r="E20" s="26">
        <v>107.56</v>
      </c>
      <c r="F20" s="26">
        <v>0</v>
      </c>
      <c r="G20" s="27">
        <v>0</v>
      </c>
      <c r="H20" s="28"/>
      <c r="I20" s="8"/>
      <c r="K20" s="34">
        <f>G20</f>
        <v>0</v>
      </c>
    </row>
    <row r="21" spans="1:11" ht="15.75" x14ac:dyDescent="0.25">
      <c r="A21" s="2">
        <v>10</v>
      </c>
      <c r="B21" s="2" t="s">
        <v>21</v>
      </c>
      <c r="C21" s="9">
        <f>SUM(D21:G21)</f>
        <v>22410585.059999999</v>
      </c>
      <c r="D21" s="29">
        <f>D20*D19</f>
        <v>18444202.5</v>
      </c>
      <c r="E21" s="29">
        <f>E20*E19</f>
        <v>3966382.56</v>
      </c>
      <c r="F21" s="29">
        <f>F20*F19</f>
        <v>0</v>
      </c>
      <c r="G21" s="29">
        <f>G20*G19</f>
        <v>0</v>
      </c>
      <c r="H21" s="28"/>
      <c r="I21" s="8"/>
      <c r="K21" s="38">
        <f>K19*K20</f>
        <v>0</v>
      </c>
    </row>
    <row r="22" spans="1:11" ht="15.75" x14ac:dyDescent="0.25">
      <c r="A22" s="2"/>
      <c r="B22" s="2"/>
      <c r="C22" s="9"/>
      <c r="D22" s="29"/>
      <c r="E22" s="29"/>
      <c r="F22" s="29"/>
      <c r="G22" s="29"/>
      <c r="H22" s="162" t="s">
        <v>22</v>
      </c>
      <c r="I22" s="163"/>
      <c r="K22" s="38"/>
    </row>
    <row r="23" spans="1:11" ht="15.75" x14ac:dyDescent="0.25">
      <c r="A23" s="2">
        <v>11</v>
      </c>
      <c r="B23" s="2" t="s">
        <v>23</v>
      </c>
      <c r="C23" s="9">
        <f>SUM(D23:G23)</f>
        <v>73841414.939999998</v>
      </c>
      <c r="D23" s="29">
        <f>D17-D21</f>
        <v>58874797.5</v>
      </c>
      <c r="E23" s="29">
        <f>E17-E21</f>
        <v>14966617.439999999</v>
      </c>
      <c r="F23" s="29">
        <f>F17-F21</f>
        <v>0</v>
      </c>
      <c r="G23" s="29">
        <f>G17-G21</f>
        <v>0</v>
      </c>
      <c r="H23" s="162"/>
      <c r="I23" s="163"/>
      <c r="K23" s="38">
        <f>K17-K21</f>
        <v>201000</v>
      </c>
    </row>
    <row r="24" spans="1:11" ht="15.75" x14ac:dyDescent="0.25">
      <c r="A24" s="30"/>
      <c r="B24" s="30"/>
      <c r="C24" s="30"/>
      <c r="D24" s="30"/>
      <c r="E24" s="30"/>
      <c r="F24" s="30"/>
      <c r="G24" s="30"/>
      <c r="H24" s="31"/>
      <c r="I24" s="32"/>
    </row>
    <row r="25" spans="1:11" ht="15.75" x14ac:dyDescent="0.25">
      <c r="C25" s="2"/>
      <c r="D25" s="33" t="s">
        <v>24</v>
      </c>
      <c r="E25" s="2" t="s">
        <v>25</v>
      </c>
    </row>
    <row r="26" spans="1:11" ht="15.75" x14ac:dyDescent="0.25">
      <c r="A26" s="2">
        <v>12</v>
      </c>
      <c r="B26" s="2" t="s">
        <v>26</v>
      </c>
      <c r="C26" s="17"/>
      <c r="D26" s="17">
        <f>D19/12</f>
        <v>161791.25</v>
      </c>
      <c r="E26" s="17">
        <f>(E19+F19+G19)/12</f>
        <v>3073</v>
      </c>
    </row>
    <row r="27" spans="1:11" ht="15.75" x14ac:dyDescent="0.25">
      <c r="A27" s="2">
        <v>13</v>
      </c>
      <c r="B27" s="2" t="s">
        <v>27</v>
      </c>
      <c r="C27" s="17"/>
      <c r="D27" s="17">
        <f>D13</f>
        <v>128985980</v>
      </c>
      <c r="E27" s="17">
        <f>E13+F13+G13</f>
        <v>55884877</v>
      </c>
    </row>
    <row r="28" spans="1:11" ht="15.75" x14ac:dyDescent="0.25">
      <c r="A28" s="2">
        <v>14</v>
      </c>
      <c r="B28" s="2" t="s">
        <v>28</v>
      </c>
      <c r="C28" s="9"/>
      <c r="D28" s="9">
        <f>D21</f>
        <v>18444202.5</v>
      </c>
      <c r="E28" s="9">
        <f>E21+F21+G21</f>
        <v>3966382.56</v>
      </c>
      <c r="F28" s="34"/>
    </row>
    <row r="29" spans="1:11" ht="15.75" x14ac:dyDescent="0.25">
      <c r="A29" s="2">
        <v>15</v>
      </c>
      <c r="B29" s="2" t="s">
        <v>29</v>
      </c>
      <c r="C29" s="17"/>
      <c r="D29" s="17">
        <f>D19</f>
        <v>1941495</v>
      </c>
      <c r="E29" s="17">
        <f>E19+F19+G19</f>
        <v>36876</v>
      </c>
      <c r="F29" s="34"/>
    </row>
    <row r="30" spans="1:11" ht="15.75" x14ac:dyDescent="0.25">
      <c r="A30" s="2">
        <v>16</v>
      </c>
      <c r="B30" s="2" t="s">
        <v>30</v>
      </c>
      <c r="C30" s="9"/>
      <c r="D30" s="35">
        <f>D28/D29</f>
        <v>9.5</v>
      </c>
      <c r="E30" s="35">
        <f>E28/E29</f>
        <v>107.56</v>
      </c>
      <c r="F30" s="34"/>
    </row>
    <row r="31" spans="1:11" x14ac:dyDescent="0.25">
      <c r="D31" s="34"/>
    </row>
    <row r="32" spans="1:11" x14ac:dyDescent="0.25">
      <c r="D32" s="34"/>
    </row>
    <row r="33" spans="1:6" ht="18.75" x14ac:dyDescent="0.3">
      <c r="A33" s="36" t="s">
        <v>142</v>
      </c>
      <c r="B33" s="37"/>
      <c r="D33" s="34"/>
    </row>
    <row r="34" spans="1:6" x14ac:dyDescent="0.25">
      <c r="D34" s="34"/>
    </row>
    <row r="35" spans="1:6" x14ac:dyDescent="0.25">
      <c r="D35" s="34"/>
    </row>
    <row r="36" spans="1:6" x14ac:dyDescent="0.25">
      <c r="C36" t="s">
        <v>32</v>
      </c>
      <c r="D36" s="38"/>
      <c r="F36" s="38"/>
    </row>
    <row r="37" spans="1:6" x14ac:dyDescent="0.25">
      <c r="C37" t="s">
        <v>33</v>
      </c>
      <c r="D37" s="39">
        <f>D23/D13</f>
        <v>0.45644338632772335</v>
      </c>
      <c r="E37" s="39">
        <f>E23/E13</f>
        <v>0.26781158416077394</v>
      </c>
      <c r="F37" s="39" t="e">
        <f>F23/F13</f>
        <v>#DIV/0!</v>
      </c>
    </row>
    <row r="38" spans="1:6" x14ac:dyDescent="0.25">
      <c r="C38" t="s">
        <v>34</v>
      </c>
      <c r="D38" s="39">
        <f>D37+D14</f>
        <v>0.45644338632772335</v>
      </c>
      <c r="E38" s="39">
        <f>E37+E14</f>
        <v>0.26781158416077394</v>
      </c>
      <c r="F38" s="39" t="e">
        <f>F37+F14</f>
        <v>#DIV/0!</v>
      </c>
    </row>
  </sheetData>
  <mergeCells count="5">
    <mergeCell ref="A3:I3"/>
    <mergeCell ref="A4:I4"/>
    <mergeCell ref="H22:I23"/>
    <mergeCell ref="A1:I1"/>
    <mergeCell ref="A2:I2"/>
  </mergeCells>
  <pageMargins left="0.7" right="0.7" top="0.75" bottom="0.75" header="0.3" footer="0.3"/>
  <pageSetup scale="58" orientation="landscape" horizontalDpi="1200" verticalDpi="1200" r:id="rId1"/>
  <headerFoot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A779-3E54-4758-945D-D8F3142BCDF3}">
  <sheetPr>
    <pageSetUpPr fitToPage="1"/>
  </sheetPr>
  <dimension ref="A1:E26"/>
  <sheetViews>
    <sheetView zoomScaleNormal="100" workbookViewId="0">
      <selection activeCell="D29" sqref="D29"/>
    </sheetView>
  </sheetViews>
  <sheetFormatPr defaultRowHeight="15" x14ac:dyDescent="0.25"/>
  <cols>
    <col min="1" max="1" width="26.140625" bestFit="1" customWidth="1"/>
    <col min="2" max="2" width="51.140625" bestFit="1" customWidth="1"/>
    <col min="3" max="3" width="26.85546875" bestFit="1" customWidth="1"/>
    <col min="4" max="5" width="17" bestFit="1" customWidth="1"/>
  </cols>
  <sheetData>
    <row r="1" spans="1:5" ht="15.75" x14ac:dyDescent="0.25">
      <c r="A1" s="164" t="s">
        <v>0</v>
      </c>
      <c r="B1" s="164"/>
      <c r="C1" s="164"/>
      <c r="D1" s="164"/>
      <c r="E1" s="164"/>
    </row>
    <row r="2" spans="1:5" ht="15.75" x14ac:dyDescent="0.25">
      <c r="A2" s="164" t="s">
        <v>1</v>
      </c>
      <c r="B2" s="164"/>
      <c r="C2" s="164"/>
      <c r="D2" s="164"/>
      <c r="E2" s="164"/>
    </row>
    <row r="3" spans="1:5" ht="15.75" x14ac:dyDescent="0.25">
      <c r="A3" s="160" t="s">
        <v>35</v>
      </c>
      <c r="B3" s="160"/>
      <c r="C3" s="160"/>
      <c r="D3" s="160"/>
      <c r="E3" s="160"/>
    </row>
    <row r="4" spans="1:5" ht="15.75" x14ac:dyDescent="0.25">
      <c r="A4" s="156" t="str">
        <f>'Pg 3 UG-190335 Auth-1'!A4</f>
        <v>Washington Docket No. UG-190355 Compliance Filing</v>
      </c>
      <c r="B4" s="156"/>
      <c r="C4" s="156"/>
      <c r="D4" s="156"/>
      <c r="E4" s="156"/>
    </row>
    <row r="5" spans="1:5" ht="15.75" x14ac:dyDescent="0.25">
      <c r="A5" s="40"/>
      <c r="B5" s="40"/>
      <c r="C5" s="40"/>
      <c r="D5" s="40"/>
      <c r="E5" s="40"/>
    </row>
    <row r="6" spans="1:5" ht="47.25" x14ac:dyDescent="0.25">
      <c r="A6" s="41" t="s">
        <v>36</v>
      </c>
      <c r="B6" s="42"/>
      <c r="C6" s="41" t="s">
        <v>37</v>
      </c>
      <c r="D6" s="41" t="s">
        <v>38</v>
      </c>
      <c r="E6" s="41" t="s">
        <v>39</v>
      </c>
    </row>
    <row r="7" spans="1:5" ht="15.75" x14ac:dyDescent="0.25">
      <c r="A7" s="40"/>
      <c r="B7" s="43" t="s">
        <v>40</v>
      </c>
      <c r="C7" s="43" t="s">
        <v>41</v>
      </c>
      <c r="D7" s="43" t="s">
        <v>42</v>
      </c>
      <c r="E7" s="43" t="s">
        <v>43</v>
      </c>
    </row>
    <row r="8" spans="1:5" ht="15.75" x14ac:dyDescent="0.25">
      <c r="A8" s="43"/>
      <c r="B8" s="44"/>
      <c r="C8" s="43"/>
      <c r="D8" s="43"/>
      <c r="E8" s="43"/>
    </row>
    <row r="9" spans="1:5" ht="15.75" x14ac:dyDescent="0.25">
      <c r="A9" s="43">
        <v>1</v>
      </c>
      <c r="B9" s="44" t="s">
        <v>44</v>
      </c>
      <c r="C9" s="43" t="s">
        <v>31</v>
      </c>
      <c r="D9" s="45">
        <f>'Pg 3 UG-190335 Auth-1'!D23</f>
        <v>58874797.5</v>
      </c>
      <c r="E9" s="45">
        <f>SUM('Pg 3 UG-190335 Auth-1'!E23:G23)</f>
        <v>14966617.439999999</v>
      </c>
    </row>
    <row r="10" spans="1:5" ht="15.75" x14ac:dyDescent="0.25">
      <c r="A10" s="43"/>
      <c r="B10" s="44"/>
      <c r="C10" s="43"/>
      <c r="D10" s="43"/>
      <c r="E10" s="43"/>
    </row>
    <row r="11" spans="1:5" ht="15.75" x14ac:dyDescent="0.25">
      <c r="A11" s="43">
        <v>2</v>
      </c>
      <c r="B11" s="40" t="s">
        <v>45</v>
      </c>
      <c r="C11" s="43" t="s">
        <v>46</v>
      </c>
      <c r="D11" s="46">
        <f>'Pg 3 UG-190335 Auth-1'!D26</f>
        <v>161791.25</v>
      </c>
      <c r="E11" s="46">
        <f>'Pg 3 UG-190335 Auth-1'!E26</f>
        <v>3073</v>
      </c>
    </row>
    <row r="12" spans="1:5" ht="15.75" x14ac:dyDescent="0.25">
      <c r="A12" s="43"/>
      <c r="B12" s="44"/>
      <c r="C12" s="43"/>
      <c r="D12" s="43"/>
      <c r="E12" s="43"/>
    </row>
    <row r="13" spans="1:5" ht="15.75" x14ac:dyDescent="0.25">
      <c r="A13" s="43">
        <v>3</v>
      </c>
      <c r="B13" s="44" t="s">
        <v>47</v>
      </c>
      <c r="C13" s="43" t="str">
        <f>"("&amp;A9&amp;") / ("&amp;'Pg 3 UG-190335 Auth-1'!A$11&amp;")"</f>
        <v>(1) / (3)</v>
      </c>
      <c r="D13" s="47">
        <f>ROUND(D9/D11,2)</f>
        <v>363.89</v>
      </c>
      <c r="E13" s="47">
        <f>ROUND(E9/E11,2)</f>
        <v>4870.3599999999997</v>
      </c>
    </row>
    <row r="14" spans="1:5" ht="15.75" x14ac:dyDescent="0.25">
      <c r="A14" s="43"/>
      <c r="B14" s="44"/>
      <c r="C14" s="43"/>
      <c r="D14" s="43"/>
      <c r="E14" s="43"/>
    </row>
    <row r="15" spans="1:5" ht="15.75" x14ac:dyDescent="0.25">
      <c r="A15" s="43"/>
      <c r="B15" s="44"/>
      <c r="C15" s="43"/>
      <c r="D15" s="43"/>
      <c r="E15" s="43"/>
    </row>
    <row r="16" spans="1:5" ht="15.75" x14ac:dyDescent="0.25">
      <c r="A16" s="43"/>
      <c r="B16" s="48" t="s">
        <v>48</v>
      </c>
      <c r="C16" s="40"/>
      <c r="D16" s="49"/>
      <c r="E16" s="49"/>
    </row>
    <row r="17" spans="1:5" ht="15.75" x14ac:dyDescent="0.25">
      <c r="A17" s="43"/>
      <c r="B17" s="48" t="s">
        <v>49</v>
      </c>
      <c r="C17" s="40"/>
      <c r="D17" s="40"/>
      <c r="E17" s="40"/>
    </row>
    <row r="18" spans="1:5" ht="15.75" x14ac:dyDescent="0.25">
      <c r="A18" s="30"/>
      <c r="B18" s="30"/>
      <c r="C18" s="30"/>
      <c r="D18" s="30"/>
      <c r="E18" s="30"/>
    </row>
    <row r="19" spans="1:5" ht="15.75" x14ac:dyDescent="0.25">
      <c r="A19" s="30"/>
      <c r="B19" s="30"/>
      <c r="C19" s="30"/>
      <c r="D19" s="30"/>
      <c r="E19" s="30"/>
    </row>
    <row r="20" spans="1:5" ht="18.75" x14ac:dyDescent="0.3">
      <c r="A20" s="36" t="s">
        <v>160</v>
      </c>
      <c r="B20" s="30"/>
      <c r="C20" s="30"/>
      <c r="D20" s="30"/>
      <c r="E20" s="30"/>
    </row>
    <row r="21" spans="1:5" ht="15.75" x14ac:dyDescent="0.25">
      <c r="A21" s="30"/>
      <c r="B21" s="30"/>
      <c r="C21" s="30"/>
      <c r="D21" s="30"/>
      <c r="E21" s="30"/>
    </row>
    <row r="22" spans="1:5" ht="15.75" x14ac:dyDescent="0.25">
      <c r="A22" s="30"/>
      <c r="B22" s="30"/>
      <c r="C22" s="50" t="s">
        <v>50</v>
      </c>
      <c r="D22" s="30"/>
      <c r="E22" s="30"/>
    </row>
    <row r="23" spans="1:5" ht="15.75" x14ac:dyDescent="0.25">
      <c r="A23" s="30"/>
      <c r="B23" s="30"/>
      <c r="C23" s="50" t="s">
        <v>51</v>
      </c>
      <c r="D23" s="51">
        <f>D13*D11</f>
        <v>58874217.962499999</v>
      </c>
      <c r="E23" s="51">
        <f>E13*E11</f>
        <v>14966616.279999999</v>
      </c>
    </row>
    <row r="24" spans="1:5" ht="15.75" x14ac:dyDescent="0.25">
      <c r="A24" s="30"/>
      <c r="B24" s="30"/>
      <c r="C24" s="50" t="s">
        <v>52</v>
      </c>
      <c r="D24" s="51">
        <f>'Pg 3 UG-190335 Auth-1'!D28</f>
        <v>18444202.5</v>
      </c>
      <c r="E24" s="51">
        <f>'Pg 3 UG-190335 Auth-1'!E28</f>
        <v>3966382.56</v>
      </c>
    </row>
    <row r="25" spans="1:5" ht="15.75" x14ac:dyDescent="0.25">
      <c r="A25" s="30"/>
      <c r="B25" s="30"/>
      <c r="C25" s="50" t="s">
        <v>53</v>
      </c>
      <c r="D25" s="51">
        <f>'Pg 3 UG-190335 Auth-1'!D15</f>
        <v>0</v>
      </c>
      <c r="E25" s="51">
        <f>SUM('Pg 3 UG-190335 Auth-1'!E15:G15)</f>
        <v>0</v>
      </c>
    </row>
    <row r="26" spans="1:5" ht="15.75" x14ac:dyDescent="0.25">
      <c r="A26" s="30"/>
      <c r="B26" s="30"/>
      <c r="C26" s="50" t="s">
        <v>54</v>
      </c>
      <c r="D26" s="52">
        <f>SUM(D23:D25)</f>
        <v>77318420.462500006</v>
      </c>
      <c r="E26" s="52">
        <f>SUM(E23:E25)</f>
        <v>18932998.84</v>
      </c>
    </row>
  </sheetData>
  <mergeCells count="4">
    <mergeCell ref="A1:E1"/>
    <mergeCell ref="A2:E2"/>
    <mergeCell ref="A3:E3"/>
    <mergeCell ref="A4:E4"/>
  </mergeCells>
  <pageMargins left="0.7" right="0.7" top="0.75" bottom="0.75" header="0.3" footer="0.3"/>
  <pageSetup scale="89" orientation="landscape" horizontalDpi="1200" verticalDpi="1200" r:id="rId1"/>
  <headerFooter>
    <oddFooter>&amp;L&amp;F&amp;R&amp;A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745D-B96E-41B0-A3A8-F477364D49B0}">
  <sheetPr>
    <pageSetUpPr fitToPage="1"/>
  </sheetPr>
  <dimension ref="A1:P30"/>
  <sheetViews>
    <sheetView zoomScaleNormal="100" workbookViewId="0">
      <selection activeCell="G60" sqref="G60"/>
    </sheetView>
  </sheetViews>
  <sheetFormatPr defaultRowHeight="15" x14ac:dyDescent="0.25"/>
  <cols>
    <col min="2" max="2" width="42.7109375" bestFit="1" customWidth="1"/>
    <col min="3" max="3" width="18.28515625" bestFit="1" customWidth="1"/>
    <col min="4" max="4" width="12.5703125" bestFit="1" customWidth="1"/>
    <col min="5" max="5" width="12.28515625" bestFit="1" customWidth="1"/>
    <col min="6" max="6" width="13" bestFit="1" customWidth="1"/>
    <col min="7" max="7" width="11.85546875" bestFit="1" customWidth="1"/>
    <col min="8" max="9" width="12.28515625" bestFit="1" customWidth="1"/>
    <col min="10" max="10" width="11.85546875" bestFit="1" customWidth="1"/>
    <col min="11" max="13" width="12.28515625" bestFit="1" customWidth="1"/>
    <col min="14" max="15" width="13" bestFit="1" customWidth="1"/>
    <col min="16" max="16" width="11.5703125" bestFit="1" customWidth="1"/>
  </cols>
  <sheetData>
    <row r="1" spans="1:16" ht="18.75" x14ac:dyDescent="0.3">
      <c r="A1" s="165" t="s">
        <v>0</v>
      </c>
      <c r="B1" s="165"/>
      <c r="C1" s="165"/>
      <c r="D1" s="165"/>
      <c r="E1" s="165"/>
      <c r="F1" s="165"/>
      <c r="G1" s="165"/>
      <c r="H1" s="165"/>
      <c r="I1" s="165"/>
      <c r="J1" s="165"/>
      <c r="K1" s="165"/>
      <c r="L1" s="165"/>
      <c r="M1" s="165"/>
      <c r="N1" s="165"/>
      <c r="O1" s="165"/>
      <c r="P1" s="165"/>
    </row>
    <row r="2" spans="1:16" ht="18.75" x14ac:dyDescent="0.3">
      <c r="A2" s="165" t="str">
        <f>'Pg 3 UG-190335 Auth-1'!A2</f>
        <v>Natural Gas Decoupling Mechanism</v>
      </c>
      <c r="B2" s="165"/>
      <c r="C2" s="165"/>
      <c r="D2" s="165"/>
      <c r="E2" s="165"/>
      <c r="F2" s="165"/>
      <c r="G2" s="165"/>
      <c r="H2" s="165"/>
      <c r="I2" s="165"/>
      <c r="J2" s="165"/>
      <c r="K2" s="165"/>
      <c r="L2" s="165"/>
      <c r="M2" s="165"/>
      <c r="N2" s="165"/>
      <c r="O2" s="165"/>
      <c r="P2" s="165"/>
    </row>
    <row r="3" spans="1:16" ht="18.75" x14ac:dyDescent="0.3">
      <c r="A3" s="166" t="s">
        <v>56</v>
      </c>
      <c r="B3" s="165"/>
      <c r="C3" s="165"/>
      <c r="D3" s="165"/>
      <c r="E3" s="165"/>
      <c r="F3" s="165"/>
      <c r="G3" s="165"/>
      <c r="H3" s="165"/>
      <c r="I3" s="165"/>
      <c r="J3" s="165"/>
      <c r="K3" s="165"/>
      <c r="L3" s="165"/>
      <c r="M3" s="165"/>
      <c r="N3" s="165"/>
      <c r="O3" s="165"/>
      <c r="P3" s="165"/>
    </row>
    <row r="4" spans="1:16" ht="18.75" x14ac:dyDescent="0.3">
      <c r="A4" s="165" t="str">
        <f>'Pg 3 UG-190335 Auth-1'!A4</f>
        <v>Washington Docket No. UG-190355 Compliance Filing</v>
      </c>
      <c r="B4" s="165"/>
      <c r="C4" s="165"/>
      <c r="D4" s="165"/>
      <c r="E4" s="165"/>
      <c r="F4" s="165"/>
      <c r="G4" s="165"/>
      <c r="H4" s="165"/>
      <c r="I4" s="165"/>
      <c r="J4" s="165"/>
      <c r="K4" s="165"/>
      <c r="L4" s="165"/>
      <c r="M4" s="165"/>
      <c r="N4" s="165"/>
      <c r="O4" s="165"/>
      <c r="P4" s="165"/>
    </row>
    <row r="5" spans="1:16" x14ac:dyDescent="0.25">
      <c r="A5" s="55"/>
      <c r="B5" s="55"/>
      <c r="C5" s="56"/>
      <c r="D5" s="56"/>
      <c r="E5" s="56"/>
      <c r="F5" s="56"/>
      <c r="G5" s="56"/>
      <c r="H5" s="55"/>
      <c r="I5" s="55"/>
      <c r="J5" s="55"/>
      <c r="K5" s="55"/>
      <c r="L5" s="55"/>
      <c r="M5" s="55"/>
      <c r="N5" s="55"/>
      <c r="O5" s="55"/>
      <c r="P5" s="55"/>
    </row>
    <row r="6" spans="1:16" x14ac:dyDescent="0.25">
      <c r="A6" s="57" t="s">
        <v>36</v>
      </c>
      <c r="B6" s="58"/>
      <c r="C6" s="59" t="s">
        <v>37</v>
      </c>
      <c r="D6" s="60" t="s">
        <v>57</v>
      </c>
      <c r="E6" s="60" t="s">
        <v>58</v>
      </c>
      <c r="F6" s="60" t="s">
        <v>59</v>
      </c>
      <c r="G6" s="60" t="s">
        <v>60</v>
      </c>
      <c r="H6" s="60" t="s">
        <v>61</v>
      </c>
      <c r="I6" s="60" t="s">
        <v>62</v>
      </c>
      <c r="J6" s="60" t="s">
        <v>63</v>
      </c>
      <c r="K6" s="60" t="s">
        <v>64</v>
      </c>
      <c r="L6" s="60" t="s">
        <v>65</v>
      </c>
      <c r="M6" s="60" t="s">
        <v>66</v>
      </c>
      <c r="N6" s="60" t="s">
        <v>67</v>
      </c>
      <c r="O6" s="60" t="s">
        <v>68</v>
      </c>
      <c r="P6" s="57" t="s">
        <v>9</v>
      </c>
    </row>
    <row r="7" spans="1:16" x14ac:dyDescent="0.25">
      <c r="A7" s="55"/>
      <c r="B7" s="56" t="s">
        <v>40</v>
      </c>
      <c r="C7" s="56" t="s">
        <v>41</v>
      </c>
      <c r="D7" s="56" t="s">
        <v>42</v>
      </c>
      <c r="E7" s="56" t="s">
        <v>43</v>
      </c>
      <c r="F7" s="56" t="s">
        <v>69</v>
      </c>
      <c r="G7" s="56" t="s">
        <v>70</v>
      </c>
      <c r="H7" s="56" t="s">
        <v>71</v>
      </c>
      <c r="I7" s="56" t="s">
        <v>72</v>
      </c>
      <c r="J7" s="56" t="s">
        <v>73</v>
      </c>
      <c r="K7" s="56" t="s">
        <v>74</v>
      </c>
      <c r="L7" s="56" t="s">
        <v>75</v>
      </c>
      <c r="M7" s="56" t="s">
        <v>76</v>
      </c>
      <c r="N7" s="56" t="s">
        <v>77</v>
      </c>
      <c r="O7" s="56" t="s">
        <v>78</v>
      </c>
      <c r="P7" s="56" t="s">
        <v>79</v>
      </c>
    </row>
    <row r="8" spans="1:16" x14ac:dyDescent="0.25">
      <c r="A8" s="56">
        <v>1</v>
      </c>
      <c r="B8" s="61"/>
      <c r="C8" s="56"/>
      <c r="D8" s="56"/>
      <c r="E8" s="56"/>
      <c r="F8" s="56"/>
      <c r="G8" s="56"/>
      <c r="H8" s="56"/>
      <c r="I8" s="56"/>
      <c r="J8" s="55"/>
      <c r="K8" s="55"/>
      <c r="L8" s="55"/>
      <c r="M8" s="55"/>
      <c r="N8" s="55"/>
      <c r="O8" s="55"/>
      <c r="P8" s="55"/>
    </row>
    <row r="9" spans="1:16" x14ac:dyDescent="0.25">
      <c r="A9" s="56">
        <f t="shared" ref="A9:A28" si="0">A8+1</f>
        <v>2</v>
      </c>
      <c r="B9" s="62" t="s">
        <v>80</v>
      </c>
      <c r="C9" s="56"/>
      <c r="D9" s="55"/>
      <c r="E9" s="55"/>
      <c r="F9" s="55"/>
      <c r="G9" s="55"/>
      <c r="H9" s="63"/>
      <c r="I9" s="63"/>
      <c r="J9" s="55"/>
      <c r="K9" s="55"/>
      <c r="L9" s="55"/>
      <c r="M9" s="55"/>
      <c r="N9" s="55"/>
      <c r="O9" s="55"/>
      <c r="P9" s="64"/>
    </row>
    <row r="10" spans="1:16" x14ac:dyDescent="0.25">
      <c r="A10" s="56">
        <f t="shared" si="0"/>
        <v>3</v>
      </c>
      <c r="B10" s="65" t="s">
        <v>81</v>
      </c>
      <c r="C10" s="56"/>
      <c r="D10" s="55"/>
      <c r="E10" s="55"/>
      <c r="F10" s="55"/>
      <c r="G10" s="55"/>
      <c r="H10" s="55"/>
      <c r="I10" s="55"/>
      <c r="J10" s="55"/>
      <c r="K10" s="55"/>
      <c r="L10" s="55"/>
      <c r="M10" s="55"/>
      <c r="N10" s="55"/>
      <c r="O10" s="55"/>
      <c r="P10" s="64"/>
    </row>
    <row r="11" spans="1:16" x14ac:dyDescent="0.25">
      <c r="A11" s="56">
        <f t="shared" si="0"/>
        <v>4</v>
      </c>
      <c r="B11" s="66" t="s">
        <v>82</v>
      </c>
      <c r="C11" s="56" t="s">
        <v>83</v>
      </c>
      <c r="D11" s="67">
        <v>22749974.40532</v>
      </c>
      <c r="E11" s="67">
        <v>17283079.844430003</v>
      </c>
      <c r="F11" s="67">
        <v>15602672.955779996</v>
      </c>
      <c r="G11" s="67">
        <v>9757851.2954200003</v>
      </c>
      <c r="H11" s="67">
        <v>5768556.9053499997</v>
      </c>
      <c r="I11" s="67">
        <v>3089807.1433300003</v>
      </c>
      <c r="J11" s="67">
        <v>2296430.2068100004</v>
      </c>
      <c r="K11" s="67">
        <v>2216074.0266</v>
      </c>
      <c r="L11" s="67">
        <v>3080267.8390500001</v>
      </c>
      <c r="M11" s="67">
        <v>8570191.9442299996</v>
      </c>
      <c r="N11" s="67">
        <v>15967978.47535</v>
      </c>
      <c r="O11" s="67">
        <v>22603095.04854</v>
      </c>
      <c r="P11" s="68">
        <f>SUM(D11:O11)</f>
        <v>128985980.09021002</v>
      </c>
    </row>
    <row r="12" spans="1:16" x14ac:dyDescent="0.25">
      <c r="A12" s="56">
        <f t="shared" si="0"/>
        <v>5</v>
      </c>
      <c r="B12" s="55" t="s">
        <v>84</v>
      </c>
      <c r="C12" s="69" t="s">
        <v>85</v>
      </c>
      <c r="D12" s="70">
        <f t="shared" ref="D12:O12" si="1">D11/$P11</f>
        <v>0.17637555949421135</v>
      </c>
      <c r="E12" s="70">
        <f t="shared" si="1"/>
        <v>0.13399192557472206</v>
      </c>
      <c r="F12" s="70">
        <f t="shared" si="1"/>
        <v>0.12096409970190421</v>
      </c>
      <c r="G12" s="70">
        <f t="shared" si="1"/>
        <v>7.5650479909487603E-2</v>
      </c>
      <c r="H12" s="70">
        <f t="shared" si="1"/>
        <v>4.4722355881744627E-2</v>
      </c>
      <c r="I12" s="70">
        <f t="shared" si="1"/>
        <v>2.39545967799683E-2</v>
      </c>
      <c r="J12" s="70">
        <f t="shared" si="1"/>
        <v>1.7803719483341727E-2</v>
      </c>
      <c r="K12" s="70">
        <f t="shared" si="1"/>
        <v>1.7180735650883339E-2</v>
      </c>
      <c r="L12" s="70">
        <f t="shared" si="1"/>
        <v>2.3880640647113174E-2</v>
      </c>
      <c r="M12" s="70">
        <f t="shared" si="1"/>
        <v>6.6442817570066079E-2</v>
      </c>
      <c r="N12" s="70">
        <f t="shared" si="1"/>
        <v>0.12379623323544418</v>
      </c>
      <c r="O12" s="70">
        <f t="shared" si="1"/>
        <v>0.17523683607111318</v>
      </c>
      <c r="P12" s="70">
        <f>SUM(D12:O12)</f>
        <v>0.99999999999999978</v>
      </c>
    </row>
    <row r="13" spans="1:16" x14ac:dyDescent="0.25">
      <c r="A13" s="56">
        <f t="shared" si="0"/>
        <v>6</v>
      </c>
      <c r="B13" s="55"/>
      <c r="C13" s="71"/>
      <c r="D13" s="72"/>
      <c r="E13" s="72"/>
      <c r="F13" s="72"/>
      <c r="G13" s="72"/>
      <c r="H13" s="72"/>
      <c r="I13" s="72"/>
      <c r="J13" s="72"/>
      <c r="K13" s="72"/>
      <c r="L13" s="72"/>
      <c r="M13" s="72"/>
      <c r="N13" s="72"/>
      <c r="O13" s="72"/>
      <c r="P13" s="72"/>
    </row>
    <row r="14" spans="1:16" x14ac:dyDescent="0.25">
      <c r="A14" s="56">
        <f t="shared" si="0"/>
        <v>7</v>
      </c>
      <c r="B14" s="65" t="s">
        <v>86</v>
      </c>
      <c r="C14" s="72"/>
      <c r="D14" s="72"/>
      <c r="E14" s="72"/>
      <c r="F14" s="72"/>
      <c r="G14" s="72"/>
      <c r="H14" s="72"/>
      <c r="I14" s="72"/>
      <c r="J14" s="72"/>
      <c r="K14" s="72"/>
      <c r="L14" s="72"/>
      <c r="M14" s="72"/>
      <c r="N14" s="72"/>
      <c r="O14" s="72"/>
      <c r="P14" s="72"/>
    </row>
    <row r="15" spans="1:16" x14ac:dyDescent="0.25">
      <c r="A15" s="56">
        <f t="shared" si="0"/>
        <v>8</v>
      </c>
      <c r="B15" s="66" t="s">
        <v>82</v>
      </c>
      <c r="C15" s="56" t="s">
        <v>83</v>
      </c>
      <c r="D15" s="67">
        <v>7868879.8314100001</v>
      </c>
      <c r="E15" s="67">
        <v>7414470.7568700006</v>
      </c>
      <c r="F15" s="67">
        <v>5947208.9858100004</v>
      </c>
      <c r="G15" s="67">
        <v>4624106.7723699994</v>
      </c>
      <c r="H15" s="67">
        <v>3350493.2149800006</v>
      </c>
      <c r="I15" s="67">
        <v>2437871.6305</v>
      </c>
      <c r="J15" s="67">
        <v>1760019.38356</v>
      </c>
      <c r="K15" s="67">
        <v>1925464.61497</v>
      </c>
      <c r="L15" s="67">
        <v>2291323.42368</v>
      </c>
      <c r="M15" s="67">
        <v>4176692.7944399994</v>
      </c>
      <c r="N15" s="67">
        <v>6339582.8774500005</v>
      </c>
      <c r="O15" s="67">
        <v>7748762.6948600374</v>
      </c>
      <c r="P15" s="68">
        <f>SUM(D15:O15)</f>
        <v>55884876.980900034</v>
      </c>
    </row>
    <row r="16" spans="1:16" x14ac:dyDescent="0.25">
      <c r="A16" s="56">
        <f t="shared" si="0"/>
        <v>9</v>
      </c>
      <c r="B16" s="55" t="s">
        <v>84</v>
      </c>
      <c r="C16" s="69" t="s">
        <v>85</v>
      </c>
      <c r="D16" s="73">
        <f t="shared" ref="D16:O16" si="2">D15/$P15</f>
        <v>0.14080517407418422</v>
      </c>
      <c r="E16" s="73">
        <f t="shared" si="2"/>
        <v>0.13267401052710681</v>
      </c>
      <c r="F16" s="73">
        <f t="shared" si="2"/>
        <v>0.10641893311928732</v>
      </c>
      <c r="G16" s="73">
        <f t="shared" si="2"/>
        <v>8.2743436546355756E-2</v>
      </c>
      <c r="H16" s="73">
        <f t="shared" si="2"/>
        <v>5.9953486452607029E-2</v>
      </c>
      <c r="I16" s="73">
        <f t="shared" si="2"/>
        <v>4.3623100956868881E-2</v>
      </c>
      <c r="J16" s="73">
        <f t="shared" si="2"/>
        <v>3.1493661230774968E-2</v>
      </c>
      <c r="K16" s="73">
        <f t="shared" si="2"/>
        <v>3.4454126393229291E-2</v>
      </c>
      <c r="L16" s="73">
        <f t="shared" si="2"/>
        <v>4.1000777803682262E-2</v>
      </c>
      <c r="M16" s="73">
        <f t="shared" si="2"/>
        <v>7.4737442758753533E-2</v>
      </c>
      <c r="N16" s="73">
        <f t="shared" si="2"/>
        <v>0.11344004353121689</v>
      </c>
      <c r="O16" s="73">
        <f t="shared" si="2"/>
        <v>0.1386558066059331</v>
      </c>
      <c r="P16" s="73">
        <f>SUM(D16:O16)</f>
        <v>1</v>
      </c>
    </row>
    <row r="17" spans="1:16" x14ac:dyDescent="0.25">
      <c r="A17" s="56">
        <f t="shared" si="0"/>
        <v>10</v>
      </c>
      <c r="B17" s="55"/>
      <c r="C17" s="56"/>
      <c r="D17" s="73"/>
      <c r="E17" s="64"/>
      <c r="F17" s="64"/>
      <c r="G17" s="64"/>
      <c r="H17" s="64"/>
      <c r="I17" s="64"/>
      <c r="J17" s="64"/>
      <c r="K17" s="64"/>
      <c r="L17" s="64"/>
      <c r="M17" s="64"/>
      <c r="N17" s="64"/>
      <c r="O17" s="64"/>
      <c r="P17" s="64"/>
    </row>
    <row r="18" spans="1:16" x14ac:dyDescent="0.25">
      <c r="A18" s="56">
        <f t="shared" si="0"/>
        <v>11</v>
      </c>
      <c r="B18" s="62" t="s">
        <v>87</v>
      </c>
      <c r="C18" s="56"/>
      <c r="D18" s="73"/>
      <c r="E18" s="64"/>
      <c r="F18" s="64"/>
      <c r="G18" s="64"/>
      <c r="H18" s="64"/>
      <c r="I18" s="64"/>
      <c r="J18" s="64"/>
      <c r="K18" s="64"/>
      <c r="L18" s="64"/>
      <c r="M18" s="64"/>
      <c r="N18" s="64"/>
      <c r="O18" s="64"/>
      <c r="P18" s="64"/>
    </row>
    <row r="19" spans="1:16" x14ac:dyDescent="0.25">
      <c r="A19" s="56">
        <f t="shared" si="0"/>
        <v>12</v>
      </c>
      <c r="B19" s="65" t="s">
        <v>81</v>
      </c>
      <c r="C19" s="56"/>
      <c r="D19" s="73"/>
      <c r="E19" s="55"/>
      <c r="F19" s="55"/>
      <c r="G19" s="55"/>
      <c r="H19" s="55"/>
      <c r="I19" s="55"/>
      <c r="J19" s="55"/>
      <c r="K19" s="55"/>
      <c r="L19" s="55"/>
      <c r="M19" s="55"/>
      <c r="N19" s="55"/>
      <c r="O19" s="55"/>
      <c r="P19" s="55"/>
    </row>
    <row r="20" spans="1:16" x14ac:dyDescent="0.25">
      <c r="A20" s="56">
        <f t="shared" si="0"/>
        <v>13</v>
      </c>
      <c r="B20" s="55" t="s">
        <v>145</v>
      </c>
      <c r="C20" s="56" t="s">
        <v>88</v>
      </c>
      <c r="D20" s="55"/>
      <c r="E20" s="55"/>
      <c r="F20" s="55"/>
      <c r="G20" s="55"/>
      <c r="H20" s="55"/>
      <c r="I20" s="55"/>
      <c r="J20" s="55"/>
      <c r="K20" s="55"/>
      <c r="L20" s="55"/>
      <c r="M20" s="55"/>
      <c r="N20" s="55"/>
      <c r="O20" s="55"/>
      <c r="P20" s="74">
        <f>'Pg 4 UG-190335 Auth-2'!D13</f>
        <v>363.89</v>
      </c>
    </row>
    <row r="21" spans="1:16" x14ac:dyDescent="0.25">
      <c r="A21" s="56">
        <f t="shared" si="0"/>
        <v>14</v>
      </c>
      <c r="B21" s="55" t="s">
        <v>89</v>
      </c>
      <c r="C21" s="56" t="str">
        <f>"("&amp;'Pg 3 UG-190335 Auth-1'!A$12&amp;") x ("&amp;A20&amp;")"</f>
        <v>() x (13)</v>
      </c>
      <c r="D21" s="75">
        <f t="shared" ref="D21:O21" si="3">$P20*D$12</f>
        <v>64.181302344348566</v>
      </c>
      <c r="E21" s="75">
        <f t="shared" si="3"/>
        <v>48.758321797385605</v>
      </c>
      <c r="F21" s="75">
        <f t="shared" si="3"/>
        <v>44.017626240525921</v>
      </c>
      <c r="G21" s="75">
        <f t="shared" si="3"/>
        <v>27.528453134263444</v>
      </c>
      <c r="H21" s="75">
        <f t="shared" si="3"/>
        <v>16.274018081808052</v>
      </c>
      <c r="I21" s="75">
        <f t="shared" si="3"/>
        <v>8.7168382222626644</v>
      </c>
      <c r="J21" s="75">
        <f t="shared" si="3"/>
        <v>6.4785954827932208</v>
      </c>
      <c r="K21" s="75">
        <f t="shared" si="3"/>
        <v>6.2518978959999378</v>
      </c>
      <c r="L21" s="75">
        <f t="shared" si="3"/>
        <v>8.6899263250780123</v>
      </c>
      <c r="M21" s="75">
        <f t="shared" si="3"/>
        <v>24.177876885571344</v>
      </c>
      <c r="N21" s="75">
        <f t="shared" si="3"/>
        <v>45.04821131204578</v>
      </c>
      <c r="O21" s="75">
        <f t="shared" si="3"/>
        <v>63.76693227791737</v>
      </c>
      <c r="P21" s="74">
        <f>SUM(D21:O21)</f>
        <v>363.88999999999987</v>
      </c>
    </row>
    <row r="22" spans="1:16" x14ac:dyDescent="0.25">
      <c r="A22" s="56">
        <f t="shared" si="0"/>
        <v>15</v>
      </c>
      <c r="B22" s="55"/>
      <c r="C22" s="76"/>
      <c r="D22" s="55"/>
      <c r="E22" s="55"/>
      <c r="F22" s="55"/>
      <c r="G22" s="55"/>
      <c r="H22" s="55"/>
      <c r="I22" s="55"/>
      <c r="J22" s="55"/>
      <c r="K22" s="55"/>
      <c r="L22" s="55"/>
      <c r="M22" s="55"/>
      <c r="N22" s="55"/>
      <c r="O22" s="55"/>
      <c r="P22" s="74"/>
    </row>
    <row r="23" spans="1:16" x14ac:dyDescent="0.25">
      <c r="A23" s="56">
        <f t="shared" si="0"/>
        <v>16</v>
      </c>
      <c r="B23" s="65" t="s">
        <v>86</v>
      </c>
      <c r="C23" s="76"/>
      <c r="D23" s="55"/>
      <c r="E23" s="55"/>
      <c r="F23" s="55"/>
      <c r="G23" s="55"/>
      <c r="H23" s="55"/>
      <c r="I23" s="55"/>
      <c r="J23" s="55"/>
      <c r="K23" s="55"/>
      <c r="L23" s="55"/>
      <c r="M23" s="55"/>
      <c r="N23" s="55"/>
      <c r="O23" s="55"/>
      <c r="P23" s="74"/>
    </row>
    <row r="24" spans="1:16" x14ac:dyDescent="0.25">
      <c r="A24" s="56">
        <f t="shared" si="0"/>
        <v>17</v>
      </c>
      <c r="B24" s="55" t="s">
        <v>145</v>
      </c>
      <c r="C24" s="56" t="s">
        <v>88</v>
      </c>
      <c r="D24" s="55"/>
      <c r="E24" s="55"/>
      <c r="F24" s="55"/>
      <c r="G24" s="55"/>
      <c r="H24" s="55"/>
      <c r="I24" s="55"/>
      <c r="J24" s="55"/>
      <c r="K24" s="55"/>
      <c r="L24" s="55"/>
      <c r="M24" s="55"/>
      <c r="N24" s="55"/>
      <c r="O24" s="55"/>
      <c r="P24" s="74">
        <f>'Pg 4 UG-190335 Auth-2'!E13</f>
        <v>4870.3599999999997</v>
      </c>
    </row>
    <row r="25" spans="1:16" x14ac:dyDescent="0.25">
      <c r="A25" s="56">
        <f t="shared" si="0"/>
        <v>18</v>
      </c>
      <c r="B25" s="55" t="s">
        <v>89</v>
      </c>
      <c r="C25" s="56" t="str">
        <f>"("&amp;'Pg 3 UG-190335 Auth-1'!A$16&amp;") x ("&amp;A24&amp;")"</f>
        <v>() x (17)</v>
      </c>
      <c r="D25" s="75">
        <f t="shared" ref="D25:O25" si="4">$P24*D$16</f>
        <v>685.77188760394381</v>
      </c>
      <c r="E25" s="75">
        <f t="shared" si="4"/>
        <v>646.17019391079987</v>
      </c>
      <c r="F25" s="75">
        <f t="shared" si="4"/>
        <v>518.29851510685216</v>
      </c>
      <c r="G25" s="75">
        <f t="shared" si="4"/>
        <v>402.99032361790921</v>
      </c>
      <c r="H25" s="75">
        <f t="shared" si="4"/>
        <v>291.99506227931914</v>
      </c>
      <c r="I25" s="75">
        <f t="shared" si="4"/>
        <v>212.4602059762959</v>
      </c>
      <c r="J25" s="75">
        <f t="shared" si="4"/>
        <v>153.38546791191717</v>
      </c>
      <c r="K25" s="75">
        <f t="shared" si="4"/>
        <v>167.80399902052821</v>
      </c>
      <c r="L25" s="75">
        <f t="shared" si="4"/>
        <v>199.68854818394192</v>
      </c>
      <c r="M25" s="75">
        <f t="shared" si="4"/>
        <v>363.99825171452284</v>
      </c>
      <c r="N25" s="75">
        <f t="shared" si="4"/>
        <v>552.4938504126975</v>
      </c>
      <c r="O25" s="75">
        <f t="shared" si="4"/>
        <v>675.30369426127231</v>
      </c>
      <c r="P25" s="74">
        <f>SUM(D25:O25)</f>
        <v>4870.3599999999997</v>
      </c>
    </row>
    <row r="26" spans="1:16" x14ac:dyDescent="0.25">
      <c r="A26" s="56">
        <f t="shared" si="0"/>
        <v>19</v>
      </c>
      <c r="B26" s="55"/>
      <c r="C26" s="76"/>
      <c r="D26" s="56"/>
      <c r="E26" s="56"/>
      <c r="F26" s="56"/>
      <c r="G26" s="56"/>
      <c r="H26" s="55"/>
      <c r="I26" s="55"/>
      <c r="J26" s="55"/>
      <c r="K26" s="55"/>
      <c r="L26" s="55"/>
      <c r="M26" s="55"/>
      <c r="N26" s="55"/>
      <c r="O26" s="55"/>
      <c r="P26" s="74"/>
    </row>
    <row r="27" spans="1:16" x14ac:dyDescent="0.25">
      <c r="A27" s="56">
        <f t="shared" si="0"/>
        <v>20</v>
      </c>
      <c r="B27" s="55" t="str">
        <f>'Pg 4 UG-190335 Auth-2'!B16</f>
        <v xml:space="preserve">*Rate Schedules 101, 102.  </v>
      </c>
      <c r="C27" s="76"/>
      <c r="D27" s="56"/>
      <c r="E27" s="56"/>
      <c r="F27" s="56"/>
      <c r="G27" s="56"/>
      <c r="H27" s="55"/>
      <c r="I27" s="55"/>
      <c r="J27" s="55"/>
      <c r="K27" s="55"/>
      <c r="L27" s="55"/>
      <c r="M27" s="55"/>
      <c r="N27" s="55"/>
      <c r="O27" s="55"/>
      <c r="P27" s="74"/>
    </row>
    <row r="28" spans="1:16" x14ac:dyDescent="0.25">
      <c r="A28" s="56">
        <f t="shared" si="0"/>
        <v>21</v>
      </c>
      <c r="B28" s="55" t="str">
        <f>'Pg 4 UG-190335 Auth-2'!B17</f>
        <v xml:space="preserve">**Rate Schedules 111, 112, 116, 121, 122, 126, 131.  </v>
      </c>
      <c r="C28" s="56"/>
      <c r="D28" s="56"/>
      <c r="E28" s="56"/>
      <c r="F28" s="56"/>
      <c r="G28" s="56"/>
      <c r="H28" s="55"/>
      <c r="I28" s="55"/>
      <c r="J28" s="55"/>
      <c r="K28" s="55"/>
      <c r="L28" s="55"/>
      <c r="M28" s="55"/>
      <c r="N28" s="55"/>
      <c r="O28" s="55"/>
      <c r="P28" s="55"/>
    </row>
    <row r="29" spans="1:16" x14ac:dyDescent="0.25">
      <c r="A29" s="77"/>
      <c r="B29" s="77"/>
      <c r="C29" s="77"/>
      <c r="D29" s="77"/>
      <c r="E29" s="77"/>
      <c r="F29" s="77"/>
      <c r="G29" s="77"/>
      <c r="H29" s="77"/>
      <c r="I29" s="77"/>
      <c r="J29" s="77"/>
      <c r="K29" s="77"/>
      <c r="L29" s="77"/>
      <c r="M29" s="77"/>
      <c r="N29" s="77"/>
      <c r="O29" s="77"/>
      <c r="P29" s="77"/>
    </row>
    <row r="30" spans="1:16" ht="18.75" x14ac:dyDescent="0.3">
      <c r="A30" s="36" t="s">
        <v>139</v>
      </c>
    </row>
  </sheetData>
  <mergeCells count="4">
    <mergeCell ref="A4:P4"/>
    <mergeCell ref="A1:P1"/>
    <mergeCell ref="A2:P2"/>
    <mergeCell ref="A3:P3"/>
  </mergeCells>
  <pageMargins left="0.7" right="0.7" top="0.75" bottom="0.75" header="0.3" footer="0.3"/>
  <pageSetup scale="53" orientation="landscape" horizontalDpi="1200" verticalDpi="1200" r:id="rId1"/>
  <headerFoot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011E-3ABA-4478-8B6A-5EC2AB4CF647}">
  <sheetPr>
    <pageSetUpPr fitToPage="1"/>
  </sheetPr>
  <dimension ref="A1:E30"/>
  <sheetViews>
    <sheetView topLeftCell="A25" zoomScaleNormal="100" workbookViewId="0">
      <selection activeCell="F36" sqref="F36"/>
    </sheetView>
  </sheetViews>
  <sheetFormatPr defaultRowHeight="15" x14ac:dyDescent="0.25"/>
  <cols>
    <col min="1" max="4" width="13.85546875" customWidth="1"/>
    <col min="5" max="5" width="10.42578125" bestFit="1" customWidth="1"/>
    <col min="7" max="7" width="15.28515625" customWidth="1"/>
  </cols>
  <sheetData>
    <row r="1" spans="1:5" x14ac:dyDescent="0.25">
      <c r="A1" s="169" t="s">
        <v>91</v>
      </c>
      <c r="B1" s="169"/>
      <c r="C1" s="169"/>
      <c r="D1" s="169"/>
      <c r="E1" s="169"/>
    </row>
    <row r="2" spans="1:5" x14ac:dyDescent="0.25">
      <c r="A2" s="169" t="s">
        <v>92</v>
      </c>
      <c r="B2" s="169"/>
      <c r="C2" s="169"/>
      <c r="D2" s="169"/>
      <c r="E2" s="169"/>
    </row>
    <row r="3" spans="1:5" x14ac:dyDescent="0.25">
      <c r="A3" s="170" t="s">
        <v>93</v>
      </c>
      <c r="B3" s="170"/>
      <c r="C3" s="170"/>
      <c r="D3" s="170"/>
      <c r="E3" s="170"/>
    </row>
    <row r="4" spans="1:5" x14ac:dyDescent="0.25">
      <c r="A4" s="168" t="s">
        <v>128</v>
      </c>
      <c r="B4" s="168"/>
      <c r="C4" s="168"/>
      <c r="D4" s="168"/>
      <c r="E4" s="168"/>
    </row>
    <row r="5" spans="1:5" x14ac:dyDescent="0.25">
      <c r="A5" s="167" t="str">
        <f>'Pg 3 UG-190335 Auth-1'!A4</f>
        <v>Washington Docket No. UG-190355 Compliance Filing</v>
      </c>
      <c r="B5" s="167"/>
      <c r="C5" s="167"/>
      <c r="D5" s="167"/>
      <c r="E5" s="167"/>
    </row>
    <row r="6" spans="1:5" x14ac:dyDescent="0.25">
      <c r="A6" s="78"/>
      <c r="B6" s="79"/>
      <c r="C6" s="80"/>
      <c r="D6" s="81"/>
      <c r="E6" s="82"/>
    </row>
    <row r="7" spans="1:5" x14ac:dyDescent="0.25">
      <c r="A7" s="78" t="s">
        <v>94</v>
      </c>
      <c r="B7" s="79"/>
      <c r="C7" s="78"/>
      <c r="D7" s="81"/>
      <c r="E7" s="78"/>
    </row>
    <row r="8" spans="1:5" x14ac:dyDescent="0.25">
      <c r="A8" s="83" t="s">
        <v>95</v>
      </c>
      <c r="B8" s="79"/>
      <c r="C8" s="83" t="s">
        <v>96</v>
      </c>
      <c r="D8" s="81"/>
      <c r="E8" s="83" t="s">
        <v>97</v>
      </c>
    </row>
    <row r="9" spans="1:5" x14ac:dyDescent="0.25">
      <c r="A9" s="78"/>
      <c r="B9" s="79"/>
      <c r="C9" s="81"/>
      <c r="D9" s="81"/>
      <c r="E9" s="81"/>
    </row>
    <row r="10" spans="1:5" x14ac:dyDescent="0.25">
      <c r="A10" s="84">
        <v>1</v>
      </c>
      <c r="B10" s="79"/>
      <c r="C10" s="82" t="s">
        <v>50</v>
      </c>
      <c r="D10" s="81"/>
      <c r="E10" s="81">
        <v>1</v>
      </c>
    </row>
    <row r="11" spans="1:5" x14ac:dyDescent="0.25">
      <c r="A11" s="84"/>
      <c r="B11" s="79"/>
      <c r="C11" s="82"/>
      <c r="D11" s="81"/>
      <c r="E11" s="81"/>
    </row>
    <row r="12" spans="1:5" x14ac:dyDescent="0.25">
      <c r="A12" s="84"/>
      <c r="B12" s="79"/>
      <c r="C12" s="82" t="s">
        <v>98</v>
      </c>
      <c r="D12" s="81"/>
      <c r="E12" s="81"/>
    </row>
    <row r="13" spans="1:5" x14ac:dyDescent="0.25">
      <c r="A13" s="84">
        <v>2</v>
      </c>
      <c r="B13" s="85"/>
      <c r="C13" s="81" t="s">
        <v>99</v>
      </c>
      <c r="D13" s="81"/>
      <c r="E13" s="86">
        <v>3.7810000000000001E-3</v>
      </c>
    </row>
    <row r="14" spans="1:5" x14ac:dyDescent="0.25">
      <c r="A14" s="84"/>
      <c r="B14" s="79"/>
      <c r="C14" s="81"/>
      <c r="D14" s="81"/>
      <c r="E14" s="86"/>
    </row>
    <row r="15" spans="1:5" x14ac:dyDescent="0.25">
      <c r="A15" s="84">
        <v>3</v>
      </c>
      <c r="B15" s="79"/>
      <c r="C15" s="81" t="s">
        <v>100</v>
      </c>
      <c r="D15" s="81"/>
      <c r="E15" s="87">
        <v>2E-3</v>
      </c>
    </row>
    <row r="16" spans="1:5" x14ac:dyDescent="0.25">
      <c r="A16" s="84"/>
      <c r="B16" s="79"/>
      <c r="C16" s="81"/>
      <c r="D16" s="81"/>
      <c r="E16" s="86"/>
    </row>
    <row r="17" spans="1:5" x14ac:dyDescent="0.25">
      <c r="A17" s="84">
        <v>4</v>
      </c>
      <c r="B17" s="79"/>
      <c r="C17" s="81" t="s">
        <v>101</v>
      </c>
      <c r="D17" s="81"/>
      <c r="E17" s="86">
        <v>3.8373999999999998E-2</v>
      </c>
    </row>
    <row r="18" spans="1:5" x14ac:dyDescent="0.25">
      <c r="A18" s="84"/>
      <c r="B18" s="79"/>
      <c r="C18" s="81"/>
      <c r="D18" s="81"/>
      <c r="E18" s="88"/>
    </row>
    <row r="19" spans="1:5" x14ac:dyDescent="0.25">
      <c r="A19" s="84">
        <v>6</v>
      </c>
      <c r="B19" s="79"/>
      <c r="C19" s="81" t="s">
        <v>102</v>
      </c>
      <c r="D19" s="81"/>
      <c r="E19" s="89">
        <f>SUM(E13:E17)</f>
        <v>4.4155E-2</v>
      </c>
    </row>
    <row r="20" spans="1:5" x14ac:dyDescent="0.25">
      <c r="A20" s="84"/>
      <c r="B20" s="79"/>
      <c r="C20" s="81"/>
      <c r="D20" s="81"/>
      <c r="E20" s="81"/>
    </row>
    <row r="21" spans="1:5" x14ac:dyDescent="0.25">
      <c r="A21" s="84">
        <v>7</v>
      </c>
      <c r="B21" s="79"/>
      <c r="C21" s="81" t="s">
        <v>103</v>
      </c>
      <c r="D21" s="81"/>
      <c r="E21" s="81">
        <f>E10-E19</f>
        <v>0.95584500000000006</v>
      </c>
    </row>
    <row r="22" spans="1:5" x14ac:dyDescent="0.25">
      <c r="A22" s="84"/>
      <c r="B22" s="79"/>
      <c r="C22" s="81"/>
      <c r="D22" s="81"/>
      <c r="E22" s="81"/>
    </row>
    <row r="23" spans="1:5" x14ac:dyDescent="0.25">
      <c r="A23" s="84">
        <v>8</v>
      </c>
      <c r="B23" s="79"/>
      <c r="C23" s="81" t="s">
        <v>104</v>
      </c>
      <c r="D23" s="90"/>
      <c r="E23" s="81">
        <f>E21*0.21</f>
        <v>0.20072745</v>
      </c>
    </row>
    <row r="24" spans="1:5" x14ac:dyDescent="0.25">
      <c r="A24" s="79"/>
      <c r="B24" s="79"/>
      <c r="C24" s="81"/>
      <c r="D24" s="81"/>
      <c r="E24" s="81"/>
    </row>
    <row r="25" spans="1:5" x14ac:dyDescent="0.25">
      <c r="A25" s="84">
        <v>9</v>
      </c>
      <c r="B25" s="79"/>
      <c r="C25" s="81" t="s">
        <v>92</v>
      </c>
      <c r="D25" s="81"/>
      <c r="E25" s="81">
        <f>ROUND(E21-E23,6)</f>
        <v>0.75511799999999996</v>
      </c>
    </row>
    <row r="26" spans="1:5" x14ac:dyDescent="0.25">
      <c r="A26" s="79"/>
      <c r="B26" s="79"/>
      <c r="C26" s="81"/>
      <c r="D26" s="81"/>
      <c r="E26" s="91"/>
    </row>
    <row r="27" spans="1:5" x14ac:dyDescent="0.25">
      <c r="A27" s="79"/>
      <c r="B27" s="79"/>
      <c r="C27" s="92" t="s">
        <v>105</v>
      </c>
      <c r="D27" s="81"/>
      <c r="E27" s="91"/>
    </row>
    <row r="30" spans="1:5" ht="18.75" x14ac:dyDescent="0.3">
      <c r="A30" s="36" t="s">
        <v>161</v>
      </c>
    </row>
  </sheetData>
  <mergeCells count="5">
    <mergeCell ref="A5:E5"/>
    <mergeCell ref="A4:E4"/>
    <mergeCell ref="A1:E1"/>
    <mergeCell ref="A2:E2"/>
    <mergeCell ref="A3:E3"/>
  </mergeCells>
  <pageMargins left="0.7" right="0.7" top="0.75" bottom="0.75" header="0.3" footer="0.3"/>
  <pageSetup orientation="portrait" horizontalDpi="1200" verticalDpi="1200" r:id="rId1"/>
  <headerFooter>
    <oddFooter>&amp;L&amp;F&amp;R&amp;A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zoomScaleNormal="100" workbookViewId="0">
      <selection activeCell="G35" sqref="G35"/>
    </sheetView>
  </sheetViews>
  <sheetFormatPr defaultRowHeight="15" x14ac:dyDescent="0.25"/>
  <cols>
    <col min="1" max="1" width="4.5703125" customWidth="1"/>
    <col min="2" max="2" width="48.7109375" customWidth="1"/>
    <col min="3" max="3" width="19.42578125" customWidth="1"/>
    <col min="4" max="4" width="20.5703125" bestFit="1" customWidth="1"/>
    <col min="5" max="5" width="27.5703125" bestFit="1" customWidth="1"/>
    <col min="6" max="6" width="17.7109375" bestFit="1" customWidth="1"/>
    <col min="7" max="7" width="19.42578125" bestFit="1" customWidth="1"/>
    <col min="8" max="8" width="14.85546875" bestFit="1" customWidth="1"/>
    <col min="9" max="9" width="16.140625" bestFit="1" customWidth="1"/>
    <col min="10" max="10" width="11.7109375" customWidth="1"/>
    <col min="11" max="11" width="11.5703125" bestFit="1" customWidth="1"/>
    <col min="12" max="12" width="11.85546875" customWidth="1"/>
    <col min="13" max="13" width="11.42578125" customWidth="1"/>
    <col min="14" max="14" width="12.5703125" customWidth="1"/>
    <col min="15" max="15" width="11.7109375" customWidth="1"/>
    <col min="16" max="16" width="12.5703125" customWidth="1"/>
    <col min="18" max="18" width="8.140625" customWidth="1"/>
    <col min="19" max="19" width="9.140625" customWidth="1"/>
    <col min="20" max="20" width="11.140625" customWidth="1"/>
    <col min="21" max="21" width="34.7109375" customWidth="1"/>
    <col min="22" max="22" width="12" customWidth="1"/>
    <col min="23" max="23" width="14" customWidth="1"/>
  </cols>
  <sheetData>
    <row r="1" spans="1:11" ht="15.75" x14ac:dyDescent="0.25">
      <c r="A1" s="164" t="s">
        <v>0</v>
      </c>
      <c r="B1" s="164"/>
      <c r="C1" s="164"/>
      <c r="D1" s="164"/>
      <c r="E1" s="164"/>
      <c r="F1" s="164"/>
      <c r="G1" s="164"/>
      <c r="H1" s="164"/>
      <c r="I1" s="164"/>
    </row>
    <row r="2" spans="1:11" ht="15.75" x14ac:dyDescent="0.25">
      <c r="A2" s="164" t="s">
        <v>1</v>
      </c>
      <c r="B2" s="164"/>
      <c r="C2" s="164"/>
      <c r="D2" s="164"/>
      <c r="E2" s="164"/>
      <c r="F2" s="164"/>
      <c r="G2" s="164"/>
      <c r="H2" s="164"/>
      <c r="I2" s="164"/>
    </row>
    <row r="3" spans="1:11" ht="15.75" x14ac:dyDescent="0.25">
      <c r="A3" s="160" t="s">
        <v>2</v>
      </c>
      <c r="B3" s="160"/>
      <c r="C3" s="160"/>
      <c r="D3" s="160"/>
      <c r="E3" s="160"/>
      <c r="F3" s="160"/>
      <c r="G3" s="160"/>
      <c r="H3" s="160"/>
      <c r="I3" s="160"/>
    </row>
    <row r="4" spans="1:11" ht="15.75" x14ac:dyDescent="0.25">
      <c r="A4" s="161" t="s">
        <v>162</v>
      </c>
      <c r="B4" s="161"/>
      <c r="C4" s="161"/>
      <c r="D4" s="161"/>
      <c r="E4" s="161"/>
      <c r="F4" s="161"/>
      <c r="G4" s="161"/>
      <c r="H4" s="161"/>
      <c r="I4" s="161"/>
    </row>
    <row r="5" spans="1:11" ht="15.75" x14ac:dyDescent="0.25">
      <c r="A5" s="121"/>
      <c r="B5" s="121"/>
      <c r="C5" s="121"/>
      <c r="D5" s="121"/>
      <c r="E5" s="121"/>
      <c r="F5" s="121"/>
      <c r="G5" s="121"/>
      <c r="H5" s="121"/>
      <c r="I5" s="121"/>
    </row>
    <row r="6" spans="1:11" ht="15.75" x14ac:dyDescent="0.25">
      <c r="A6" s="2"/>
      <c r="B6" s="2"/>
      <c r="C6" s="3" t="s">
        <v>3</v>
      </c>
      <c r="D6" s="3" t="s">
        <v>4</v>
      </c>
      <c r="E6" s="3" t="s">
        <v>5</v>
      </c>
      <c r="F6" s="3" t="s">
        <v>6</v>
      </c>
      <c r="G6" s="3" t="s">
        <v>7</v>
      </c>
      <c r="H6" s="4" t="s">
        <v>8</v>
      </c>
      <c r="I6" s="3" t="s">
        <v>8</v>
      </c>
      <c r="K6" s="3" t="s">
        <v>55</v>
      </c>
    </row>
    <row r="7" spans="1:11" ht="15.75" x14ac:dyDescent="0.25">
      <c r="A7" s="2"/>
      <c r="B7" s="2"/>
      <c r="C7" s="5" t="s">
        <v>9</v>
      </c>
      <c r="D7" s="5" t="s">
        <v>10</v>
      </c>
      <c r="E7" s="5" t="s">
        <v>11</v>
      </c>
      <c r="F7" s="5" t="s">
        <v>12</v>
      </c>
      <c r="G7" s="5" t="s">
        <v>13</v>
      </c>
      <c r="H7" s="6">
        <v>132</v>
      </c>
      <c r="I7" s="5" t="s">
        <v>14</v>
      </c>
      <c r="K7" s="3">
        <v>132</v>
      </c>
    </row>
    <row r="8" spans="1:11" ht="15.75" x14ac:dyDescent="0.25">
      <c r="A8" s="2"/>
      <c r="B8" s="2"/>
      <c r="C8" s="2"/>
      <c r="D8" s="2"/>
      <c r="E8" s="2"/>
      <c r="F8" s="2"/>
      <c r="G8" s="2"/>
      <c r="H8" s="7"/>
      <c r="I8" s="8"/>
    </row>
    <row r="9" spans="1:11" ht="15.75" x14ac:dyDescent="0.25">
      <c r="A9" s="2">
        <v>1</v>
      </c>
      <c r="B9" s="2" t="s">
        <v>125</v>
      </c>
      <c r="C9" s="9">
        <f>SUM(D9:I9)</f>
        <v>105173000</v>
      </c>
      <c r="D9" s="10">
        <v>79469000</v>
      </c>
      <c r="E9" s="10">
        <v>20145000</v>
      </c>
      <c r="F9" s="10">
        <v>0</v>
      </c>
      <c r="G9" s="10">
        <v>0</v>
      </c>
      <c r="H9" s="11">
        <f>K9</f>
        <v>217000</v>
      </c>
      <c r="I9" s="12">
        <v>5342000</v>
      </c>
      <c r="K9" s="53">
        <v>217000</v>
      </c>
    </row>
    <row r="10" spans="1:11" ht="15.75" x14ac:dyDescent="0.25">
      <c r="A10" s="2">
        <v>2</v>
      </c>
      <c r="B10" s="13" t="s">
        <v>15</v>
      </c>
      <c r="C10" s="9">
        <f>SUM(D10:I10)</f>
        <v>8078000</v>
      </c>
      <c r="D10" s="10">
        <v>7345000</v>
      </c>
      <c r="E10" s="10">
        <v>393000</v>
      </c>
      <c r="F10" s="10">
        <v>0</v>
      </c>
      <c r="G10" s="10">
        <v>0</v>
      </c>
      <c r="H10" s="11">
        <v>9000</v>
      </c>
      <c r="I10" s="12">
        <v>331000</v>
      </c>
      <c r="K10" s="53">
        <v>0</v>
      </c>
    </row>
    <row r="11" spans="1:11" ht="15.75" x14ac:dyDescent="0.25">
      <c r="A11" s="2">
        <v>3</v>
      </c>
      <c r="B11" s="2" t="s">
        <v>16</v>
      </c>
      <c r="C11" s="9">
        <f>SUM(D11:I11)</f>
        <v>113251000</v>
      </c>
      <c r="D11" s="14">
        <f t="shared" ref="D11:I11" si="0">D9+D10</f>
        <v>86814000</v>
      </c>
      <c r="E11" s="14">
        <f t="shared" si="0"/>
        <v>20538000</v>
      </c>
      <c r="F11" s="14">
        <f t="shared" si="0"/>
        <v>0</v>
      </c>
      <c r="G11" s="14">
        <f>G9+G10</f>
        <v>0</v>
      </c>
      <c r="H11" s="15">
        <f t="shared" si="0"/>
        <v>226000</v>
      </c>
      <c r="I11" s="16">
        <f t="shared" si="0"/>
        <v>5673000</v>
      </c>
      <c r="K11" s="53">
        <f>K9+K10</f>
        <v>217000</v>
      </c>
    </row>
    <row r="12" spans="1:11" ht="15.75" x14ac:dyDescent="0.25">
      <c r="A12" s="2"/>
      <c r="B12" s="2"/>
      <c r="C12" s="2"/>
      <c r="D12" s="2"/>
      <c r="E12" s="2"/>
      <c r="F12" s="2"/>
      <c r="G12" s="2"/>
      <c r="H12" s="7"/>
      <c r="I12" s="8"/>
    </row>
    <row r="13" spans="1:11" ht="15.75" x14ac:dyDescent="0.25">
      <c r="A13" s="2">
        <v>4</v>
      </c>
      <c r="B13" s="2" t="s">
        <v>126</v>
      </c>
      <c r="C13" s="17">
        <f>SUM(D13:I13)</f>
        <v>287415989</v>
      </c>
      <c r="D13" s="18">
        <v>132095604</v>
      </c>
      <c r="E13" s="18">
        <v>60325922</v>
      </c>
      <c r="F13" s="18">
        <v>0</v>
      </c>
      <c r="G13" s="18">
        <v>0</v>
      </c>
      <c r="H13" s="19">
        <v>993200</v>
      </c>
      <c r="I13" s="20">
        <v>94001263</v>
      </c>
      <c r="K13" s="54">
        <v>993200</v>
      </c>
    </row>
    <row r="14" spans="1:11" ht="15.75" x14ac:dyDescent="0.25">
      <c r="A14" s="2">
        <v>5</v>
      </c>
      <c r="B14" s="2" t="s">
        <v>17</v>
      </c>
      <c r="C14" s="21"/>
      <c r="D14" s="22">
        <v>0</v>
      </c>
      <c r="E14" s="22">
        <v>0</v>
      </c>
      <c r="F14" s="22">
        <v>0</v>
      </c>
      <c r="G14" s="22">
        <v>0</v>
      </c>
      <c r="H14" s="23"/>
      <c r="I14" s="24"/>
      <c r="K14" s="39">
        <f>G14</f>
        <v>0</v>
      </c>
    </row>
    <row r="15" spans="1:11" ht="15.75" x14ac:dyDescent="0.25">
      <c r="A15" s="2">
        <v>6</v>
      </c>
      <c r="B15" s="2" t="s">
        <v>18</v>
      </c>
      <c r="C15" s="9">
        <f>SUM(D15:G15)</f>
        <v>0</v>
      </c>
      <c r="D15" s="9">
        <f>D13*D14</f>
        <v>0</v>
      </c>
      <c r="E15" s="9">
        <f>E13*E14</f>
        <v>0</v>
      </c>
      <c r="F15" s="9">
        <f>F13*F14</f>
        <v>0</v>
      </c>
      <c r="G15" s="9">
        <f>G13*G14</f>
        <v>0</v>
      </c>
      <c r="H15" s="23"/>
      <c r="I15" s="24"/>
      <c r="K15" s="53">
        <f>K13*K14</f>
        <v>0</v>
      </c>
    </row>
    <row r="16" spans="1:11" ht="15.75" x14ac:dyDescent="0.25">
      <c r="A16" s="2"/>
      <c r="B16" s="2"/>
      <c r="C16" s="2"/>
      <c r="D16" s="2"/>
      <c r="E16" s="2"/>
      <c r="F16" s="2"/>
      <c r="G16" s="2"/>
      <c r="H16" s="23"/>
      <c r="I16" s="24"/>
    </row>
    <row r="17" spans="1:11" ht="15.75" x14ac:dyDescent="0.25">
      <c r="A17" s="2">
        <v>7</v>
      </c>
      <c r="B17" s="2" t="s">
        <v>19</v>
      </c>
      <c r="C17" s="9">
        <f>SUM(D17:G17)</f>
        <v>107352000</v>
      </c>
      <c r="D17" s="14">
        <f>D11-D15</f>
        <v>86814000</v>
      </c>
      <c r="E17" s="14">
        <f>E11-E15</f>
        <v>20538000</v>
      </c>
      <c r="F17" s="14">
        <f>F11-F15</f>
        <v>0</v>
      </c>
      <c r="G17" s="14">
        <f>G11-G15</f>
        <v>0</v>
      </c>
      <c r="H17" s="15"/>
      <c r="I17" s="8"/>
      <c r="K17" s="38">
        <f>K11-K15</f>
        <v>217000</v>
      </c>
    </row>
    <row r="18" spans="1:11" ht="15.75" x14ac:dyDescent="0.25">
      <c r="A18" s="2"/>
      <c r="B18" s="2"/>
      <c r="C18" s="2"/>
      <c r="D18" s="2"/>
      <c r="E18" s="2"/>
      <c r="F18" s="2"/>
      <c r="G18" s="2"/>
      <c r="H18" s="7"/>
      <c r="I18" s="8"/>
    </row>
    <row r="19" spans="1:11" ht="15.75" x14ac:dyDescent="0.25">
      <c r="A19" s="2">
        <v>8</v>
      </c>
      <c r="B19" s="2" t="s">
        <v>127</v>
      </c>
      <c r="C19" s="17">
        <f>SUM(D19:I19)</f>
        <v>2022133</v>
      </c>
      <c r="D19" s="25">
        <v>1984339</v>
      </c>
      <c r="E19" s="25">
        <v>37254</v>
      </c>
      <c r="F19" s="25">
        <v>0</v>
      </c>
      <c r="G19" s="25">
        <v>0</v>
      </c>
      <c r="H19" s="19">
        <f>K19</f>
        <v>24</v>
      </c>
      <c r="I19" s="20">
        <v>516</v>
      </c>
      <c r="K19">
        <v>24</v>
      </c>
    </row>
    <row r="20" spans="1:11" ht="15.75" x14ac:dyDescent="0.25">
      <c r="A20" s="2">
        <v>9</v>
      </c>
      <c r="B20" s="2" t="s">
        <v>20</v>
      </c>
      <c r="C20" s="9"/>
      <c r="D20" s="26">
        <v>9.5</v>
      </c>
      <c r="E20" s="26">
        <v>119.44</v>
      </c>
      <c r="F20" s="26">
        <v>0</v>
      </c>
      <c r="G20" s="27">
        <v>0</v>
      </c>
      <c r="H20" s="28"/>
      <c r="I20" s="8"/>
      <c r="K20" s="34">
        <f>G20</f>
        <v>0</v>
      </c>
    </row>
    <row r="21" spans="1:11" ht="15.75" x14ac:dyDescent="0.25">
      <c r="A21" s="2">
        <v>10</v>
      </c>
      <c r="B21" s="2" t="s">
        <v>21</v>
      </c>
      <c r="C21" s="9">
        <f>SUM(D21:G21)</f>
        <v>23300838.259999998</v>
      </c>
      <c r="D21" s="29">
        <f>D20*D19</f>
        <v>18851220.5</v>
      </c>
      <c r="E21" s="29">
        <f>E20*E19</f>
        <v>4449617.76</v>
      </c>
      <c r="F21" s="29">
        <f>F20*F19</f>
        <v>0</v>
      </c>
      <c r="G21" s="29">
        <f>G20*G19</f>
        <v>0</v>
      </c>
      <c r="H21" s="28"/>
      <c r="I21" s="8"/>
      <c r="K21" s="38">
        <f>K19*K20</f>
        <v>0</v>
      </c>
    </row>
    <row r="22" spans="1:11" ht="15.75" x14ac:dyDescent="0.25">
      <c r="A22" s="2"/>
      <c r="B22" s="2"/>
      <c r="C22" s="9"/>
      <c r="D22" s="29"/>
      <c r="E22" s="29"/>
      <c r="F22" s="29"/>
      <c r="G22" s="29"/>
      <c r="H22" s="162" t="s">
        <v>22</v>
      </c>
      <c r="I22" s="163"/>
      <c r="K22" s="38"/>
    </row>
    <row r="23" spans="1:11" ht="15.75" x14ac:dyDescent="0.25">
      <c r="A23" s="2">
        <v>11</v>
      </c>
      <c r="B23" s="2" t="s">
        <v>23</v>
      </c>
      <c r="C23" s="9">
        <f>SUM(D23:G23)</f>
        <v>84051161.739999995</v>
      </c>
      <c r="D23" s="29">
        <f>D17-D21</f>
        <v>67962779.5</v>
      </c>
      <c r="E23" s="29">
        <f>E17-E21</f>
        <v>16088382.24</v>
      </c>
      <c r="F23" s="29">
        <f>F17-F21</f>
        <v>0</v>
      </c>
      <c r="G23" s="29">
        <f>G17-G21</f>
        <v>0</v>
      </c>
      <c r="H23" s="162"/>
      <c r="I23" s="163"/>
      <c r="K23" s="38">
        <f>K17-K21</f>
        <v>217000</v>
      </c>
    </row>
    <row r="24" spans="1:11" ht="15.75" x14ac:dyDescent="0.25">
      <c r="A24" s="30"/>
      <c r="B24" s="30"/>
      <c r="C24" s="30"/>
      <c r="D24" s="30"/>
      <c r="E24" s="30"/>
      <c r="F24" s="30"/>
      <c r="G24" s="30"/>
      <c r="H24" s="31"/>
      <c r="I24" s="32"/>
    </row>
    <row r="25" spans="1:11" ht="15.75" x14ac:dyDescent="0.25">
      <c r="C25" s="2"/>
      <c r="D25" s="33" t="s">
        <v>24</v>
      </c>
      <c r="E25" s="2" t="s">
        <v>25</v>
      </c>
    </row>
    <row r="26" spans="1:11" ht="15.75" x14ac:dyDescent="0.25">
      <c r="A26" s="2">
        <v>12</v>
      </c>
      <c r="B26" s="2" t="s">
        <v>26</v>
      </c>
      <c r="C26" s="17"/>
      <c r="D26" s="17">
        <f>D19/12</f>
        <v>165361.58333333334</v>
      </c>
      <c r="E26" s="17">
        <f>(E19+F19+G19)/12</f>
        <v>3104.5</v>
      </c>
    </row>
    <row r="27" spans="1:11" ht="15.75" x14ac:dyDescent="0.25">
      <c r="A27" s="2">
        <v>13</v>
      </c>
      <c r="B27" s="2" t="s">
        <v>27</v>
      </c>
      <c r="C27" s="17"/>
      <c r="D27" s="17">
        <f>D13</f>
        <v>132095604</v>
      </c>
      <c r="E27" s="17">
        <f>E13+F13+G13</f>
        <v>60325922</v>
      </c>
    </row>
    <row r="28" spans="1:11" ht="15.75" x14ac:dyDescent="0.25">
      <c r="A28" s="2">
        <v>14</v>
      </c>
      <c r="B28" s="2" t="s">
        <v>28</v>
      </c>
      <c r="C28" s="9"/>
      <c r="D28" s="9">
        <f>D21</f>
        <v>18851220.5</v>
      </c>
      <c r="E28" s="9">
        <f>E21+F21+G21</f>
        <v>4449617.76</v>
      </c>
      <c r="F28" s="34"/>
    </row>
    <row r="29" spans="1:11" ht="15.75" x14ac:dyDescent="0.25">
      <c r="A29" s="2">
        <v>15</v>
      </c>
      <c r="B29" s="2" t="s">
        <v>29</v>
      </c>
      <c r="C29" s="17"/>
      <c r="D29" s="17">
        <f>D19</f>
        <v>1984339</v>
      </c>
      <c r="E29" s="17">
        <f>E19+F19+G19</f>
        <v>37254</v>
      </c>
      <c r="F29" s="34"/>
    </row>
    <row r="30" spans="1:11" ht="15.75" x14ac:dyDescent="0.25">
      <c r="A30" s="2">
        <v>16</v>
      </c>
      <c r="B30" s="2" t="s">
        <v>30</v>
      </c>
      <c r="C30" s="9"/>
      <c r="D30" s="35">
        <f>D28/D29</f>
        <v>9.5</v>
      </c>
      <c r="E30" s="35">
        <f>E28/E29</f>
        <v>119.44</v>
      </c>
      <c r="F30" s="34"/>
    </row>
    <row r="31" spans="1:11" x14ac:dyDescent="0.25">
      <c r="D31" s="34"/>
    </row>
    <row r="32" spans="1:11" x14ac:dyDescent="0.25">
      <c r="D32" s="34"/>
    </row>
    <row r="33" spans="1:6" ht="18.75" x14ac:dyDescent="0.3">
      <c r="A33" s="138" t="s">
        <v>142</v>
      </c>
      <c r="B33" s="37"/>
      <c r="D33" s="34"/>
    </row>
    <row r="34" spans="1:6" x14ac:dyDescent="0.25">
      <c r="D34" s="34"/>
    </row>
    <row r="35" spans="1:6" x14ac:dyDescent="0.25">
      <c r="D35" s="34"/>
    </row>
    <row r="36" spans="1:6" x14ac:dyDescent="0.25">
      <c r="C36" t="s">
        <v>32</v>
      </c>
      <c r="D36" s="38"/>
      <c r="F36" s="38"/>
    </row>
    <row r="37" spans="1:6" x14ac:dyDescent="0.25">
      <c r="C37" t="s">
        <v>33</v>
      </c>
      <c r="D37" s="39">
        <f>D23/D13</f>
        <v>0.51449690558968186</v>
      </c>
      <c r="E37" s="39">
        <f>E23/E13</f>
        <v>0.26669102943838968</v>
      </c>
      <c r="F37" s="39" t="e">
        <f>F23/F13</f>
        <v>#DIV/0!</v>
      </c>
    </row>
    <row r="38" spans="1:6" x14ac:dyDescent="0.25">
      <c r="C38" t="s">
        <v>34</v>
      </c>
      <c r="D38" s="39">
        <f>D37+D14</f>
        <v>0.51449690558968186</v>
      </c>
      <c r="E38" s="39">
        <f>E37+E14</f>
        <v>0.26669102943838968</v>
      </c>
      <c r="F38" s="39" t="e">
        <f>F37+F14</f>
        <v>#DIV/0!</v>
      </c>
    </row>
  </sheetData>
  <mergeCells count="5">
    <mergeCell ref="A1:I1"/>
    <mergeCell ref="A2:I2"/>
    <mergeCell ref="A3:I3"/>
    <mergeCell ref="A4:I4"/>
    <mergeCell ref="H22:I23"/>
  </mergeCells>
  <pageMargins left="0.7" right="0.7" top="0.75" bottom="0.75" header="0.3" footer="0.3"/>
  <pageSetup scale="58" orientation="landscape" horizontalDpi="1200" verticalDpi="1200" r:id="rId1"/>
  <headerFoot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9.140625" defaultRowHeight="15" x14ac:dyDescent="0.25"/>
  <cols>
    <col min="1" max="16384" width="9.140625" style="120"/>
  </cols>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C8D12-A589-493D-8419-AEA9AC069C57}">
  <sheetPr>
    <pageSetUpPr fitToPage="1"/>
  </sheetPr>
  <dimension ref="A1:E26"/>
  <sheetViews>
    <sheetView zoomScaleNormal="100" workbookViewId="0">
      <selection activeCell="C23" sqref="C23"/>
    </sheetView>
  </sheetViews>
  <sheetFormatPr defaultRowHeight="15" x14ac:dyDescent="0.25"/>
  <cols>
    <col min="1" max="1" width="26.140625" bestFit="1" customWidth="1"/>
    <col min="2" max="2" width="38.5703125" bestFit="1" customWidth="1"/>
    <col min="3" max="3" width="26.85546875" bestFit="1" customWidth="1"/>
    <col min="4" max="4" width="17.5703125" bestFit="1" customWidth="1"/>
    <col min="5" max="5" width="17" bestFit="1" customWidth="1"/>
  </cols>
  <sheetData>
    <row r="1" spans="1:5" ht="15.75" x14ac:dyDescent="0.25">
      <c r="A1" s="164" t="s">
        <v>0</v>
      </c>
      <c r="B1" s="164"/>
      <c r="C1" s="164"/>
      <c r="D1" s="164"/>
      <c r="E1" s="164"/>
    </row>
    <row r="2" spans="1:5" ht="15.75" x14ac:dyDescent="0.25">
      <c r="A2" s="164" t="s">
        <v>1</v>
      </c>
      <c r="B2" s="164"/>
      <c r="C2" s="164"/>
      <c r="D2" s="164"/>
      <c r="E2" s="164"/>
    </row>
    <row r="3" spans="1:5" ht="15.75" x14ac:dyDescent="0.25">
      <c r="A3" s="160" t="s">
        <v>35</v>
      </c>
      <c r="B3" s="160"/>
      <c r="C3" s="160"/>
      <c r="D3" s="160"/>
      <c r="E3" s="160"/>
    </row>
    <row r="4" spans="1:5" ht="15.75" x14ac:dyDescent="0.25">
      <c r="A4" s="156" t="str">
        <f>'Pg 7 UG-200901 Auth-1'!A4</f>
        <v>Washington Docket No. UG-200901 Compliance Filing</v>
      </c>
      <c r="B4" s="156"/>
      <c r="C4" s="156"/>
      <c r="D4" s="156"/>
      <c r="E4" s="156"/>
    </row>
    <row r="5" spans="1:5" ht="15.75" x14ac:dyDescent="0.25">
      <c r="A5" s="40"/>
      <c r="B5" s="40"/>
      <c r="C5" s="40"/>
      <c r="D5" s="40"/>
      <c r="E5" s="40"/>
    </row>
    <row r="6" spans="1:5" ht="47.25" x14ac:dyDescent="0.25">
      <c r="A6" s="41" t="s">
        <v>36</v>
      </c>
      <c r="B6" s="42"/>
      <c r="C6" s="41" t="s">
        <v>37</v>
      </c>
      <c r="D6" s="41" t="s">
        <v>38</v>
      </c>
      <c r="E6" s="41" t="s">
        <v>39</v>
      </c>
    </row>
    <row r="7" spans="1:5" ht="15.75" x14ac:dyDescent="0.25">
      <c r="A7" s="40"/>
      <c r="B7" s="43" t="s">
        <v>40</v>
      </c>
      <c r="C7" s="43" t="s">
        <v>41</v>
      </c>
      <c r="D7" s="43" t="s">
        <v>42</v>
      </c>
      <c r="E7" s="43" t="s">
        <v>43</v>
      </c>
    </row>
    <row r="8" spans="1:5" ht="15.75" x14ac:dyDescent="0.25">
      <c r="A8" s="43"/>
      <c r="B8" s="44"/>
      <c r="C8" s="43"/>
      <c r="D8" s="43"/>
      <c r="E8" s="43"/>
    </row>
    <row r="9" spans="1:5" ht="15.75" x14ac:dyDescent="0.25">
      <c r="A9" s="43">
        <v>1</v>
      </c>
      <c r="B9" s="44" t="s">
        <v>44</v>
      </c>
      <c r="C9" s="43" t="s">
        <v>142</v>
      </c>
      <c r="D9" s="45">
        <f>'Pg 7 UG-200901 Auth-1'!D23</f>
        <v>67962779.5</v>
      </c>
      <c r="E9" s="45">
        <f>SUM('Pg 7 UG-200901 Auth-1'!E23:G23)</f>
        <v>16088382.24</v>
      </c>
    </row>
    <row r="10" spans="1:5" ht="15.75" x14ac:dyDescent="0.25">
      <c r="A10" s="43"/>
      <c r="B10" s="44"/>
      <c r="C10" s="43"/>
      <c r="D10" s="43"/>
      <c r="E10" s="43"/>
    </row>
    <row r="11" spans="1:5" ht="15.75" x14ac:dyDescent="0.25">
      <c r="A11" s="43">
        <v>2</v>
      </c>
      <c r="B11" s="40" t="s">
        <v>143</v>
      </c>
      <c r="C11" s="43" t="s">
        <v>46</v>
      </c>
      <c r="D11" s="46">
        <f>'Pg 7 UG-200901 Auth-1'!D26</f>
        <v>165361.58333333334</v>
      </c>
      <c r="E11" s="46">
        <f>'Pg 7 UG-200901 Auth-1'!E26</f>
        <v>3104.5</v>
      </c>
    </row>
    <row r="12" spans="1:5" ht="15.75" x14ac:dyDescent="0.25">
      <c r="A12" s="43"/>
      <c r="B12" s="44"/>
      <c r="C12" s="43"/>
      <c r="D12" s="43"/>
      <c r="E12" s="43"/>
    </row>
    <row r="13" spans="1:5" ht="15.75" x14ac:dyDescent="0.25">
      <c r="A13" s="43">
        <v>3</v>
      </c>
      <c r="B13" s="44" t="s">
        <v>47</v>
      </c>
      <c r="C13" s="43" t="str">
        <f>"("&amp;A9&amp;") / ("&amp;'Pg 7 UG-200901 Auth-1'!A$11&amp;")"</f>
        <v>(1) / (3)</v>
      </c>
      <c r="D13" s="47">
        <f>ROUND(D9/D11,2)</f>
        <v>410.99</v>
      </c>
      <c r="E13" s="47">
        <f>ROUND(E9/E11,2)</f>
        <v>5182.28</v>
      </c>
    </row>
    <row r="14" spans="1:5" ht="15.75" x14ac:dyDescent="0.25">
      <c r="A14" s="43"/>
      <c r="B14" s="44"/>
      <c r="C14" s="43"/>
      <c r="D14" s="43"/>
      <c r="E14" s="43"/>
    </row>
    <row r="15" spans="1:5" ht="15.75" x14ac:dyDescent="0.25">
      <c r="A15" s="43"/>
      <c r="B15" s="44"/>
      <c r="C15" s="43"/>
      <c r="D15" s="43"/>
      <c r="E15" s="43"/>
    </row>
    <row r="16" spans="1:5" ht="15.75" x14ac:dyDescent="0.25">
      <c r="A16" s="43"/>
      <c r="B16" s="48" t="s">
        <v>48</v>
      </c>
      <c r="C16" s="40"/>
      <c r="D16" s="49"/>
      <c r="E16" s="49"/>
    </row>
    <row r="17" spans="1:5" ht="15.75" x14ac:dyDescent="0.25">
      <c r="A17" s="43"/>
      <c r="B17" s="48" t="s">
        <v>146</v>
      </c>
      <c r="C17" s="40"/>
      <c r="D17" s="40"/>
      <c r="E17" s="40"/>
    </row>
    <row r="18" spans="1:5" ht="15.75" x14ac:dyDescent="0.25">
      <c r="A18" s="30"/>
      <c r="B18" s="30"/>
      <c r="C18" s="30"/>
      <c r="D18" s="30"/>
      <c r="E18" s="30"/>
    </row>
    <row r="19" spans="1:5" ht="15.75" x14ac:dyDescent="0.25">
      <c r="A19" s="30"/>
      <c r="B19" s="30"/>
      <c r="C19" s="30"/>
      <c r="D19" s="30"/>
      <c r="E19" s="30"/>
    </row>
    <row r="20" spans="1:5" ht="18.75" x14ac:dyDescent="0.3">
      <c r="A20" s="138" t="s">
        <v>160</v>
      </c>
      <c r="B20" s="30"/>
      <c r="C20" s="30"/>
      <c r="D20" s="30"/>
      <c r="E20" s="30"/>
    </row>
    <row r="21" spans="1:5" ht="15.75" x14ac:dyDescent="0.25">
      <c r="A21" s="30"/>
      <c r="B21" s="30"/>
      <c r="C21" s="30"/>
      <c r="D21" s="30"/>
      <c r="E21" s="30"/>
    </row>
    <row r="22" spans="1:5" ht="15.75" x14ac:dyDescent="0.25">
      <c r="A22" s="30"/>
      <c r="B22" s="30"/>
      <c r="C22" s="50" t="s">
        <v>50</v>
      </c>
      <c r="D22" s="30"/>
      <c r="E22" s="30"/>
    </row>
    <row r="23" spans="1:5" ht="15.75" x14ac:dyDescent="0.25">
      <c r="A23" s="30"/>
      <c r="B23" s="30"/>
      <c r="C23" s="50" t="s">
        <v>51</v>
      </c>
      <c r="D23" s="51">
        <f>D13*D11</f>
        <v>67961957.134166673</v>
      </c>
      <c r="E23" s="51">
        <f>E13*E11</f>
        <v>16088388.26</v>
      </c>
    </row>
    <row r="24" spans="1:5" ht="15.75" x14ac:dyDescent="0.25">
      <c r="A24" s="30"/>
      <c r="B24" s="30"/>
      <c r="C24" s="50" t="s">
        <v>52</v>
      </c>
      <c r="D24" s="51">
        <f>'Pg 7 UG-200901 Auth-1'!D28</f>
        <v>18851220.5</v>
      </c>
      <c r="E24" s="51">
        <f>'Pg 7 UG-200901 Auth-1'!E28</f>
        <v>4449617.76</v>
      </c>
    </row>
    <row r="25" spans="1:5" ht="15.75" x14ac:dyDescent="0.25">
      <c r="A25" s="30"/>
      <c r="B25" s="30"/>
      <c r="C25" s="50" t="s">
        <v>53</v>
      </c>
      <c r="D25" s="51">
        <f>'Pg 7 UG-200901 Auth-1'!D15</f>
        <v>0</v>
      </c>
      <c r="E25" s="51">
        <f>SUM('Pg 7 UG-200901 Auth-1'!E15:G15)</f>
        <v>0</v>
      </c>
    </row>
    <row r="26" spans="1:5" ht="15.75" x14ac:dyDescent="0.25">
      <c r="A26" s="30"/>
      <c r="B26" s="30"/>
      <c r="C26" s="50" t="s">
        <v>54</v>
      </c>
      <c r="D26" s="52">
        <f>SUM(D23:D25)</f>
        <v>86813177.634166673</v>
      </c>
      <c r="E26" s="52">
        <f>SUM(E23:E25)</f>
        <v>20538006.02</v>
      </c>
    </row>
  </sheetData>
  <mergeCells count="4">
    <mergeCell ref="A1:E1"/>
    <mergeCell ref="A2:E2"/>
    <mergeCell ref="A3:E3"/>
    <mergeCell ref="A4:E4"/>
  </mergeCells>
  <pageMargins left="0.7" right="0.7" top="0.75" bottom="0.75" header="0.3" footer="0.3"/>
  <pageSetup scale="98" orientation="landscape" horizontalDpi="1200" verticalDpi="1200" r:id="rId1"/>
  <headerFoot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67154EC33D1441B32B382EA90D81B0" ma:contentTypeVersion="28" ma:contentTypeDescription="" ma:contentTypeScope="" ma:versionID="931e9a342457f0545889eac8955c9a6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2022-05-27T07:00:00+00:00</OpenedDate>
    <SignificantOrder xmlns="dc463f71-b30c-4ab2-9473-d307f9d35888">false</SignificantOrder>
    <Date1 xmlns="dc463f71-b30c-4ab2-9473-d307f9d35888">2022-05-27T07:00:00+00:00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220379</DocketNumber>
    <DelegatedOrder xmlns="dc463f71-b30c-4ab2-9473-d307f9d35888">false</DelegatedOrder>
  </documentManagement>
</p:properties>
</file>

<file path=customXml/itemProps1.xml><?xml version="1.0" encoding="utf-8"?>
<ds:datastoreItem xmlns:ds="http://schemas.openxmlformats.org/officeDocument/2006/customXml" ds:itemID="{434EB85C-C668-43E2-B893-5CB5BB481B9F}"/>
</file>

<file path=customXml/itemProps2.xml><?xml version="1.0" encoding="utf-8"?>
<ds:datastoreItem xmlns:ds="http://schemas.openxmlformats.org/officeDocument/2006/customXml" ds:itemID="{0D707C9C-27C6-4039-9777-A83B50FD7C28}"/>
</file>

<file path=customXml/itemProps3.xml><?xml version="1.0" encoding="utf-8"?>
<ds:datastoreItem xmlns:ds="http://schemas.openxmlformats.org/officeDocument/2006/customXml" ds:itemID="{14B4DDD9-B6D0-4A7F-89FA-92006F08D62E}"/>
</file>

<file path=customXml/itemProps4.xml><?xml version="1.0" encoding="utf-8"?>
<ds:datastoreItem xmlns:ds="http://schemas.openxmlformats.org/officeDocument/2006/customXml" ds:itemID="{29F722BE-80D3-4B52-B0AD-ABC7391682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Pg 1 Res Nat Gas Deferral</vt:lpstr>
      <vt:lpstr>Pg 2 Non-Res Nat Gas Deferral</vt:lpstr>
      <vt:lpstr>Pg 3 UG-190335 Auth-1</vt:lpstr>
      <vt:lpstr>Pg 4 UG-190335 Auth-2</vt:lpstr>
      <vt:lpstr>Pg 5 UG-190335 Auth-3</vt:lpstr>
      <vt:lpstr>Pg 6 UG-190335 Auth-4</vt:lpstr>
      <vt:lpstr>Pg 7 UG-200901 Auth-1</vt:lpstr>
      <vt:lpstr>Pg 8 UG-200901 Auth-2</vt:lpstr>
      <vt:lpstr>Pg 9 UG-200901 Auth-3</vt:lpstr>
      <vt:lpstr>Pg 10 UG-200901 Auth-4</vt:lpstr>
      <vt:lpstr>Pg 11 Annual Adj (12-2021)</vt:lpstr>
      <vt:lpstr>'Pg 3 UG-190335 Auth-1'!Print_Area</vt:lpstr>
      <vt:lpstr>'Pg 7 UG-200901 Auth-1'!Print_Area</vt:lpstr>
      <vt:lpstr>'Pg 1 Res Nat Gas Deferral'!Print_Titles</vt:lpstr>
      <vt:lpstr>'Pg 2 Non-Res Nat Gas Deferral'!Print_Titles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2022-05-25T17:19:37Z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0x0101006E56B4D1795A2E4DB2F0B01679ED314A00AF67154EC33D1441B32B382EA90D81B0</vt:lpwstr>
  </property>
  <property fmtid="{D5CDD505-2E9C-101B-9397-08002B2CF9AE}" pid="3" name="_docset_NoMedatataSyncRequired">
    <vt:lpwstr>False</vt:lpwstr>
  </property>
  <property fmtid="{D5CDD505-2E9C-101B-9397-08002B2CF9AE}" pid="4" name="IsEFSEC">
    <vt:bool>false</vt:bool>
  </property>
</Properties>
</file>