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2-XX Natural Gas Schedule 120 - Gas Conservation Service Rider (UG-22xxxx) (Eff. 05-01-22)\Workpapers\"/>
    </mc:Choice>
  </mc:AlternateContent>
  <bookViews>
    <workbookView xWindow="-225" yWindow="-75" windowWidth="26310" windowHeight="11535" tabRatio="765"/>
  </bookViews>
  <sheets>
    <sheet name="Rates" sheetId="4" r:id="rId1"/>
    <sheet name="Allocation" sheetId="3" r:id="rId2"/>
    <sheet name="Rate Impacts--&gt;" sheetId="21" r:id="rId3"/>
    <sheet name="Rate Impacts Sch 120" sheetId="26" r:id="rId4"/>
    <sheet name="Typical Res Bill Sch 120" sheetId="27" r:id="rId5"/>
    <sheet name="Sch. 120" sheetId="28" r:id="rId6"/>
    <sheet name="Workpapers--&gt;" sheetId="25" r:id="rId7"/>
    <sheet name="Rev Requirement" sheetId="2" r:id="rId8"/>
    <sheet name="Forecasted Volume" sheetId="17" r:id="rId9"/>
  </sheets>
  <definedNames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Allocation!$A$1:$I$25</definedName>
    <definedName name="_xlnm.Print_Area" localSheetId="8">'Forecasted Volume'!$A$1:$N$29</definedName>
    <definedName name="_xlnm.Print_Area" localSheetId="3">'Rate Impacts Sch 120'!$B$1:$T$37</definedName>
    <definedName name="_xlnm.Print_Area" localSheetId="0">Rates!$A$1:$G$24</definedName>
    <definedName name="_xlnm.Print_Area" localSheetId="7">'Rev Requirement'!$A$1:$E$12</definedName>
    <definedName name="_xlnm.Print_Area" localSheetId="4">'Typical Res Bill Sch 120'!$B$1:$H$38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G14" i="28" l="1"/>
  <c r="G21" i="28" l="1"/>
  <c r="H21" i="28" s="1"/>
  <c r="I21" i="28" s="1"/>
  <c r="F21" i="28"/>
  <c r="H20" i="28"/>
  <c r="I20" i="28" s="1"/>
  <c r="G20" i="28"/>
  <c r="F20" i="28"/>
  <c r="C22" i="28"/>
  <c r="G18" i="28"/>
  <c r="F18" i="28"/>
  <c r="H18" i="28" s="1"/>
  <c r="I18" i="28" s="1"/>
  <c r="G17" i="28"/>
  <c r="H17" i="28" s="1"/>
  <c r="I17" i="28" s="1"/>
  <c r="F17" i="28"/>
  <c r="H16" i="28"/>
  <c r="I16" i="28" s="1"/>
  <c r="G16" i="28"/>
  <c r="F16" i="28"/>
  <c r="F15" i="28"/>
  <c r="E15" i="28"/>
  <c r="G15" i="28" s="1"/>
  <c r="H15" i="28" s="1"/>
  <c r="H14" i="28"/>
  <c r="F14" i="28"/>
  <c r="E14" i="28"/>
  <c r="F13" i="28"/>
  <c r="E13" i="28"/>
  <c r="G13" i="28" s="1"/>
  <c r="H13" i="28" s="1"/>
  <c r="G12" i="28"/>
  <c r="H12" i="28" s="1"/>
  <c r="F12" i="28"/>
  <c r="E12" i="28"/>
  <c r="F11" i="28"/>
  <c r="E11" i="28"/>
  <c r="G11" i="28" s="1"/>
  <c r="H11" i="28" s="1"/>
  <c r="G10" i="28"/>
  <c r="H10" i="28" s="1"/>
  <c r="F10" i="28"/>
  <c r="E10" i="28"/>
  <c r="F9" i="28"/>
  <c r="E9" i="28"/>
  <c r="G9" i="28" s="1"/>
  <c r="C8" i="28"/>
  <c r="G28" i="27"/>
  <c r="D29" i="27"/>
  <c r="E29" i="27" s="1"/>
  <c r="D25" i="27"/>
  <c r="E25" i="27" s="1"/>
  <c r="G22" i="27"/>
  <c r="G21" i="27"/>
  <c r="G20" i="27"/>
  <c r="G19" i="27"/>
  <c r="G18" i="27"/>
  <c r="D23" i="27"/>
  <c r="G16" i="27"/>
  <c r="D13" i="27"/>
  <c r="G12" i="27"/>
  <c r="G13" i="27" s="1"/>
  <c r="E12" i="27"/>
  <c r="E13" i="27" s="1"/>
  <c r="B4" i="27"/>
  <c r="B2" i="27"/>
  <c r="S33" i="26"/>
  <c r="P33" i="26"/>
  <c r="O33" i="26"/>
  <c r="N33" i="26"/>
  <c r="L33" i="26"/>
  <c r="K33" i="26"/>
  <c r="J33" i="26"/>
  <c r="I33" i="26"/>
  <c r="G33" i="26"/>
  <c r="P32" i="26"/>
  <c r="N32" i="26"/>
  <c r="M32" i="26"/>
  <c r="J32" i="26"/>
  <c r="I32" i="26"/>
  <c r="O31" i="26"/>
  <c r="N31" i="26"/>
  <c r="J31" i="26"/>
  <c r="G31" i="26"/>
  <c r="P30" i="26"/>
  <c r="O30" i="26"/>
  <c r="N30" i="26"/>
  <c r="M30" i="26"/>
  <c r="J30" i="26"/>
  <c r="I30" i="26"/>
  <c r="G30" i="26"/>
  <c r="P29" i="26"/>
  <c r="O29" i="26"/>
  <c r="N29" i="26"/>
  <c r="L29" i="26"/>
  <c r="J29" i="26"/>
  <c r="D29" i="26"/>
  <c r="Q28" i="26"/>
  <c r="P28" i="26"/>
  <c r="O28" i="26"/>
  <c r="M28" i="26"/>
  <c r="L28" i="26"/>
  <c r="K28" i="26"/>
  <c r="I28" i="26"/>
  <c r="E28" i="26"/>
  <c r="Q27" i="26"/>
  <c r="P27" i="26"/>
  <c r="M27" i="26"/>
  <c r="L27" i="26"/>
  <c r="D27" i="26"/>
  <c r="Q33" i="26"/>
  <c r="M33" i="26"/>
  <c r="E33" i="26"/>
  <c r="D33" i="26"/>
  <c r="E32" i="26"/>
  <c r="F21" i="26"/>
  <c r="H21" i="26" s="1"/>
  <c r="R21" i="26" s="1"/>
  <c r="T21" i="26" s="1"/>
  <c r="F20" i="26"/>
  <c r="H20" i="26" s="1"/>
  <c r="R20" i="26" s="1"/>
  <c r="T20" i="26" s="1"/>
  <c r="G29" i="26"/>
  <c r="F19" i="26"/>
  <c r="H19" i="26" s="1"/>
  <c r="R19" i="26" s="1"/>
  <c r="T19" i="26" s="1"/>
  <c r="G28" i="26"/>
  <c r="F18" i="26"/>
  <c r="H18" i="26" s="1"/>
  <c r="R18" i="26" s="1"/>
  <c r="T18" i="26" s="1"/>
  <c r="Q32" i="26"/>
  <c r="O32" i="26"/>
  <c r="L32" i="26"/>
  <c r="K17" i="26"/>
  <c r="K32" i="26" s="1"/>
  <c r="G32" i="26"/>
  <c r="F17" i="26"/>
  <c r="H17" i="26" s="1"/>
  <c r="Q31" i="26"/>
  <c r="P24" i="26"/>
  <c r="M31" i="26"/>
  <c r="L31" i="26"/>
  <c r="K16" i="26"/>
  <c r="K31" i="26" s="1"/>
  <c r="I31" i="26"/>
  <c r="F16" i="26"/>
  <c r="H16" i="26" s="1"/>
  <c r="D31" i="26"/>
  <c r="Q30" i="26"/>
  <c r="L30" i="26"/>
  <c r="K15" i="26"/>
  <c r="K30" i="26" s="1"/>
  <c r="F15" i="26"/>
  <c r="H15" i="26" s="1"/>
  <c r="D30" i="26"/>
  <c r="Q29" i="26"/>
  <c r="M29" i="26"/>
  <c r="K14" i="26"/>
  <c r="K29" i="26" s="1"/>
  <c r="I29" i="26"/>
  <c r="E29" i="26"/>
  <c r="F29" i="26" s="1"/>
  <c r="N28" i="26"/>
  <c r="K13" i="26"/>
  <c r="J28" i="26"/>
  <c r="F13" i="26"/>
  <c r="H13" i="26" s="1"/>
  <c r="K12" i="26"/>
  <c r="I27" i="26"/>
  <c r="E24" i="26"/>
  <c r="O27" i="26"/>
  <c r="O34" i="26" s="1"/>
  <c r="N27" i="26"/>
  <c r="N34" i="26" s="1"/>
  <c r="K11" i="26"/>
  <c r="K27" i="26" s="1"/>
  <c r="J27" i="26"/>
  <c r="J34" i="26" s="1"/>
  <c r="G27" i="26"/>
  <c r="F11" i="26"/>
  <c r="H11" i="26" s="1"/>
  <c r="D36" i="27" l="1"/>
  <c r="E23" i="27"/>
  <c r="E30" i="27" s="1"/>
  <c r="D30" i="27"/>
  <c r="L34" i="26"/>
  <c r="S15" i="26"/>
  <c r="I13" i="28"/>
  <c r="H28" i="26"/>
  <c r="R13" i="26"/>
  <c r="R28" i="26" s="1"/>
  <c r="H30" i="26"/>
  <c r="R15" i="26"/>
  <c r="R30" i="26" s="1"/>
  <c r="S17" i="26"/>
  <c r="I15" i="28"/>
  <c r="K34" i="26"/>
  <c r="M34" i="26"/>
  <c r="Q34" i="26"/>
  <c r="R17" i="26"/>
  <c r="F33" i="26"/>
  <c r="S13" i="26"/>
  <c r="I11" i="28"/>
  <c r="S16" i="26"/>
  <c r="I14" i="28"/>
  <c r="I10" i="28"/>
  <c r="S12" i="26"/>
  <c r="R11" i="26"/>
  <c r="G34" i="26"/>
  <c r="I34" i="26"/>
  <c r="R16" i="26"/>
  <c r="R31" i="26" s="1"/>
  <c r="H31" i="26"/>
  <c r="P34" i="26"/>
  <c r="E32" i="27"/>
  <c r="G23" i="27"/>
  <c r="H9" i="28"/>
  <c r="I12" i="28"/>
  <c r="S14" i="26"/>
  <c r="I24" i="26"/>
  <c r="Q24" i="26"/>
  <c r="E30" i="26"/>
  <c r="F30" i="26" s="1"/>
  <c r="P31" i="26"/>
  <c r="F12" i="26"/>
  <c r="H12" i="26" s="1"/>
  <c r="R12" i="26" s="1"/>
  <c r="F14" i="26"/>
  <c r="H14" i="26" s="1"/>
  <c r="J24" i="26"/>
  <c r="N24" i="26"/>
  <c r="E27" i="26"/>
  <c r="D28" i="26"/>
  <c r="F28" i="26" s="1"/>
  <c r="E31" i="26"/>
  <c r="F31" i="26" s="1"/>
  <c r="D32" i="26"/>
  <c r="F32" i="26" s="1"/>
  <c r="H12" i="27"/>
  <c r="H13" i="27" s="1"/>
  <c r="G17" i="27"/>
  <c r="G27" i="27"/>
  <c r="G29" i="27" s="1"/>
  <c r="H29" i="27" s="1"/>
  <c r="F19" i="28"/>
  <c r="F22" i="28" s="1"/>
  <c r="M24" i="26"/>
  <c r="F22" i="26"/>
  <c r="H22" i="26" s="1"/>
  <c r="R22" i="26" s="1"/>
  <c r="T22" i="26" s="1"/>
  <c r="F23" i="26"/>
  <c r="H23" i="26" s="1"/>
  <c r="G24" i="26"/>
  <c r="K24" i="26"/>
  <c r="O24" i="26"/>
  <c r="G25" i="27"/>
  <c r="H25" i="27" s="1"/>
  <c r="G19" i="28"/>
  <c r="H19" i="28" s="1"/>
  <c r="I19" i="28" s="1"/>
  <c r="D24" i="26"/>
  <c r="F24" i="26" s="1"/>
  <c r="L24" i="26"/>
  <c r="T17" i="26" l="1"/>
  <c r="S32" i="26"/>
  <c r="H33" i="26"/>
  <c r="R23" i="26"/>
  <c r="S29" i="26"/>
  <c r="T29" i="26" s="1"/>
  <c r="H23" i="27"/>
  <c r="H30" i="27" s="1"/>
  <c r="H32" i="27" s="1"/>
  <c r="H33" i="27" s="1"/>
  <c r="H34" i="27" s="1"/>
  <c r="G30" i="27"/>
  <c r="G36" i="27"/>
  <c r="T12" i="26"/>
  <c r="S31" i="26"/>
  <c r="T31" i="26" s="1"/>
  <c r="T16" i="26"/>
  <c r="F27" i="26"/>
  <c r="E34" i="26"/>
  <c r="F34" i="26" s="1"/>
  <c r="H22" i="28"/>
  <c r="I22" i="28" s="1"/>
  <c r="I9" i="28"/>
  <c r="S11" i="26"/>
  <c r="R27" i="26"/>
  <c r="R24" i="26"/>
  <c r="H32" i="26"/>
  <c r="T15" i="26"/>
  <c r="S30" i="26"/>
  <c r="T30" i="26" s="1"/>
  <c r="H24" i="26"/>
  <c r="R14" i="26"/>
  <c r="R29" i="26" s="1"/>
  <c r="H29" i="26"/>
  <c r="G22" i="28"/>
  <c r="H27" i="26"/>
  <c r="H34" i="26" s="1"/>
  <c r="D34" i="26"/>
  <c r="T13" i="26"/>
  <c r="S28" i="26"/>
  <c r="T28" i="26" s="1"/>
  <c r="R32" i="26"/>
  <c r="R34" i="26" l="1"/>
  <c r="T32" i="26"/>
  <c r="S27" i="26"/>
  <c r="S24" i="26"/>
  <c r="T24" i="26" s="1"/>
  <c r="T11" i="26"/>
  <c r="T14" i="26"/>
  <c r="T23" i="26"/>
  <c r="R33" i="26"/>
  <c r="T33" i="26" s="1"/>
  <c r="S34" i="26" l="1"/>
  <c r="T34" i="26" s="1"/>
  <c r="T27" i="26"/>
  <c r="F12" i="3" l="1"/>
  <c r="F14" i="3"/>
  <c r="F15" i="3"/>
  <c r="G11" i="3"/>
  <c r="G12" i="3"/>
  <c r="G13" i="3"/>
  <c r="G14" i="3"/>
  <c r="G15" i="3"/>
  <c r="E10" i="2" l="1"/>
  <c r="E8" i="2"/>
  <c r="F20" i="3" l="1"/>
  <c r="F19" i="3"/>
  <c r="F18" i="3"/>
  <c r="C6" i="17" l="1"/>
  <c r="N9" i="17" l="1"/>
  <c r="N10" i="17"/>
  <c r="N11" i="17"/>
  <c r="N12" i="17"/>
  <c r="N13" i="17"/>
  <c r="N14" i="17"/>
  <c r="A4" i="2" l="1"/>
  <c r="A2" i="2"/>
  <c r="A2" i="17" l="1"/>
  <c r="B4" i="3"/>
  <c r="B2" i="3"/>
  <c r="F11" i="4" l="1"/>
  <c r="F10" i="4"/>
  <c r="M25" i="17" l="1"/>
  <c r="L25" i="17"/>
  <c r="K25" i="17"/>
  <c r="J25" i="17"/>
  <c r="I25" i="17"/>
  <c r="H25" i="17"/>
  <c r="G25" i="17"/>
  <c r="F25" i="17"/>
  <c r="E25" i="17"/>
  <c r="D25" i="17"/>
  <c r="C25" i="17"/>
  <c r="B25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N20" i="17"/>
  <c r="N19" i="17"/>
  <c r="N18" i="17"/>
  <c r="N17" i="17"/>
  <c r="N16" i="17"/>
  <c r="N15" i="17"/>
  <c r="D19" i="3"/>
  <c r="D15" i="3"/>
  <c r="H15" i="3" s="1"/>
  <c r="D13" i="3"/>
  <c r="H13" i="3" s="1"/>
  <c r="N8" i="17"/>
  <c r="N7" i="17"/>
  <c r="D6" i="17"/>
  <c r="E6" i="17" s="1"/>
  <c r="F6" i="17" s="1"/>
  <c r="G6" i="17" s="1"/>
  <c r="H6" i="17" s="1"/>
  <c r="I6" i="17" s="1"/>
  <c r="J6" i="17" s="1"/>
  <c r="K6" i="17" s="1"/>
  <c r="L6" i="17" s="1"/>
  <c r="M6" i="17" s="1"/>
  <c r="D9" i="3" s="1"/>
  <c r="A4" i="17" l="1"/>
  <c r="H26" i="17"/>
  <c r="H27" i="17" s="1"/>
  <c r="D26" i="17"/>
  <c r="D27" i="17" s="1"/>
  <c r="L26" i="17"/>
  <c r="L27" i="17" s="1"/>
  <c r="I26" i="17"/>
  <c r="I27" i="17" s="1"/>
  <c r="E26" i="17"/>
  <c r="E27" i="17" s="1"/>
  <c r="M26" i="17"/>
  <c r="M27" i="17" s="1"/>
  <c r="D20" i="3"/>
  <c r="N24" i="17"/>
  <c r="G17" i="4" s="1"/>
  <c r="D18" i="3"/>
  <c r="D14" i="3"/>
  <c r="H14" i="3" s="1"/>
  <c r="D11" i="3"/>
  <c r="H11" i="3" s="1"/>
  <c r="N23" i="17"/>
  <c r="G16" i="4" s="1"/>
  <c r="B26" i="17"/>
  <c r="B27" i="17" s="1"/>
  <c r="F26" i="17"/>
  <c r="F27" i="17" s="1"/>
  <c r="J26" i="17"/>
  <c r="J27" i="17" s="1"/>
  <c r="C26" i="17"/>
  <c r="C27" i="17" s="1"/>
  <c r="G26" i="17"/>
  <c r="G27" i="17" s="1"/>
  <c r="K26" i="17"/>
  <c r="K27" i="17" s="1"/>
  <c r="D12" i="3"/>
  <c r="H12" i="3" s="1"/>
  <c r="N21" i="17"/>
  <c r="N25" i="17"/>
  <c r="H16" i="3" l="1"/>
  <c r="N26" i="17"/>
  <c r="N27" i="17" s="1"/>
  <c r="A10" i="4" l="1"/>
  <c r="A11" i="4" s="1"/>
  <c r="A12" i="4" s="1"/>
  <c r="A13" i="4" s="1"/>
  <c r="A15" i="4" s="1"/>
  <c r="A16" i="4" s="1"/>
  <c r="A17" i="4" s="1"/>
  <c r="A18" i="4" s="1"/>
  <c r="A20" i="4" l="1"/>
  <c r="A21" i="4" s="1"/>
  <c r="A22" i="4" s="1"/>
  <c r="A23" i="4" s="1"/>
  <c r="A24" i="4" s="1"/>
  <c r="G20" i="3"/>
  <c r="G19" i="3"/>
  <c r="G18" i="3"/>
  <c r="C12" i="2" l="1"/>
  <c r="E12" i="4" s="1"/>
  <c r="E12" i="2" l="1"/>
  <c r="G12" i="4" s="1"/>
  <c r="H18" i="3"/>
  <c r="H20" i="3"/>
  <c r="H19" i="3"/>
  <c r="D16" i="3" l="1"/>
  <c r="G18" i="4"/>
  <c r="H21" i="3"/>
  <c r="D21" i="3"/>
  <c r="D22" i="3" l="1"/>
  <c r="D23" i="3" s="1"/>
  <c r="H22" i="3"/>
  <c r="I16" i="3" s="1"/>
  <c r="D10" i="4" l="1"/>
  <c r="I21" i="3"/>
  <c r="I22" i="3" l="1"/>
  <c r="E10" i="4"/>
  <c r="D11" i="4"/>
  <c r="D12" i="4" s="1"/>
  <c r="G10" i="4" l="1"/>
  <c r="G21" i="4" s="1"/>
  <c r="G24" i="4" s="1"/>
  <c r="E11" i="4"/>
  <c r="G11" i="4" s="1"/>
  <c r="G22" i="4" s="1"/>
  <c r="E13" i="4" l="1"/>
  <c r="G13" i="4"/>
</calcChain>
</file>

<file path=xl/sharedStrings.xml><?xml version="1.0" encoding="utf-8"?>
<sst xmlns="http://schemas.openxmlformats.org/spreadsheetml/2006/main" count="286" uniqueCount="173">
  <si>
    <t>41T</t>
  </si>
  <si>
    <t>85T</t>
  </si>
  <si>
    <t>87T</t>
  </si>
  <si>
    <t>Total</t>
  </si>
  <si>
    <t>Schedule</t>
  </si>
  <si>
    <t>Gas Conservation Revenue Requirement</t>
  </si>
  <si>
    <t xml:space="preserve">Line No. </t>
  </si>
  <si>
    <t>Description</t>
  </si>
  <si>
    <t>Amount</t>
  </si>
  <si>
    <t>Conversion Factor</t>
  </si>
  <si>
    <t>Revenue Requirement</t>
  </si>
  <si>
    <t>Total to be Recovered</t>
  </si>
  <si>
    <t>Puget Sound Energy</t>
  </si>
  <si>
    <t>Forecasted</t>
  </si>
  <si>
    <t>Volume</t>
  </si>
  <si>
    <t>Demand</t>
  </si>
  <si>
    <t xml:space="preserve"> Commodity</t>
  </si>
  <si>
    <t>Projected</t>
  </si>
  <si>
    <t>Gas Cost</t>
  </si>
  <si>
    <t>Recovery</t>
  </si>
  <si>
    <t>Total Firm</t>
  </si>
  <si>
    <t>Total Interruptible</t>
  </si>
  <si>
    <t>Residential</t>
  </si>
  <si>
    <t>Residential Propane</t>
  </si>
  <si>
    <t>Commercial &amp; Industrial</t>
  </si>
  <si>
    <t>Interruptible</t>
  </si>
  <si>
    <t>Limited Interruptible</t>
  </si>
  <si>
    <t>Non-exclusive Interruptible</t>
  </si>
  <si>
    <t>Check</t>
  </si>
  <si>
    <t>Percent</t>
  </si>
  <si>
    <t>of</t>
  </si>
  <si>
    <t>Firm Schedules</t>
  </si>
  <si>
    <t>Interruptible Schedules</t>
  </si>
  <si>
    <t>Projected Sales Volume (Therms)</t>
  </si>
  <si>
    <t>Allocation</t>
  </si>
  <si>
    <t>Costs</t>
  </si>
  <si>
    <t>With Revenue</t>
  </si>
  <si>
    <t>Sensitive Items</t>
  </si>
  <si>
    <t>Conversion</t>
  </si>
  <si>
    <t>Factor</t>
  </si>
  <si>
    <t>$/therm</t>
  </si>
  <si>
    <t>Line</t>
  </si>
  <si>
    <t>Firm Schedules (line 2E / line 7E)</t>
  </si>
  <si>
    <t>Interruptible Schedules (line 3E / line 8E)</t>
  </si>
  <si>
    <t>Calculation of Schedule 120 Rates</t>
  </si>
  <si>
    <t>Large Volume</t>
  </si>
  <si>
    <t>86T</t>
  </si>
  <si>
    <t>Contracts</t>
  </si>
  <si>
    <t>$/mantle</t>
  </si>
  <si>
    <t>Proposed Rates</t>
  </si>
  <si>
    <t>Schedule 16 Gas Lights (line 11E * 19 therms/mantle)</t>
  </si>
  <si>
    <r>
      <t>Schedule 101 Volumetric Rates</t>
    </r>
    <r>
      <rPr>
        <vertAlign val="superscript"/>
        <sz val="11"/>
        <color theme="1"/>
        <rFont val="Calibri"/>
        <family val="2"/>
      </rPr>
      <t xml:space="preserve"> (1)</t>
    </r>
  </si>
  <si>
    <t>31T</t>
  </si>
  <si>
    <t>Total Transportation</t>
  </si>
  <si>
    <t>Total Delivered</t>
  </si>
  <si>
    <t>Residential Lights</t>
  </si>
  <si>
    <t>(a)</t>
  </si>
  <si>
    <t>(b)</t>
  </si>
  <si>
    <t>(c)</t>
  </si>
  <si>
    <t>(d)</t>
  </si>
  <si>
    <t>(e)</t>
  </si>
  <si>
    <t>Development of Firm and Interruptible Allocation Factors</t>
  </si>
  <si>
    <t>No.</t>
  </si>
  <si>
    <t>(f)=(d)+(e)</t>
  </si>
  <si>
    <t>(g)=(c)*(f)</t>
  </si>
  <si>
    <t>(h)</t>
  </si>
  <si>
    <t>Forecasted Therm Volumes</t>
  </si>
  <si>
    <t>Estimated Under (Over) Collection from Prior Year</t>
  </si>
  <si>
    <t>2022 Gas Schedule 120 Conservation Filing</t>
  </si>
  <si>
    <t>Proposed Effective May 1, 2022</t>
  </si>
  <si>
    <t xml:space="preserve">Source: F2021 Load Forecast Calendar Month Therms (07-22-2021)  </t>
  </si>
  <si>
    <r>
      <rPr>
        <vertAlign val="superscript"/>
        <sz val="10"/>
        <color theme="1"/>
        <rFont val="Calibri"/>
        <family val="2"/>
      </rPr>
      <t xml:space="preserve">(1) </t>
    </r>
    <r>
      <rPr>
        <sz val="10"/>
        <color theme="1"/>
        <rFont val="Calibri"/>
        <family val="2"/>
        <scheme val="minor"/>
      </rPr>
      <t>UG-210721, Volumetric Schedule 101 rates effective November 1, 2021 (excluding revenue sensitive items)</t>
    </r>
  </si>
  <si>
    <t xml:space="preserve">2022 Conservation Costs (12 Months) </t>
  </si>
  <si>
    <t>Rate Change Impacts by Rate Schedule</t>
  </si>
  <si>
    <t>Proposed Rates Effective May 1, 2022</t>
  </si>
  <si>
    <t>UG-190530</t>
  </si>
  <si>
    <t>Base Sch.</t>
  </si>
  <si>
    <t>Therms</t>
  </si>
  <si>
    <t>12ME Apr. 2023</t>
  </si>
  <si>
    <t>Sch. 120</t>
  </si>
  <si>
    <t>Rate</t>
  </si>
  <si>
    <t>Base Schedule</t>
  </si>
  <si>
    <t>May 2022 -</t>
  </si>
  <si>
    <t>Sch. 101</t>
  </si>
  <si>
    <t>Sch. 106</t>
  </si>
  <si>
    <t>Sch. 129</t>
  </si>
  <si>
    <t>Sch. 140</t>
  </si>
  <si>
    <t>Sch. 141X</t>
  </si>
  <si>
    <t>Sch. 141Z</t>
  </si>
  <si>
    <t>Sch. 142</t>
  </si>
  <si>
    <t>Sch. 149</t>
  </si>
  <si>
    <t>Total Forecasted</t>
  </si>
  <si>
    <t>Revenue</t>
  </si>
  <si>
    <t>Rate Class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</si>
  <si>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</si>
  <si>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</si>
  <si>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</si>
  <si>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Apr. 2023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</si>
  <si>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</si>
  <si>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</si>
  <si>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</si>
  <si>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</si>
  <si>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</si>
  <si>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</si>
  <si>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</si>
  <si>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</si>
  <si>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</si>
  <si>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</si>
  <si>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</si>
  <si>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</si>
  <si>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</si>
  <si>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</si>
  <si>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</si>
  <si>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</si>
  <si>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</si>
  <si>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</si>
  <si>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 = sum(G:P)</t>
  </si>
  <si>
    <t xml:space="preserve">R </t>
  </si>
  <si>
    <t>S= R/Q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</si>
  <si>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</si>
  <si>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</si>
  <si>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</si>
  <si>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</si>
  <si>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</si>
  <si>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</si>
  <si>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</si>
  <si>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</si>
  <si>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</si>
  <si>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</si>
  <si>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</si>
  <si>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</si>
  <si>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</si>
  <si>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</si>
  <si>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</si>
  <si>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</si>
  <si>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</si>
  <si>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</si>
  <si>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December 2018, at approved rates from UG-190530 GRC IRS PLR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</si>
  <si>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November 1, 2021.</t>
    </r>
  </si>
  <si>
    <t>Typical Residential Bill Impacts</t>
  </si>
  <si>
    <t>Schedule 120 Conservation</t>
  </si>
  <si>
    <t>Current Rates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</si>
  <si>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</si>
  <si>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</si>
  <si>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</si>
  <si>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</si>
  <si>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</si>
  <si>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</si>
  <si>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 (Sch. 23)</t>
  </si>
  <si>
    <t>Subtotal</t>
  </si>
  <si>
    <t>Volumetric charges ($/therm)</t>
  </si>
  <si>
    <t>Delivery charge (Sch. 23)</t>
  </si>
  <si>
    <t>Low income charge (Sch. 129)</t>
  </si>
  <si>
    <t>Property tax charge (Sch. 140)</t>
  </si>
  <si>
    <t>EDIT adjusting charge (Sch. 141X)</t>
  </si>
  <si>
    <t>UP EDIT adjusting charge (Sch. 141Z)</t>
  </si>
  <si>
    <t>Decoupling charge (Sch. 142)</t>
  </si>
  <si>
    <t>CRM Charge (Sch. 149)</t>
  </si>
  <si>
    <t>Conservation charge (Sch. 120)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</si>
  <si>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</si>
  <si>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</si>
  <si>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</si>
  <si>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</si>
  <si>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</si>
  <si>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</si>
  <si>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</si>
  <si>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November 1, 2021</t>
    </r>
  </si>
  <si>
    <t>Gas Schedule 120</t>
  </si>
  <si>
    <t>Conservation Program Tracker</t>
  </si>
  <si>
    <t>Current</t>
  </si>
  <si>
    <t>Proposed</t>
  </si>
  <si>
    <t>Sched 120</t>
  </si>
  <si>
    <t>Volume (Therms)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</si>
</sst>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_);_(&quot;$&quot;* \(#,##0.00000\);_(&quot;$&quot;* &quot;-&quot;??_);_(@_)"/>
    <numFmt numFmtId="166" formatCode="0.000000"/>
    <numFmt numFmtId="167" formatCode="_(&quot;$&quot;* #,##0.000000_);_(&quot;$&quot;* \(#,##0.000000\);_(&quot;$&quot;* &quot;-&quot;_);_(@_)"/>
    <numFmt numFmtId="168" formatCode="_(&quot;$&quot;* #,##0.0000000_);_(&quot;$&quot;* \(#,##0.0000000\);_(&quot;$&quot;* &quot;-&quot;??_);_(@_)"/>
    <numFmt numFmtId="169" formatCode="_(* #,##0_);_(* \(#,##0\);_(* &quot;-&quot;??_);_(@_)"/>
    <numFmt numFmtId="170" formatCode="_(&quot;$&quot;* #,##0_);_(&quot;$&quot;* \(#,##0\);_(&quot;$&quot;* &quot;-&quot;??_);_(@_)"/>
    <numFmt numFmtId="171" formatCode="_(&quot;$&quot;* #,##0.00_);_(&quot;$&quot;* \(#,##0.00\);_(&quot;$&quot;* &quot;-&quot;_);_(@_)"/>
    <numFmt numFmtId="172" formatCode="0.0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rgb="FF00808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43" fontId="10" fillId="0" borderId="0" applyFont="0" applyFill="0" applyBorder="0" applyAlignment="0" applyProtection="0"/>
  </cellStyleXfs>
  <cellXfs count="148">
    <xf numFmtId="0" fontId="0" fillId="0" borderId="0" xfId="0"/>
    <xf numFmtId="10" fontId="0" fillId="0" borderId="0" xfId="0" applyNumberFormat="1" applyFont="1"/>
    <xf numFmtId="43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left"/>
    </xf>
    <xf numFmtId="3" fontId="0" fillId="0" borderId="0" xfId="0" applyNumberFormat="1" applyFont="1"/>
    <xf numFmtId="3" fontId="0" fillId="0" borderId="2" xfId="0" applyNumberFormat="1" applyFont="1" applyBorder="1"/>
    <xf numFmtId="10" fontId="0" fillId="0" borderId="2" xfId="0" applyNumberFormat="1" applyFont="1" applyBorder="1"/>
    <xf numFmtId="164" fontId="0" fillId="0" borderId="0" xfId="0" applyNumberFormat="1" applyFont="1"/>
    <xf numFmtId="164" fontId="2" fillId="0" borderId="0" xfId="0" applyNumberFormat="1" applyFont="1" applyFill="1"/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4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Continuous"/>
    </xf>
    <xf numFmtId="42" fontId="0" fillId="0" borderId="0" xfId="0" applyNumberFormat="1" applyFont="1"/>
    <xf numFmtId="10" fontId="4" fillId="0" borderId="0" xfId="0" applyNumberFormat="1" applyFont="1"/>
    <xf numFmtId="0" fontId="4" fillId="0" borderId="0" xfId="0" applyFont="1" applyFill="1"/>
    <xf numFmtId="170" fontId="0" fillId="0" borderId="0" xfId="0" applyNumberFormat="1" applyFont="1"/>
    <xf numFmtId="167" fontId="0" fillId="0" borderId="0" xfId="0" applyNumberFormat="1" applyFont="1"/>
    <xf numFmtId="42" fontId="4" fillId="0" borderId="2" xfId="0" applyNumberFormat="1" applyFont="1" applyFill="1" applyBorder="1"/>
    <xf numFmtId="44" fontId="0" fillId="0" borderId="0" xfId="0" applyNumberFormat="1" applyFont="1"/>
    <xf numFmtId="168" fontId="0" fillId="0" borderId="0" xfId="0" applyNumberFormat="1" applyFont="1"/>
    <xf numFmtId="39" fontId="0" fillId="0" borderId="0" xfId="0" applyNumberFormat="1" applyFont="1"/>
    <xf numFmtId="165" fontId="0" fillId="0" borderId="0" xfId="0" applyNumberFormat="1" applyFont="1" applyBorder="1"/>
    <xf numFmtId="44" fontId="0" fillId="0" borderId="0" xfId="0" applyNumberFormat="1" applyFont="1" applyBorder="1"/>
    <xf numFmtId="0" fontId="0" fillId="0" borderId="1" xfId="0" applyFont="1" applyFill="1" applyBorder="1" applyAlignment="1">
      <alignment horizontal="center"/>
    </xf>
    <xf numFmtId="42" fontId="0" fillId="0" borderId="2" xfId="0" applyNumberFormat="1" applyFont="1" applyBorder="1"/>
    <xf numFmtId="164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0" fontId="0" fillId="0" borderId="1" xfId="0" applyFont="1" applyFill="1" applyBorder="1" applyAlignment="1">
      <alignment horizontal="center" wrapText="1"/>
    </xf>
    <xf numFmtId="42" fontId="0" fillId="0" borderId="0" xfId="0" applyNumberFormat="1" applyFont="1" applyFill="1" applyAlignment="1">
      <alignment horizontal="center"/>
    </xf>
    <xf numFmtId="0" fontId="0" fillId="0" borderId="0" xfId="0" quotePrefix="1" applyFont="1" applyFill="1" applyBorder="1" applyAlignment="1">
      <alignment horizontal="left"/>
    </xf>
    <xf numFmtId="42" fontId="2" fillId="0" borderId="0" xfId="0" applyNumberFormat="1" applyFont="1" applyFill="1"/>
    <xf numFmtId="166" fontId="2" fillId="0" borderId="0" xfId="0" applyNumberFormat="1" applyFont="1" applyFill="1"/>
    <xf numFmtId="42" fontId="2" fillId="0" borderId="1" xfId="0" applyNumberFormat="1" applyFont="1" applyFill="1" applyBorder="1"/>
    <xf numFmtId="42" fontId="0" fillId="0" borderId="1" xfId="0" applyNumberFormat="1" applyFont="1" applyFill="1" applyBorder="1"/>
    <xf numFmtId="42" fontId="0" fillId="0" borderId="3" xfId="0" applyNumberFormat="1" applyFont="1" applyFill="1" applyBorder="1"/>
    <xf numFmtId="164" fontId="6" fillId="0" borderId="0" xfId="0" applyNumberFormat="1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Continuous"/>
    </xf>
    <xf numFmtId="17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0" fontId="7" fillId="0" borderId="0" xfId="0" applyFont="1" applyAlignment="1">
      <alignment horizontal="left"/>
    </xf>
    <xf numFmtId="169" fontId="7" fillId="0" borderId="0" xfId="0" applyNumberFormat="1" applyFont="1"/>
    <xf numFmtId="0" fontId="0" fillId="0" borderId="0" xfId="0" applyFont="1" applyAlignment="1">
      <alignment horizontal="center"/>
    </xf>
    <xf numFmtId="0" fontId="8" fillId="0" borderId="0" xfId="0" applyFont="1" applyFill="1"/>
    <xf numFmtId="17" fontId="2" fillId="0" borderId="1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0" fontId="0" fillId="0" borderId="1" xfId="0" applyFont="1" applyBorder="1"/>
    <xf numFmtId="0" fontId="1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4" fillId="0" borderId="0" xfId="0" applyNumberFormat="1" applyFont="1"/>
    <xf numFmtId="165" fontId="0" fillId="0" borderId="0" xfId="0" applyNumberFormat="1"/>
    <xf numFmtId="42" fontId="0" fillId="0" borderId="0" xfId="0" applyNumberFormat="1"/>
    <xf numFmtId="42" fontId="11" fillId="0" borderId="0" xfId="0" applyNumberFormat="1" applyFont="1"/>
    <xf numFmtId="42" fontId="2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11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3" fontId="15" fillId="0" borderId="0" xfId="0" applyNumberFormat="1" applyFont="1" applyBorder="1"/>
    <xf numFmtId="42" fontId="15" fillId="0" borderId="0" xfId="0" applyNumberFormat="1" applyFont="1" applyBorder="1"/>
    <xf numFmtId="0" fontId="15" fillId="0" borderId="0" xfId="0" applyFont="1"/>
    <xf numFmtId="42" fontId="15" fillId="0" borderId="0" xfId="0" applyNumberFormat="1" applyFont="1"/>
    <xf numFmtId="10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9" fontId="15" fillId="0" borderId="0" xfId="0" applyNumberFormat="1" applyFont="1" applyFill="1"/>
    <xf numFmtId="170" fontId="15" fillId="0" borderId="0" xfId="0" applyNumberFormat="1" applyFont="1" applyFill="1"/>
    <xf numFmtId="169" fontId="15" fillId="0" borderId="0" xfId="3" applyNumberFormat="1" applyFont="1" applyFill="1"/>
    <xf numFmtId="0" fontId="15" fillId="0" borderId="0" xfId="0" applyFont="1" applyFill="1" applyBorder="1" applyAlignment="1">
      <alignment horizontal="left" vertical="center" textRotation="180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169" fontId="15" fillId="0" borderId="2" xfId="0" applyNumberFormat="1" applyFont="1" applyFill="1" applyBorder="1"/>
    <xf numFmtId="170" fontId="15" fillId="0" borderId="2" xfId="0" applyNumberFormat="1" applyFont="1" applyFill="1" applyBorder="1"/>
    <xf numFmtId="165" fontId="0" fillId="0" borderId="2" xfId="0" applyNumberFormat="1" applyBorder="1"/>
    <xf numFmtId="169" fontId="15" fillId="0" borderId="2" xfId="3" applyNumberFormat="1" applyFont="1" applyFill="1" applyBorder="1"/>
    <xf numFmtId="0" fontId="15" fillId="0" borderId="0" xfId="0" applyFont="1" applyFill="1"/>
    <xf numFmtId="0" fontId="15" fillId="0" borderId="0" xfId="0" applyFont="1" applyBorder="1"/>
    <xf numFmtId="44" fontId="15" fillId="0" borderId="0" xfId="0" applyNumberFormat="1" applyFont="1"/>
    <xf numFmtId="170" fontId="0" fillId="0" borderId="0" xfId="0" applyNumberFormat="1"/>
    <xf numFmtId="0" fontId="11" fillId="0" borderId="0" xfId="0" applyFont="1" applyFill="1" applyAlignment="1">
      <alignment horizontal="centerContinuous"/>
    </xf>
    <xf numFmtId="0" fontId="11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Continuous"/>
    </xf>
    <xf numFmtId="0" fontId="11" fillId="0" borderId="1" xfId="0" applyFont="1" applyBorder="1" applyAlignment="1">
      <alignment horizontal="centerContinuous"/>
    </xf>
    <xf numFmtId="0" fontId="11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7" fillId="0" borderId="0" xfId="0" applyFont="1"/>
    <xf numFmtId="171" fontId="11" fillId="0" borderId="0" xfId="0" applyNumberFormat="1" applyFont="1"/>
    <xf numFmtId="0" fontId="17" fillId="0" borderId="0" xfId="0" applyFont="1" applyBorder="1"/>
    <xf numFmtId="44" fontId="17" fillId="0" borderId="0" xfId="0" applyNumberFormat="1" applyFont="1" applyBorder="1"/>
    <xf numFmtId="44" fontId="11" fillId="0" borderId="0" xfId="0" applyNumberFormat="1" applyFont="1"/>
    <xf numFmtId="44" fontId="11" fillId="0" borderId="2" xfId="0" applyNumberFormat="1" applyFont="1" applyBorder="1"/>
    <xf numFmtId="44" fontId="17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Border="1"/>
    <xf numFmtId="164" fontId="11" fillId="0" borderId="0" xfId="0" applyNumberFormat="1" applyFont="1"/>
    <xf numFmtId="164" fontId="4" fillId="0" borderId="0" xfId="0" applyNumberFormat="1" applyFont="1" applyFill="1"/>
    <xf numFmtId="164" fontId="11" fillId="0" borderId="2" xfId="0" applyNumberFormat="1" applyFont="1" applyBorder="1"/>
    <xf numFmtId="171" fontId="11" fillId="0" borderId="2" xfId="0" applyNumberFormat="1" applyFont="1" applyBorder="1"/>
    <xf numFmtId="164" fontId="11" fillId="0" borderId="0" xfId="0" applyNumberFormat="1" applyFont="1" applyBorder="1"/>
    <xf numFmtId="44" fontId="11" fillId="0" borderId="0" xfId="0" applyNumberFormat="1" applyFont="1" applyBorder="1"/>
    <xf numFmtId="172" fontId="11" fillId="0" borderId="0" xfId="0" applyNumberFormat="1" applyFont="1"/>
    <xf numFmtId="172" fontId="11" fillId="0" borderId="0" xfId="0" applyNumberFormat="1" applyFont="1" applyBorder="1"/>
    <xf numFmtId="10" fontId="11" fillId="0" borderId="0" xfId="0" applyNumberFormat="1" applyFont="1"/>
    <xf numFmtId="0" fontId="11" fillId="0" borderId="0" xfId="0" applyFont="1" applyFill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0" xfId="0" applyNumberFormat="1" applyFont="1" applyFill="1"/>
    <xf numFmtId="165" fontId="4" fillId="0" borderId="0" xfId="0" applyNumberFormat="1" applyFont="1" applyFill="1"/>
    <xf numFmtId="172" fontId="0" fillId="0" borderId="0" xfId="0" applyNumberFormat="1" applyFont="1"/>
    <xf numFmtId="165" fontId="2" fillId="0" borderId="0" xfId="0" applyNumberFormat="1" applyFont="1"/>
    <xf numFmtId="165" fontId="2" fillId="0" borderId="1" xfId="0" applyNumberFormat="1" applyFont="1" applyBorder="1"/>
    <xf numFmtId="165" fontId="0" fillId="0" borderId="0" xfId="0" applyNumberFormat="1" applyFont="1"/>
    <xf numFmtId="165" fontId="0" fillId="0" borderId="2" xfId="0" applyNumberFormat="1" applyFont="1" applyBorder="1"/>
    <xf numFmtId="172" fontId="0" fillId="0" borderId="2" xfId="0" applyNumberFormat="1" applyFont="1" applyBorder="1"/>
    <xf numFmtId="3" fontId="11" fillId="0" borderId="0" xfId="0" applyNumberFormat="1" applyFont="1" applyFill="1" applyBorder="1"/>
    <xf numFmtId="164" fontId="11" fillId="0" borderId="0" xfId="0" applyNumberFormat="1" applyFont="1" applyFill="1"/>
    <xf numFmtId="164" fontId="11" fillId="0" borderId="0" xfId="0" applyNumberFormat="1" applyFont="1" applyFill="1" applyBorder="1"/>
    <xf numFmtId="3" fontId="2" fillId="0" borderId="0" xfId="0" applyNumberFormat="1" applyFont="1"/>
    <xf numFmtId="44" fontId="2" fillId="0" borderId="0" xfId="0" applyNumberFormat="1" applyFont="1"/>
    <xf numFmtId="164" fontId="2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7" fontId="0" fillId="0" borderId="0" xfId="0" applyNumberFormat="1" applyFont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 2 16 2" xfId="2"/>
  </cellStyles>
  <dxfs count="0"/>
  <tableStyles count="0" defaultTableStyle="TableStyleMedium9" defaultPivotStyle="PivotStyleLight16"/>
  <colors>
    <mruColors>
      <color rgb="FF0000FF"/>
      <color rgb="FF4F81BD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90" zoomScaleNormal="90" workbookViewId="0">
      <selection activeCell="C26" sqref="C26"/>
    </sheetView>
  </sheetViews>
  <sheetFormatPr defaultColWidth="8.7109375" defaultRowHeight="15" x14ac:dyDescent="0.25"/>
  <cols>
    <col min="1" max="1" width="4.7109375" style="3" customWidth="1"/>
    <col min="2" max="2" width="3.42578125" style="3" customWidth="1"/>
    <col min="3" max="3" width="28.5703125" style="3" customWidth="1"/>
    <col min="4" max="4" width="10.140625" style="3" bestFit="1" customWidth="1"/>
    <col min="5" max="5" width="15.140625" style="3" customWidth="1"/>
    <col min="6" max="6" width="13" style="3" customWidth="1"/>
    <col min="7" max="7" width="15.140625" style="3" customWidth="1"/>
    <col min="8" max="8" width="8.7109375" style="3"/>
    <col min="9" max="9" width="12.28515625" style="3" bestFit="1" customWidth="1"/>
    <col min="10" max="10" width="12" style="3" bestFit="1" customWidth="1"/>
    <col min="11" max="16384" width="8.7109375" style="3"/>
  </cols>
  <sheetData>
    <row r="1" spans="1:9" x14ac:dyDescent="0.25">
      <c r="A1" s="145" t="s">
        <v>12</v>
      </c>
      <c r="B1" s="145"/>
      <c r="C1" s="145"/>
      <c r="D1" s="145"/>
      <c r="E1" s="145"/>
      <c r="F1" s="145"/>
      <c r="G1" s="145"/>
    </row>
    <row r="2" spans="1:9" x14ac:dyDescent="0.25">
      <c r="A2" s="145" t="s">
        <v>68</v>
      </c>
      <c r="B2" s="145"/>
      <c r="C2" s="145"/>
      <c r="D2" s="145"/>
      <c r="E2" s="145"/>
      <c r="F2" s="145"/>
      <c r="G2" s="145"/>
    </row>
    <row r="3" spans="1:9" x14ac:dyDescent="0.25">
      <c r="A3" s="145" t="s">
        <v>44</v>
      </c>
      <c r="B3" s="145"/>
      <c r="C3" s="145"/>
      <c r="D3" s="145"/>
      <c r="E3" s="145"/>
      <c r="F3" s="145"/>
      <c r="G3" s="145"/>
    </row>
    <row r="4" spans="1:9" x14ac:dyDescent="0.25">
      <c r="A4" s="145" t="s">
        <v>69</v>
      </c>
      <c r="B4" s="145"/>
      <c r="C4" s="145"/>
      <c r="D4" s="145"/>
      <c r="E4" s="145"/>
      <c r="F4" s="145"/>
      <c r="G4" s="145"/>
    </row>
    <row r="6" spans="1:9" x14ac:dyDescent="0.25">
      <c r="A6" s="13" t="s">
        <v>41</v>
      </c>
      <c r="D6" s="15"/>
      <c r="E6" s="15"/>
      <c r="F6" s="15" t="s">
        <v>38</v>
      </c>
      <c r="G6" s="15" t="s">
        <v>36</v>
      </c>
    </row>
    <row r="7" spans="1:9" x14ac:dyDescent="0.25">
      <c r="A7" s="16" t="s">
        <v>62</v>
      </c>
      <c r="B7" s="17" t="s">
        <v>7</v>
      </c>
      <c r="C7" s="17"/>
      <c r="D7" s="16" t="s">
        <v>34</v>
      </c>
      <c r="E7" s="16" t="s">
        <v>35</v>
      </c>
      <c r="F7" s="16" t="s">
        <v>39</v>
      </c>
      <c r="G7" s="16" t="s">
        <v>37</v>
      </c>
      <c r="I7" s="18"/>
    </row>
    <row r="8" spans="1:9" x14ac:dyDescent="0.25">
      <c r="A8" s="19"/>
      <c r="B8" s="20"/>
      <c r="C8" s="20" t="s">
        <v>56</v>
      </c>
      <c r="D8" s="15" t="s">
        <v>57</v>
      </c>
      <c r="E8" s="15" t="s">
        <v>58</v>
      </c>
      <c r="F8" s="15" t="s">
        <v>59</v>
      </c>
      <c r="G8" s="15" t="s">
        <v>60</v>
      </c>
      <c r="I8" s="18"/>
    </row>
    <row r="9" spans="1:9" x14ac:dyDescent="0.25">
      <c r="A9" s="13">
        <v>1</v>
      </c>
      <c r="B9" s="3" t="s">
        <v>10</v>
      </c>
      <c r="E9" s="21"/>
      <c r="G9" s="21"/>
    </row>
    <row r="10" spans="1:9" x14ac:dyDescent="0.25">
      <c r="A10" s="13">
        <f>A9+1</f>
        <v>2</v>
      </c>
      <c r="C10" s="3" t="s">
        <v>31</v>
      </c>
      <c r="D10" s="22">
        <f>Allocation!I16</f>
        <v>0.96995780668809684</v>
      </c>
      <c r="E10" s="21">
        <f>E12*D10</f>
        <v>20342333.231843136</v>
      </c>
      <c r="F10" s="23">
        <f>'Rev Requirement'!$D$8</f>
        <v>0.95455299999999998</v>
      </c>
      <c r="G10" s="24">
        <f>E10/F10</f>
        <v>21310847.30951884</v>
      </c>
      <c r="I10" s="25"/>
    </row>
    <row r="11" spans="1:9" x14ac:dyDescent="0.25">
      <c r="A11" s="13">
        <f t="shared" ref="A11:A24" si="0">A10+1</f>
        <v>3</v>
      </c>
      <c r="C11" s="3" t="s">
        <v>32</v>
      </c>
      <c r="D11" s="1">
        <f>1-D10</f>
        <v>3.0042193311903165E-2</v>
      </c>
      <c r="E11" s="21">
        <f>E12-E10</f>
        <v>630056.58921687678</v>
      </c>
      <c r="F11" s="23">
        <f>'Rev Requirement'!$D$8</f>
        <v>0.95455299999999998</v>
      </c>
      <c r="G11" s="21">
        <f>E11/F11</f>
        <v>660054.06637125101</v>
      </c>
    </row>
    <row r="12" spans="1:9" x14ac:dyDescent="0.25">
      <c r="A12" s="13">
        <f t="shared" si="0"/>
        <v>4</v>
      </c>
      <c r="C12" s="3" t="s">
        <v>3</v>
      </c>
      <c r="D12" s="7">
        <f>SUM(D10:D11)</f>
        <v>1</v>
      </c>
      <c r="E12" s="26">
        <f>'Rev Requirement'!C12</f>
        <v>20972389.821060013</v>
      </c>
      <c r="G12" s="26">
        <f>'Rev Requirement'!E12</f>
        <v>21970901.375890091</v>
      </c>
    </row>
    <row r="13" spans="1:9" x14ac:dyDescent="0.25">
      <c r="A13" s="13">
        <f t="shared" si="0"/>
        <v>5</v>
      </c>
      <c r="C13" s="3" t="s">
        <v>28</v>
      </c>
      <c r="E13" s="21">
        <f>E12-SUM(E10:E11)</f>
        <v>0</v>
      </c>
      <c r="G13" s="21">
        <f>G12-SUM(G10:G11)</f>
        <v>0</v>
      </c>
    </row>
    <row r="14" spans="1:9" x14ac:dyDescent="0.25">
      <c r="A14" s="46"/>
    </row>
    <row r="15" spans="1:9" x14ac:dyDescent="0.25">
      <c r="A15" s="46">
        <f>A13+1</f>
        <v>6</v>
      </c>
      <c r="B15" s="3" t="s">
        <v>33</v>
      </c>
    </row>
    <row r="16" spans="1:9" x14ac:dyDescent="0.25">
      <c r="A16" s="46">
        <f t="shared" si="0"/>
        <v>7</v>
      </c>
      <c r="C16" s="3" t="s">
        <v>31</v>
      </c>
      <c r="G16" s="12">
        <f>'Forecasted Volume'!N23</f>
        <v>946115159</v>
      </c>
    </row>
    <row r="17" spans="1:10" x14ac:dyDescent="0.25">
      <c r="A17" s="46">
        <f t="shared" si="0"/>
        <v>8</v>
      </c>
      <c r="C17" s="3" t="s">
        <v>32</v>
      </c>
      <c r="G17" s="12">
        <f>'Forecasted Volume'!N24</f>
        <v>33684582</v>
      </c>
    </row>
    <row r="18" spans="1:10" x14ac:dyDescent="0.25">
      <c r="A18" s="46">
        <f t="shared" si="0"/>
        <v>9</v>
      </c>
      <c r="C18" s="3" t="s">
        <v>3</v>
      </c>
      <c r="G18" s="6">
        <f>SUM(G16:G17)</f>
        <v>979799741</v>
      </c>
    </row>
    <row r="19" spans="1:10" x14ac:dyDescent="0.25">
      <c r="A19" s="46"/>
    </row>
    <row r="20" spans="1:10" x14ac:dyDescent="0.25">
      <c r="A20" s="46">
        <f>A18+1</f>
        <v>10</v>
      </c>
      <c r="B20" s="3" t="s">
        <v>49</v>
      </c>
    </row>
    <row r="21" spans="1:10" x14ac:dyDescent="0.25">
      <c r="A21" s="46">
        <f t="shared" si="0"/>
        <v>11</v>
      </c>
      <c r="C21" s="3" t="s">
        <v>42</v>
      </c>
      <c r="F21" s="3" t="s">
        <v>40</v>
      </c>
      <c r="G21" s="30">
        <f>ROUND(G10/G16,5)</f>
        <v>2.2519999999999998E-2</v>
      </c>
      <c r="H21" s="27"/>
      <c r="J21" s="28"/>
    </row>
    <row r="22" spans="1:10" x14ac:dyDescent="0.25">
      <c r="A22" s="46">
        <f t="shared" si="0"/>
        <v>12</v>
      </c>
      <c r="C22" s="3" t="s">
        <v>43</v>
      </c>
      <c r="F22" s="3" t="s">
        <v>40</v>
      </c>
      <c r="G22" s="30">
        <f>ROUND(G11/G17,5)</f>
        <v>1.9599999999999999E-2</v>
      </c>
      <c r="J22" s="28"/>
    </row>
    <row r="23" spans="1:10" x14ac:dyDescent="0.25">
      <c r="A23" s="46">
        <f t="shared" si="0"/>
        <v>13</v>
      </c>
      <c r="G23" s="31"/>
    </row>
    <row r="24" spans="1:10" x14ac:dyDescent="0.25">
      <c r="A24" s="46">
        <f t="shared" si="0"/>
        <v>14</v>
      </c>
      <c r="C24" s="3" t="s">
        <v>50</v>
      </c>
      <c r="F24" s="3" t="s">
        <v>48</v>
      </c>
      <c r="G24" s="31">
        <f>ROUND(G21*19,2)</f>
        <v>0.43</v>
      </c>
    </row>
    <row r="26" spans="1:10" x14ac:dyDescent="0.25">
      <c r="G26" s="29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B1" zoomScale="90" zoomScaleNormal="90" workbookViewId="0">
      <selection activeCell="D27" sqref="D27"/>
    </sheetView>
  </sheetViews>
  <sheetFormatPr defaultColWidth="8.7109375" defaultRowHeight="15" x14ac:dyDescent="0.25"/>
  <cols>
    <col min="1" max="1" width="4.7109375" style="3" customWidth="1"/>
    <col min="2" max="2" width="8.7109375" style="3"/>
    <col min="3" max="3" width="27" style="3" customWidth="1"/>
    <col min="4" max="4" width="19.7109375" style="3" bestFit="1" customWidth="1"/>
    <col min="5" max="7" width="12.7109375" style="3" customWidth="1"/>
    <col min="8" max="8" width="14.5703125" style="3" bestFit="1" customWidth="1"/>
    <col min="9" max="9" width="10" style="3" customWidth="1"/>
    <col min="10" max="16384" width="8.7109375" style="3"/>
  </cols>
  <sheetData>
    <row r="1" spans="1:9" x14ac:dyDescent="0.25">
      <c r="B1" s="145" t="s">
        <v>12</v>
      </c>
      <c r="C1" s="145"/>
      <c r="D1" s="145"/>
      <c r="E1" s="145"/>
      <c r="F1" s="145"/>
      <c r="G1" s="145"/>
      <c r="H1" s="145"/>
      <c r="I1" s="145"/>
    </row>
    <row r="2" spans="1:9" x14ac:dyDescent="0.25">
      <c r="B2" s="145" t="str">
        <f>Rates!A2</f>
        <v>2022 Gas Schedule 120 Conservation Filing</v>
      </c>
      <c r="C2" s="145"/>
      <c r="D2" s="145"/>
      <c r="E2" s="145"/>
      <c r="F2" s="145"/>
      <c r="G2" s="145"/>
      <c r="H2" s="145"/>
      <c r="I2" s="145"/>
    </row>
    <row r="3" spans="1:9" x14ac:dyDescent="0.25">
      <c r="B3" s="145" t="s">
        <v>61</v>
      </c>
      <c r="C3" s="145"/>
      <c r="D3" s="145"/>
      <c r="E3" s="145"/>
      <c r="F3" s="145"/>
      <c r="G3" s="145"/>
      <c r="H3" s="145"/>
      <c r="I3" s="145"/>
    </row>
    <row r="4" spans="1:9" x14ac:dyDescent="0.25">
      <c r="B4" s="145" t="str">
        <f>Rates!A4</f>
        <v>Proposed Effective May 1, 2022</v>
      </c>
      <c r="C4" s="145"/>
      <c r="D4" s="145"/>
      <c r="E4" s="145"/>
      <c r="F4" s="145"/>
      <c r="G4" s="145"/>
      <c r="H4" s="145"/>
      <c r="I4" s="145"/>
    </row>
    <row r="7" spans="1:9" x14ac:dyDescent="0.25">
      <c r="C7" s="15"/>
      <c r="D7" s="15" t="s">
        <v>13</v>
      </c>
      <c r="H7" s="13" t="s">
        <v>17</v>
      </c>
      <c r="I7" s="15" t="s">
        <v>29</v>
      </c>
    </row>
    <row r="8" spans="1:9" ht="17.25" x14ac:dyDescent="0.25">
      <c r="A8" s="13" t="s">
        <v>41</v>
      </c>
      <c r="C8" s="15"/>
      <c r="D8" s="15" t="s">
        <v>14</v>
      </c>
      <c r="E8" s="17" t="s">
        <v>51</v>
      </c>
      <c r="F8" s="17"/>
      <c r="G8" s="17"/>
      <c r="H8" s="13" t="s">
        <v>18</v>
      </c>
      <c r="I8" s="18" t="s">
        <v>30</v>
      </c>
    </row>
    <row r="9" spans="1:9" x14ac:dyDescent="0.25">
      <c r="A9" s="16" t="s">
        <v>62</v>
      </c>
      <c r="B9" s="16" t="s">
        <v>4</v>
      </c>
      <c r="C9" s="16" t="s">
        <v>7</v>
      </c>
      <c r="D9" s="48" t="str">
        <f>TEXT('Forecasted Volume'!$B$6,"Mmm YYYY - ")&amp;TEXT('Forecasted Volume'!$M$6,"Mmm YYYY")</f>
        <v>May 2022 - Apr 2023</v>
      </c>
      <c r="E9" s="16" t="s">
        <v>15</v>
      </c>
      <c r="F9" s="16" t="s">
        <v>16</v>
      </c>
      <c r="G9" s="16" t="s">
        <v>3</v>
      </c>
      <c r="H9" s="32" t="s">
        <v>19</v>
      </c>
      <c r="I9" s="32" t="s">
        <v>19</v>
      </c>
    </row>
    <row r="10" spans="1:9" x14ac:dyDescent="0.25">
      <c r="B10" s="13" t="s">
        <v>56</v>
      </c>
      <c r="C10" s="13" t="s">
        <v>57</v>
      </c>
      <c r="D10" s="18" t="s">
        <v>58</v>
      </c>
      <c r="E10" s="13" t="s">
        <v>59</v>
      </c>
      <c r="F10" s="13" t="s">
        <v>60</v>
      </c>
      <c r="G10" s="13" t="s">
        <v>63</v>
      </c>
      <c r="H10" s="18" t="s">
        <v>64</v>
      </c>
      <c r="I10" s="18" t="s">
        <v>65</v>
      </c>
    </row>
    <row r="11" spans="1:9" x14ac:dyDescent="0.25">
      <c r="A11" s="13">
        <v>1</v>
      </c>
      <c r="B11" s="4">
        <v>23</v>
      </c>
      <c r="C11" s="3" t="s">
        <v>22</v>
      </c>
      <c r="D11" s="12">
        <f>'Forecasted Volume'!N8</f>
        <v>637624416</v>
      </c>
      <c r="E11" s="9">
        <v>0.14330000000000001</v>
      </c>
      <c r="F11" s="9">
        <v>0.29903999999999997</v>
      </c>
      <c r="G11" s="8">
        <f>SUM(E11:F11)</f>
        <v>0.44233999999999996</v>
      </c>
      <c r="H11" s="21">
        <f>D11*G11</f>
        <v>282046784.17343998</v>
      </c>
    </row>
    <row r="12" spans="1:9" x14ac:dyDescent="0.25">
      <c r="A12" s="13">
        <v>2</v>
      </c>
      <c r="B12" s="4">
        <v>16</v>
      </c>
      <c r="C12" s="4" t="s">
        <v>55</v>
      </c>
      <c r="D12" s="12">
        <f>'Forecasted Volume'!N7</f>
        <v>8832</v>
      </c>
      <c r="E12" s="9">
        <v>0.14330000000000001</v>
      </c>
      <c r="F12" s="9">
        <f>$F$11</f>
        <v>0.29903999999999997</v>
      </c>
      <c r="G12" s="8">
        <f>SUM(E12:F12)</f>
        <v>0.44233999999999996</v>
      </c>
      <c r="H12" s="21">
        <f>D12*G12</f>
        <v>3906.7468799999997</v>
      </c>
    </row>
    <row r="13" spans="1:9" x14ac:dyDescent="0.25">
      <c r="A13" s="13">
        <v>3</v>
      </c>
      <c r="B13" s="4">
        <v>53</v>
      </c>
      <c r="C13" s="3" t="s">
        <v>23</v>
      </c>
      <c r="D13" s="12">
        <f>'Forecasted Volume'!N9</f>
        <v>0</v>
      </c>
      <c r="E13" s="9">
        <v>0</v>
      </c>
      <c r="F13" s="9">
        <v>4.80769</v>
      </c>
      <c r="G13" s="8">
        <f>SUM(E13:F13)</f>
        <v>4.80769</v>
      </c>
      <c r="H13" s="21">
        <f>D13*G13</f>
        <v>0</v>
      </c>
    </row>
    <row r="14" spans="1:9" x14ac:dyDescent="0.25">
      <c r="A14" s="13">
        <v>4</v>
      </c>
      <c r="B14" s="4">
        <v>31</v>
      </c>
      <c r="C14" s="3" t="s">
        <v>24</v>
      </c>
      <c r="D14" s="12">
        <f>'Forecasted Volume'!N10</f>
        <v>241467873</v>
      </c>
      <c r="E14" s="9">
        <v>0.13586999999999999</v>
      </c>
      <c r="F14" s="9">
        <f>$F$11</f>
        <v>0.29903999999999997</v>
      </c>
      <c r="G14" s="8">
        <f>SUM(E14:F14)</f>
        <v>0.43490999999999996</v>
      </c>
      <c r="H14" s="21">
        <f>D14*G14</f>
        <v>105016792.64642999</v>
      </c>
    </row>
    <row r="15" spans="1:9" x14ac:dyDescent="0.25">
      <c r="A15" s="13">
        <v>5</v>
      </c>
      <c r="B15" s="4">
        <v>41</v>
      </c>
      <c r="C15" s="3" t="s">
        <v>45</v>
      </c>
      <c r="D15" s="12">
        <f>'Forecasted Volume'!N11</f>
        <v>67014038</v>
      </c>
      <c r="E15" s="9">
        <v>3.4020000000000002E-2</v>
      </c>
      <c r="F15" s="9">
        <f>$F$11</f>
        <v>0.29903999999999997</v>
      </c>
      <c r="G15" s="8">
        <f>SUM(E15:F15)</f>
        <v>0.33305999999999997</v>
      </c>
      <c r="H15" s="21">
        <f>D15*G15</f>
        <v>22319695.49628</v>
      </c>
    </row>
    <row r="16" spans="1:9" x14ac:dyDescent="0.25">
      <c r="A16" s="13">
        <v>6</v>
      </c>
      <c r="B16" s="4" t="s">
        <v>20</v>
      </c>
      <c r="D16" s="6">
        <f>SUM(D11:D15)</f>
        <v>946115159</v>
      </c>
      <c r="E16" s="9"/>
      <c r="F16" s="9"/>
      <c r="G16" s="8"/>
      <c r="H16" s="33">
        <f>SUM(H11:H15)</f>
        <v>409387179.06302994</v>
      </c>
      <c r="I16" s="1">
        <f>H16/H$22</f>
        <v>0.96995780668809684</v>
      </c>
    </row>
    <row r="17" spans="1:9" x14ac:dyDescent="0.25">
      <c r="A17" s="13">
        <v>7</v>
      </c>
      <c r="B17" s="4"/>
      <c r="E17" s="9"/>
      <c r="F17" s="9"/>
      <c r="G17" s="8"/>
      <c r="H17" s="21"/>
    </row>
    <row r="18" spans="1:9" x14ac:dyDescent="0.25">
      <c r="A18" s="13">
        <v>8</v>
      </c>
      <c r="B18" s="4">
        <v>85</v>
      </c>
      <c r="C18" s="3" t="s">
        <v>25</v>
      </c>
      <c r="D18" s="12">
        <f>'Forecasted Volume'!N12</f>
        <v>11371067</v>
      </c>
      <c r="E18" s="9">
        <v>7.0489999999999997E-2</v>
      </c>
      <c r="F18" s="9">
        <f>$F$11</f>
        <v>0.29903999999999997</v>
      </c>
      <c r="G18" s="8">
        <f>SUM(E18:F18)</f>
        <v>0.36952999999999997</v>
      </c>
      <c r="H18" s="21">
        <f>D18*G18</f>
        <v>4201950.38851</v>
      </c>
    </row>
    <row r="19" spans="1:9" x14ac:dyDescent="0.25">
      <c r="A19" s="13">
        <v>9</v>
      </c>
      <c r="B19" s="4">
        <v>86</v>
      </c>
      <c r="C19" s="3" t="s">
        <v>26</v>
      </c>
      <c r="D19" s="12">
        <f>'Forecasted Volume'!N13</f>
        <v>5806192</v>
      </c>
      <c r="E19" s="9">
        <v>8.3669999999999994E-2</v>
      </c>
      <c r="F19" s="9">
        <f>$F$11</f>
        <v>0.29903999999999997</v>
      </c>
      <c r="G19" s="8">
        <f>SUM(E19:F19)</f>
        <v>0.38270999999999999</v>
      </c>
      <c r="H19" s="21">
        <f>D19*G19</f>
        <v>2222087.7403199999</v>
      </c>
    </row>
    <row r="20" spans="1:9" x14ac:dyDescent="0.25">
      <c r="A20" s="13">
        <v>10</v>
      </c>
      <c r="B20" s="4">
        <v>87</v>
      </c>
      <c r="C20" s="3" t="s">
        <v>27</v>
      </c>
      <c r="D20" s="12">
        <f>'Forecasted Volume'!N14</f>
        <v>16507323</v>
      </c>
      <c r="E20" s="9">
        <v>7.9930000000000001E-2</v>
      </c>
      <c r="F20" s="9">
        <f>$F$11</f>
        <v>0.29903999999999997</v>
      </c>
      <c r="G20" s="8">
        <f>SUM(E20:F20)</f>
        <v>0.37896999999999997</v>
      </c>
      <c r="H20" s="21">
        <f>D20*G20</f>
        <v>6255780.1973099997</v>
      </c>
    </row>
    <row r="21" spans="1:9" x14ac:dyDescent="0.25">
      <c r="A21" s="13">
        <v>11</v>
      </c>
      <c r="B21" s="4" t="s">
        <v>21</v>
      </c>
      <c r="D21" s="6">
        <f>SUM(D18:D20)</f>
        <v>33684582</v>
      </c>
      <c r="E21" s="45"/>
      <c r="F21" s="34"/>
      <c r="G21" s="8"/>
      <c r="H21" s="33">
        <f>SUM(H18:H20)</f>
        <v>12679818.32614</v>
      </c>
      <c r="I21" s="1">
        <f>H21/H$22</f>
        <v>3.0042193311903231E-2</v>
      </c>
    </row>
    <row r="22" spans="1:9" x14ac:dyDescent="0.25">
      <c r="A22" s="13">
        <v>12</v>
      </c>
      <c r="B22" s="4" t="s">
        <v>3</v>
      </c>
      <c r="D22" s="5">
        <f>D16+D21</f>
        <v>979799741</v>
      </c>
      <c r="E22" s="45"/>
      <c r="F22" s="8"/>
      <c r="G22" s="8"/>
      <c r="H22" s="33">
        <f>H16+H21</f>
        <v>422066997.38916993</v>
      </c>
      <c r="I22" s="1">
        <f>I16+I21</f>
        <v>1</v>
      </c>
    </row>
    <row r="23" spans="1:9" x14ac:dyDescent="0.25">
      <c r="A23" s="13">
        <v>13</v>
      </c>
      <c r="B23" s="3" t="s">
        <v>28</v>
      </c>
      <c r="D23" s="2">
        <f>D22-'Forecasted Volume'!N23-'Forecasted Volume'!N24</f>
        <v>0</v>
      </c>
      <c r="E23" s="45"/>
      <c r="F23" s="8"/>
      <c r="G23" s="8"/>
      <c r="H23" s="21"/>
    </row>
    <row r="24" spans="1:9" x14ac:dyDescent="0.25">
      <c r="H24" s="21"/>
    </row>
    <row r="25" spans="1:9" s="35" customFormat="1" ht="15.75" x14ac:dyDescent="0.25">
      <c r="B25" s="53" t="s">
        <v>71</v>
      </c>
      <c r="H25" s="36"/>
    </row>
  </sheetData>
  <mergeCells count="4">
    <mergeCell ref="B1:I1"/>
    <mergeCell ref="B2:I2"/>
    <mergeCell ref="B3:I3"/>
    <mergeCell ref="B4:I4"/>
  </mergeCells>
  <printOptions horizontalCentered="1"/>
  <pageMargins left="0.7" right="0.7" top="0.75" bottom="0.75" header="0.3" footer="0.3"/>
  <pageSetup scale="99"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7"/>
  <sheetViews>
    <sheetView zoomScale="90" zoomScaleNormal="90" workbookViewId="0">
      <pane xSplit="3" ySplit="9" topLeftCell="D10" activePane="bottomRight" state="frozenSplit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4.5703125" bestFit="1" customWidth="1"/>
    <col min="6" max="6" width="10.5703125" bestFit="1" customWidth="1"/>
    <col min="7" max="7" width="15" customWidth="1"/>
    <col min="8" max="9" width="14.5703125" bestFit="1" customWidth="1"/>
    <col min="10" max="11" width="13.28515625" bestFit="1" customWidth="1"/>
    <col min="12" max="12" width="12.140625" bestFit="1" customWidth="1"/>
    <col min="13" max="13" width="13.28515625" bestFit="1" customWidth="1"/>
    <col min="14" max="14" width="14" bestFit="1" customWidth="1"/>
    <col min="15" max="15" width="12.85546875" bestFit="1" customWidth="1"/>
    <col min="16" max="17" width="13.28515625" bestFit="1" customWidth="1"/>
    <col min="18" max="18" width="16.140625" bestFit="1" customWidth="1"/>
    <col min="19" max="19" width="13.28515625" bestFit="1" customWidth="1"/>
    <col min="20" max="20" width="7.85546875" bestFit="1" customWidth="1"/>
    <col min="21" max="21" width="13.7109375" bestFit="1" customWidth="1"/>
  </cols>
  <sheetData>
    <row r="1" spans="2:20" x14ac:dyDescent="0.25">
      <c r="B1" s="57" t="s">
        <v>12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2:20" x14ac:dyDescent="0.25">
      <c r="B2" s="57" t="s">
        <v>68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2:20" x14ac:dyDescent="0.25">
      <c r="B3" s="58" t="s">
        <v>73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2:20" x14ac:dyDescent="0.25">
      <c r="B4" s="58" t="s">
        <v>74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0" x14ac:dyDescent="0.25">
      <c r="F5" s="59"/>
      <c r="N5" s="59"/>
      <c r="Q5" s="59"/>
    </row>
    <row r="6" spans="2:20" x14ac:dyDescent="0.25">
      <c r="F6" s="59"/>
      <c r="G6" s="60" t="s">
        <v>13</v>
      </c>
      <c r="N6" s="59"/>
      <c r="Q6" s="59"/>
    </row>
    <row r="7" spans="2:20" x14ac:dyDescent="0.25">
      <c r="B7" s="60"/>
      <c r="C7" s="60"/>
      <c r="D7" s="60" t="s">
        <v>75</v>
      </c>
      <c r="E7" s="60" t="s">
        <v>75</v>
      </c>
      <c r="F7" s="60" t="s">
        <v>76</v>
      </c>
      <c r="G7" s="60" t="s">
        <v>77</v>
      </c>
      <c r="H7" s="59"/>
      <c r="I7" s="60"/>
      <c r="J7" s="60"/>
      <c r="K7" s="60"/>
      <c r="L7" s="60"/>
      <c r="M7" s="60"/>
      <c r="N7" s="60"/>
      <c r="O7" s="60"/>
      <c r="P7" s="60"/>
      <c r="Q7" s="60"/>
      <c r="R7" s="61" t="s">
        <v>78</v>
      </c>
      <c r="S7" s="61" t="s">
        <v>79</v>
      </c>
      <c r="T7" s="60"/>
    </row>
    <row r="8" spans="2:20" x14ac:dyDescent="0.25">
      <c r="B8" s="60"/>
      <c r="C8" s="60" t="s">
        <v>80</v>
      </c>
      <c r="D8" s="60" t="s">
        <v>14</v>
      </c>
      <c r="E8" s="60" t="s">
        <v>81</v>
      </c>
      <c r="F8" s="60" t="s">
        <v>80</v>
      </c>
      <c r="G8" s="61" t="s">
        <v>82</v>
      </c>
      <c r="H8" s="59" t="s">
        <v>81</v>
      </c>
      <c r="I8" s="60" t="s">
        <v>83</v>
      </c>
      <c r="J8" s="60" t="s">
        <v>84</v>
      </c>
      <c r="K8" s="60" t="s">
        <v>79</v>
      </c>
      <c r="L8" s="60" t="s">
        <v>85</v>
      </c>
      <c r="M8" s="60" t="s">
        <v>86</v>
      </c>
      <c r="N8" s="60" t="s">
        <v>87</v>
      </c>
      <c r="O8" s="60" t="s">
        <v>88</v>
      </c>
      <c r="P8" s="60" t="s">
        <v>89</v>
      </c>
      <c r="Q8" s="60" t="s">
        <v>90</v>
      </c>
      <c r="R8" s="60" t="s">
        <v>91</v>
      </c>
      <c r="S8" s="60" t="s">
        <v>92</v>
      </c>
      <c r="T8" s="60" t="s">
        <v>29</v>
      </c>
    </row>
    <row r="9" spans="2:20" ht="17.25" x14ac:dyDescent="0.25">
      <c r="B9" s="62" t="s">
        <v>93</v>
      </c>
      <c r="C9" s="62" t="s">
        <v>4</v>
      </c>
      <c r="D9" s="62" t="s">
        <v>94</v>
      </c>
      <c r="E9" s="62" t="s">
        <v>95</v>
      </c>
      <c r="F9" s="62" t="s">
        <v>96</v>
      </c>
      <c r="G9" s="63" t="s">
        <v>97</v>
      </c>
      <c r="H9" s="62" t="s">
        <v>92</v>
      </c>
      <c r="I9" s="62" t="s">
        <v>92</v>
      </c>
      <c r="J9" s="62" t="s">
        <v>92</v>
      </c>
      <c r="K9" s="62" t="s">
        <v>92</v>
      </c>
      <c r="L9" s="62" t="s">
        <v>92</v>
      </c>
      <c r="M9" s="62" t="s">
        <v>92</v>
      </c>
      <c r="N9" s="62" t="s">
        <v>92</v>
      </c>
      <c r="O9" s="62" t="s">
        <v>92</v>
      </c>
      <c r="P9" s="62" t="s">
        <v>92</v>
      </c>
      <c r="Q9" s="62" t="s">
        <v>92</v>
      </c>
      <c r="R9" s="16" t="s">
        <v>98</v>
      </c>
      <c r="S9" s="62" t="s">
        <v>99</v>
      </c>
      <c r="T9" s="62" t="s">
        <v>99</v>
      </c>
    </row>
    <row r="10" spans="2:20" x14ac:dyDescent="0.25">
      <c r="B10" s="60" t="s">
        <v>100</v>
      </c>
      <c r="C10" s="60" t="s">
        <v>101</v>
      </c>
      <c r="D10" s="64" t="s">
        <v>102</v>
      </c>
      <c r="E10" s="65" t="s">
        <v>103</v>
      </c>
      <c r="F10" s="60" t="s">
        <v>104</v>
      </c>
      <c r="G10" s="60" t="s">
        <v>105</v>
      </c>
      <c r="H10" s="60" t="s">
        <v>106</v>
      </c>
      <c r="I10" s="60" t="s">
        <v>107</v>
      </c>
      <c r="J10" s="60" t="s">
        <v>108</v>
      </c>
      <c r="K10" s="60" t="s">
        <v>109</v>
      </c>
      <c r="L10" s="65" t="s">
        <v>110</v>
      </c>
      <c r="M10" s="60" t="s">
        <v>111</v>
      </c>
      <c r="N10" s="65" t="s">
        <v>112</v>
      </c>
      <c r="O10" s="65" t="s">
        <v>113</v>
      </c>
      <c r="P10" s="65" t="s">
        <v>114</v>
      </c>
      <c r="Q10" s="60" t="s">
        <v>115</v>
      </c>
      <c r="R10" s="66" t="s">
        <v>116</v>
      </c>
      <c r="S10" s="60" t="s">
        <v>117</v>
      </c>
      <c r="T10" s="60" t="s">
        <v>118</v>
      </c>
    </row>
    <row r="11" spans="2:20" x14ac:dyDescent="0.25">
      <c r="B11" t="s">
        <v>22</v>
      </c>
      <c r="C11" s="59" t="s">
        <v>119</v>
      </c>
      <c r="D11" s="142">
        <v>609248315.15931809</v>
      </c>
      <c r="E11" s="71">
        <v>363968434.35868043</v>
      </c>
      <c r="F11" s="68">
        <f t="shared" ref="F11:F16" si="0">(E11)/D11</f>
        <v>0.59740572981888818</v>
      </c>
      <c r="G11" s="142">
        <v>637624416</v>
      </c>
      <c r="H11" s="69">
        <f>F11*G11</f>
        <v>380920479.59082234</v>
      </c>
      <c r="I11" s="71">
        <v>295475154.37</v>
      </c>
      <c r="J11" s="71">
        <v>16693007.210000001</v>
      </c>
      <c r="K11" s="67">
        <f>'Sch. 120'!F9</f>
        <v>12873636.959039999</v>
      </c>
      <c r="L11" s="71">
        <v>2327329.1184</v>
      </c>
      <c r="M11" s="71">
        <v>14505955.464</v>
      </c>
      <c r="N11" s="71">
        <v>2002140.6662399999</v>
      </c>
      <c r="O11" s="71">
        <v>-873545.44991999993</v>
      </c>
      <c r="P11" s="71">
        <v>14359301.85</v>
      </c>
      <c r="Q11" s="71">
        <v>14397559.313279999</v>
      </c>
      <c r="R11" s="70">
        <f t="shared" ref="R11:R23" si="1">SUM(H11:Q11)</f>
        <v>752681019.09186232</v>
      </c>
      <c r="S11" s="67">
        <f>'Sch. 120'!H9</f>
        <v>1485664.8892800007</v>
      </c>
      <c r="T11" s="1">
        <f>S11/R11</f>
        <v>1.9738306820497624E-3</v>
      </c>
    </row>
    <row r="12" spans="2:20" x14ac:dyDescent="0.25">
      <c r="B12" t="s">
        <v>120</v>
      </c>
      <c r="C12" s="59">
        <v>16</v>
      </c>
      <c r="D12" s="142">
        <v>9386</v>
      </c>
      <c r="E12" s="71">
        <v>5552.56</v>
      </c>
      <c r="F12" s="68">
        <f t="shared" si="0"/>
        <v>0.59157894736842109</v>
      </c>
      <c r="G12" s="142">
        <v>8832</v>
      </c>
      <c r="H12" s="69">
        <f t="shared" ref="H12:H23" si="2">F12*G12</f>
        <v>5224.8252631578953</v>
      </c>
      <c r="I12" s="71">
        <v>4092.75</v>
      </c>
      <c r="J12" s="71">
        <v>231.22</v>
      </c>
      <c r="K12" s="67">
        <f>'Sch. 120'!F10</f>
        <v>178.31808000000001</v>
      </c>
      <c r="L12" s="71"/>
      <c r="M12" s="71">
        <v>200.928</v>
      </c>
      <c r="N12" s="71">
        <v>27.732479999999999</v>
      </c>
      <c r="O12" s="71">
        <v>-12.099839999999999</v>
      </c>
      <c r="P12" s="71"/>
      <c r="Q12" s="71">
        <v>199.42655999999999</v>
      </c>
      <c r="R12" s="70">
        <f t="shared" si="1"/>
        <v>10143.100543157892</v>
      </c>
      <c r="S12" s="67">
        <f>'Sch. 120'!H10</f>
        <v>20.578559999999982</v>
      </c>
      <c r="T12" s="1">
        <f t="shared" ref="T12:T24" si="3">S12/R12</f>
        <v>2.0288234265686549E-3</v>
      </c>
    </row>
    <row r="13" spans="2:20" x14ac:dyDescent="0.25">
      <c r="B13" t="s">
        <v>24</v>
      </c>
      <c r="C13" s="59">
        <v>31</v>
      </c>
      <c r="D13" s="142">
        <v>234140158.08963937</v>
      </c>
      <c r="E13" s="71">
        <v>115517786.53999999</v>
      </c>
      <c r="F13" s="68">
        <f t="shared" si="0"/>
        <v>0.49337024234763949</v>
      </c>
      <c r="G13" s="142">
        <v>241467873</v>
      </c>
      <c r="H13" s="69">
        <f t="shared" si="2"/>
        <v>119133063.02117904</v>
      </c>
      <c r="I13" s="71">
        <v>110017592.3</v>
      </c>
      <c r="J13" s="71">
        <v>6311970.2000000002</v>
      </c>
      <c r="K13" s="67">
        <f>'Sch. 120'!F11</f>
        <v>4875236.3558700001</v>
      </c>
      <c r="L13" s="71">
        <v>743721.04883999994</v>
      </c>
      <c r="M13" s="71">
        <v>6355434.4173600003</v>
      </c>
      <c r="N13" s="71">
        <v>854796.27042000007</v>
      </c>
      <c r="O13" s="71">
        <v>-354957.77330999996</v>
      </c>
      <c r="P13" s="71">
        <v>7794582.9399999995</v>
      </c>
      <c r="Q13" s="71">
        <v>5969085.8205599999</v>
      </c>
      <c r="R13" s="70">
        <f t="shared" si="1"/>
        <v>261700524.60091904</v>
      </c>
      <c r="S13" s="67">
        <f>'Sch. 120'!H11</f>
        <v>562620.14408999961</v>
      </c>
      <c r="T13" s="1">
        <f>S13/R13</f>
        <v>2.1498625000770204E-3</v>
      </c>
    </row>
    <row r="14" spans="2:20" x14ac:dyDescent="0.25">
      <c r="B14" t="s">
        <v>45</v>
      </c>
      <c r="C14" s="59">
        <v>41</v>
      </c>
      <c r="D14" s="142">
        <v>65836657.463465497</v>
      </c>
      <c r="E14" s="71">
        <v>16636904.087507829</v>
      </c>
      <c r="F14" s="68">
        <f t="shared" si="0"/>
        <v>0.25269970755638815</v>
      </c>
      <c r="G14" s="142">
        <v>67014038</v>
      </c>
      <c r="H14" s="69">
        <f t="shared" si="2"/>
        <v>16934427.804772682</v>
      </c>
      <c r="I14" s="71">
        <v>28072276.699999999</v>
      </c>
      <c r="J14" s="71">
        <v>1744375.41</v>
      </c>
      <c r="K14" s="67">
        <f>'Sch. 120'!F12</f>
        <v>1353013.42722</v>
      </c>
      <c r="L14" s="71">
        <v>99850.916620000004</v>
      </c>
      <c r="M14" s="71">
        <v>589053.39401999989</v>
      </c>
      <c r="N14" s="71">
        <v>89128.670540000006</v>
      </c>
      <c r="O14" s="71">
        <v>-37527.861279999997</v>
      </c>
      <c r="P14" s="71">
        <v>-1334735.5500000003</v>
      </c>
      <c r="Q14" s="71">
        <v>753907.92749999999</v>
      </c>
      <c r="R14" s="70">
        <f t="shared" si="1"/>
        <v>48263770.839392677</v>
      </c>
      <c r="S14" s="67">
        <f>'Sch. 120'!H12</f>
        <v>156142.70854000002</v>
      </c>
      <c r="T14" s="1">
        <f t="shared" si="3"/>
        <v>3.2351949676621005E-3</v>
      </c>
    </row>
    <row r="15" spans="2:20" x14ac:dyDescent="0.25">
      <c r="B15" t="s">
        <v>25</v>
      </c>
      <c r="C15" s="59">
        <v>85</v>
      </c>
      <c r="D15" s="142">
        <v>16184434.068649083</v>
      </c>
      <c r="E15" s="71">
        <v>1697295.0899999999</v>
      </c>
      <c r="F15" s="68">
        <f t="shared" si="0"/>
        <v>0.1048720692240846</v>
      </c>
      <c r="G15" s="142">
        <v>11371067</v>
      </c>
      <c r="H15" s="69">
        <f t="shared" si="2"/>
        <v>1192507.325575704</v>
      </c>
      <c r="I15" s="71">
        <v>4492701.01</v>
      </c>
      <c r="J15" s="71">
        <v>295079.19</v>
      </c>
      <c r="K15" s="67">
        <f>'Sch. 120'!F13</f>
        <v>190806.50425999999</v>
      </c>
      <c r="L15" s="71">
        <v>8442.3192790593748</v>
      </c>
      <c r="M15" s="71">
        <v>55149.674950000001</v>
      </c>
      <c r="N15" s="71">
        <v>9210.5642699999989</v>
      </c>
      <c r="O15" s="71">
        <v>-3070.1880900000001</v>
      </c>
      <c r="P15" s="71"/>
      <c r="Q15" s="71">
        <v>76299.859570000001</v>
      </c>
      <c r="R15" s="70">
        <f t="shared" si="1"/>
        <v>6317126.2598147634</v>
      </c>
      <c r="S15" s="67">
        <f>'Sch. 120'!H13</f>
        <v>32066.408939999994</v>
      </c>
      <c r="T15" s="1">
        <f t="shared" si="3"/>
        <v>5.0761070178357137E-3</v>
      </c>
    </row>
    <row r="16" spans="2:20" x14ac:dyDescent="0.25">
      <c r="B16" t="s">
        <v>26</v>
      </c>
      <c r="C16" s="59">
        <v>86</v>
      </c>
      <c r="D16" s="142">
        <v>9397200.2729263548</v>
      </c>
      <c r="E16" s="71">
        <v>1991938.09</v>
      </c>
      <c r="F16" s="68">
        <f t="shared" si="0"/>
        <v>0.21197144172172638</v>
      </c>
      <c r="G16" s="142">
        <v>5806192</v>
      </c>
      <c r="H16" s="69">
        <f t="shared" si="2"/>
        <v>1230746.8891531539</v>
      </c>
      <c r="I16" s="71">
        <v>2414397.9300000002</v>
      </c>
      <c r="J16" s="71">
        <v>150844.87</v>
      </c>
      <c r="K16" s="67">
        <f>'Sch. 120'!F14</f>
        <v>97427.901759999993</v>
      </c>
      <c r="L16" s="71">
        <v>7606.1115199999995</v>
      </c>
      <c r="M16" s="71">
        <v>62997.183199999999</v>
      </c>
      <c r="N16" s="71">
        <v>7083.5542399999995</v>
      </c>
      <c r="O16" s="71">
        <v>-1916.0433599999999</v>
      </c>
      <c r="P16" s="71">
        <v>-101567.47</v>
      </c>
      <c r="Q16" s="71">
        <v>49120.384320000005</v>
      </c>
      <c r="R16" s="70">
        <f t="shared" si="1"/>
        <v>3916741.3108331538</v>
      </c>
      <c r="S16" s="67">
        <f>'Sch. 120'!H14</f>
        <v>16373.461439999999</v>
      </c>
      <c r="T16" s="1">
        <f t="shared" si="3"/>
        <v>4.1803785699896278E-3</v>
      </c>
    </row>
    <row r="17" spans="2:21" x14ac:dyDescent="0.25">
      <c r="B17" t="s">
        <v>27</v>
      </c>
      <c r="C17" s="59">
        <v>87</v>
      </c>
      <c r="D17" s="142">
        <v>23337042.118500695</v>
      </c>
      <c r="E17" s="71">
        <v>1376677.9799999997</v>
      </c>
      <c r="F17" s="68">
        <f>(E17)/D17</f>
        <v>5.8991108342244594E-2</v>
      </c>
      <c r="G17" s="142">
        <v>16507323</v>
      </c>
      <c r="H17" s="69">
        <f t="shared" si="2"/>
        <v>973785.27953342604</v>
      </c>
      <c r="I17" s="71">
        <v>6553572.2999999998</v>
      </c>
      <c r="J17" s="71">
        <v>428365.03</v>
      </c>
      <c r="K17" s="67">
        <f>'Sch. 120'!F15</f>
        <v>276992.87994000001</v>
      </c>
      <c r="L17" s="71">
        <v>4868.5646752970524</v>
      </c>
      <c r="M17" s="71">
        <v>43579.332719999999</v>
      </c>
      <c r="N17" s="71">
        <v>7098.1488899999995</v>
      </c>
      <c r="O17" s="71">
        <v>-2311.02522</v>
      </c>
      <c r="P17" s="71"/>
      <c r="Q17" s="71">
        <v>61737.388019999999</v>
      </c>
      <c r="R17" s="70">
        <f t="shared" si="1"/>
        <v>8347687.8985587237</v>
      </c>
      <c r="S17" s="67">
        <f>'Sch. 120'!H15</f>
        <v>46550.650859999994</v>
      </c>
      <c r="T17" s="1">
        <f t="shared" si="3"/>
        <v>5.5764723628487873E-3</v>
      </c>
    </row>
    <row r="18" spans="2:21" x14ac:dyDescent="0.25">
      <c r="B18" t="s">
        <v>121</v>
      </c>
      <c r="C18" s="59" t="s">
        <v>52</v>
      </c>
      <c r="D18" s="142">
        <v>36359.963605097219</v>
      </c>
      <c r="E18" s="71">
        <v>25086.03</v>
      </c>
      <c r="F18" s="68">
        <f>(E18)/D18</f>
        <v>0.68993550907964185</v>
      </c>
      <c r="G18" s="142">
        <v>34794</v>
      </c>
      <c r="H18" s="69">
        <f t="shared" si="2"/>
        <v>24005.616102917058</v>
      </c>
      <c r="I18" s="71"/>
      <c r="J18" s="71"/>
      <c r="K18" s="67"/>
      <c r="L18" s="71">
        <v>107.16552</v>
      </c>
      <c r="M18" s="71">
        <v>915.77807999999993</v>
      </c>
      <c r="N18" s="71">
        <v>123.17076</v>
      </c>
      <c r="O18" s="71">
        <v>-51.147179999999999</v>
      </c>
      <c r="P18" s="71">
        <v>1084.53</v>
      </c>
      <c r="Q18" s="71">
        <v>860.10767999999996</v>
      </c>
      <c r="R18" s="70">
        <f t="shared" si="1"/>
        <v>27045.220962917057</v>
      </c>
      <c r="S18" s="67"/>
      <c r="T18" s="1">
        <f t="shared" si="3"/>
        <v>0</v>
      </c>
    </row>
    <row r="19" spans="2:21" x14ac:dyDescent="0.25">
      <c r="B19" t="s">
        <v>122</v>
      </c>
      <c r="C19" s="59" t="s">
        <v>0</v>
      </c>
      <c r="D19" s="142">
        <v>20492334.449073859</v>
      </c>
      <c r="E19" s="71">
        <v>4384305.3758256389</v>
      </c>
      <c r="F19" s="68">
        <f t="shared" ref="F19:F24" si="4">(E19)/D19</f>
        <v>0.21394855655519449</v>
      </c>
      <c r="G19" s="142">
        <v>24809914</v>
      </c>
      <c r="H19" s="69">
        <f>F19*G19</f>
        <v>5308045.2885585111</v>
      </c>
      <c r="I19" s="71"/>
      <c r="J19" s="71"/>
      <c r="K19" s="67"/>
      <c r="L19" s="71">
        <v>36966.771860000001</v>
      </c>
      <c r="M19" s="71">
        <v>218079.14405999999</v>
      </c>
      <c r="N19" s="71">
        <v>32997.185620000004</v>
      </c>
      <c r="O19" s="71">
        <v>-13893.551839999998</v>
      </c>
      <c r="P19" s="71">
        <v>-430001.63</v>
      </c>
      <c r="Q19" s="71">
        <v>279111.53249999997</v>
      </c>
      <c r="R19" s="70">
        <f t="shared" si="1"/>
        <v>5431304.7407585103</v>
      </c>
      <c r="S19" s="67"/>
      <c r="T19" s="1">
        <f t="shared" si="3"/>
        <v>0</v>
      </c>
    </row>
    <row r="20" spans="2:21" x14ac:dyDescent="0.25">
      <c r="B20" t="s">
        <v>123</v>
      </c>
      <c r="C20" s="59" t="s">
        <v>1</v>
      </c>
      <c r="D20" s="142">
        <v>74773537.134971082</v>
      </c>
      <c r="E20" s="71">
        <v>7487912.2400000002</v>
      </c>
      <c r="F20" s="68">
        <f t="shared" si="4"/>
        <v>0.10014120672777367</v>
      </c>
      <c r="G20" s="142">
        <v>63382604</v>
      </c>
      <c r="H20" s="69">
        <f t="shared" si="2"/>
        <v>6347210.4501086148</v>
      </c>
      <c r="I20" s="71"/>
      <c r="J20" s="71"/>
      <c r="K20" s="67"/>
      <c r="L20" s="71">
        <v>43076.973985044453</v>
      </c>
      <c r="M20" s="71">
        <v>307405.62940000003</v>
      </c>
      <c r="N20" s="71">
        <v>51339.909239999994</v>
      </c>
      <c r="O20" s="71">
        <v>-17113.303080000002</v>
      </c>
      <c r="P20" s="71"/>
      <c r="Q20" s="71">
        <v>425297.27283999999</v>
      </c>
      <c r="R20" s="70">
        <f t="shared" si="1"/>
        <v>7157216.9324936587</v>
      </c>
      <c r="S20" s="67"/>
      <c r="T20" s="1">
        <f t="shared" si="3"/>
        <v>0</v>
      </c>
    </row>
    <row r="21" spans="2:21" x14ac:dyDescent="0.25">
      <c r="B21" t="s">
        <v>124</v>
      </c>
      <c r="C21" s="59" t="s">
        <v>46</v>
      </c>
      <c r="D21" s="142">
        <v>351288.14999999997</v>
      </c>
      <c r="E21" s="71">
        <v>70256.2</v>
      </c>
      <c r="F21" s="68">
        <f t="shared" si="4"/>
        <v>0.19999592926775356</v>
      </c>
      <c r="G21" s="142">
        <v>520743</v>
      </c>
      <c r="H21" s="69">
        <f t="shared" si="2"/>
        <v>104146.48019467779</v>
      </c>
      <c r="I21" s="71"/>
      <c r="J21" s="71"/>
      <c r="K21" s="67"/>
      <c r="L21" s="71">
        <v>682.17332999999996</v>
      </c>
      <c r="M21" s="71">
        <v>5650.0615500000004</v>
      </c>
      <c r="N21" s="71">
        <v>635.30646000000002</v>
      </c>
      <c r="O21" s="71">
        <v>-171.84519</v>
      </c>
      <c r="P21" s="71">
        <v>-8365.0499999999993</v>
      </c>
      <c r="Q21" s="71">
        <v>4405.48578</v>
      </c>
      <c r="R21" s="70">
        <f t="shared" si="1"/>
        <v>106982.61212467781</v>
      </c>
      <c r="S21" s="67"/>
      <c r="T21" s="1">
        <f t="shared" si="3"/>
        <v>0</v>
      </c>
    </row>
    <row r="22" spans="2:21" x14ac:dyDescent="0.25">
      <c r="B22" t="s">
        <v>125</v>
      </c>
      <c r="C22" s="59" t="s">
        <v>2</v>
      </c>
      <c r="D22" s="142">
        <v>100441128.37470125</v>
      </c>
      <c r="E22" s="71">
        <v>4338586.3099999996</v>
      </c>
      <c r="F22" s="68">
        <f>(E22)/D22</f>
        <v>4.3195316303244434E-2</v>
      </c>
      <c r="G22" s="142">
        <v>84530424</v>
      </c>
      <c r="H22" s="69">
        <f t="shared" si="2"/>
        <v>3651318.4019273645</v>
      </c>
      <c r="I22" s="71"/>
      <c r="J22" s="71"/>
      <c r="K22" s="67"/>
      <c r="L22" s="71">
        <v>20137.430508706653</v>
      </c>
      <c r="M22" s="71">
        <v>223160.31935999999</v>
      </c>
      <c r="N22" s="71">
        <v>36348.082320000001</v>
      </c>
      <c r="O22" s="71">
        <v>-11834.259359999998</v>
      </c>
      <c r="P22" s="71"/>
      <c r="Q22" s="71">
        <v>316143.78576</v>
      </c>
      <c r="R22" s="70">
        <f t="shared" si="1"/>
        <v>4235273.7605160717</v>
      </c>
      <c r="S22" s="67"/>
      <c r="T22" s="1">
        <f t="shared" si="3"/>
        <v>0</v>
      </c>
    </row>
    <row r="23" spans="2:21" x14ac:dyDescent="0.25">
      <c r="B23" t="s">
        <v>47</v>
      </c>
      <c r="D23" s="142">
        <v>37056427.854413897</v>
      </c>
      <c r="E23" s="71">
        <v>1757519.5213237838</v>
      </c>
      <c r="F23" s="72">
        <f t="shared" si="4"/>
        <v>4.7428195945617584E-2</v>
      </c>
      <c r="G23" s="142">
        <v>31281288</v>
      </c>
      <c r="H23" s="69">
        <f t="shared" si="2"/>
        <v>1483615.056695296</v>
      </c>
      <c r="I23" s="71"/>
      <c r="J23" s="71"/>
      <c r="K23" s="67"/>
      <c r="L23" s="71"/>
      <c r="M23" s="71">
        <v>40978.487280000001</v>
      </c>
      <c r="N23" s="71">
        <v>6569.0704800000003</v>
      </c>
      <c r="O23" s="71">
        <v>-2189.6901599999997</v>
      </c>
      <c r="P23" s="71"/>
      <c r="Q23" s="71">
        <v>29091.597840000002</v>
      </c>
      <c r="R23" s="70">
        <f t="shared" si="1"/>
        <v>1558064.5221352959</v>
      </c>
      <c r="S23" s="67"/>
      <c r="T23" s="1">
        <f t="shared" si="3"/>
        <v>0</v>
      </c>
    </row>
    <row r="24" spans="2:21" x14ac:dyDescent="0.25">
      <c r="B24" t="s">
        <v>3</v>
      </c>
      <c r="D24" s="73">
        <f>SUM(D11:D23)</f>
        <v>1191304269.0992641</v>
      </c>
      <c r="E24" s="74">
        <f>SUM(E11:E23)</f>
        <v>519258254.38333762</v>
      </c>
      <c r="F24" s="68">
        <f t="shared" si="4"/>
        <v>0.43587374598761802</v>
      </c>
      <c r="G24" s="73">
        <f>SUM(G11:G23)</f>
        <v>1184359508</v>
      </c>
      <c r="H24" s="74">
        <f>SUM(H11:H23)</f>
        <v>537308576.02988684</v>
      </c>
      <c r="I24" s="74">
        <f t="shared" ref="I24:K24" si="5">SUM(I11:I23)</f>
        <v>447029787.36000001</v>
      </c>
      <c r="J24" s="74">
        <f t="shared" si="5"/>
        <v>25623873.130000006</v>
      </c>
      <c r="K24" s="74">
        <f t="shared" si="5"/>
        <v>19667292.346169997</v>
      </c>
      <c r="L24" s="74">
        <f>SUM(L11:L23)</f>
        <v>3292788.594538107</v>
      </c>
      <c r="M24" s="74">
        <f>SUM(M11:M23)</f>
        <v>22408559.813979998</v>
      </c>
      <c r="N24" s="74">
        <f>SUM(N11:N23)</f>
        <v>3097498.3319600001</v>
      </c>
      <c r="O24" s="74">
        <f>SUM(O11:O23)</f>
        <v>-1318594.2378300002</v>
      </c>
      <c r="P24" s="74">
        <f t="shared" ref="P24:R24" si="6">SUM(P11:P23)</f>
        <v>20280299.620000001</v>
      </c>
      <c r="Q24" s="74">
        <f t="shared" si="6"/>
        <v>22362819.902209997</v>
      </c>
      <c r="R24" s="75">
        <f t="shared" si="6"/>
        <v>1099752900.8909149</v>
      </c>
      <c r="S24" s="74">
        <f>SUM(S11:S23)</f>
        <v>2299438.8417100008</v>
      </c>
      <c r="T24" s="7">
        <f t="shared" si="3"/>
        <v>2.0908686304416334E-3</v>
      </c>
      <c r="U24" s="69"/>
    </row>
    <row r="25" spans="2:21" x14ac:dyDescent="0.25">
      <c r="D25" s="76"/>
      <c r="E25" s="69"/>
      <c r="G25" s="76"/>
      <c r="L25" s="69"/>
      <c r="O25" s="69"/>
      <c r="P25" s="69"/>
      <c r="R25" s="69"/>
      <c r="T25" s="77"/>
    </row>
    <row r="26" spans="2:21" s="82" customFormat="1" x14ac:dyDescent="0.25">
      <c r="B26" s="78" t="s">
        <v>126</v>
      </c>
      <c r="C26" s="79"/>
      <c r="D26" s="80"/>
      <c r="E26" s="81"/>
      <c r="S26" s="83"/>
      <c r="T26" s="84"/>
    </row>
    <row r="27" spans="2:21" s="82" customFormat="1" x14ac:dyDescent="0.25">
      <c r="B27" s="85" t="s">
        <v>22</v>
      </c>
      <c r="C27" s="86" t="s">
        <v>127</v>
      </c>
      <c r="D27" s="87">
        <f>D11+D12</f>
        <v>609257701.15931809</v>
      </c>
      <c r="E27" s="88">
        <f>E11+E12</f>
        <v>363973986.91868043</v>
      </c>
      <c r="F27" s="68">
        <f t="shared" ref="F27:F34" si="7">(E27)/D27</f>
        <v>0.5974056400536214</v>
      </c>
      <c r="G27" s="89">
        <f>G11+G12</f>
        <v>637633248</v>
      </c>
      <c r="H27" s="88">
        <f>H11+H12</f>
        <v>380925704.41608548</v>
      </c>
      <c r="I27" s="88">
        <f t="shared" ref="I27:Q27" si="8">I11+I12</f>
        <v>295479247.12</v>
      </c>
      <c r="J27" s="88">
        <f t="shared" si="8"/>
        <v>16693238.430000002</v>
      </c>
      <c r="K27" s="88">
        <f t="shared" si="8"/>
        <v>12873815.27712</v>
      </c>
      <c r="L27" s="88">
        <f t="shared" si="8"/>
        <v>2327329.1184</v>
      </c>
      <c r="M27" s="88">
        <f t="shared" si="8"/>
        <v>14506156.391999999</v>
      </c>
      <c r="N27" s="88">
        <f t="shared" si="8"/>
        <v>2002168.3987199999</v>
      </c>
      <c r="O27" s="88">
        <f t="shared" si="8"/>
        <v>-873557.54975999997</v>
      </c>
      <c r="P27" s="88">
        <f t="shared" si="8"/>
        <v>14359301.85</v>
      </c>
      <c r="Q27" s="88">
        <f t="shared" si="8"/>
        <v>14397758.739839999</v>
      </c>
      <c r="R27" s="88">
        <f>R11+R12</f>
        <v>752691162.19240546</v>
      </c>
      <c r="S27" s="69">
        <f>SUM(S11:S12)</f>
        <v>1485685.4678400008</v>
      </c>
      <c r="T27" s="1">
        <f t="shared" ref="T27:T34" si="9">S27/R27</f>
        <v>1.9738314231198917E-3</v>
      </c>
      <c r="U27" s="90"/>
    </row>
    <row r="28" spans="2:21" s="82" customFormat="1" x14ac:dyDescent="0.25">
      <c r="B28" s="91" t="s">
        <v>128</v>
      </c>
      <c r="C28" s="86" t="s">
        <v>129</v>
      </c>
      <c r="D28" s="87">
        <f>D13+D18</f>
        <v>234176518.05324447</v>
      </c>
      <c r="E28" s="88">
        <f>E13+E18</f>
        <v>115542872.56999999</v>
      </c>
      <c r="F28" s="68">
        <f t="shared" si="7"/>
        <v>0.49340076251252968</v>
      </c>
      <c r="G28" s="89">
        <f t="shared" ref="G28:Q32" si="10">G13+G18</f>
        <v>241502667</v>
      </c>
      <c r="H28" s="88">
        <f t="shared" si="10"/>
        <v>119157068.63728195</v>
      </c>
      <c r="I28" s="88">
        <f t="shared" si="10"/>
        <v>110017592.3</v>
      </c>
      <c r="J28" s="88">
        <f t="shared" si="10"/>
        <v>6311970.2000000002</v>
      </c>
      <c r="K28" s="88">
        <f t="shared" si="10"/>
        <v>4875236.3558700001</v>
      </c>
      <c r="L28" s="88">
        <f t="shared" si="10"/>
        <v>743828.21435999998</v>
      </c>
      <c r="M28" s="88">
        <f t="shared" si="10"/>
        <v>6356350.1954399999</v>
      </c>
      <c r="N28" s="88">
        <f t="shared" si="10"/>
        <v>854919.44118000008</v>
      </c>
      <c r="O28" s="88">
        <f t="shared" si="10"/>
        <v>-355008.92048999999</v>
      </c>
      <c r="P28" s="88">
        <f t="shared" si="10"/>
        <v>7795667.4699999997</v>
      </c>
      <c r="Q28" s="88">
        <f t="shared" si="10"/>
        <v>5969945.9282400003</v>
      </c>
      <c r="R28" s="88">
        <f>R13+R18</f>
        <v>261727569.82188195</v>
      </c>
      <c r="S28" s="69">
        <f>SUM(S13,S18)</f>
        <v>562620.14408999961</v>
      </c>
      <c r="T28" s="1">
        <f t="shared" si="9"/>
        <v>2.1496403473003985E-3</v>
      </c>
    </row>
    <row r="29" spans="2:21" s="82" customFormat="1" x14ac:dyDescent="0.25">
      <c r="B29" s="85" t="s">
        <v>130</v>
      </c>
      <c r="C29" s="86" t="s">
        <v>131</v>
      </c>
      <c r="D29" s="87">
        <f t="shared" ref="D29:E32" si="11">D14+D19</f>
        <v>86328991.912539363</v>
      </c>
      <c r="E29" s="88">
        <f t="shared" si="11"/>
        <v>21021209.463333469</v>
      </c>
      <c r="F29" s="68">
        <f t="shared" si="7"/>
        <v>0.24350115757902321</v>
      </c>
      <c r="G29" s="89">
        <f t="shared" si="10"/>
        <v>91823952</v>
      </c>
      <c r="H29" s="88">
        <f t="shared" si="10"/>
        <v>22242473.093331195</v>
      </c>
      <c r="I29" s="88">
        <f t="shared" si="10"/>
        <v>28072276.699999999</v>
      </c>
      <c r="J29" s="88">
        <f t="shared" si="10"/>
        <v>1744375.41</v>
      </c>
      <c r="K29" s="88">
        <f t="shared" si="10"/>
        <v>1353013.42722</v>
      </c>
      <c r="L29" s="88">
        <f t="shared" si="10"/>
        <v>136817.68848000001</v>
      </c>
      <c r="M29" s="88">
        <f t="shared" si="10"/>
        <v>807132.53807999985</v>
      </c>
      <c r="N29" s="88">
        <f t="shared" si="10"/>
        <v>122125.85616000001</v>
      </c>
      <c r="O29" s="88">
        <f t="shared" si="10"/>
        <v>-51421.413119999997</v>
      </c>
      <c r="P29" s="88">
        <f t="shared" si="10"/>
        <v>-1764737.1800000002</v>
      </c>
      <c r="Q29" s="88">
        <f t="shared" si="10"/>
        <v>1033019.46</v>
      </c>
      <c r="R29" s="88">
        <f>R14+R19</f>
        <v>53695075.580151185</v>
      </c>
      <c r="S29" s="69">
        <f>SUM(S14,S19)</f>
        <v>156142.70854000002</v>
      </c>
      <c r="T29" s="1">
        <f t="shared" si="9"/>
        <v>2.9079521139126477E-3</v>
      </c>
    </row>
    <row r="30" spans="2:21" s="82" customFormat="1" x14ac:dyDescent="0.25">
      <c r="B30" s="85" t="s">
        <v>25</v>
      </c>
      <c r="C30" s="86" t="s">
        <v>132</v>
      </c>
      <c r="D30" s="87">
        <f t="shared" si="11"/>
        <v>90957971.203620166</v>
      </c>
      <c r="E30" s="88">
        <f t="shared" si="11"/>
        <v>9185207.3300000001</v>
      </c>
      <c r="F30" s="68">
        <f t="shared" si="7"/>
        <v>0.10098298377211853</v>
      </c>
      <c r="G30" s="89">
        <f t="shared" si="10"/>
        <v>74753671</v>
      </c>
      <c r="H30" s="88">
        <f t="shared" si="10"/>
        <v>7539717.7756843185</v>
      </c>
      <c r="I30" s="88">
        <f t="shared" si="10"/>
        <v>4492701.01</v>
      </c>
      <c r="J30" s="88">
        <f t="shared" si="10"/>
        <v>295079.19</v>
      </c>
      <c r="K30" s="88">
        <f t="shared" si="10"/>
        <v>190806.50425999999</v>
      </c>
      <c r="L30" s="88">
        <f t="shared" si="10"/>
        <v>51519.293264103828</v>
      </c>
      <c r="M30" s="88">
        <f t="shared" si="10"/>
        <v>362555.30435000005</v>
      </c>
      <c r="N30" s="88">
        <f t="shared" si="10"/>
        <v>60550.473509999996</v>
      </c>
      <c r="O30" s="88">
        <f t="shared" si="10"/>
        <v>-20183.491170000001</v>
      </c>
      <c r="P30" s="88">
        <f t="shared" si="10"/>
        <v>0</v>
      </c>
      <c r="Q30" s="88">
        <f t="shared" si="10"/>
        <v>501597.13240999996</v>
      </c>
      <c r="R30" s="88">
        <f>R15+R20</f>
        <v>13474343.192308422</v>
      </c>
      <c r="S30" s="69">
        <f>SUM(S15,S20)</f>
        <v>32066.408939999994</v>
      </c>
      <c r="T30" s="1">
        <f t="shared" si="9"/>
        <v>2.3798123947373186E-3</v>
      </c>
    </row>
    <row r="31" spans="2:21" s="82" customFormat="1" x14ac:dyDescent="0.25">
      <c r="B31" s="85" t="s">
        <v>133</v>
      </c>
      <c r="C31" s="86" t="s">
        <v>134</v>
      </c>
      <c r="D31" s="87">
        <f t="shared" si="11"/>
        <v>9748488.4229263552</v>
      </c>
      <c r="E31" s="88">
        <f t="shared" si="11"/>
        <v>2062194.29</v>
      </c>
      <c r="F31" s="68">
        <f t="shared" si="7"/>
        <v>0.2115399024478668</v>
      </c>
      <c r="G31" s="89">
        <f t="shared" si="10"/>
        <v>6326935</v>
      </c>
      <c r="H31" s="88">
        <f t="shared" si="10"/>
        <v>1334893.3693478317</v>
      </c>
      <c r="I31" s="88">
        <f t="shared" si="10"/>
        <v>2414397.9300000002</v>
      </c>
      <c r="J31" s="88">
        <f t="shared" si="10"/>
        <v>150844.87</v>
      </c>
      <c r="K31" s="88">
        <f t="shared" si="10"/>
        <v>97427.901759999993</v>
      </c>
      <c r="L31" s="88">
        <f t="shared" si="10"/>
        <v>8288.28485</v>
      </c>
      <c r="M31" s="88">
        <f t="shared" si="10"/>
        <v>68647.244749999998</v>
      </c>
      <c r="N31" s="88">
        <f t="shared" si="10"/>
        <v>7718.8606999999993</v>
      </c>
      <c r="O31" s="88">
        <f t="shared" si="10"/>
        <v>-2087.8885499999997</v>
      </c>
      <c r="P31" s="88">
        <f t="shared" si="10"/>
        <v>-109932.52</v>
      </c>
      <c r="Q31" s="88">
        <f t="shared" si="10"/>
        <v>53525.870100000007</v>
      </c>
      <c r="R31" s="88">
        <f>R16+R21</f>
        <v>4023723.9229578315</v>
      </c>
      <c r="S31" s="69">
        <f>SUM(S16,S21)</f>
        <v>16373.461439999999</v>
      </c>
      <c r="T31" s="1">
        <f t="shared" si="9"/>
        <v>4.0692308303209579E-3</v>
      </c>
    </row>
    <row r="32" spans="2:21" s="82" customFormat="1" x14ac:dyDescent="0.25">
      <c r="B32" s="92" t="s">
        <v>135</v>
      </c>
      <c r="C32" s="86" t="s">
        <v>136</v>
      </c>
      <c r="D32" s="87">
        <f t="shared" si="11"/>
        <v>123778170.49320194</v>
      </c>
      <c r="E32" s="88">
        <f t="shared" si="11"/>
        <v>5715264.2899999991</v>
      </c>
      <c r="F32" s="68">
        <f t="shared" si="7"/>
        <v>4.6173442919920107E-2</v>
      </c>
      <c r="G32" s="89">
        <f t="shared" si="10"/>
        <v>101037747</v>
      </c>
      <c r="H32" s="88">
        <f t="shared" si="10"/>
        <v>4625103.6814607903</v>
      </c>
      <c r="I32" s="88">
        <f t="shared" si="10"/>
        <v>6553572.2999999998</v>
      </c>
      <c r="J32" s="88">
        <f t="shared" si="10"/>
        <v>428365.03</v>
      </c>
      <c r="K32" s="88">
        <f t="shared" si="10"/>
        <v>276992.87994000001</v>
      </c>
      <c r="L32" s="88">
        <f t="shared" si="10"/>
        <v>25005.995184003707</v>
      </c>
      <c r="M32" s="88">
        <f t="shared" si="10"/>
        <v>266739.65207999997</v>
      </c>
      <c r="N32" s="88">
        <f t="shared" si="10"/>
        <v>43446.231209999998</v>
      </c>
      <c r="O32" s="88">
        <f t="shared" si="10"/>
        <v>-14145.284579999998</v>
      </c>
      <c r="P32" s="88">
        <f t="shared" si="10"/>
        <v>0</v>
      </c>
      <c r="Q32" s="88">
        <f t="shared" si="10"/>
        <v>377881.17378000001</v>
      </c>
      <c r="R32" s="88">
        <f>R17+R22</f>
        <v>12582961.659074795</v>
      </c>
      <c r="S32" s="69">
        <f>SUM(S17,S22)</f>
        <v>46550.650859999994</v>
      </c>
      <c r="T32" s="1">
        <f t="shared" si="9"/>
        <v>3.6994987445128076E-3</v>
      </c>
    </row>
    <row r="33" spans="2:20" s="82" customFormat="1" x14ac:dyDescent="0.25">
      <c r="B33" s="92" t="s">
        <v>47</v>
      </c>
      <c r="C33" s="85"/>
      <c r="D33" s="87">
        <f>D23</f>
        <v>37056427.854413897</v>
      </c>
      <c r="E33" s="88">
        <f>E23</f>
        <v>1757519.5213237838</v>
      </c>
      <c r="F33" s="68">
        <f t="shared" si="7"/>
        <v>4.7428195945617584E-2</v>
      </c>
      <c r="G33" s="89">
        <f>G23</f>
        <v>31281288</v>
      </c>
      <c r="H33" s="88">
        <f>H23</f>
        <v>1483615.056695296</v>
      </c>
      <c r="I33" s="88">
        <f t="shared" ref="I33:Q33" si="12">I23</f>
        <v>0</v>
      </c>
      <c r="J33" s="88">
        <f t="shared" si="12"/>
        <v>0</v>
      </c>
      <c r="K33" s="88">
        <f t="shared" si="12"/>
        <v>0</v>
      </c>
      <c r="L33" s="88">
        <f t="shared" si="12"/>
        <v>0</v>
      </c>
      <c r="M33" s="88">
        <f t="shared" si="12"/>
        <v>40978.487280000001</v>
      </c>
      <c r="N33" s="88">
        <f t="shared" si="12"/>
        <v>6569.0704800000003</v>
      </c>
      <c r="O33" s="88">
        <f t="shared" si="12"/>
        <v>-2189.6901599999997</v>
      </c>
      <c r="P33" s="88">
        <f t="shared" si="12"/>
        <v>0</v>
      </c>
      <c r="Q33" s="88">
        <f t="shared" si="12"/>
        <v>29091.597840000002</v>
      </c>
      <c r="R33" s="88">
        <f>R23</f>
        <v>1558064.5221352959</v>
      </c>
      <c r="S33" s="69">
        <f>S23</f>
        <v>0</v>
      </c>
      <c r="T33" s="1">
        <f t="shared" si="9"/>
        <v>0</v>
      </c>
    </row>
    <row r="34" spans="2:20" s="82" customFormat="1" x14ac:dyDescent="0.25">
      <c r="B34" s="92" t="s">
        <v>3</v>
      </c>
      <c r="C34" s="92"/>
      <c r="D34" s="93">
        <f>SUM(D27:D33)</f>
        <v>1191304269.0992644</v>
      </c>
      <c r="E34" s="94">
        <f>SUM(E27:E33)</f>
        <v>519258254.38333774</v>
      </c>
      <c r="F34" s="95">
        <f t="shared" si="7"/>
        <v>0.43587374598761802</v>
      </c>
      <c r="G34" s="96">
        <f>SUM(G27:G33)</f>
        <v>1184359508</v>
      </c>
      <c r="H34" s="94">
        <f>SUM(H27:H33)</f>
        <v>537308576.02988684</v>
      </c>
      <c r="I34" s="94">
        <f t="shared" ref="I34:Q34" si="13">SUM(I27:I33)</f>
        <v>447029787.36000001</v>
      </c>
      <c r="J34" s="94">
        <f t="shared" si="13"/>
        <v>25623873.130000006</v>
      </c>
      <c r="K34" s="94">
        <f t="shared" si="13"/>
        <v>19667292.346169997</v>
      </c>
      <c r="L34" s="94">
        <f t="shared" si="13"/>
        <v>3292788.594538108</v>
      </c>
      <c r="M34" s="94">
        <f t="shared" si="13"/>
        <v>22408559.813979998</v>
      </c>
      <c r="N34" s="94">
        <f t="shared" si="13"/>
        <v>3097498.3319600001</v>
      </c>
      <c r="O34" s="94">
        <f t="shared" si="13"/>
        <v>-1318594.23783</v>
      </c>
      <c r="P34" s="94">
        <f t="shared" si="13"/>
        <v>20280299.620000001</v>
      </c>
      <c r="Q34" s="94">
        <f t="shared" si="13"/>
        <v>22362819.902210001</v>
      </c>
      <c r="R34" s="94">
        <f>SUM(R27:R33)</f>
        <v>1099752900.8909149</v>
      </c>
      <c r="S34" s="94">
        <f>SUM(S27:S33)</f>
        <v>2299438.8417100008</v>
      </c>
      <c r="T34" s="7">
        <f t="shared" si="9"/>
        <v>2.0908686304416334E-3</v>
      </c>
    </row>
    <row r="35" spans="2:20" s="82" customFormat="1" x14ac:dyDescent="0.25">
      <c r="B35" s="97"/>
      <c r="C35" s="97"/>
      <c r="D35" s="97"/>
      <c r="E35" s="97"/>
      <c r="F35" s="97"/>
      <c r="I35" s="98"/>
      <c r="L35" s="97"/>
      <c r="N35" s="97"/>
      <c r="O35" s="97"/>
      <c r="P35" s="97"/>
      <c r="Q35" s="97"/>
      <c r="R35" s="97"/>
      <c r="S35" s="99"/>
    </row>
    <row r="36" spans="2:20" ht="17.25" x14ac:dyDescent="0.25">
      <c r="B36" t="s">
        <v>137</v>
      </c>
      <c r="D36" s="76"/>
      <c r="E36" s="76"/>
      <c r="H36" s="100"/>
      <c r="L36" s="76"/>
      <c r="O36" s="76"/>
      <c r="P36" s="76"/>
      <c r="R36" s="76"/>
    </row>
    <row r="37" spans="2:20" ht="17.25" x14ac:dyDescent="0.25">
      <c r="B37" t="s">
        <v>138</v>
      </c>
    </row>
  </sheetData>
  <printOptions horizontalCentered="1"/>
  <pageMargins left="0.45" right="0.45" top="0.75" bottom="0.75" header="0.3" footer="0.3"/>
  <pageSetup paperSize="5" scale="60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"/>
  <sheetViews>
    <sheetView zoomScale="90" zoomScaleNormal="90" workbookViewId="0">
      <selection activeCell="J26" sqref="J26"/>
    </sheetView>
  </sheetViews>
  <sheetFormatPr defaultColWidth="9.140625" defaultRowHeight="15" x14ac:dyDescent="0.25"/>
  <cols>
    <col min="1" max="1" width="2.140625" style="102" customWidth="1"/>
    <col min="2" max="2" width="2.42578125" style="102" customWidth="1"/>
    <col min="3" max="3" width="33" style="102" customWidth="1"/>
    <col min="4" max="5" width="11.85546875" style="102" customWidth="1"/>
    <col min="6" max="6" width="2.7109375" style="103" customWidth="1"/>
    <col min="7" max="8" width="11.85546875" style="102" customWidth="1"/>
    <col min="9" max="16384" width="9.140625" style="102"/>
  </cols>
  <sheetData>
    <row r="1" spans="2:8" x14ac:dyDescent="0.25">
      <c r="B1" s="101" t="s">
        <v>12</v>
      </c>
      <c r="C1" s="101"/>
      <c r="D1" s="101"/>
      <c r="E1" s="101"/>
      <c r="F1" s="101"/>
      <c r="G1" s="101"/>
      <c r="H1" s="101"/>
    </row>
    <row r="2" spans="2:8" x14ac:dyDescent="0.25">
      <c r="B2" s="101" t="str">
        <f>'Rate Impacts Sch 120'!B2</f>
        <v>2022 Gas Schedule 120 Conservation Filing</v>
      </c>
      <c r="C2" s="101"/>
      <c r="D2" s="101"/>
      <c r="E2" s="101"/>
      <c r="F2" s="101"/>
      <c r="G2" s="101"/>
      <c r="H2" s="101"/>
    </row>
    <row r="3" spans="2:8" x14ac:dyDescent="0.25">
      <c r="B3" s="57" t="s">
        <v>139</v>
      </c>
      <c r="C3" s="57"/>
      <c r="D3" s="57"/>
      <c r="E3" s="57"/>
      <c r="F3" s="57"/>
      <c r="G3" s="57"/>
      <c r="H3" s="57"/>
    </row>
    <row r="4" spans="2:8" x14ac:dyDescent="0.25">
      <c r="B4" s="57" t="str">
        <f>'Rate Impacts Sch 120'!B4</f>
        <v>Proposed Rates Effective May 1, 2022</v>
      </c>
      <c r="C4" s="57"/>
      <c r="D4" s="57"/>
      <c r="E4" s="57"/>
      <c r="F4" s="57"/>
      <c r="G4" s="57"/>
      <c r="H4" s="57"/>
    </row>
    <row r="6" spans="2:8" x14ac:dyDescent="0.25">
      <c r="G6" s="104" t="s">
        <v>140</v>
      </c>
      <c r="H6" s="104"/>
    </row>
    <row r="7" spans="2:8" x14ac:dyDescent="0.25">
      <c r="D7" s="105" t="s">
        <v>141</v>
      </c>
      <c r="E7" s="105"/>
      <c r="F7" s="106"/>
      <c r="G7" s="105" t="s">
        <v>142</v>
      </c>
      <c r="H7" s="105"/>
    </row>
    <row r="8" spans="2:8" ht="17.25" x14ac:dyDescent="0.25">
      <c r="D8" s="107" t="s">
        <v>143</v>
      </c>
      <c r="E8" s="107" t="s">
        <v>144</v>
      </c>
      <c r="F8" s="108"/>
      <c r="G8" s="107" t="s">
        <v>145</v>
      </c>
      <c r="H8" s="107" t="s">
        <v>144</v>
      </c>
    </row>
    <row r="9" spans="2:8" x14ac:dyDescent="0.25">
      <c r="B9" s="102" t="s">
        <v>146</v>
      </c>
      <c r="D9" s="109">
        <v>64</v>
      </c>
      <c r="E9" s="110"/>
      <c r="F9" s="111"/>
      <c r="G9" s="109">
        <v>64</v>
      </c>
      <c r="H9" s="110"/>
    </row>
    <row r="10" spans="2:8" x14ac:dyDescent="0.25">
      <c r="D10" s="109"/>
      <c r="E10" s="110"/>
      <c r="F10" s="111"/>
      <c r="G10" s="109"/>
      <c r="H10" s="110"/>
    </row>
    <row r="11" spans="2:8" x14ac:dyDescent="0.25">
      <c r="B11" s="102" t="s">
        <v>147</v>
      </c>
      <c r="D11" s="109"/>
      <c r="E11" s="110"/>
      <c r="F11" s="111"/>
      <c r="G11" s="109"/>
      <c r="H11" s="110"/>
    </row>
    <row r="12" spans="2:8" x14ac:dyDescent="0.25">
      <c r="C12" s="102" t="s">
        <v>148</v>
      </c>
      <c r="D12" s="143">
        <v>11.52</v>
      </c>
      <c r="E12" s="110">
        <f>D12</f>
        <v>11.52</v>
      </c>
      <c r="F12" s="112"/>
      <c r="G12" s="113">
        <f>$D$12</f>
        <v>11.52</v>
      </c>
      <c r="H12" s="110">
        <f>G12</f>
        <v>11.52</v>
      </c>
    </row>
    <row r="13" spans="2:8" x14ac:dyDescent="0.25">
      <c r="C13" s="102" t="s">
        <v>149</v>
      </c>
      <c r="D13" s="114">
        <f>SUM(D12:D12)</f>
        <v>11.52</v>
      </c>
      <c r="E13" s="114">
        <f>SUM(E12:E12)</f>
        <v>11.52</v>
      </c>
      <c r="F13" s="112"/>
      <c r="G13" s="114">
        <f>SUM(G12:G12)</f>
        <v>11.52</v>
      </c>
      <c r="H13" s="114">
        <f>SUM(H12:H12)</f>
        <v>11.52</v>
      </c>
    </row>
    <row r="14" spans="2:8" x14ac:dyDescent="0.25">
      <c r="D14" s="115"/>
      <c r="E14" s="110"/>
      <c r="F14" s="112"/>
      <c r="G14" s="113"/>
      <c r="H14" s="110"/>
    </row>
    <row r="15" spans="2:8" x14ac:dyDescent="0.25">
      <c r="B15" s="102" t="s">
        <v>150</v>
      </c>
      <c r="E15" s="110"/>
      <c r="H15" s="110"/>
    </row>
    <row r="16" spans="2:8" x14ac:dyDescent="0.25">
      <c r="C16" s="102" t="s">
        <v>151</v>
      </c>
      <c r="D16" s="144">
        <v>0.41964000000000001</v>
      </c>
      <c r="E16" s="110"/>
      <c r="F16" s="117"/>
      <c r="G16" s="118">
        <f>$D$16</f>
        <v>0.41964000000000001</v>
      </c>
      <c r="H16" s="110"/>
    </row>
    <row r="17" spans="2:8" x14ac:dyDescent="0.25">
      <c r="C17" s="102" t="s">
        <v>152</v>
      </c>
      <c r="D17" s="9">
        <v>3.65E-3</v>
      </c>
      <c r="E17" s="110"/>
      <c r="F17" s="117"/>
      <c r="G17" s="8">
        <f>$D$17</f>
        <v>3.65E-3</v>
      </c>
      <c r="H17" s="110"/>
    </row>
    <row r="18" spans="2:8" x14ac:dyDescent="0.25">
      <c r="C18" s="102" t="s">
        <v>153</v>
      </c>
      <c r="D18" s="144">
        <v>2.2749999999999999E-2</v>
      </c>
      <c r="E18" s="110"/>
      <c r="F18" s="117"/>
      <c r="G18" s="8">
        <f>$D$18</f>
        <v>2.2749999999999999E-2</v>
      </c>
      <c r="H18" s="110"/>
    </row>
    <row r="19" spans="2:8" x14ac:dyDescent="0.25">
      <c r="C19" s="102" t="s">
        <v>154</v>
      </c>
      <c r="D19" s="144">
        <v>3.14E-3</v>
      </c>
      <c r="E19" s="110"/>
      <c r="F19" s="117"/>
      <c r="G19" s="118">
        <f>$D$19</f>
        <v>3.14E-3</v>
      </c>
      <c r="H19" s="110"/>
    </row>
    <row r="20" spans="2:8" x14ac:dyDescent="0.25">
      <c r="C20" s="102" t="s">
        <v>155</v>
      </c>
      <c r="D20" s="144">
        <v>-1.3699999999999999E-3</v>
      </c>
      <c r="E20" s="110"/>
      <c r="F20" s="117"/>
      <c r="G20" s="8">
        <f>$D$20</f>
        <v>-1.3699999999999999E-3</v>
      </c>
      <c r="H20" s="110"/>
    </row>
    <row r="21" spans="2:8" x14ac:dyDescent="0.25">
      <c r="C21" s="102" t="s">
        <v>156</v>
      </c>
      <c r="D21" s="144">
        <v>2.2519999999999998E-2</v>
      </c>
      <c r="E21" s="110"/>
      <c r="F21" s="117"/>
      <c r="G21" s="8">
        <f>$D$21</f>
        <v>2.2519999999999998E-2</v>
      </c>
      <c r="H21" s="110"/>
    </row>
    <row r="22" spans="2:8" x14ac:dyDescent="0.25">
      <c r="C22" s="102" t="s">
        <v>157</v>
      </c>
      <c r="D22" s="9">
        <v>2.2579999999999999E-2</v>
      </c>
      <c r="E22" s="110"/>
      <c r="F22" s="117"/>
      <c r="G22" s="8">
        <f>$D$22</f>
        <v>2.2579999999999999E-2</v>
      </c>
      <c r="H22" s="110"/>
    </row>
    <row r="23" spans="2:8" x14ac:dyDescent="0.25">
      <c r="C23" s="102" t="s">
        <v>149</v>
      </c>
      <c r="D23" s="120">
        <f>SUM(D16:D22)</f>
        <v>0.49290999999999996</v>
      </c>
      <c r="E23" s="110">
        <f>ROUND(D23*D$9,2)</f>
        <v>31.55</v>
      </c>
      <c r="F23" s="117"/>
      <c r="G23" s="120">
        <f>SUM(G16:G22)</f>
        <v>0.49290999999999996</v>
      </c>
      <c r="H23" s="110">
        <f>ROUND(G23*G$9,2)</f>
        <v>31.55</v>
      </c>
    </row>
    <row r="25" spans="2:8" x14ac:dyDescent="0.25">
      <c r="C25" s="102" t="s">
        <v>158</v>
      </c>
      <c r="D25" s="116">
        <f>'Sch. 120'!$D$9</f>
        <v>2.019E-2</v>
      </c>
      <c r="E25" s="110">
        <f>ROUND(D25*D$9,2)</f>
        <v>1.29</v>
      </c>
      <c r="F25" s="117"/>
      <c r="G25" s="119">
        <f>'Sch. 120'!$E$9</f>
        <v>2.2519999999999998E-2</v>
      </c>
      <c r="H25" s="110">
        <f>ROUND(G25*G$9,2)</f>
        <v>1.44</v>
      </c>
    </row>
    <row r="26" spans="2:8" x14ac:dyDescent="0.25">
      <c r="D26" s="118"/>
      <c r="E26" s="110"/>
      <c r="F26" s="117"/>
      <c r="G26" s="118"/>
      <c r="H26" s="110"/>
    </row>
    <row r="27" spans="2:8" x14ac:dyDescent="0.25">
      <c r="C27" s="102" t="s">
        <v>159</v>
      </c>
      <c r="D27" s="144">
        <v>0.46339999999999998</v>
      </c>
      <c r="E27" s="110"/>
      <c r="F27" s="117"/>
      <c r="G27" s="8">
        <f>$D$27</f>
        <v>0.46339999999999998</v>
      </c>
      <c r="H27" s="110"/>
    </row>
    <row r="28" spans="2:8" x14ac:dyDescent="0.25">
      <c r="C28" s="102" t="s">
        <v>160</v>
      </c>
      <c r="D28" s="144">
        <v>2.6179999999999998E-2</v>
      </c>
      <c r="E28" s="110"/>
      <c r="F28" s="117"/>
      <c r="G28" s="8">
        <f>$D$28</f>
        <v>2.6179999999999998E-2</v>
      </c>
      <c r="H28" s="110"/>
    </row>
    <row r="29" spans="2:8" x14ac:dyDescent="0.25">
      <c r="C29" s="102" t="s">
        <v>149</v>
      </c>
      <c r="D29" s="120">
        <f>SUM(D27:D28)</f>
        <v>0.48957999999999996</v>
      </c>
      <c r="E29" s="110">
        <f>ROUND(D29*D$9,2)</f>
        <v>31.33</v>
      </c>
      <c r="F29" s="117"/>
      <c r="G29" s="120">
        <f>SUM(G27:G28)</f>
        <v>0.48957999999999996</v>
      </c>
      <c r="H29" s="110">
        <f>ROUND(G29*G$9,2)</f>
        <v>31.33</v>
      </c>
    </row>
    <row r="30" spans="2:8" x14ac:dyDescent="0.25">
      <c r="C30" s="102" t="s">
        <v>161</v>
      </c>
      <c r="D30" s="120">
        <f>D23+D25+D29</f>
        <v>1.00268</v>
      </c>
      <c r="E30" s="121">
        <f>SUM(E23,E25,E29)</f>
        <v>64.17</v>
      </c>
      <c r="F30" s="122"/>
      <c r="G30" s="120">
        <f>G23+G25+G29</f>
        <v>1.00501</v>
      </c>
      <c r="H30" s="121">
        <f>SUM(H23,H25,H29)</f>
        <v>64.319999999999993</v>
      </c>
    </row>
    <row r="31" spans="2:8" x14ac:dyDescent="0.25">
      <c r="E31" s="110"/>
      <c r="H31" s="110"/>
    </row>
    <row r="32" spans="2:8" x14ac:dyDescent="0.25">
      <c r="B32" s="102" t="s">
        <v>162</v>
      </c>
      <c r="D32" s="113"/>
      <c r="E32" s="110">
        <f>E13+E30</f>
        <v>75.69</v>
      </c>
      <c r="F32" s="123"/>
      <c r="G32" s="113"/>
      <c r="H32" s="110">
        <f>H13+H30</f>
        <v>75.839999999999989</v>
      </c>
    </row>
    <row r="33" spans="2:8" x14ac:dyDescent="0.25">
      <c r="B33" s="102" t="s">
        <v>163</v>
      </c>
      <c r="D33" s="113"/>
      <c r="E33" s="110"/>
      <c r="F33" s="123"/>
      <c r="G33" s="113"/>
      <c r="H33" s="110">
        <f>H32-$E32</f>
        <v>0.14999999999999147</v>
      </c>
    </row>
    <row r="34" spans="2:8" x14ac:dyDescent="0.25">
      <c r="B34" s="102" t="s">
        <v>164</v>
      </c>
      <c r="D34" s="124"/>
      <c r="E34" s="124"/>
      <c r="F34" s="125"/>
      <c r="G34" s="124"/>
      <c r="H34" s="126">
        <f>H33/$E32</f>
        <v>1.981767736821132E-3</v>
      </c>
    </row>
    <row r="35" spans="2:8" x14ac:dyDescent="0.25">
      <c r="E35" s="110"/>
    </row>
    <row r="36" spans="2:8" x14ac:dyDescent="0.25">
      <c r="B36" s="102" t="s">
        <v>165</v>
      </c>
      <c r="D36" s="118">
        <f>D23+D25</f>
        <v>0.5131</v>
      </c>
      <c r="E36" s="110"/>
      <c r="F36" s="122"/>
      <c r="G36" s="118">
        <f>G23+G25</f>
        <v>0.51542999999999994</v>
      </c>
    </row>
    <row r="38" spans="2:8" ht="17.25" x14ac:dyDescent="0.25">
      <c r="B38" s="127" t="s">
        <v>166</v>
      </c>
    </row>
    <row r="39" spans="2:8" x14ac:dyDescent="0.25">
      <c r="C39" s="127"/>
      <c r="D39" s="127"/>
      <c r="E39" s="127"/>
      <c r="F39" s="128"/>
      <c r="G39" s="128"/>
      <c r="H39" s="128"/>
    </row>
    <row r="44" spans="2:8" ht="14.25" customHeight="1" x14ac:dyDescent="0.25"/>
  </sheetData>
  <printOptions horizontalCentered="1"/>
  <pageMargins left="0.5" right="0.5" top="1" bottom="1" header="0.5" footer="0.5"/>
  <pageSetup scale="83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="90" zoomScaleNormal="90" workbookViewId="0">
      <selection activeCell="D27" sqref="D27"/>
    </sheetView>
  </sheetViews>
  <sheetFormatPr defaultColWidth="8.7109375" defaultRowHeight="15" x14ac:dyDescent="0.25"/>
  <cols>
    <col min="1" max="1" width="31.140625" style="3" customWidth="1"/>
    <col min="2" max="2" width="8.7109375" style="3"/>
    <col min="3" max="3" width="18.5703125" style="3" bestFit="1" customWidth="1"/>
    <col min="4" max="5" width="13.7109375" style="3" customWidth="1"/>
    <col min="6" max="8" width="14.42578125" style="3" customWidth="1"/>
    <col min="9" max="9" width="8.28515625" style="3" customWidth="1"/>
    <col min="10" max="16384" width="8.7109375" style="3"/>
  </cols>
  <sheetData>
    <row r="1" spans="1:9" x14ac:dyDescent="0.25">
      <c r="A1" s="145" t="s">
        <v>12</v>
      </c>
      <c r="B1" s="145"/>
      <c r="C1" s="145"/>
      <c r="D1" s="145"/>
      <c r="E1" s="145"/>
      <c r="F1" s="145"/>
      <c r="G1" s="145"/>
      <c r="H1" s="145"/>
      <c r="I1" s="145"/>
    </row>
    <row r="2" spans="1:9" x14ac:dyDescent="0.25">
      <c r="A2" s="145" t="s">
        <v>167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25">
      <c r="A3" s="145" t="s">
        <v>168</v>
      </c>
      <c r="B3" s="145"/>
      <c r="C3" s="145"/>
      <c r="D3" s="145"/>
      <c r="E3" s="145"/>
      <c r="F3" s="145"/>
      <c r="G3" s="145"/>
      <c r="H3" s="145"/>
      <c r="I3" s="145"/>
    </row>
    <row r="4" spans="1:9" x14ac:dyDescent="0.25">
      <c r="A4" s="145" t="s">
        <v>74</v>
      </c>
      <c r="B4" s="145"/>
      <c r="C4" s="145"/>
      <c r="D4" s="145"/>
      <c r="E4" s="145"/>
      <c r="F4" s="145"/>
      <c r="G4" s="145"/>
      <c r="H4" s="145"/>
      <c r="I4" s="145"/>
    </row>
    <row r="5" spans="1:9" x14ac:dyDescent="0.25">
      <c r="D5" s="52"/>
      <c r="E5" s="52"/>
    </row>
    <row r="6" spans="1:9" x14ac:dyDescent="0.25">
      <c r="A6" s="15"/>
      <c r="B6" s="15"/>
      <c r="C6" s="15" t="s">
        <v>13</v>
      </c>
      <c r="D6" s="15" t="s">
        <v>169</v>
      </c>
      <c r="E6" s="15" t="s">
        <v>170</v>
      </c>
      <c r="F6" s="129" t="s">
        <v>13</v>
      </c>
      <c r="G6" s="129" t="s">
        <v>13</v>
      </c>
      <c r="H6" s="15" t="s">
        <v>171</v>
      </c>
      <c r="I6" s="15"/>
    </row>
    <row r="7" spans="1:9" x14ac:dyDescent="0.25">
      <c r="A7" s="15"/>
      <c r="B7" s="15" t="s">
        <v>80</v>
      </c>
      <c r="C7" s="15" t="s">
        <v>172</v>
      </c>
      <c r="D7" s="15" t="s">
        <v>171</v>
      </c>
      <c r="E7" s="15" t="s">
        <v>171</v>
      </c>
      <c r="F7" s="129" t="s">
        <v>92</v>
      </c>
      <c r="G7" s="129" t="s">
        <v>92</v>
      </c>
      <c r="H7" s="15" t="s">
        <v>92</v>
      </c>
      <c r="I7" s="15" t="s">
        <v>29</v>
      </c>
    </row>
    <row r="8" spans="1:9" x14ac:dyDescent="0.25">
      <c r="A8" s="16" t="s">
        <v>93</v>
      </c>
      <c r="B8" s="16" t="s">
        <v>4</v>
      </c>
      <c r="C8" s="130" t="str">
        <f>'Rate Impacts Sch 120'!$R$7</f>
        <v>12ME Apr. 2023</v>
      </c>
      <c r="D8" s="16" t="s">
        <v>145</v>
      </c>
      <c r="E8" s="16" t="s">
        <v>145</v>
      </c>
      <c r="F8" s="107" t="s">
        <v>141</v>
      </c>
      <c r="G8" s="107" t="s">
        <v>49</v>
      </c>
      <c r="H8" s="16" t="s">
        <v>99</v>
      </c>
      <c r="I8" s="16" t="s">
        <v>99</v>
      </c>
    </row>
    <row r="9" spans="1:9" x14ac:dyDescent="0.25">
      <c r="A9" s="3" t="s">
        <v>22</v>
      </c>
      <c r="B9" s="52" t="s">
        <v>119</v>
      </c>
      <c r="C9" s="142">
        <v>637624416</v>
      </c>
      <c r="D9" s="131">
        <v>2.019E-2</v>
      </c>
      <c r="E9" s="132">
        <f>Rates!$G$21</f>
        <v>2.2519999999999998E-2</v>
      </c>
      <c r="F9" s="70">
        <f>C9*D9</f>
        <v>12873636.959039999</v>
      </c>
      <c r="G9" s="70">
        <f>C9*E9</f>
        <v>14359301.84832</v>
      </c>
      <c r="H9" s="21">
        <f>G9-F9</f>
        <v>1485664.8892800007</v>
      </c>
      <c r="I9" s="133">
        <f>H9/F9</f>
        <v>0.11540366518078263</v>
      </c>
    </row>
    <row r="10" spans="1:9" x14ac:dyDescent="0.25">
      <c r="A10" s="3" t="s">
        <v>120</v>
      </c>
      <c r="B10" s="52">
        <v>16</v>
      </c>
      <c r="C10" s="55">
        <v>8832</v>
      </c>
      <c r="D10" s="131">
        <v>2.019E-2</v>
      </c>
      <c r="E10" s="132">
        <f>Rates!$G$21</f>
        <v>2.2519999999999998E-2</v>
      </c>
      <c r="F10" s="70">
        <f t="shared" ref="F10:F21" si="0">C10*D10</f>
        <v>178.31808000000001</v>
      </c>
      <c r="G10" s="70">
        <f t="shared" ref="G10:G21" si="1">C10*E10</f>
        <v>198.89663999999999</v>
      </c>
      <c r="H10" s="21">
        <f t="shared" ref="H10:H21" si="2">G10-F10</f>
        <v>20.578559999999982</v>
      </c>
      <c r="I10" s="133">
        <f t="shared" ref="I10:I20" si="3">H10/F10</f>
        <v>0.11540366518078246</v>
      </c>
    </row>
    <row r="11" spans="1:9" x14ac:dyDescent="0.25">
      <c r="A11" s="3" t="s">
        <v>24</v>
      </c>
      <c r="B11" s="52">
        <v>31</v>
      </c>
      <c r="C11" s="142">
        <v>241467873</v>
      </c>
      <c r="D11" s="131">
        <v>2.019E-2</v>
      </c>
      <c r="E11" s="132">
        <f>Rates!$G$21</f>
        <v>2.2519999999999998E-2</v>
      </c>
      <c r="F11" s="70">
        <f t="shared" si="0"/>
        <v>4875236.3558700001</v>
      </c>
      <c r="G11" s="70">
        <f t="shared" si="1"/>
        <v>5437856.4999599997</v>
      </c>
      <c r="H11" s="21">
        <f t="shared" si="2"/>
        <v>562620.14408999961</v>
      </c>
      <c r="I11" s="133">
        <f t="shared" si="3"/>
        <v>0.11540366518078249</v>
      </c>
    </row>
    <row r="12" spans="1:9" x14ac:dyDescent="0.25">
      <c r="A12" s="3" t="s">
        <v>45</v>
      </c>
      <c r="B12" s="52">
        <v>41</v>
      </c>
      <c r="C12" s="142">
        <v>67014038</v>
      </c>
      <c r="D12" s="131">
        <v>2.019E-2</v>
      </c>
      <c r="E12" s="132">
        <f>Rates!$G$21</f>
        <v>2.2519999999999998E-2</v>
      </c>
      <c r="F12" s="70">
        <f t="shared" si="0"/>
        <v>1353013.42722</v>
      </c>
      <c r="G12" s="70">
        <f t="shared" si="1"/>
        <v>1509156.13576</v>
      </c>
      <c r="H12" s="21">
        <f t="shared" si="2"/>
        <v>156142.70854000002</v>
      </c>
      <c r="I12" s="133">
        <f t="shared" si="3"/>
        <v>0.11540366518078259</v>
      </c>
    </row>
    <row r="13" spans="1:9" x14ac:dyDescent="0.25">
      <c r="A13" s="3" t="s">
        <v>25</v>
      </c>
      <c r="B13" s="52">
        <v>85</v>
      </c>
      <c r="C13" s="142">
        <v>11371067</v>
      </c>
      <c r="D13" s="131">
        <v>1.678E-2</v>
      </c>
      <c r="E13" s="132">
        <f>Rates!$G$22</f>
        <v>1.9599999999999999E-2</v>
      </c>
      <c r="F13" s="70">
        <f t="shared" si="0"/>
        <v>190806.50425999999</v>
      </c>
      <c r="G13" s="70">
        <f t="shared" si="1"/>
        <v>222872.91319999998</v>
      </c>
      <c r="H13" s="21">
        <f t="shared" si="2"/>
        <v>32066.408939999994</v>
      </c>
      <c r="I13" s="133">
        <f t="shared" si="3"/>
        <v>0.16805721096543502</v>
      </c>
    </row>
    <row r="14" spans="1:9" x14ac:dyDescent="0.25">
      <c r="A14" s="3" t="s">
        <v>26</v>
      </c>
      <c r="B14" s="52">
        <v>86</v>
      </c>
      <c r="C14" s="142">
        <v>5806192</v>
      </c>
      <c r="D14" s="131">
        <v>1.678E-2</v>
      </c>
      <c r="E14" s="132">
        <f>Rates!$G$22</f>
        <v>1.9599999999999999E-2</v>
      </c>
      <c r="F14" s="70">
        <f t="shared" si="0"/>
        <v>97427.901759999993</v>
      </c>
      <c r="G14" s="70">
        <f>C14*E14</f>
        <v>113801.36319999999</v>
      </c>
      <c r="H14" s="21">
        <f t="shared" si="2"/>
        <v>16373.461439999999</v>
      </c>
      <c r="I14" s="133">
        <f t="shared" si="3"/>
        <v>0.16805721096543505</v>
      </c>
    </row>
    <row r="15" spans="1:9" x14ac:dyDescent="0.25">
      <c r="A15" s="3" t="s">
        <v>27</v>
      </c>
      <c r="B15" s="52">
        <v>87</v>
      </c>
      <c r="C15" s="142">
        <v>16507323</v>
      </c>
      <c r="D15" s="131">
        <v>1.678E-2</v>
      </c>
      <c r="E15" s="132">
        <f>Rates!$G$22</f>
        <v>1.9599999999999999E-2</v>
      </c>
      <c r="F15" s="70">
        <f t="shared" si="0"/>
        <v>276992.87994000001</v>
      </c>
      <c r="G15" s="70">
        <f t="shared" si="1"/>
        <v>323543.53080000001</v>
      </c>
      <c r="H15" s="21">
        <f t="shared" si="2"/>
        <v>46550.650859999994</v>
      </c>
      <c r="I15" s="133">
        <f t="shared" si="3"/>
        <v>0.16805721096543502</v>
      </c>
    </row>
    <row r="16" spans="1:9" x14ac:dyDescent="0.25">
      <c r="A16" s="3" t="s">
        <v>121</v>
      </c>
      <c r="B16" s="52" t="s">
        <v>52</v>
      </c>
      <c r="C16" s="142">
        <v>34794</v>
      </c>
      <c r="D16" s="134">
        <v>0</v>
      </c>
      <c r="E16" s="134">
        <v>0</v>
      </c>
      <c r="F16" s="70">
        <f t="shared" si="0"/>
        <v>0</v>
      </c>
      <c r="G16" s="70">
        <f t="shared" si="1"/>
        <v>0</v>
      </c>
      <c r="H16" s="21">
        <f t="shared" si="2"/>
        <v>0</v>
      </c>
      <c r="I16" s="133" t="e">
        <f t="shared" si="3"/>
        <v>#DIV/0!</v>
      </c>
    </row>
    <row r="17" spans="1:9" x14ac:dyDescent="0.25">
      <c r="A17" s="3" t="s">
        <v>122</v>
      </c>
      <c r="B17" s="52" t="s">
        <v>0</v>
      </c>
      <c r="C17" s="142">
        <v>24809914</v>
      </c>
      <c r="D17" s="134">
        <v>0</v>
      </c>
      <c r="E17" s="134">
        <v>0</v>
      </c>
      <c r="F17" s="70">
        <f t="shared" si="0"/>
        <v>0</v>
      </c>
      <c r="G17" s="70">
        <f t="shared" si="1"/>
        <v>0</v>
      </c>
      <c r="H17" s="21">
        <f t="shared" si="2"/>
        <v>0</v>
      </c>
      <c r="I17" s="133" t="e">
        <f t="shared" si="3"/>
        <v>#DIV/0!</v>
      </c>
    </row>
    <row r="18" spans="1:9" x14ac:dyDescent="0.25">
      <c r="A18" s="3" t="s">
        <v>123</v>
      </c>
      <c r="B18" s="52" t="s">
        <v>1</v>
      </c>
      <c r="C18" s="142">
        <v>63382604</v>
      </c>
      <c r="D18" s="134">
        <v>0</v>
      </c>
      <c r="E18" s="134">
        <v>0</v>
      </c>
      <c r="F18" s="70">
        <f t="shared" si="0"/>
        <v>0</v>
      </c>
      <c r="G18" s="70">
        <f t="shared" si="1"/>
        <v>0</v>
      </c>
      <c r="H18" s="21">
        <f t="shared" si="2"/>
        <v>0</v>
      </c>
      <c r="I18" s="133" t="e">
        <f t="shared" si="3"/>
        <v>#DIV/0!</v>
      </c>
    </row>
    <row r="19" spans="1:9" x14ac:dyDescent="0.25">
      <c r="A19" s="3" t="s">
        <v>124</v>
      </c>
      <c r="B19" s="52" t="s">
        <v>46</v>
      </c>
      <c r="C19" s="142">
        <v>520743</v>
      </c>
      <c r="D19" s="134">
        <v>0</v>
      </c>
      <c r="E19" s="134">
        <v>0</v>
      </c>
      <c r="F19" s="70">
        <f t="shared" si="0"/>
        <v>0</v>
      </c>
      <c r="G19" s="70">
        <f t="shared" si="1"/>
        <v>0</v>
      </c>
      <c r="H19" s="21">
        <f t="shared" si="2"/>
        <v>0</v>
      </c>
      <c r="I19" s="133" t="e">
        <f t="shared" si="3"/>
        <v>#DIV/0!</v>
      </c>
    </row>
    <row r="20" spans="1:9" x14ac:dyDescent="0.25">
      <c r="A20" s="3" t="s">
        <v>125</v>
      </c>
      <c r="B20" s="52" t="s">
        <v>2</v>
      </c>
      <c r="C20" s="142">
        <v>84530424</v>
      </c>
      <c r="D20" s="134">
        <v>0</v>
      </c>
      <c r="E20" s="134">
        <v>0</v>
      </c>
      <c r="F20" s="70">
        <f t="shared" si="0"/>
        <v>0</v>
      </c>
      <c r="G20" s="70">
        <f t="shared" si="1"/>
        <v>0</v>
      </c>
      <c r="H20" s="21">
        <f t="shared" si="2"/>
        <v>0</v>
      </c>
      <c r="I20" s="133" t="e">
        <f t="shared" si="3"/>
        <v>#DIV/0!</v>
      </c>
    </row>
    <row r="21" spans="1:9" x14ac:dyDescent="0.25">
      <c r="A21" s="3" t="s">
        <v>47</v>
      </c>
      <c r="B21" s="52"/>
      <c r="C21" s="142">
        <v>31281288</v>
      </c>
      <c r="D21" s="135">
        <v>0</v>
      </c>
      <c r="E21" s="134">
        <v>0</v>
      </c>
      <c r="F21" s="70">
        <f t="shared" si="0"/>
        <v>0</v>
      </c>
      <c r="G21" s="70">
        <f t="shared" si="1"/>
        <v>0</v>
      </c>
      <c r="H21" s="21">
        <f t="shared" si="2"/>
        <v>0</v>
      </c>
      <c r="I21" s="133" t="e">
        <f>H21/F21</f>
        <v>#DIV/0!</v>
      </c>
    </row>
    <row r="22" spans="1:9" x14ac:dyDescent="0.25">
      <c r="A22" s="3" t="s">
        <v>3</v>
      </c>
      <c r="C22" s="6">
        <f>SUM(C9:C21)</f>
        <v>1184359508</v>
      </c>
      <c r="D22" s="136"/>
      <c r="E22" s="137"/>
      <c r="F22" s="75">
        <f>SUM(F9:F21)</f>
        <v>19667292.346169997</v>
      </c>
      <c r="G22" s="75">
        <f>SUM(G9:G21)</f>
        <v>21966731.187880002</v>
      </c>
      <c r="H22" s="33">
        <f>SUM(H9:H21)</f>
        <v>2299438.8417100008</v>
      </c>
      <c r="I22" s="138">
        <f>H22/F22</f>
        <v>0.11691689945097057</v>
      </c>
    </row>
    <row r="23" spans="1:9" x14ac:dyDescent="0.25">
      <c r="A23" s="106"/>
      <c r="B23" s="139"/>
      <c r="C23" s="140"/>
      <c r="D23" s="141"/>
      <c r="E23" s="141"/>
      <c r="F23" s="141"/>
      <c r="G23" s="141"/>
      <c r="H23" s="124"/>
      <c r="I23" s="102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89" orientation="landscape" blackAndWhite="1" r:id="rId1"/>
  <headerFooter>
    <oddFooter>&amp;L&amp;F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="90" zoomScaleNormal="90" workbookViewId="0">
      <selection activeCell="D27" sqref="D27"/>
    </sheetView>
  </sheetViews>
  <sheetFormatPr defaultColWidth="8.7109375" defaultRowHeight="15" x14ac:dyDescent="0.25"/>
  <cols>
    <col min="1" max="1" width="4.7109375" style="3" customWidth="1"/>
    <col min="2" max="2" width="45.85546875" style="3" customWidth="1"/>
    <col min="3" max="3" width="16.140625" style="3" customWidth="1"/>
    <col min="4" max="4" width="11.140625" style="3" customWidth="1"/>
    <col min="5" max="5" width="16.140625" style="3" customWidth="1"/>
    <col min="6" max="6" width="8.7109375" style="3"/>
    <col min="7" max="7" width="11.5703125" style="3" bestFit="1" customWidth="1"/>
    <col min="8" max="16384" width="8.7109375" style="3"/>
  </cols>
  <sheetData>
    <row r="1" spans="1:7" x14ac:dyDescent="0.25">
      <c r="A1" s="146" t="s">
        <v>12</v>
      </c>
      <c r="B1" s="146"/>
      <c r="C1" s="146"/>
      <c r="D1" s="146"/>
      <c r="E1" s="146"/>
    </row>
    <row r="2" spans="1:7" x14ac:dyDescent="0.25">
      <c r="A2" s="146" t="str">
        <f>Rates!A2</f>
        <v>2022 Gas Schedule 120 Conservation Filing</v>
      </c>
      <c r="B2" s="146"/>
      <c r="C2" s="146"/>
      <c r="D2" s="146"/>
      <c r="E2" s="146"/>
    </row>
    <row r="3" spans="1:7" x14ac:dyDescent="0.25">
      <c r="A3" s="146" t="s">
        <v>5</v>
      </c>
      <c r="B3" s="146"/>
      <c r="C3" s="146"/>
      <c r="D3" s="146"/>
      <c r="E3" s="146"/>
    </row>
    <row r="4" spans="1:7" x14ac:dyDescent="0.25">
      <c r="A4" s="146" t="str">
        <f>Rates!A4</f>
        <v>Proposed Effective May 1, 2022</v>
      </c>
      <c r="B4" s="146"/>
      <c r="C4" s="146"/>
      <c r="D4" s="146"/>
      <c r="E4" s="146"/>
    </row>
    <row r="5" spans="1:7" s="35" customFormat="1" x14ac:dyDescent="0.25"/>
    <row r="6" spans="1:7" ht="30" x14ac:dyDescent="0.25">
      <c r="A6" s="37" t="s">
        <v>6</v>
      </c>
      <c r="B6" s="37" t="s">
        <v>7</v>
      </c>
      <c r="C6" s="37" t="s">
        <v>8</v>
      </c>
      <c r="D6" s="37" t="s">
        <v>9</v>
      </c>
      <c r="E6" s="37" t="s">
        <v>10</v>
      </c>
    </row>
    <row r="7" spans="1:7" x14ac:dyDescent="0.25">
      <c r="A7" s="35"/>
      <c r="B7" s="14" t="s">
        <v>56</v>
      </c>
      <c r="C7" s="38" t="s">
        <v>57</v>
      </c>
      <c r="D7" s="14" t="s">
        <v>58</v>
      </c>
      <c r="E7" s="38" t="s">
        <v>59</v>
      </c>
    </row>
    <row r="8" spans="1:7" x14ac:dyDescent="0.25">
      <c r="A8" s="18">
        <v>1</v>
      </c>
      <c r="B8" s="39" t="s">
        <v>72</v>
      </c>
      <c r="C8" s="40">
        <v>24904543.481040005</v>
      </c>
      <c r="D8" s="41">
        <v>0.95455299999999998</v>
      </c>
      <c r="E8" s="36">
        <f>+C8/D8</f>
        <v>26090267.885638624</v>
      </c>
    </row>
    <row r="9" spans="1:7" x14ac:dyDescent="0.25">
      <c r="A9" s="18"/>
      <c r="B9" s="39"/>
      <c r="C9" s="36"/>
      <c r="D9" s="35"/>
      <c r="E9" s="36"/>
    </row>
    <row r="10" spans="1:7" x14ac:dyDescent="0.25">
      <c r="A10" s="18">
        <v>2</v>
      </c>
      <c r="B10" s="10" t="s">
        <v>67</v>
      </c>
      <c r="C10" s="42">
        <v>-3932153.6599799916</v>
      </c>
      <c r="D10" s="41">
        <v>0.95455299999999998</v>
      </c>
      <c r="E10" s="43">
        <f>+C10/D10</f>
        <v>-4119366.5097485334</v>
      </c>
    </row>
    <row r="11" spans="1:7" x14ac:dyDescent="0.25">
      <c r="A11" s="18"/>
      <c r="B11" s="18"/>
      <c r="C11" s="36"/>
      <c r="D11" s="35"/>
      <c r="E11" s="36"/>
    </row>
    <row r="12" spans="1:7" ht="15.75" thickBot="1" x14ac:dyDescent="0.3">
      <c r="A12" s="18">
        <v>3</v>
      </c>
      <c r="B12" s="11" t="s">
        <v>11</v>
      </c>
      <c r="C12" s="44">
        <f>SUM(C8:C10)</f>
        <v>20972389.821060013</v>
      </c>
      <c r="D12" s="36"/>
      <c r="E12" s="44">
        <f>SUM(E8:E10)</f>
        <v>21970901.375890091</v>
      </c>
    </row>
    <row r="13" spans="1:7" ht="15.75" thickTop="1" x14ac:dyDescent="0.25">
      <c r="C13" s="21"/>
      <c r="E13" s="21"/>
      <c r="G13" s="21"/>
    </row>
    <row r="14" spans="1:7" x14ac:dyDescent="0.25">
      <c r="C14" s="21"/>
      <c r="E14" s="21"/>
    </row>
    <row r="15" spans="1:7" x14ac:dyDescent="0.25">
      <c r="C15" s="21"/>
      <c r="E15" s="21"/>
    </row>
    <row r="16" spans="1:7" x14ac:dyDescent="0.25">
      <c r="C16" s="21"/>
      <c r="E16" s="21"/>
    </row>
    <row r="17" spans="3:3" x14ac:dyDescent="0.25">
      <c r="C17" s="21"/>
    </row>
    <row r="18" spans="3:3" x14ac:dyDescent="0.25">
      <c r="C18" s="21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="90" zoomScaleNormal="90" workbookViewId="0">
      <selection activeCell="D27" sqref="D27"/>
    </sheetView>
  </sheetViews>
  <sheetFormatPr defaultColWidth="9.140625" defaultRowHeight="15" x14ac:dyDescent="0.25"/>
  <cols>
    <col min="1" max="1" width="19.85546875" style="3" customWidth="1"/>
    <col min="2" max="13" width="12.42578125" style="3" customWidth="1"/>
    <col min="14" max="14" width="13.5703125" style="3" customWidth="1"/>
    <col min="15" max="16384" width="9.140625" style="3"/>
  </cols>
  <sheetData>
    <row r="1" spans="1:18" x14ac:dyDescent="0.25">
      <c r="A1" s="145" t="s">
        <v>12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8" x14ac:dyDescent="0.25">
      <c r="A2" s="145" t="str">
        <f>Rates!A2</f>
        <v>2022 Gas Schedule 120 Conservation Filing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8" x14ac:dyDescent="0.25">
      <c r="A3" s="145" t="s">
        <v>66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8" x14ac:dyDescent="0.25">
      <c r="A4" s="147" t="str">
        <f>TEXT(B6,"Mmm YYYY - ")&amp;TEXT(M6,"Mmmm YYYY")</f>
        <v>May 2022 - April 2023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8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8" x14ac:dyDescent="0.25">
      <c r="A6" s="56" t="s">
        <v>4</v>
      </c>
      <c r="B6" s="54">
        <v>44682</v>
      </c>
      <c r="C6" s="48">
        <f>EDATE(B6,1)</f>
        <v>44713</v>
      </c>
      <c r="D6" s="48">
        <f t="shared" ref="D6:M6" si="0">EDATE(C6,1)</f>
        <v>44743</v>
      </c>
      <c r="E6" s="48">
        <f t="shared" si="0"/>
        <v>44774</v>
      </c>
      <c r="F6" s="48">
        <f t="shared" si="0"/>
        <v>44805</v>
      </c>
      <c r="G6" s="48">
        <f t="shared" si="0"/>
        <v>44835</v>
      </c>
      <c r="H6" s="48">
        <f t="shared" si="0"/>
        <v>44866</v>
      </c>
      <c r="I6" s="48">
        <f t="shared" si="0"/>
        <v>44896</v>
      </c>
      <c r="J6" s="48">
        <f t="shared" si="0"/>
        <v>44927</v>
      </c>
      <c r="K6" s="48">
        <f t="shared" si="0"/>
        <v>44958</v>
      </c>
      <c r="L6" s="48">
        <f t="shared" si="0"/>
        <v>44986</v>
      </c>
      <c r="M6" s="48">
        <f t="shared" si="0"/>
        <v>45017</v>
      </c>
      <c r="N6" s="16" t="s">
        <v>3</v>
      </c>
    </row>
    <row r="7" spans="1:18" x14ac:dyDescent="0.25">
      <c r="A7" s="4">
        <v>16</v>
      </c>
      <c r="B7" s="55">
        <v>736</v>
      </c>
      <c r="C7" s="55">
        <v>736</v>
      </c>
      <c r="D7" s="55">
        <v>736</v>
      </c>
      <c r="E7" s="55">
        <v>736</v>
      </c>
      <c r="F7" s="55">
        <v>736</v>
      </c>
      <c r="G7" s="55">
        <v>736</v>
      </c>
      <c r="H7" s="55">
        <v>736</v>
      </c>
      <c r="I7" s="55">
        <v>736</v>
      </c>
      <c r="J7" s="55">
        <v>736</v>
      </c>
      <c r="K7" s="55">
        <v>736</v>
      </c>
      <c r="L7" s="55">
        <v>736</v>
      </c>
      <c r="M7" s="55">
        <v>736</v>
      </c>
      <c r="N7" s="5">
        <f t="shared" ref="N7:N20" si="1">SUM(B7:M7)</f>
        <v>8832</v>
      </c>
      <c r="R7" s="5"/>
    </row>
    <row r="8" spans="1:18" x14ac:dyDescent="0.25">
      <c r="A8" s="4">
        <v>23</v>
      </c>
      <c r="B8" s="55">
        <v>30642000</v>
      </c>
      <c r="C8" s="55">
        <v>20339874</v>
      </c>
      <c r="D8" s="55">
        <v>14770079</v>
      </c>
      <c r="E8" s="55">
        <v>14130402</v>
      </c>
      <c r="F8" s="55">
        <v>20723185</v>
      </c>
      <c r="G8" s="55">
        <v>47412595</v>
      </c>
      <c r="H8" s="55">
        <v>77550271</v>
      </c>
      <c r="I8" s="55">
        <v>101606379</v>
      </c>
      <c r="J8" s="55">
        <v>97941516</v>
      </c>
      <c r="K8" s="55">
        <v>83022104</v>
      </c>
      <c r="L8" s="55">
        <v>75914577</v>
      </c>
      <c r="M8" s="55">
        <v>53571434</v>
      </c>
      <c r="N8" s="5">
        <f t="shared" si="1"/>
        <v>637624416</v>
      </c>
      <c r="R8" s="5"/>
    </row>
    <row r="9" spans="1:18" x14ac:dyDescent="0.25">
      <c r="A9" s="4">
        <v>53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">
        <f t="shared" si="1"/>
        <v>0</v>
      </c>
      <c r="R9" s="5"/>
    </row>
    <row r="10" spans="1:18" x14ac:dyDescent="0.25">
      <c r="A10" s="4">
        <v>31</v>
      </c>
      <c r="B10" s="55">
        <v>13744464</v>
      </c>
      <c r="C10" s="55">
        <v>10592700</v>
      </c>
      <c r="D10" s="55">
        <v>8776103</v>
      </c>
      <c r="E10" s="55">
        <v>9060379</v>
      </c>
      <c r="F10" s="55">
        <v>10256642</v>
      </c>
      <c r="G10" s="55">
        <v>17267214</v>
      </c>
      <c r="H10" s="55">
        <v>26421219</v>
      </c>
      <c r="I10" s="55">
        <v>35293715</v>
      </c>
      <c r="J10" s="55">
        <v>32813557</v>
      </c>
      <c r="K10" s="55">
        <v>30024226</v>
      </c>
      <c r="L10" s="55">
        <v>27311157</v>
      </c>
      <c r="M10" s="55">
        <v>19906497</v>
      </c>
      <c r="N10" s="5">
        <f t="shared" si="1"/>
        <v>241467873</v>
      </c>
      <c r="R10" s="5"/>
    </row>
    <row r="11" spans="1:18" x14ac:dyDescent="0.25">
      <c r="A11" s="4">
        <v>41</v>
      </c>
      <c r="B11" s="55">
        <v>4385104</v>
      </c>
      <c r="C11" s="55">
        <v>3622276</v>
      </c>
      <c r="D11" s="55">
        <v>2887132</v>
      </c>
      <c r="E11" s="55">
        <v>3010217</v>
      </c>
      <c r="F11" s="55">
        <v>3460063</v>
      </c>
      <c r="G11" s="55">
        <v>5364177</v>
      </c>
      <c r="H11" s="55">
        <v>7327707</v>
      </c>
      <c r="I11" s="55">
        <v>8529691</v>
      </c>
      <c r="J11" s="55">
        <v>7910759</v>
      </c>
      <c r="K11" s="55">
        <v>7671023</v>
      </c>
      <c r="L11" s="55">
        <v>7204827</v>
      </c>
      <c r="M11" s="55">
        <v>5641062</v>
      </c>
      <c r="N11" s="5">
        <f t="shared" si="1"/>
        <v>67014038</v>
      </c>
      <c r="R11" s="5"/>
    </row>
    <row r="12" spans="1:18" x14ac:dyDescent="0.25">
      <c r="A12" s="4">
        <v>85</v>
      </c>
      <c r="B12" s="55">
        <v>858589</v>
      </c>
      <c r="C12" s="55">
        <v>655198</v>
      </c>
      <c r="D12" s="55">
        <v>618117</v>
      </c>
      <c r="E12" s="55">
        <v>677311</v>
      </c>
      <c r="F12" s="55">
        <v>685720</v>
      </c>
      <c r="G12" s="55">
        <v>979115</v>
      </c>
      <c r="H12" s="55">
        <v>1121341</v>
      </c>
      <c r="I12" s="55">
        <v>1431001</v>
      </c>
      <c r="J12" s="55">
        <v>1198131</v>
      </c>
      <c r="K12" s="55">
        <v>1185502</v>
      </c>
      <c r="L12" s="55">
        <v>1088001</v>
      </c>
      <c r="M12" s="55">
        <v>873041</v>
      </c>
      <c r="N12" s="5">
        <f t="shared" si="1"/>
        <v>11371067</v>
      </c>
      <c r="R12" s="5"/>
    </row>
    <row r="13" spans="1:18" x14ac:dyDescent="0.25">
      <c r="A13" s="4">
        <v>86</v>
      </c>
      <c r="B13" s="55">
        <v>441272</v>
      </c>
      <c r="C13" s="55">
        <v>265181</v>
      </c>
      <c r="D13" s="55">
        <v>191912</v>
      </c>
      <c r="E13" s="55">
        <v>156558</v>
      </c>
      <c r="F13" s="55">
        <v>175194</v>
      </c>
      <c r="G13" s="55">
        <v>393875</v>
      </c>
      <c r="H13" s="55">
        <v>601693</v>
      </c>
      <c r="I13" s="55">
        <v>884286</v>
      </c>
      <c r="J13" s="55">
        <v>759019</v>
      </c>
      <c r="K13" s="55">
        <v>747461</v>
      </c>
      <c r="L13" s="55">
        <v>701258</v>
      </c>
      <c r="M13" s="55">
        <v>488483</v>
      </c>
      <c r="N13" s="5">
        <f t="shared" si="1"/>
        <v>5806192</v>
      </c>
      <c r="R13" s="5"/>
    </row>
    <row r="14" spans="1:18" x14ac:dyDescent="0.25">
      <c r="A14" s="4">
        <v>87</v>
      </c>
      <c r="B14" s="55">
        <v>1185540</v>
      </c>
      <c r="C14" s="55">
        <v>958990</v>
      </c>
      <c r="D14" s="55">
        <v>955191</v>
      </c>
      <c r="E14" s="55">
        <v>1028475</v>
      </c>
      <c r="F14" s="55">
        <v>1054506</v>
      </c>
      <c r="G14" s="55">
        <v>1669422</v>
      </c>
      <c r="H14" s="55">
        <v>1754240</v>
      </c>
      <c r="I14" s="55">
        <v>2164412</v>
      </c>
      <c r="J14" s="55">
        <v>1597327</v>
      </c>
      <c r="K14" s="55">
        <v>1546789</v>
      </c>
      <c r="L14" s="55">
        <v>1470355</v>
      </c>
      <c r="M14" s="55">
        <v>1122076</v>
      </c>
      <c r="N14" s="5">
        <f t="shared" si="1"/>
        <v>16507323</v>
      </c>
      <c r="R14" s="5"/>
    </row>
    <row r="15" spans="1:18" x14ac:dyDescent="0.25">
      <c r="A15" s="4" t="s">
        <v>52</v>
      </c>
      <c r="B15" s="55">
        <v>2157</v>
      </c>
      <c r="C15" s="55">
        <v>2030</v>
      </c>
      <c r="D15" s="55">
        <v>1768</v>
      </c>
      <c r="E15" s="55">
        <v>1994</v>
      </c>
      <c r="F15" s="55">
        <v>2086</v>
      </c>
      <c r="G15" s="55">
        <v>2903</v>
      </c>
      <c r="H15" s="55">
        <v>4053</v>
      </c>
      <c r="I15" s="55">
        <v>4358</v>
      </c>
      <c r="J15" s="55">
        <v>3528</v>
      </c>
      <c r="K15" s="55">
        <v>3764</v>
      </c>
      <c r="L15" s="55">
        <v>3289</v>
      </c>
      <c r="M15" s="55">
        <v>2864</v>
      </c>
      <c r="N15" s="5">
        <f t="shared" si="1"/>
        <v>34794</v>
      </c>
      <c r="R15" s="5"/>
    </row>
    <row r="16" spans="1:18" x14ac:dyDescent="0.25">
      <c r="A16" s="4" t="s">
        <v>0</v>
      </c>
      <c r="B16" s="55">
        <v>1987313</v>
      </c>
      <c r="C16" s="55">
        <v>2099137</v>
      </c>
      <c r="D16" s="55">
        <v>1909781</v>
      </c>
      <c r="E16" s="55">
        <v>1955068</v>
      </c>
      <c r="F16" s="55">
        <v>1898647</v>
      </c>
      <c r="G16" s="55">
        <v>1933338</v>
      </c>
      <c r="H16" s="55">
        <v>2212852</v>
      </c>
      <c r="I16" s="55">
        <v>2167789</v>
      </c>
      <c r="J16" s="55">
        <v>2116957</v>
      </c>
      <c r="K16" s="55">
        <v>2331781</v>
      </c>
      <c r="L16" s="55">
        <v>1977794</v>
      </c>
      <c r="M16" s="55">
        <v>2219457</v>
      </c>
      <c r="N16" s="5">
        <f t="shared" si="1"/>
        <v>24809914</v>
      </c>
      <c r="R16" s="5"/>
    </row>
    <row r="17" spans="1:18" x14ac:dyDescent="0.25">
      <c r="A17" s="4" t="s">
        <v>1</v>
      </c>
      <c r="B17" s="55">
        <v>4991271</v>
      </c>
      <c r="C17" s="55">
        <v>5322277</v>
      </c>
      <c r="D17" s="55">
        <v>4889611</v>
      </c>
      <c r="E17" s="55">
        <v>4877840</v>
      </c>
      <c r="F17" s="55">
        <v>4918712</v>
      </c>
      <c r="G17" s="55">
        <v>5389327</v>
      </c>
      <c r="H17" s="55">
        <v>5828378</v>
      </c>
      <c r="I17" s="55">
        <v>5522046</v>
      </c>
      <c r="J17" s="55">
        <v>5016441</v>
      </c>
      <c r="K17" s="55">
        <v>6201400</v>
      </c>
      <c r="L17" s="55">
        <v>4921274</v>
      </c>
      <c r="M17" s="55">
        <v>5504027</v>
      </c>
      <c r="N17" s="5">
        <f t="shared" si="1"/>
        <v>63382604</v>
      </c>
      <c r="R17" s="5"/>
    </row>
    <row r="18" spans="1:18" x14ac:dyDescent="0.25">
      <c r="A18" s="4" t="s">
        <v>46</v>
      </c>
      <c r="B18" s="55">
        <v>38170</v>
      </c>
      <c r="C18" s="55">
        <v>42895</v>
      </c>
      <c r="D18" s="55">
        <v>42680</v>
      </c>
      <c r="E18" s="55">
        <v>40016</v>
      </c>
      <c r="F18" s="55">
        <v>40804</v>
      </c>
      <c r="G18" s="55">
        <v>39503</v>
      </c>
      <c r="H18" s="55">
        <v>45939</v>
      </c>
      <c r="I18" s="55">
        <v>47575</v>
      </c>
      <c r="J18" s="55">
        <v>42937</v>
      </c>
      <c r="K18" s="55">
        <v>60764</v>
      </c>
      <c r="L18" s="55">
        <v>34773</v>
      </c>
      <c r="M18" s="55">
        <v>44687</v>
      </c>
      <c r="N18" s="5">
        <f t="shared" si="1"/>
        <v>520743</v>
      </c>
      <c r="R18" s="5"/>
    </row>
    <row r="19" spans="1:18" x14ac:dyDescent="0.25">
      <c r="A19" s="4" t="s">
        <v>2</v>
      </c>
      <c r="B19" s="55">
        <v>6550630</v>
      </c>
      <c r="C19" s="55">
        <v>6975634</v>
      </c>
      <c r="D19" s="55">
        <v>7212794</v>
      </c>
      <c r="E19" s="55">
        <v>6993330</v>
      </c>
      <c r="F19" s="55">
        <v>6656226</v>
      </c>
      <c r="G19" s="55">
        <v>6902285</v>
      </c>
      <c r="H19" s="55">
        <v>7100649</v>
      </c>
      <c r="I19" s="55">
        <v>7677199</v>
      </c>
      <c r="J19" s="55">
        <v>6469856</v>
      </c>
      <c r="K19" s="55">
        <v>8699476</v>
      </c>
      <c r="L19" s="55">
        <v>6595517</v>
      </c>
      <c r="M19" s="55">
        <v>6696828</v>
      </c>
      <c r="N19" s="5">
        <f t="shared" si="1"/>
        <v>84530424</v>
      </c>
      <c r="R19" s="5"/>
    </row>
    <row r="20" spans="1:18" x14ac:dyDescent="0.25">
      <c r="A20" s="4" t="s">
        <v>47</v>
      </c>
      <c r="B20" s="55">
        <v>1971660</v>
      </c>
      <c r="C20" s="55">
        <v>1964330</v>
      </c>
      <c r="D20" s="55">
        <v>1720722</v>
      </c>
      <c r="E20" s="55">
        <v>1577802</v>
      </c>
      <c r="F20" s="55">
        <v>1733639</v>
      </c>
      <c r="G20" s="55">
        <v>2451673</v>
      </c>
      <c r="H20" s="55">
        <v>3307365</v>
      </c>
      <c r="I20" s="55">
        <v>3587195</v>
      </c>
      <c r="J20" s="55">
        <v>3285881</v>
      </c>
      <c r="K20" s="55">
        <v>4444835</v>
      </c>
      <c r="L20" s="55">
        <v>2651562</v>
      </c>
      <c r="M20" s="55">
        <v>2584624</v>
      </c>
      <c r="N20" s="5">
        <f t="shared" si="1"/>
        <v>31281288</v>
      </c>
      <c r="R20" s="5"/>
    </row>
    <row r="21" spans="1:18" x14ac:dyDescent="0.25">
      <c r="A21" s="4" t="s">
        <v>3</v>
      </c>
      <c r="B21" s="6">
        <f>SUM(B7:B20)</f>
        <v>66798906</v>
      </c>
      <c r="C21" s="6">
        <f t="shared" ref="C21:M21" si="2">SUM(C7:C20)</f>
        <v>52841258</v>
      </c>
      <c r="D21" s="6">
        <f t="shared" si="2"/>
        <v>43976626</v>
      </c>
      <c r="E21" s="6">
        <f t="shared" si="2"/>
        <v>43510128</v>
      </c>
      <c r="F21" s="6">
        <f t="shared" si="2"/>
        <v>51606160</v>
      </c>
      <c r="G21" s="6">
        <f t="shared" si="2"/>
        <v>89806163</v>
      </c>
      <c r="H21" s="6">
        <f t="shared" si="2"/>
        <v>133276443</v>
      </c>
      <c r="I21" s="6">
        <f t="shared" si="2"/>
        <v>168916382</v>
      </c>
      <c r="J21" s="6">
        <f t="shared" si="2"/>
        <v>159156645</v>
      </c>
      <c r="K21" s="6">
        <f t="shared" si="2"/>
        <v>145939861</v>
      </c>
      <c r="L21" s="6">
        <f t="shared" si="2"/>
        <v>129875120</v>
      </c>
      <c r="M21" s="6">
        <f t="shared" si="2"/>
        <v>98655816</v>
      </c>
      <c r="N21" s="6">
        <f>SUM(N7:N20)</f>
        <v>1184359508</v>
      </c>
    </row>
    <row r="22" spans="1:18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8" x14ac:dyDescent="0.25">
      <c r="A23" s="4" t="s">
        <v>20</v>
      </c>
      <c r="B23" s="5">
        <f>SUM(B7:B11)</f>
        <v>48772304</v>
      </c>
      <c r="C23" s="5">
        <f t="shared" ref="C23:M23" si="3">SUM(C7:C11)</f>
        <v>34555586</v>
      </c>
      <c r="D23" s="5">
        <f t="shared" si="3"/>
        <v>26434050</v>
      </c>
      <c r="E23" s="5">
        <f t="shared" si="3"/>
        <v>26201734</v>
      </c>
      <c r="F23" s="5">
        <f t="shared" si="3"/>
        <v>34440626</v>
      </c>
      <c r="G23" s="5">
        <f t="shared" si="3"/>
        <v>70044722</v>
      </c>
      <c r="H23" s="5">
        <f t="shared" si="3"/>
        <v>111299933</v>
      </c>
      <c r="I23" s="5">
        <f t="shared" si="3"/>
        <v>145430521</v>
      </c>
      <c r="J23" s="5">
        <f t="shared" si="3"/>
        <v>138666568</v>
      </c>
      <c r="K23" s="5">
        <f t="shared" si="3"/>
        <v>120718089</v>
      </c>
      <c r="L23" s="5">
        <f t="shared" si="3"/>
        <v>110431297</v>
      </c>
      <c r="M23" s="5">
        <f t="shared" si="3"/>
        <v>79119729</v>
      </c>
      <c r="N23" s="5">
        <f>SUM(B23:M23)</f>
        <v>946115159</v>
      </c>
    </row>
    <row r="24" spans="1:18" x14ac:dyDescent="0.25">
      <c r="A24" s="4" t="s">
        <v>21</v>
      </c>
      <c r="B24" s="5">
        <f>SUM(B12:B14)</f>
        <v>2485401</v>
      </c>
      <c r="C24" s="5">
        <f t="shared" ref="C24:M24" si="4">SUM(C12:C14)</f>
        <v>1879369</v>
      </c>
      <c r="D24" s="5">
        <f t="shared" si="4"/>
        <v>1765220</v>
      </c>
      <c r="E24" s="5">
        <f t="shared" si="4"/>
        <v>1862344</v>
      </c>
      <c r="F24" s="5">
        <f t="shared" si="4"/>
        <v>1915420</v>
      </c>
      <c r="G24" s="5">
        <f t="shared" si="4"/>
        <v>3042412</v>
      </c>
      <c r="H24" s="5">
        <f t="shared" si="4"/>
        <v>3477274</v>
      </c>
      <c r="I24" s="5">
        <f t="shared" si="4"/>
        <v>4479699</v>
      </c>
      <c r="J24" s="5">
        <f t="shared" si="4"/>
        <v>3554477</v>
      </c>
      <c r="K24" s="5">
        <f t="shared" si="4"/>
        <v>3479752</v>
      </c>
      <c r="L24" s="5">
        <f t="shared" si="4"/>
        <v>3259614</v>
      </c>
      <c r="M24" s="5">
        <f t="shared" si="4"/>
        <v>2483600</v>
      </c>
      <c r="N24" s="5">
        <f>SUM(B24:M24)</f>
        <v>33684582</v>
      </c>
    </row>
    <row r="25" spans="1:18" x14ac:dyDescent="0.25">
      <c r="A25" s="4" t="s">
        <v>53</v>
      </c>
      <c r="B25" s="49">
        <f>SUM(B15:B20)</f>
        <v>15541201</v>
      </c>
      <c r="C25" s="49">
        <f t="shared" ref="C25:M25" si="5">SUM(C15:C20)</f>
        <v>16406303</v>
      </c>
      <c r="D25" s="49">
        <f t="shared" si="5"/>
        <v>15777356</v>
      </c>
      <c r="E25" s="49">
        <f t="shared" si="5"/>
        <v>15446050</v>
      </c>
      <c r="F25" s="49">
        <f t="shared" si="5"/>
        <v>15250114</v>
      </c>
      <c r="G25" s="49">
        <f t="shared" si="5"/>
        <v>16719029</v>
      </c>
      <c r="H25" s="49">
        <f t="shared" si="5"/>
        <v>18499236</v>
      </c>
      <c r="I25" s="49">
        <f t="shared" si="5"/>
        <v>19006162</v>
      </c>
      <c r="J25" s="49">
        <f t="shared" si="5"/>
        <v>16935600</v>
      </c>
      <c r="K25" s="49">
        <f t="shared" si="5"/>
        <v>21742020</v>
      </c>
      <c r="L25" s="49">
        <f t="shared" si="5"/>
        <v>16184209</v>
      </c>
      <c r="M25" s="49">
        <f t="shared" si="5"/>
        <v>17052487</v>
      </c>
      <c r="N25" s="49">
        <f>SUM(B25:M25)</f>
        <v>204559767</v>
      </c>
    </row>
    <row r="26" spans="1:18" x14ac:dyDescent="0.25">
      <c r="A26" s="4" t="s">
        <v>54</v>
      </c>
      <c r="B26" s="5">
        <f t="shared" ref="B26:M26" si="6">SUM(B23:B25)</f>
        <v>66798906</v>
      </c>
      <c r="C26" s="5">
        <f t="shared" si="6"/>
        <v>52841258</v>
      </c>
      <c r="D26" s="5">
        <f t="shared" si="6"/>
        <v>43976626</v>
      </c>
      <c r="E26" s="5">
        <f t="shared" si="6"/>
        <v>43510128</v>
      </c>
      <c r="F26" s="5">
        <f t="shared" si="6"/>
        <v>51606160</v>
      </c>
      <c r="G26" s="5">
        <f t="shared" si="6"/>
        <v>89806163</v>
      </c>
      <c r="H26" s="5">
        <f t="shared" si="6"/>
        <v>133276443</v>
      </c>
      <c r="I26" s="5">
        <f t="shared" si="6"/>
        <v>168916382</v>
      </c>
      <c r="J26" s="5">
        <f t="shared" si="6"/>
        <v>159156645</v>
      </c>
      <c r="K26" s="5">
        <f t="shared" si="6"/>
        <v>145939861</v>
      </c>
      <c r="L26" s="5">
        <f t="shared" si="6"/>
        <v>129875120</v>
      </c>
      <c r="M26" s="5">
        <f t="shared" si="6"/>
        <v>98655816</v>
      </c>
      <c r="N26" s="5">
        <f>SUM(B26:M26)</f>
        <v>1184359508</v>
      </c>
    </row>
    <row r="27" spans="1:18" x14ac:dyDescent="0.25">
      <c r="A27" s="50" t="s">
        <v>28</v>
      </c>
      <c r="B27" s="51">
        <f>B21-B26</f>
        <v>0</v>
      </c>
      <c r="C27" s="51">
        <f t="shared" ref="C27:N27" si="7">C21-C26</f>
        <v>0</v>
      </c>
      <c r="D27" s="51">
        <f t="shared" si="7"/>
        <v>0</v>
      </c>
      <c r="E27" s="51">
        <f t="shared" si="7"/>
        <v>0</v>
      </c>
      <c r="F27" s="51">
        <f t="shared" si="7"/>
        <v>0</v>
      </c>
      <c r="G27" s="51">
        <f t="shared" si="7"/>
        <v>0</v>
      </c>
      <c r="H27" s="51">
        <f t="shared" si="7"/>
        <v>0</v>
      </c>
      <c r="I27" s="51">
        <f t="shared" si="7"/>
        <v>0</v>
      </c>
      <c r="J27" s="51">
        <f t="shared" si="7"/>
        <v>0</v>
      </c>
      <c r="K27" s="51">
        <f t="shared" si="7"/>
        <v>0</v>
      </c>
      <c r="L27" s="51">
        <f t="shared" si="7"/>
        <v>0</v>
      </c>
      <c r="M27" s="51">
        <f t="shared" si="7"/>
        <v>0</v>
      </c>
      <c r="N27" s="51">
        <f t="shared" si="7"/>
        <v>0</v>
      </c>
    </row>
    <row r="29" spans="1:18" x14ac:dyDescent="0.25">
      <c r="A29" s="3" t="s">
        <v>70</v>
      </c>
    </row>
  </sheetData>
  <mergeCells count="4">
    <mergeCell ref="A1:N1"/>
    <mergeCell ref="A3:N3"/>
    <mergeCell ref="A4:N4"/>
    <mergeCell ref="A2:N2"/>
  </mergeCells>
  <printOptions horizontalCentered="1"/>
  <pageMargins left="0.7" right="0.7" top="0.75" bottom="0.75" header="0.3" footer="0.3"/>
  <pageSetup scale="67" orientation="landscape" blackAndWhite="1" r:id="rId1"/>
  <headerFooter>
    <oddFooter>&amp;L&amp;F 
&amp;A&amp;C&amp;P&amp;R&amp;D</oddFooter>
  </headerFooter>
  <ignoredErrors>
    <ignoredError sqref="N7:N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0FCC6340667ED43A4D648CC91A4B9CE" ma:contentTypeVersion="28" ma:contentTypeDescription="" ma:contentTypeScope="" ma:versionID="1ac2508e492c4d077a35bf86442e5b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2022-03-01T08:00:00+00:00</OpenedDate>
    <SignificantOrder xmlns="dc463f71-b30c-4ab2-9473-d307f9d35888">false</SignificantOrder>
    <Date1 xmlns="dc463f71-b30c-4ab2-9473-d307f9d35888">2022-03-01T08:00:00+00:00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220138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EA73C66-096C-40B6-A512-47C4D07F99DC}"/>
</file>

<file path=customXml/itemProps2.xml><?xml version="1.0" encoding="utf-8"?>
<ds:datastoreItem xmlns:ds="http://schemas.openxmlformats.org/officeDocument/2006/customXml" ds:itemID="{CA680A18-468F-4916-A2BB-83AF288180A7}"/>
</file>

<file path=customXml/itemProps3.xml><?xml version="1.0" encoding="utf-8"?>
<ds:datastoreItem xmlns:ds="http://schemas.openxmlformats.org/officeDocument/2006/customXml" ds:itemID="{963C4E89-D607-45F5-989C-599BD6DE4667}"/>
</file>

<file path=customXml/itemProps4.xml><?xml version="1.0" encoding="utf-8"?>
<ds:datastoreItem xmlns:ds="http://schemas.openxmlformats.org/officeDocument/2006/customXml" ds:itemID="{7FDB3E96-82E3-46CC-B109-C6D94B6976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Rates</vt:lpstr>
      <vt:lpstr>Allocation</vt:lpstr>
      <vt:lpstr>Rate Impacts--&gt;</vt:lpstr>
      <vt:lpstr>Rate Impacts Sch 120</vt:lpstr>
      <vt:lpstr>Typical Res Bill Sch 120</vt:lpstr>
      <vt:lpstr>Sch. 120</vt:lpstr>
      <vt:lpstr>Workpapers--&gt;</vt:lpstr>
      <vt:lpstr>Rev Requirement</vt:lpstr>
      <vt:lpstr>Forecasted Volume</vt:lpstr>
      <vt:lpstr>Allocation!Print_Area</vt:lpstr>
      <vt:lpstr>'Forecasted Volume'!Print_Area</vt:lpstr>
      <vt:lpstr>'Rate Impacts Sch 120'!Print_Area</vt:lpstr>
      <vt:lpstr>Rates!Print_Area</vt:lpstr>
      <vt:lpstr>'Rev Requirement'!Print_Area</vt:lpstr>
      <vt:lpstr>'Typical Res Bill Sch 120'!Print_Area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Puget Sound Energy</cp:lastModifiedBy>
  <cp:lastPrinted>2022-02-24T00:18:11Z</cp:lastPrinted>
  <dcterms:created xsi:type="dcterms:W3CDTF">2013-02-25T17:53:58Z</dcterms:created>
  <dcterms:modified xsi:type="dcterms:W3CDTF">2022-02-28T22:31:02Z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0x0101006E56B4D1795A2E4DB2F0B01679ED314A00B0FCC6340667ED43A4D648CC91A4B9CE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