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LeMay\Dump Fee\2188 Lewis-Joe's\DF Increase 2-1-2022, Lewis County\Resi-Comm Filing\"/>
    </mc:Choice>
  </mc:AlternateContent>
  <bookViews>
    <workbookView xWindow="0" yWindow="0" windowWidth="28800" windowHeight="11400" tabRatio="720"/>
  </bookViews>
  <sheets>
    <sheet name="References" sheetId="25" r:id="rId1"/>
    <sheet name="DF Calculation" sheetId="7" r:id="rId2"/>
    <sheet name="Mapping" sheetId="17" r:id="rId3"/>
    <sheet name="Lewis Co. Regulated - Price Out" sheetId="29" r:id="rId4"/>
    <sheet name="Lewis LOB (C) - For Disposal $" sheetId="31" r:id="rId5"/>
    <sheet name="Rate Sheet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D" localSheetId="3">#REF!</definedName>
    <definedName name="\D" localSheetId="4">#REF!</definedName>
    <definedName name="\D">#REF!</definedName>
    <definedName name="\S" localSheetId="3">#REF!</definedName>
    <definedName name="\S" localSheetId="4">#REF!</definedName>
    <definedName name="\S">#REF!</definedName>
    <definedName name="\Y" localSheetId="3">#REF!</definedName>
    <definedName name="\Y" localSheetId="4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 localSheetId="0">[2]Hidden!#REF!</definedName>
    <definedName name="__ACT1">[3]Hidden!#REF!</definedName>
    <definedName name="__ACT2" localSheetId="0">[2]Hidden!#REF!</definedName>
    <definedName name="__ACT2">[3]Hidden!#REF!</definedName>
    <definedName name="__ACT3" localSheetId="0">[2]Hidden!#REF!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localSheetId="3" hidden="1">#REF!</definedName>
    <definedName name="_132Graph_h" localSheetId="4" hidden="1">#REF!</definedName>
    <definedName name="_132Graph_h" hidden="1">#REF!</definedName>
    <definedName name="_ACT1" localSheetId="3">[3]Hidden!#REF!</definedName>
    <definedName name="_ACT1" localSheetId="4">[7]Hidden!#REF!</definedName>
    <definedName name="_ACT1" localSheetId="0">[3]Hidden!#REF!</definedName>
    <definedName name="_ACT1">[8]Hidden!#REF!</definedName>
    <definedName name="_ACT2" localSheetId="3">[3]Hidden!#REF!</definedName>
    <definedName name="_ACT2" localSheetId="4">[7]Hidden!#REF!</definedName>
    <definedName name="_ACT2" localSheetId="0">[3]Hidden!#REF!</definedName>
    <definedName name="_ACT2">[8]Hidden!#REF!</definedName>
    <definedName name="_ACT3" localSheetId="3">[3]Hidden!#REF!</definedName>
    <definedName name="_ACT3" localSheetId="4">[7]Hidden!#REF!</definedName>
    <definedName name="_ACT3" localSheetId="0">[3]Hidden!#REF!</definedName>
    <definedName name="_ACT3">[8]Hidden!#REF!</definedName>
    <definedName name="_ACT4">[2]Hidden!#REF!</definedName>
    <definedName name="_COS1" localSheetId="3">#REF!</definedName>
    <definedName name="_COS1" localSheetId="4">#REF!</definedName>
    <definedName name="_COS1">#REF!</definedName>
    <definedName name="_COS2" localSheetId="3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1" hidden="1">'DF Calculation'!$A$7:$T$55</definedName>
    <definedName name="_xlnm._FilterDatabase" localSheetId="3" hidden="1">'Lewis Co. Regulated - Price Out'!$A$10:$AH$207</definedName>
    <definedName name="_xlnm._FilterDatabase" localSheetId="2" hidden="1">Mapping!$A$1:$O$37</definedName>
    <definedName name="_xlnm._FilterDatabase" localSheetId="5" hidden="1">'Rate Sheet'!$A$1:$J$53</definedName>
    <definedName name="_Key1" localSheetId="3" hidden="1">#REF!</definedName>
    <definedName name="_Key1" localSheetId="4" hidden="1">#REF!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localSheetId="3" hidden="1">#REF!</definedName>
    <definedName name="_max" localSheetId="4" hidden="1">#REF!</definedName>
    <definedName name="_max" hidden="1">#REF!</definedName>
    <definedName name="_Mon" localSheetId="3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4" hidden="1">#REF!</definedName>
    <definedName name="_Sort" hidden="1">#REF!</definedName>
    <definedName name="_Sort1" hidden="1">'[5]#REF'!$A$10:$Z$281</definedName>
    <definedName name="_sort3" hidden="1">[6]XXXXXX!$G$10:$J$11</definedName>
    <definedName name="a" localSheetId="3">#REF!</definedName>
    <definedName name="a" localSheetId="0">#REF!</definedName>
    <definedName name="a">#REF!</definedName>
    <definedName name="Accounts" localSheetId="0">#REF!</definedName>
    <definedName name="Accounts">#REF!</definedName>
    <definedName name="ACCT" localSheetId="3">[3]Hidden!#REF!</definedName>
    <definedName name="ACCT" localSheetId="4">[1]Hidden!$D$11</definedName>
    <definedName name="ACCT" localSheetId="0">[1]Hidden!$D$11</definedName>
    <definedName name="ACCT">[8]Hidden!#REF!</definedName>
    <definedName name="ACCT.ConsolSum">[1]Hidden!$Q$11</definedName>
    <definedName name="AcctName">'[9]2012 Act-Fcast P&amp;L'!#REF!</definedName>
    <definedName name="ACT_CUR" localSheetId="3">[3]Hidden!#REF!</definedName>
    <definedName name="ACT_CUR" localSheetId="4">[7]Hidden!#REF!</definedName>
    <definedName name="ACT_CUR" localSheetId="0">[3]Hidden!#REF!</definedName>
    <definedName name="ACT_CUR">[8]Hidden!#REF!</definedName>
    <definedName name="ACT_YTD" localSheetId="3">[3]Hidden!#REF!</definedName>
    <definedName name="ACT_YTD" localSheetId="4">[7]Hidden!#REF!</definedName>
    <definedName name="ACT_YTD" localSheetId="0">[3]Hidden!#REF!</definedName>
    <definedName name="ACT_YTD">[8]Hidden!#REF!</definedName>
    <definedName name="afsdfsdfsd" localSheetId="3">#REF!</definedName>
    <definedName name="afsdfsdfsd" localSheetId="4">#REF!</definedName>
    <definedName name="afsdfsdfsd">#REF!</definedName>
    <definedName name="AmountCount" localSheetId="3">#REF!</definedName>
    <definedName name="AmountCount" localSheetId="0">#REF!</definedName>
    <definedName name="AmountCount">#REF!</definedName>
    <definedName name="AmountCount1">#REF!</definedName>
    <definedName name="AmountFrom" localSheetId="0">#REF!</definedName>
    <definedName name="AmountFrom">#REF!</definedName>
    <definedName name="AmountTo" localSheetId="0">#REF!</definedName>
    <definedName name="AmountTo">#REF!</definedName>
    <definedName name="AmountTotal" localSheetId="3">#REF!</definedName>
    <definedName name="AmountTotal" localSheetId="0">#REF!</definedName>
    <definedName name="AmountTotal">#REF!</definedName>
    <definedName name="AmountTotal1">#REF!</definedName>
    <definedName name="BaseMonthDate">[10]Settings!$I$15</definedName>
    <definedName name="BaseMonthDate2">[10]Settings!$I$16</definedName>
    <definedName name="BaseMonthDate3">[10]Settings!$I$17</definedName>
    <definedName name="BaseYear">#REF!</definedName>
    <definedName name="BookRev" localSheetId="3">'[11]Pacific Regulated - Price Out'!$F$50</definedName>
    <definedName name="BookRev" localSheetId="4">'[12]Pacific Regulated - Price Out'!$F$50</definedName>
    <definedName name="BookRev" localSheetId="0">'[13]Pacific Regulated - Price Out'!$F$50</definedName>
    <definedName name="BookRev">'[14]Pacific Regulated - Price Out'!$F$50</definedName>
    <definedName name="BookRev_com" localSheetId="3">'[11]Pacific Regulated - Price Out'!$F$214</definedName>
    <definedName name="BookRev_com" localSheetId="4">'[12]Pacific Regulated - Price Out'!$F$214</definedName>
    <definedName name="BookRev_com" localSheetId="0">'[13]Pacific Regulated - Price Out'!$F$214</definedName>
    <definedName name="BookRev_com">'[14]Pacific Regulated - Price Out'!$F$214</definedName>
    <definedName name="BookRev_mfr" localSheetId="3">'[11]Pacific Regulated - Price Out'!$F$222</definedName>
    <definedName name="BookRev_mfr" localSheetId="4">'[12]Pacific Regulated - Price Out'!$F$222</definedName>
    <definedName name="BookRev_mfr" localSheetId="0">'[13]Pacific Regulated - Price Out'!$F$222</definedName>
    <definedName name="BookRev_mfr">'[14]Pacific Regulated - Price Out'!$F$222</definedName>
    <definedName name="BookRev_ro" localSheetId="3">'[11]Pacific Regulated - Price Out'!$F$282</definedName>
    <definedName name="BookRev_ro" localSheetId="4">'[12]Pacific Regulated - Price Out'!$F$282</definedName>
    <definedName name="BookRev_ro" localSheetId="0">'[13]Pacific Regulated - Price Out'!$F$282</definedName>
    <definedName name="BookRev_ro">'[14]Pacific Regulated - Price Out'!$F$282</definedName>
    <definedName name="BookRev_rr" localSheetId="3">'[11]Pacific Regulated - Price Out'!$F$59</definedName>
    <definedName name="BookRev_rr" localSheetId="4">'[12]Pacific Regulated - Price Out'!$F$59</definedName>
    <definedName name="BookRev_rr" localSheetId="0">'[13]Pacific Regulated - Price Out'!$F$59</definedName>
    <definedName name="BookRev_rr">'[14]Pacific Regulated - Price Out'!$F$59</definedName>
    <definedName name="BookRev_yw" localSheetId="3">'[11]Pacific Regulated - Price Out'!$F$70</definedName>
    <definedName name="BookRev_yw" localSheetId="4">'[12]Pacific Regulated - Price Out'!$F$70</definedName>
    <definedName name="BookRev_yw" localSheetId="0">'[13]Pacific Regulated - Price Out'!$F$70</definedName>
    <definedName name="BookRev_yw">'[14]Pacific Regulated - Price Out'!$F$70</definedName>
    <definedName name="BREMAIR_COST_of_SERVICE_STUDY" localSheetId="3">#REF!</definedName>
    <definedName name="BREMAIR_COST_of_SERVICE_STUDY" localSheetId="0">#REF!</definedName>
    <definedName name="BREMAIR_COST_of_SERVICE_STUDY">#REF!</definedName>
    <definedName name="BUD_CUR" localSheetId="3">[3]Hidden!#REF!</definedName>
    <definedName name="BUD_CUR" localSheetId="4">[7]Hidden!#REF!</definedName>
    <definedName name="BUD_CUR" localSheetId="0">[3]Hidden!#REF!</definedName>
    <definedName name="BUD_CUR">[8]Hidden!#REF!</definedName>
    <definedName name="BUD_YTD" localSheetId="3">[3]Hidden!#REF!</definedName>
    <definedName name="BUD_YTD" localSheetId="4">[7]Hidden!#REF!</definedName>
    <definedName name="BUD_YTD" localSheetId="0">[3]Hidden!#REF!</definedName>
    <definedName name="BUD_YTD">[8]Hidden!#REF!</definedName>
    <definedName name="BusUnitCode">[10]Settings!$I$3</definedName>
    <definedName name="BusUnitName">[10]Settings!$I$4</definedName>
    <definedName name="CalRecyTons" localSheetId="3">'[15]Recycl Tons, Commodity Value'!$L$23</definedName>
    <definedName name="CalRecyTons" localSheetId="4">'[16]Recycl Tons, Commodity Value'!$L$23</definedName>
    <definedName name="CalRecyTons" localSheetId="0">'[17]Recycl Tons, Commodity Value'!$L$23</definedName>
    <definedName name="CalRecyTons">'[18]Recycl Tons, Commodity Value'!$L$23</definedName>
    <definedName name="CanCartTons">[19]CanCartTonsAllocate!$E$3</definedName>
    <definedName name="CheckTotals" localSheetId="3">#REF!</definedName>
    <definedName name="CheckTotals" localSheetId="0">#REF!</definedName>
    <definedName name="CheckTotals">#REF!</definedName>
    <definedName name="CoCanTons">[20]Cust_Count1!$M$28</definedName>
    <definedName name="CoComYd">'[20]Gross Yardage Worksheet'!$L$16</definedName>
    <definedName name="CoCustCnt">#REF!</definedName>
    <definedName name="colgroup">[1]Orientation!$G$6</definedName>
    <definedName name="colsegment">[1]Orientation!$F$6</definedName>
    <definedName name="Comments">[21]Main!$K$57:INDEX([21]Main!$K$57:$K$59,SUMPRODUCT(--([21]Main!$K$57:$K$59&lt;&gt;"")))</definedName>
    <definedName name="CommlStaffPriceOut" localSheetId="3">'[22]Price Out-Reg EASTSIDE-Resi'!#REF!</definedName>
    <definedName name="CommlStaffPriceOut" localSheetId="4">'[22]Price Out-Reg EASTSIDE-Resi'!#REF!</definedName>
    <definedName name="CommlStaffPriceOut">'[22]Price Out-Reg EASTSIDE-Resi'!#REF!</definedName>
    <definedName name="CoMultiYd">'[20]Gross Yardage Worksheet'!$L$31</definedName>
    <definedName name="ContainerTons">[19]ContainerTonsAllocation!$E$2</definedName>
    <definedName name="COST_OF_SERVICE_STUDY">#REF!</definedName>
    <definedName name="CoXtraYds">#REF!</definedName>
    <definedName name="CR">#REF!</definedName>
    <definedName name="CRCTable" localSheetId="3">#REF!</definedName>
    <definedName name="CRCTable" localSheetId="0">#REF!</definedName>
    <definedName name="CRCTable">#REF!</definedName>
    <definedName name="CRCTableOLD" localSheetId="3">#REF!</definedName>
    <definedName name="CRCTableOLD" localSheetId="0">#REF!</definedName>
    <definedName name="CRCTableOLD">#REF!</definedName>
    <definedName name="CriteriaType" localSheetId="3">[23]ControlPanel!$Z$2:$Z$5</definedName>
    <definedName name="CriteriaType">[24]ControlPanel!$Z$2:$Z$5</definedName>
    <definedName name="CtyCanTons">[20]Cust_Count1!$N$28</definedName>
    <definedName name="CtyComYd">'[20]Gross Yardage Worksheet'!$L$49</definedName>
    <definedName name="CtyCustCnt">#REF!</definedName>
    <definedName name="CtyMultiYd">'[20]Gross Yardage Worksheet'!$L$64</definedName>
    <definedName name="CtyXtraYds">#REF!</definedName>
    <definedName name="Currency">[21]Main!$I$82</definedName>
    <definedName name="CurrentMonth" localSheetId="3">'[25]Resi JE'!$H$8</definedName>
    <definedName name="CurrentMonth" localSheetId="4">#REF!</definedName>
    <definedName name="CurrentMonth" localSheetId="0">'[26]Service Charges'!$J$8</definedName>
    <definedName name="CurrentMonth">#REF!</definedName>
    <definedName name="Cutomers" localSheetId="3">#REF!</definedName>
    <definedName name="Cutomers" localSheetId="0">#REF!</definedName>
    <definedName name="Cutomers">#REF!</definedName>
    <definedName name="Data_End_Test">#REF!</definedName>
    <definedName name="Data_Start_Test">#REF!</definedName>
    <definedName name="_xlnm.Database" localSheetId="3">#REF!</definedName>
    <definedName name="_xlnm.Database" localSheetId="0">#REF!</definedName>
    <definedName name="_xlnm.Database">#REF!</definedName>
    <definedName name="Database1" localSheetId="3">#REF!</definedName>
    <definedName name="Database1" localSheetId="0">#REF!</definedName>
    <definedName name="Database1">#REF!</definedName>
    <definedName name="DateFrom" localSheetId="3">'[25]Resi JE'!$G$12</definedName>
    <definedName name="DateFrom" localSheetId="4">#REF!</definedName>
    <definedName name="DateFrom" localSheetId="0">'[26]Service Charges'!$I$12</definedName>
    <definedName name="DateFrom">#REF!</definedName>
    <definedName name="DateRange">#REF!</definedName>
    <definedName name="DateTo" localSheetId="3">'[25]Resi JE'!$G$13</definedName>
    <definedName name="DateTo" localSheetId="4">#REF!</definedName>
    <definedName name="DateTo" localSheetId="0">'[26]Service Charges'!$I$13</definedName>
    <definedName name="DateTo">#REF!</definedName>
    <definedName name="DBxStaffPriceOut" localSheetId="3">'[22]Price Out-Reg EASTSIDE-Resi'!#REF!</definedName>
    <definedName name="DBxStaffPriceOut" localSheetId="4">'[22]Price Out-Reg EASTSIDE-Resi'!#REF!</definedName>
    <definedName name="DBxStaffPriceOut">'[22]Price Out-Reg EASTSIDE-Resi'!#REF!</definedName>
    <definedName name="debtP" localSheetId="3">#REF!</definedName>
    <definedName name="debtP" localSheetId="4">#REF!</definedName>
    <definedName name="debtP">#REF!</definedName>
    <definedName name="DEPT" localSheetId="3">[3]Hidden!#REF!</definedName>
    <definedName name="DEPT" localSheetId="4">[7]Hidden!#REF!</definedName>
    <definedName name="DEPT" localSheetId="0">[3]Hidden!#REF!</definedName>
    <definedName name="DEPT">[8]Hidden!#REF!</definedName>
    <definedName name="DetailBudYear">#REF!</definedName>
    <definedName name="DetailDistrict">#REF!</definedName>
    <definedName name="Dist" localSheetId="3">[27]Data!$E$3</definedName>
    <definedName name="Dist" localSheetId="4">[28]Data!$E$3</definedName>
    <definedName name="Dist" localSheetId="0">#REF!</definedName>
    <definedName name="Dist">[29]Data!$E$3</definedName>
    <definedName name="District" localSheetId="3">#REF!</definedName>
    <definedName name="District" localSheetId="4">#REF!</definedName>
    <definedName name="District" localSheetId="0">'[30]Vashon BS'!#REF!</definedName>
    <definedName name="District">'[31]Vashon BS'!#REF!</definedName>
    <definedName name="DistrictNum" localSheetId="3">#REF!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[32]Summary!$C$6</definedName>
    <definedName name="dOG" localSheetId="3">#REF!</definedName>
    <definedName name="dOG" localSheetId="4">#REF!</definedName>
    <definedName name="dOG">#REF!</definedName>
    <definedName name="drlFilter">[1]Settings!$D$27</definedName>
    <definedName name="End" localSheetId="3">#REF!</definedName>
    <definedName name="End" localSheetId="0">#REF!</definedName>
    <definedName name="End">#REF!</definedName>
    <definedName name="EntrieShownLimit" localSheetId="3">'[25]Resi JE'!$D$6</definedName>
    <definedName name="EntrieShownLimit" localSheetId="4">#REF!</definedName>
    <definedName name="EntrieShownLimit" localSheetId="0">'[26]Service Charges'!$D$6</definedName>
    <definedName name="EntrieShownLimit">#REF!</definedName>
    <definedName name="ExcludeIC" localSheetId="3">#REF!</definedName>
    <definedName name="ExcludeIC" localSheetId="4">#REF!</definedName>
    <definedName name="ExcludeIC" localSheetId="0">'[30]Vashon BS'!#REF!</definedName>
    <definedName name="ExcludeIC">'[31]Vashon BS'!#REF!</definedName>
    <definedName name="ExpensesPF1" localSheetId="3">'[33]LG County Area'!$K$8</definedName>
    <definedName name="ExpensesPF1" localSheetId="4">'[33]LG County Area'!$K$8</definedName>
    <definedName name="ExpensesPF1">#REF!</definedName>
    <definedName name="EXT" localSheetId="3">#REF!</definedName>
    <definedName name="EXT" localSheetId="4">#REF!</definedName>
    <definedName name="EXT">#REF!</definedName>
    <definedName name="FBTable" localSheetId="3">#REF!</definedName>
    <definedName name="FBTable" localSheetId="0">#REF!</definedName>
    <definedName name="FBTable">#REF!</definedName>
    <definedName name="FBTableOld" localSheetId="3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romMonth" localSheetId="4">#REF!</definedName>
    <definedName name="FromMonth" localSheetId="0">#REF!</definedName>
    <definedName name="FromMonth">#REF!</definedName>
    <definedName name="FundsApprPend" localSheetId="3">[27]Data!#REF!</definedName>
    <definedName name="FundsApprPend" localSheetId="4">[28]Data!#REF!</definedName>
    <definedName name="FundsApprPend" localSheetId="0">[34]Data!#REF!</definedName>
    <definedName name="FundsApprPend">[29]Data!#REF!</definedName>
    <definedName name="FundsBudUnbud" localSheetId="3">[27]Data!#REF!</definedName>
    <definedName name="FundsBudUnbud" localSheetId="4">[28]Data!#REF!</definedName>
    <definedName name="FundsBudUnbud" localSheetId="0">[34]Data!#REF!</definedName>
    <definedName name="FundsBudUnbud">[29]Data!#REF!</definedName>
    <definedName name="GLMappingStart" localSheetId="3">#REF!</definedName>
    <definedName name="GLMappingStart" localSheetId="0">#REF!</definedName>
    <definedName name="GLMappingStart">#REF!</definedName>
    <definedName name="GLMappingStart1">#REF!</definedName>
    <definedName name="GRETABLE" localSheetId="4">[35]Gresham!$E$12:$AI$261</definedName>
    <definedName name="GRETABLE">[35]Gresham!$E$12:$AI$261</definedName>
    <definedName name="Import_Range" localSheetId="3">[27]Data!#REF!</definedName>
    <definedName name="Import_Range" localSheetId="4">[28]Data!#REF!</definedName>
    <definedName name="Import_Range" localSheetId="0">[34]Data!#REF!</definedName>
    <definedName name="Import_Range">[29]Data!#REF!</definedName>
    <definedName name="IncomeStmnt" localSheetId="3">#REF!</definedName>
    <definedName name="IncomeStmnt" localSheetId="0">#REF!</definedName>
    <definedName name="IncomeStmnt">#REF!</definedName>
    <definedName name="INPUT" localSheetId="3">#REF!</definedName>
    <definedName name="INPUT" localSheetId="4">#REF!</definedName>
    <definedName name="INPUT" localSheetId="0">#REF!</definedName>
    <definedName name="INPUT">#REF!</definedName>
    <definedName name="INPUTc">#REF!</definedName>
    <definedName name="Insurance" localSheetId="3">#REF!</definedName>
    <definedName name="Insurance" localSheetId="0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3">[27]Invoice_Drill!#REF!</definedName>
    <definedName name="Invoice_Start" localSheetId="4">[28]Invoice_Drill!#REF!</definedName>
    <definedName name="Invoice_Start" localSheetId="0">[34]Invoice_Drill!#REF!</definedName>
    <definedName name="Invoice_Start">[29]Invoice_Drill!#REF!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3">#REF!</definedName>
    <definedName name="JEDetail" localSheetId="0">#REF!</definedName>
    <definedName name="JEDetail">#REF!</definedName>
    <definedName name="JEDetail1">#REF!</definedName>
    <definedName name="JEType" localSheetId="3">#REF!</definedName>
    <definedName name="JEType" localSheetId="0">#REF!</definedName>
    <definedName name="JEType">#REF!</definedName>
    <definedName name="JEType1">#REF!</definedName>
    <definedName name="Juris1CanCount">[19]Cust_Count1!$C$60</definedName>
    <definedName name="Juris1CanTons">[19]Cust_Count1!$C$30</definedName>
    <definedName name="Juris1ComYd">'[19]Gross Yardage Worksheet'!$L$16</definedName>
    <definedName name="Juris1CustCnt">[19]Cust_Count2!$E$39</definedName>
    <definedName name="Juris1MultiYd">'[19]Gross Yardage Worksheet'!$X$16</definedName>
    <definedName name="Juris1SeasonalYds">'[19]Gross Yardage Worksheet'!$R$18</definedName>
    <definedName name="Juris1XtraYds">[19]Cust_Count2!$E$28</definedName>
    <definedName name="Juris2CanCount">[19]Cust_Count1!$D$60</definedName>
    <definedName name="Juris2CanTons">[19]Cust_Count1!$D$30</definedName>
    <definedName name="Juris2ComYd">'[19]Gross Yardage Worksheet'!$L$33</definedName>
    <definedName name="Juris2CustCnt">[19]Cust_Count2!$F$39</definedName>
    <definedName name="Juris2MultiYd">'[19]Gross Yardage Worksheet'!$X$33</definedName>
    <definedName name="Juris2SeasonalYds">'[19]Gross Yardage Worksheet'!$R$35</definedName>
    <definedName name="Juris2XtraYds">[19]Cust_Count2!$F$28</definedName>
    <definedName name="Juris3CanCount">[19]Cust_Count1!$E$60</definedName>
    <definedName name="Juris3CanTons">[19]Cust_Count1!$E$30</definedName>
    <definedName name="Juris3ComYd">'[19]Gross Yardage Worksheet'!$L$51</definedName>
    <definedName name="Juris3CustCnt">[19]Cust_Count2!$G$39</definedName>
    <definedName name="Juris3MultiYd">'[19]Gross Yardage Worksheet'!$X$51</definedName>
    <definedName name="Juris3SeasonalYds">'[19]Gross Yardage Worksheet'!$R$53</definedName>
    <definedName name="Juris3XtraYds">[19]Cust_Count2!$G$28</definedName>
    <definedName name="Juris4CanCount">[19]Cust_Count1!$F$60</definedName>
    <definedName name="Juris4CanTons">[19]Cust_Count1!$F$30</definedName>
    <definedName name="Juris4ComYd">'[19]Gross Yardage Worksheet'!$L$68</definedName>
    <definedName name="Juris4CustCnt">[19]Cust_Count2!$H$39</definedName>
    <definedName name="Juris4MultiYd">'[19]Gross Yardage Worksheet'!$X$68</definedName>
    <definedName name="Juris4SeasonalYds">'[19]Gross Yardage Worksheet'!$R$70</definedName>
    <definedName name="Juris4XtraYds">[19]Cust_Count2!$H$28</definedName>
    <definedName name="Juris5CanCount">[19]Cust_Count1!$G$60</definedName>
    <definedName name="Juris5CanTons">[19]Cust_Count1!$G$30</definedName>
    <definedName name="Juris5ComYD">'[19]Gross Yardage Worksheet'!$L$85</definedName>
    <definedName name="Juris5CustCnt">[19]Cust_Count2!$I$39</definedName>
    <definedName name="Juris5MultiYd">'[19]Gross Yardage Worksheet'!$X$85</definedName>
    <definedName name="Juris5SeasonalYds">'[19]Gross Yardage Worksheet'!$R$87</definedName>
    <definedName name="Juris5XtraYds">[19]Cust_Count2!$I$28</definedName>
    <definedName name="Jurisdiction_1">'[19]Title Inputs'!$C$5</definedName>
    <definedName name="Jurisdiction_2">'[19]Title Inputs'!$C$6</definedName>
    <definedName name="Jurisdiction_3">'[19]Title Inputs'!$C$7</definedName>
    <definedName name="Jurisdiction_4">'[19]Title Inputs'!$C$8</definedName>
    <definedName name="Jurisdiction_5">'[19]Title Inputs'!$C$9</definedName>
    <definedName name="lblBillAreaStatus" localSheetId="3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0">#REF!</definedName>
    <definedName name="lllllllllllllllllllll">#REF!</definedName>
    <definedName name="LOB" localSheetId="3">[36]DropDownRanges!$B$4:$B$37</definedName>
    <definedName name="LOB" localSheetId="4">[37]DropDownRanges!$B$4:$B$37</definedName>
    <definedName name="LOB" localSheetId="0">[38]DropDownRanges!$B$4:$B$37</definedName>
    <definedName name="LOB">[39]DropDownRanges!$B$4:$B$37</definedName>
    <definedName name="LU_Line">#REF!</definedName>
    <definedName name="MainDataEnd" localSheetId="3">#REF!</definedName>
    <definedName name="MainDataEnd" localSheetId="0">#REF!</definedName>
    <definedName name="MainDataEnd">#REF!</definedName>
    <definedName name="MainDataStart" localSheetId="3">#REF!</definedName>
    <definedName name="MainDataStart" localSheetId="0">#REF!</definedName>
    <definedName name="MainDataStart">#REF!</definedName>
    <definedName name="MapKeyStart" localSheetId="3">#REF!</definedName>
    <definedName name="MapKeyStart" localSheetId="0">#REF!</definedName>
    <definedName name="MapKeyStart">#REF!</definedName>
    <definedName name="master_def" localSheetId="3">#REF!</definedName>
    <definedName name="master_def" localSheetId="0">#REF!</definedName>
    <definedName name="master_def">#REF!</definedName>
    <definedName name="MATRIX">#REF!</definedName>
    <definedName name="MemoAttachment" localSheetId="0">#REF!</definedName>
    <definedName name="MemoAttachment">#REF!</definedName>
    <definedName name="MetaSet">[1]Orientation!$C$22</definedName>
    <definedName name="MFStaffPriceOut" localSheetId="3">'[22]Price Out-Reg EASTSIDE-Resi'!#REF!</definedName>
    <definedName name="MFStaffPriceOut" localSheetId="4">'[22]Price Out-Reg EASTSIDE-Resi'!#REF!</definedName>
    <definedName name="MFStaffPriceOut">'[22]Price Out-Reg EASTSIDE-Resi'!#REF!</definedName>
    <definedName name="MILTON" localSheetId="3">#REF!</definedName>
    <definedName name="MILTON" localSheetId="4">#REF!</definedName>
    <definedName name="MILTON">#REF!</definedName>
    <definedName name="Month">#REF!</definedName>
    <definedName name="MonthList" localSheetId="3">'[27]Lookup Tables'!$A$1:$A$13</definedName>
    <definedName name="MonthList" localSheetId="4">'[28]Lookup Tables'!$A$1:$A$13</definedName>
    <definedName name="MonthList" localSheetId="0">'[34]Lookup Tables'!$A$1:$A$13</definedName>
    <definedName name="MonthList">'[29]Lookup Tables'!$A$1:$A$13</definedName>
    <definedName name="NarrThreshold_Doll">[10]Settings!$I$27</definedName>
    <definedName name="NarrThreshold_Perc">[10]Settings!$I$26</definedName>
    <definedName name="NewLob" localSheetId="3">[36]DropDownRanges!$B$4:$B$37</definedName>
    <definedName name="NewLob" localSheetId="4">[37]DropDownRanges!$B$4:$B$37</definedName>
    <definedName name="NewLob" localSheetId="0">[38]DropDownRanges!$B$4:$B$37</definedName>
    <definedName name="NewLob">[39]DropDownRanges!$B$4:$B$37</definedName>
    <definedName name="NewOnlyOrg">#N/A</definedName>
    <definedName name="NewSource" localSheetId="3">[36]DropDownRanges!$D$4:$D$7</definedName>
    <definedName name="NewSource" localSheetId="4">[37]DropDownRanges!$D$4:$D$7</definedName>
    <definedName name="NewSource" localSheetId="0">[38]DropDownRanges!$D$4:$D$7</definedName>
    <definedName name="NewSource">[39]DropDownRanges!$D$4:$D$7</definedName>
    <definedName name="nn" localSheetId="3">#REF!</definedName>
    <definedName name="nn" localSheetId="4">#REF!</definedName>
    <definedName name="nn">#REF!</definedName>
    <definedName name="NOTES" localSheetId="3">#REF!</definedName>
    <definedName name="NOTES" localSheetId="0">#REF!</definedName>
    <definedName name="NOTES">#REF!</definedName>
    <definedName name="NR" localSheetId="0">#REF!</definedName>
    <definedName name="NR">#REF!</definedName>
    <definedName name="OfficerSalary">#N/A</definedName>
    <definedName name="OffsetAcctBil">[40]JEexport!$L$10</definedName>
    <definedName name="OffsetAcctPmt">[40]JEexport!$L$9</definedName>
    <definedName name="Org11_13">#N/A</definedName>
    <definedName name="Org7_10">#N/A</definedName>
    <definedName name="OthCanTons">[20]Cust_Count1!$O$28</definedName>
    <definedName name="OthComYd">'[20]Gross Yardage Worksheet'!$L$82</definedName>
    <definedName name="OthCustCnt">#REF!</definedName>
    <definedName name="OthMultiYd">'[20]Gross Yardage Worksheet'!$L$98</definedName>
    <definedName name="OthXtraYds">#REF!</definedName>
    <definedName name="p" localSheetId="3">#REF!</definedName>
    <definedName name="p" localSheetId="0">#REF!</definedName>
    <definedName name="p">#REF!</definedName>
    <definedName name="PAGE_1" localSheetId="3">#REF!</definedName>
    <definedName name="PAGE_1" localSheetId="0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3">#REF!</definedName>
    <definedName name="pBatchID" localSheetId="0">#REF!</definedName>
    <definedName name="pBatchID">#REF!</definedName>
    <definedName name="pBillArea" localSheetId="3">#REF!</definedName>
    <definedName name="pBillArea" localSheetId="0">#REF!</definedName>
    <definedName name="pBillArea">#REF!</definedName>
    <definedName name="pBillCycle" localSheetId="3">#REF!</definedName>
    <definedName name="pBillCycle" localSheetId="0">#REF!</definedName>
    <definedName name="pBillCycle">#REF!</definedName>
    <definedName name="pCategory" localSheetId="3">#REF!</definedName>
    <definedName name="pCategory" localSheetId="0">#REF!</definedName>
    <definedName name="pCategory">#REF!</definedName>
    <definedName name="pCompany" localSheetId="3">#REF!</definedName>
    <definedName name="pCompany" localSheetId="0">#REF!</definedName>
    <definedName name="pCompany">#REF!</definedName>
    <definedName name="pCustomerNumber" localSheetId="3">#REF!</definedName>
    <definedName name="pCustomerNumber" localSheetId="0">#REF!</definedName>
    <definedName name="pCustomerNumber">#REF!</definedName>
    <definedName name="pDatabase" localSheetId="3">#REF!</definedName>
    <definedName name="pDatabase" localSheetId="0">#REF!</definedName>
    <definedName name="pDatabase">#REF!</definedName>
    <definedName name="pEndPostDate" localSheetId="3">#REF!</definedName>
    <definedName name="pEndPostDate" localSheetId="0">#REF!</definedName>
    <definedName name="pEndPostDate">#REF!</definedName>
    <definedName name="Period" localSheetId="3">#REF!</definedName>
    <definedName name="Period" localSheetId="0">#REF!</definedName>
    <definedName name="Period">#REF!</definedName>
    <definedName name="pMonth" localSheetId="3">#REF!</definedName>
    <definedName name="pMonth" localSheetId="0">#REF!</definedName>
    <definedName name="pMonth">#REF!</definedName>
    <definedName name="pOnlyShowLastTranx" localSheetId="3">#REF!</definedName>
    <definedName name="pOnlyShowLastTranx" localSheetId="0">#REF!</definedName>
    <definedName name="pOnlyShowLastTranx">#REF!</definedName>
    <definedName name="Posting" localSheetId="0">#REF!</definedName>
    <definedName name="Posting">#REF!</definedName>
    <definedName name="primtbl">[1]Orientation!$C$23</definedName>
    <definedName name="_xlnm.Print_Area" localSheetId="1">'DF Calculation'!$A$1:$T$103</definedName>
    <definedName name="_xlnm.Print_Area" localSheetId="3">'Lewis Co. Regulated - Price Out'!$A$1:$AS$213</definedName>
    <definedName name="_xlnm.Print_Area" localSheetId="4">'Lewis LOB (C) - For Disposal $'!$A$1:$H$359</definedName>
    <definedName name="_xlnm.Print_Area" localSheetId="2">Mapping!$A$1:$S$39</definedName>
    <definedName name="_xlnm.Print_Area" localSheetId="5">'Rate Sheet'!$A$1:$K$74</definedName>
    <definedName name="_xlnm.Print_Area" localSheetId="0">References!$A$1:$I$68</definedName>
    <definedName name="_xlnm.Print_Area">#REF!</definedName>
    <definedName name="Print_Area_MI" localSheetId="3">#REF!</definedName>
    <definedName name="Print_Area_MI" localSheetId="0">#REF!</definedName>
    <definedName name="Print_Area_MI">#REF!</definedName>
    <definedName name="Print_Area_MIc">#REF!</definedName>
    <definedName name="Print_Area1" localSheetId="3">#REF!</definedName>
    <definedName name="Print_Area1" localSheetId="0">#REF!</definedName>
    <definedName name="Print_Area1">#REF!</definedName>
    <definedName name="Print_Area2" localSheetId="3">#REF!</definedName>
    <definedName name="Print_Area2" localSheetId="0">#REF!</definedName>
    <definedName name="Print_Area2">#REF!</definedName>
    <definedName name="Print_Area3" localSheetId="3">#REF!</definedName>
    <definedName name="Print_Area3" localSheetId="0">#REF!</definedName>
    <definedName name="Print_Area3">#REF!</definedName>
    <definedName name="Print_Area5" localSheetId="3">#REF!</definedName>
    <definedName name="Print_Area5" localSheetId="0">#REF!</definedName>
    <definedName name="Print_Area5">#REF!</definedName>
    <definedName name="_xlnm.Print_Titles" localSheetId="1">'DF Calculation'!$1:$7</definedName>
    <definedName name="_xlnm.Print_Titles" localSheetId="3">'Lewis Co. Regulated - Price Out'!$D:$D,'Lewis Co. Regulated - Price Out'!$1:$5</definedName>
    <definedName name="_xlnm.Print_Titles" localSheetId="4">'Lewis LOB (C) - For Disposal $'!$1:$14</definedName>
    <definedName name="_xlnm.Print_Titles" localSheetId="2">Mapping!$1:$1</definedName>
    <definedName name="_xlnm.Print_Titles" localSheetId="5">'Rate Sheet'!$1:$1</definedName>
    <definedName name="Print1" localSheetId="3">#REF!</definedName>
    <definedName name="Print1" localSheetId="0">#REF!</definedName>
    <definedName name="Print1">#REF!</definedName>
    <definedName name="Print2" localSheetId="3">#REF!</definedName>
    <definedName name="Print2" localSheetId="0">#REF!</definedName>
    <definedName name="Print2">#REF!</definedName>
    <definedName name="Print5" localSheetId="3">#REF!</definedName>
    <definedName name="Print5" localSheetId="0">#REF!</definedName>
    <definedName name="Print5">#REF!</definedName>
    <definedName name="ProRev" localSheetId="3">'[11]Pacific Regulated - Price Out'!$M$49</definedName>
    <definedName name="ProRev" localSheetId="4">'[12]Pacific Regulated - Price Out'!$M$49</definedName>
    <definedName name="ProRev" localSheetId="0">'[13]Pacific Regulated - Price Out'!$M$49</definedName>
    <definedName name="ProRev">'[14]Pacific Regulated - Price Out'!$M$49</definedName>
    <definedName name="ProRev_com" localSheetId="3">'[11]Pacific Regulated - Price Out'!$M$213</definedName>
    <definedName name="ProRev_com" localSheetId="4">'[12]Pacific Regulated - Price Out'!$M$213</definedName>
    <definedName name="ProRev_com" localSheetId="0">'[13]Pacific Regulated - Price Out'!$M$213</definedName>
    <definedName name="ProRev_com">'[14]Pacific Regulated - Price Out'!$M$213</definedName>
    <definedName name="ProRev_mfr" localSheetId="3">'[11]Pacific Regulated - Price Out'!$M$221</definedName>
    <definedName name="ProRev_mfr" localSheetId="4">'[12]Pacific Regulated - Price Out'!$M$221</definedName>
    <definedName name="ProRev_mfr" localSheetId="0">'[13]Pacific Regulated - Price Out'!$M$221</definedName>
    <definedName name="ProRev_mfr">'[14]Pacific Regulated - Price Out'!$M$221</definedName>
    <definedName name="ProRev_ro" localSheetId="3">'[11]Pacific Regulated - Price Out'!$M$281</definedName>
    <definedName name="ProRev_ro" localSheetId="4">'[12]Pacific Regulated - Price Out'!$M$281</definedName>
    <definedName name="ProRev_ro" localSheetId="0">'[13]Pacific Regulated - Price Out'!$M$281</definedName>
    <definedName name="ProRev_ro">'[14]Pacific Regulated - Price Out'!$M$281</definedName>
    <definedName name="ProRev_rr" localSheetId="3">'[11]Pacific Regulated - Price Out'!$M$58</definedName>
    <definedName name="ProRev_rr" localSheetId="4">'[12]Pacific Regulated - Price Out'!$M$58</definedName>
    <definedName name="ProRev_rr" localSheetId="0">'[13]Pacific Regulated - Price Out'!$M$58</definedName>
    <definedName name="ProRev_rr">'[14]Pacific Regulated - Price Out'!$M$58</definedName>
    <definedName name="ProRev_yw" localSheetId="3">'[11]Pacific Regulated - Price Out'!$M$69</definedName>
    <definedName name="ProRev_yw" localSheetId="4">'[12]Pacific Regulated - Price Out'!$M$69</definedName>
    <definedName name="ProRev_yw" localSheetId="0">'[13]Pacific Regulated - Price Out'!$M$69</definedName>
    <definedName name="ProRev_yw">'[14]Pacific Regulated - Price Out'!$M$69</definedName>
    <definedName name="pServer" localSheetId="3">#REF!</definedName>
    <definedName name="pServer" localSheetId="0">#REF!</definedName>
    <definedName name="pServer">#REF!</definedName>
    <definedName name="pServiceCode" localSheetId="3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0">#REF!</definedName>
    <definedName name="pStartPostDate">#REF!</definedName>
    <definedName name="pTransType" localSheetId="3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 localSheetId="3">'[41]Consolidated IS 2009 2010'!$AK$20</definedName>
    <definedName name="Reg_Cust_Billed_Percent" localSheetId="4">'[42]Consolidated IS 2009 2010'!$AK$20</definedName>
    <definedName name="Reg_Cust_Billed_Percent">'[43]Consolidated IS 2009 2010'!$AK$20</definedName>
    <definedName name="Reg_Cust_Percent" localSheetId="3">'[41]Consolidated IS 2009 2010'!$AC$20</definedName>
    <definedName name="Reg_Cust_Percent" localSheetId="4">'[42]Consolidated IS 2009 2010'!$AC$20</definedName>
    <definedName name="Reg_Cust_Percent">'[43]Consolidated IS 2009 2010'!$AC$20</definedName>
    <definedName name="Reg_Drive_Percent" localSheetId="3">'[41]Consolidated IS 2009 2010'!$AC$40</definedName>
    <definedName name="Reg_Drive_Percent" localSheetId="4">'[42]Consolidated IS 2009 2010'!$AC$40</definedName>
    <definedName name="Reg_Drive_Percent">'[43]Consolidated IS 2009 2010'!$AC$40</definedName>
    <definedName name="Reg_Haul_Rev_Percent" localSheetId="3">'[41]Consolidated IS 2009 2010'!$Z$18</definedName>
    <definedName name="Reg_Haul_Rev_Percent" localSheetId="4">'[42]Consolidated IS 2009 2010'!$Z$18</definedName>
    <definedName name="Reg_Haul_Rev_Percent">'[43]Consolidated IS 2009 2010'!$Z$18</definedName>
    <definedName name="Reg_Lab_Percent" localSheetId="3">'[41]Consolidated IS 2009 2010'!$AC$39</definedName>
    <definedName name="Reg_Lab_Percent" localSheetId="4">'[42]Consolidated IS 2009 2010'!$AC$39</definedName>
    <definedName name="Reg_Lab_Percent">'[43]Consolidated IS 2009 2010'!$AC$39</definedName>
    <definedName name="Reg_Steel_Cont_Percent" localSheetId="3">'[41]Consolidated IS 2009 2010'!$AE$120</definedName>
    <definedName name="Reg_Steel_Cont_Percent" localSheetId="4">'[42]Consolidated IS 2009 2010'!$AE$120</definedName>
    <definedName name="Reg_Steel_Cont_Percent">'[43]Consolidated IS 2009 2010'!$AE$120</definedName>
    <definedName name="RegulatedIS" localSheetId="3">'[41]2009 IS'!$A$12:$Q$655</definedName>
    <definedName name="RegulatedIS" localSheetId="4">'[42]2009 IS'!$A$12:$Q$655</definedName>
    <definedName name="RegulatedIS">'[43]2009 IS'!$A$12:$Q$655</definedName>
    <definedName name="RelatedSalary">#N/A</definedName>
    <definedName name="report_type">[1]Orientation!$C$24</definedName>
    <definedName name="Reporting_Jurisdiction">'[19]Title Inputs'!$C$4</definedName>
    <definedName name="ReportNames" localSheetId="3">[23]ControlPanel!$X$2:$X$8</definedName>
    <definedName name="ReportNames">[44]ControlPanel!$S$2:$S$16</definedName>
    <definedName name="ReportVersion">[1]Settings!$D$5</definedName>
    <definedName name="ReslStaffPriceOut" localSheetId="3">'[22]Price Out-Reg EASTSIDE-Resi'!#REF!</definedName>
    <definedName name="ReslStaffPriceOut" localSheetId="4">'[22]Price Out-Reg EASTSIDE-Resi'!#REF!</definedName>
    <definedName name="ReslStaffPriceOut">'[22]Price Out-Reg EASTSIDE-Resi'!#REF!</definedName>
    <definedName name="RetainedEarnings" localSheetId="3">#REF!</definedName>
    <definedName name="RetainedEarnings" localSheetId="0">#REF!</definedName>
    <definedName name="RetainedEarnings">#REF!</definedName>
    <definedName name="RevCust" localSheetId="3">[45]RevenuesCust!#REF!</definedName>
    <definedName name="RevCust" localSheetId="4">'[46]RevenuesCust, pg 8'!#REF!</definedName>
    <definedName name="RevCust" localSheetId="0">[45]RevenuesCust!#REF!</definedName>
    <definedName name="RevCust">[47]RevenuesCust!#REF!</definedName>
    <definedName name="RevCustomer" localSheetId="3">#REF!</definedName>
    <definedName name="RevCustomer" localSheetId="4">#REF!</definedName>
    <definedName name="RevCustomer">#REF!</definedName>
    <definedName name="RevenuePF1" localSheetId="3">'[33]LG County Area'!$K$7</definedName>
    <definedName name="RevenuePF1" localSheetId="4">'[33]LG County Area'!$K$7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'[48]Variance Report'!#REF!</definedName>
    <definedName name="Sbst">#REF!</definedName>
    <definedName name="seffasfasdfsd" localSheetId="3">[8]Hidden!#REF!</definedName>
    <definedName name="seffasfasdfsd" localSheetId="4">[8]Hidden!#REF!</definedName>
    <definedName name="seffasfasdfsd">[8]Hidden!#REF!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[10]Settings!$F$5</definedName>
    <definedName name="Setting_LFDeplUnitAcct">[10]Settings!$F$4</definedName>
    <definedName name="Setting_LFUnitCost">[10]Settings!$F$3</definedName>
    <definedName name="Setting_LFUnitCostNY">[10]Settings!$F$7</definedName>
    <definedName name="Setting_LFUnitRow">[10]Settings!$C$3</definedName>
    <definedName name="SIC_Table">#REF!</definedName>
    <definedName name="slope">'[49]LG Nonpublic 2018 V5.0'!$X$58</definedName>
    <definedName name="sortcol" localSheetId="3">#REF!</definedName>
    <definedName name="sortcol" localSheetId="0">#REF!</definedName>
    <definedName name="sortcol">#REF!</definedName>
    <definedName name="Source" localSheetId="3">[36]DropDownRanges!$D$4:$D$7</definedName>
    <definedName name="Source" localSheetId="4">[37]DropDownRanges!$D$4:$D$7</definedName>
    <definedName name="Source" localSheetId="0">#REF!</definedName>
    <definedName name="Source">[39]DropDownRanges!$D$4:$D$7</definedName>
    <definedName name="SPWS_WBID">"115966228744984"</definedName>
    <definedName name="sSRCDate" localSheetId="3">'[50]Feb''12 FAR Data'!#REF!</definedName>
    <definedName name="sSRCDate" localSheetId="4">'[51]2008'!$C$3</definedName>
    <definedName name="sSRCDate" localSheetId="0">'[50]Feb''12 FAR Data'!#REF!</definedName>
    <definedName name="sSRCDate">'[52]Feb''12 FAR Data'!#REF!</definedName>
    <definedName name="SubSystem" localSheetId="3">#REF!</definedName>
    <definedName name="SubSystem">#REF!</definedName>
    <definedName name="SubSystems" localSheetId="0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 localSheetId="3">[53]BS_Close!$V$8</definedName>
    <definedName name="System" localSheetId="4">#REF!</definedName>
    <definedName name="System">[53]BS_Close!$V$8</definedName>
    <definedName name="Systems" localSheetId="3">#REF!</definedName>
    <definedName name="Systems" localSheetId="4">#REF!</definedName>
    <definedName name="Systems" localSheetId="0">#REF!</definedName>
    <definedName name="Systems">#REF!</definedName>
    <definedName name="Table_SIC">#REF!</definedName>
    <definedName name="TargetMonths">[10]Settings!$I$18</definedName>
    <definedName name="TemplateEnd" localSheetId="3">#REF!</definedName>
    <definedName name="TemplateEnd" localSheetId="0">#REF!</definedName>
    <definedName name="TemplateEnd">#REF!</definedName>
    <definedName name="TemplateStart" localSheetId="3">#REF!</definedName>
    <definedName name="TemplateStart" localSheetId="0">#REF!</definedName>
    <definedName name="TemplateStart">#REF!</definedName>
    <definedName name="TheTable" localSheetId="3">#REF!</definedName>
    <definedName name="TheTable" localSheetId="0">#REF!</definedName>
    <definedName name="TheTable">#REF!</definedName>
    <definedName name="TheTableOLD" localSheetId="3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Month" localSheetId="4">#REF!</definedName>
    <definedName name="ToMonth" localSheetId="0">#REF!</definedName>
    <definedName name="ToMonth">#REF!</definedName>
    <definedName name="Tons" localSheetId="3">#REF!</definedName>
    <definedName name="Tons" localSheetId="4">#REF!</definedName>
    <definedName name="Tons">#REF!</definedName>
    <definedName name="Total_Comm" localSheetId="3">'[15]Tariff Rate Sheet'!$L$214</definedName>
    <definedName name="Total_Comm" localSheetId="4">'[16]Tariff Rate Sheet'!$L$214</definedName>
    <definedName name="Total_Comm" localSheetId="0">'[17]Tariff Rate Sheet'!$L$214</definedName>
    <definedName name="Total_Comm">'[18]Tariff Rate Sheet'!$L$214</definedName>
    <definedName name="Total_DB" localSheetId="3">'[15]Tariff Rate Sheet'!$L$278</definedName>
    <definedName name="Total_DB" localSheetId="4">'[16]Tariff Rate Sheet'!$L$278</definedName>
    <definedName name="Total_DB" localSheetId="0">'[17]Tariff Rate Sheet'!$L$278</definedName>
    <definedName name="Total_DB">'[18]Tariff Rate Sheet'!$L$278</definedName>
    <definedName name="Total_Resi" localSheetId="3">'[15]Tariff Rate Sheet'!$L$107</definedName>
    <definedName name="Total_Resi" localSheetId="4">'[16]Tariff Rate Sheet'!$L$107</definedName>
    <definedName name="Total_Resi" localSheetId="0">'[17]Tariff Rate Sheet'!$L$107</definedName>
    <definedName name="Total_Resi">'[18]Tariff Rate Sheet'!$L$107</definedName>
    <definedName name="TotalYards">'[20]Gross Yardage Worksheet'!$N$101</definedName>
    <definedName name="TOTCONT" localSheetId="4">'[35]Sorted Master'!$K$9</definedName>
    <definedName name="TOTCONT">'[35]Sorted Master'!$K$9</definedName>
    <definedName name="TOTCRECCONT" localSheetId="4">'[35]Sorted Master'!$Z$9</definedName>
    <definedName name="TOTCRECCONT">'[35]Sorted Master'!$Z$9</definedName>
    <definedName name="TOTCRECCUST" localSheetId="3">'[54]Master IS (C)'!#REF!</definedName>
    <definedName name="TOTCRECCUST" localSheetId="4">'[55]Master IS (C)'!#REF!</definedName>
    <definedName name="TOTCRECCUST">'[56]Master IS (C)'!#REF!</definedName>
    <definedName name="TOTCRECDH" localSheetId="3">'[54]Master IS (C)'!#REF!</definedName>
    <definedName name="TOTCRECDH" localSheetId="4">'[55]Master IS (C)'!#REF!</definedName>
    <definedName name="TOTCRECDH">'[56]Master IS (C)'!#REF!</definedName>
    <definedName name="TOTCRECREV" localSheetId="3">'[54]Master IS (C)'!#REF!</definedName>
    <definedName name="TOTCRECREV" localSheetId="4">'[55]Master IS (C)'!#REF!</definedName>
    <definedName name="TOTCRECREV">'[56]Master IS (C)'!#REF!</definedName>
    <definedName name="TOTCRECTDEP" localSheetId="3">'[54]Master IS (C)'!#REF!</definedName>
    <definedName name="TOTCRECTDEP" localSheetId="4">'[55]Master IS (C)'!#REF!</definedName>
    <definedName name="TOTCRECTDEP">'[56]Master IS (C)'!#REF!</definedName>
    <definedName name="TOTCRECTH" localSheetId="4">'[35]Sorted Master'!$Z$8</definedName>
    <definedName name="TOTCRECTH">'[35]Sorted Master'!$Z$8</definedName>
    <definedName name="TOTCRECTV" localSheetId="3">'[54]Master IS (C)'!#REF!</definedName>
    <definedName name="TOTCRECTV" localSheetId="4">'[55]Master IS (C)'!#REF!</definedName>
    <definedName name="TOTCRECTV">'[56]Master IS (C)'!#REF!</definedName>
    <definedName name="TOTCUST" localSheetId="3">'[54]Master IS (C)'!#REF!</definedName>
    <definedName name="TOTCUST" localSheetId="4">'[55]Master IS (C)'!#REF!</definedName>
    <definedName name="TOTCUST">'[56]Master IS (C)'!#REF!</definedName>
    <definedName name="TOTDBCONT" localSheetId="3">'[54]Master IS (C)'!#REF!</definedName>
    <definedName name="TOTDBCONT" localSheetId="4">'[55]Master IS (C)'!#REF!</definedName>
    <definedName name="TOTDBCONT">'[56]Master IS (C)'!#REF!</definedName>
    <definedName name="TOTDBCUST" localSheetId="3">'[54]Master IS (C)'!#REF!</definedName>
    <definedName name="TOTDBCUST" localSheetId="4">'[55]Master IS (C)'!#REF!</definedName>
    <definedName name="TOTDBCUST">'[56]Master IS (C)'!#REF!</definedName>
    <definedName name="TOTDBDH" localSheetId="3">'[54]Master IS (C)'!#REF!</definedName>
    <definedName name="TOTDBDH" localSheetId="4">'[55]Master IS (C)'!#REF!</definedName>
    <definedName name="TOTDBDH">'[56]Master IS (C)'!#REF!</definedName>
    <definedName name="TOTDBREV" localSheetId="3">'[54]Master IS (C)'!#REF!</definedName>
    <definedName name="TOTDBREV" localSheetId="4">'[55]Master IS (C)'!#REF!</definedName>
    <definedName name="TOTDBREV">'[56]Master IS (C)'!#REF!</definedName>
    <definedName name="TOTDBTDEP" localSheetId="3">'[54]Master IS (C)'!#REF!</definedName>
    <definedName name="TOTDBTDEP" localSheetId="4">'[55]Master IS (C)'!#REF!</definedName>
    <definedName name="TOTDBTDEP">'[56]Master IS (C)'!#REF!</definedName>
    <definedName name="TOTDBTH" localSheetId="3">'[54]Master IS (C)'!#REF!</definedName>
    <definedName name="TOTDBTH" localSheetId="4">'[55]Master IS (C)'!#REF!</definedName>
    <definedName name="TOTDBTH">'[56]Master IS (C)'!#REF!</definedName>
    <definedName name="TOTDBTV" localSheetId="3">'[54]Master IS (C)'!#REF!</definedName>
    <definedName name="TOTDBTV" localSheetId="4">'[55]Master IS (C)'!#REF!</definedName>
    <definedName name="TOTDBTV">'[56]Master IS (C)'!#REF!</definedName>
    <definedName name="TOTDEBCONT" localSheetId="3">'[54]Master IS (C)'!#REF!</definedName>
    <definedName name="TOTDEBCONT" localSheetId="4">'[55]Master IS (C)'!#REF!</definedName>
    <definedName name="TOTDEBCONT">'[56]Master IS (C)'!#REF!</definedName>
    <definedName name="TOTDEBCUST" localSheetId="3">'[54]Master IS (C)'!#REF!</definedName>
    <definedName name="TOTDEBCUST" localSheetId="4">'[55]Master IS (C)'!#REF!</definedName>
    <definedName name="TOTDEBCUST">'[56]Master IS (C)'!#REF!</definedName>
    <definedName name="TOTDEBDH" localSheetId="3">'[54]Master IS (C)'!#REF!</definedName>
    <definedName name="TOTDEBDH" localSheetId="4">'[55]Master IS (C)'!#REF!</definedName>
    <definedName name="TOTDEBDH">'[56]Master IS (C)'!#REF!</definedName>
    <definedName name="TOTDEBREV" localSheetId="3">'[54]Master IS (C)'!#REF!</definedName>
    <definedName name="TOTDEBREV" localSheetId="4">'[55]Master IS (C)'!#REF!</definedName>
    <definedName name="TOTDEBREV">'[56]Master IS (C)'!#REF!</definedName>
    <definedName name="TOTDEBTH" localSheetId="4">'[35]Sorted Master'!$AD$8</definedName>
    <definedName name="TOTDEBTH">'[35]Sorted Master'!$AD$8</definedName>
    <definedName name="TOTDH" localSheetId="3">'[54]Master IS (C)'!#REF!</definedName>
    <definedName name="TOTDH" localSheetId="4">'[55]Master IS (C)'!#REF!</definedName>
    <definedName name="TOTDH">'[56]Master IS (C)'!#REF!</definedName>
    <definedName name="TOTFELCONT" localSheetId="3">'[54]Master IS (C)'!#REF!</definedName>
    <definedName name="TOTFELCONT" localSheetId="4">'[55]Master IS (C)'!#REF!</definedName>
    <definedName name="TOTFELCONT">'[56]Master IS (C)'!#REF!</definedName>
    <definedName name="TOTFELCUST" localSheetId="3">'[54]Master IS (C)'!#REF!</definedName>
    <definedName name="TOTFELCUST" localSheetId="4">'[55]Master IS (C)'!#REF!</definedName>
    <definedName name="TOTFELCUST">'[56]Master IS (C)'!#REF!</definedName>
    <definedName name="TOTFELDH" localSheetId="3">'[54]Master IS (C)'!#REF!</definedName>
    <definedName name="TOTFELDH" localSheetId="4">'[55]Master IS (C)'!#REF!</definedName>
    <definedName name="TOTFELDH">'[56]Master IS (C)'!#REF!</definedName>
    <definedName name="TOTFELREV" localSheetId="3">'[54]Master IS (C)'!#REF!</definedName>
    <definedName name="TOTFELREV" localSheetId="4">'[55]Master IS (C)'!#REF!</definedName>
    <definedName name="TOTFELREV">'[56]Master IS (C)'!#REF!</definedName>
    <definedName name="TOTFELTDEP" localSheetId="3">'[54]Master IS (C)'!#REF!</definedName>
    <definedName name="TOTFELTDEP" localSheetId="4">'[55]Master IS (C)'!#REF!</definedName>
    <definedName name="TOTFELTDEP">'[56]Master IS (C)'!#REF!</definedName>
    <definedName name="TOTFELTH" localSheetId="3">'[54]Master IS (C)'!#REF!</definedName>
    <definedName name="TOTFELTH" localSheetId="4">'[55]Master IS (C)'!#REF!</definedName>
    <definedName name="TOTFELTH">'[56]Master IS (C)'!#REF!</definedName>
    <definedName name="TOTFELTV" localSheetId="3">'[54]Master IS (C)'!#REF!</definedName>
    <definedName name="TOTFELTV" localSheetId="4">'[55]Master IS (C)'!#REF!</definedName>
    <definedName name="TOTFELTV">'[56]Master IS (C)'!#REF!</definedName>
    <definedName name="TOTRESCONT" localSheetId="3">'[54]Master IS (C)'!#REF!</definedName>
    <definedName name="TOTRESCONT" localSheetId="4">'[55]Master IS (C)'!#REF!</definedName>
    <definedName name="TOTRESCONT">'[56]Master IS (C)'!#REF!</definedName>
    <definedName name="TOTRESCUST" localSheetId="3">'[54]Master IS (C)'!#REF!</definedName>
    <definedName name="TOTRESCUST" localSheetId="4">'[55]Master IS (C)'!#REF!</definedName>
    <definedName name="TOTRESCUST">'[56]Master IS (C)'!#REF!</definedName>
    <definedName name="TOTRESDH" localSheetId="3">'[54]Master IS (C)'!#REF!</definedName>
    <definedName name="TOTRESDH" localSheetId="4">'[55]Master IS (C)'!#REF!</definedName>
    <definedName name="TOTRESDH">'[56]Master IS (C)'!#REF!</definedName>
    <definedName name="TOTRESRCONT" localSheetId="3">'[54]Master IS (C)'!#REF!</definedName>
    <definedName name="TOTRESRCONT" localSheetId="4">'[55]Master IS (C)'!#REF!</definedName>
    <definedName name="TOTRESRCONT">'[56]Master IS (C)'!#REF!</definedName>
    <definedName name="TOTRESRCUST" localSheetId="3">'[54]Master IS (C)'!#REF!</definedName>
    <definedName name="TOTRESRCUST" localSheetId="4">'[55]Master IS (C)'!#REF!</definedName>
    <definedName name="TOTRESRCUST">'[56]Master IS (C)'!#REF!</definedName>
    <definedName name="TOTRESRDH" localSheetId="3">'[54]Master IS (C)'!#REF!</definedName>
    <definedName name="TOTRESRDH" localSheetId="4">'[55]Master IS (C)'!#REF!</definedName>
    <definedName name="TOTRESRDH">'[56]Master IS (C)'!#REF!</definedName>
    <definedName name="TOTRESREV" localSheetId="3">'[54]Master IS (C)'!#REF!</definedName>
    <definedName name="TOTRESREV" localSheetId="4">'[55]Master IS (C)'!#REF!</definedName>
    <definedName name="TOTRESREV">'[56]Master IS (C)'!#REF!</definedName>
    <definedName name="TOTRESRREV" localSheetId="3">'[54]Master IS (C)'!#REF!</definedName>
    <definedName name="TOTRESRREV" localSheetId="4">'[55]Master IS (C)'!#REF!</definedName>
    <definedName name="TOTRESRREV">'[56]Master IS (C)'!#REF!</definedName>
    <definedName name="TOTRESRTDEP" localSheetId="3">'[54]Master IS (C)'!#REF!</definedName>
    <definedName name="TOTRESRTDEP" localSheetId="4">'[55]Master IS (C)'!#REF!</definedName>
    <definedName name="TOTRESRTDEP">'[56]Master IS (C)'!#REF!</definedName>
    <definedName name="TOTRESRTH" localSheetId="3">'[54]Master IS (C)'!#REF!</definedName>
    <definedName name="TOTRESRTH" localSheetId="4">'[55]Master IS (C)'!#REF!</definedName>
    <definedName name="TOTRESRTH">'[56]Master IS (C)'!#REF!</definedName>
    <definedName name="TOTRESRTV" localSheetId="3">'[54]Master IS (C)'!#REF!</definedName>
    <definedName name="TOTRESRTV" localSheetId="4">'[55]Master IS (C)'!#REF!</definedName>
    <definedName name="TOTRESRTV">'[56]Master IS (C)'!#REF!</definedName>
    <definedName name="TOTRESTDEP" localSheetId="3">'[54]Master IS (C)'!#REF!</definedName>
    <definedName name="TOTRESTDEP" localSheetId="4">'[55]Master IS (C)'!#REF!</definedName>
    <definedName name="TOTRESTDEP">'[56]Master IS (C)'!#REF!</definedName>
    <definedName name="TOTRESTH" localSheetId="3">'[54]Master IS (C)'!#REF!</definedName>
    <definedName name="TOTRESTH" localSheetId="4">'[55]Master IS (C)'!#REF!</definedName>
    <definedName name="TOTRESTH">'[56]Master IS (C)'!#REF!</definedName>
    <definedName name="TOTRESTV" localSheetId="3">'[54]Master IS (C)'!#REF!</definedName>
    <definedName name="TOTRESTV" localSheetId="4">'[55]Master IS (C)'!#REF!</definedName>
    <definedName name="TOTRESTV">'[56]Master IS (C)'!#REF!</definedName>
    <definedName name="TOTREV" localSheetId="3">'[54]Master IS (C)'!#REF!</definedName>
    <definedName name="TOTREV" localSheetId="4">'[55]Master IS (C)'!#REF!</definedName>
    <definedName name="TOTREV">'[56]Master IS (C)'!#REF!</definedName>
    <definedName name="TOTTDEP" localSheetId="3">'[54]Master IS (C)'!#REF!</definedName>
    <definedName name="TOTTDEP" localSheetId="4">'[55]Master IS (C)'!#REF!</definedName>
    <definedName name="TOTTDEP">'[56]Master IS (C)'!#REF!</definedName>
    <definedName name="TOTTH" localSheetId="3">'[54]Master IS (C)'!#REF!</definedName>
    <definedName name="TOTTH" localSheetId="4">'[55]Master IS (C)'!#REF!</definedName>
    <definedName name="TOTTH">'[56]Master IS (C)'!#REF!</definedName>
    <definedName name="TOTTV" localSheetId="3">'[54]Master IS (C)'!#REF!</definedName>
    <definedName name="TOTTV" localSheetId="4">'[55]Master IS (C)'!#REF!</definedName>
    <definedName name="TOTTV">'[56]Master IS (C)'!#REF!</definedName>
    <definedName name="Transactions" localSheetId="3">#REF!</definedName>
    <definedName name="Transactions" localSheetId="0">#REF!</definedName>
    <definedName name="Transactions">#REF!</definedName>
    <definedName name="UnformattedIS">#REF!</definedName>
    <definedName name="UnregulatedIS" localSheetId="3">'[41]2010 IS'!$A$12:$Q$654</definedName>
    <definedName name="UnregulatedIS" localSheetId="4">'[42]2010 IS'!$A$12:$Q$654</definedName>
    <definedName name="UnregulatedIS">'[43]2010 IS'!$A$12:$Q$654</definedName>
    <definedName name="ValidFormats">[4]Delivery!$AA$4:$AA$10</definedName>
    <definedName name="VendorCode" localSheetId="3">#REF!</definedName>
    <definedName name="VendorCode" localSheetId="4">#REF!</definedName>
    <definedName name="VendorCode" localSheetId="0">#REF!</definedName>
    <definedName name="VendorCode">#REF!</definedName>
    <definedName name="Version" localSheetId="3">[27]Data!#REF!</definedName>
    <definedName name="Version" localSheetId="4">[28]Data!#REF!</definedName>
    <definedName name="Version" localSheetId="0">[34]Data!#REF!</definedName>
    <definedName name="Version">[29]Data!#REF!</definedName>
    <definedName name="WksInYr">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0">#REF!</definedName>
    <definedName name="WTable">#REF!</definedName>
    <definedName name="WTableOld" localSheetId="3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period">[1]Orientation!$G$15</definedName>
    <definedName name="xtabin" localSheetId="3">[3]Hidden!#REF!</definedName>
    <definedName name="xtabin" localSheetId="4">[7]Hidden!#REF!</definedName>
    <definedName name="xtabin" localSheetId="0">[3]Hidden!#REF!</definedName>
    <definedName name="xtabin">[8]Hidden!#REF!</definedName>
    <definedName name="xx" localSheetId="3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'[49]LG Nonpublic 2018 V5.0'!$W$55</definedName>
    <definedName name="y_inter2">'[49]LG Nonpublic 2018 V5.0'!$W$56</definedName>
    <definedName name="y_inter3">'[49]LG Nonpublic 2018 V5.0'!$Y$55</definedName>
    <definedName name="y_inter4">'[49]LG Nonpublic 2018 V5.0'!$Y$56</definedName>
    <definedName name="Year">'[57]Aug Av. Fuel Price'!$E$15</definedName>
    <definedName name="Year_of_Review">'[19]Title Inputs'!$C$3</definedName>
    <definedName name="YearMonth" localSheetId="3">#REF!</definedName>
    <definedName name="YearMonth" localSheetId="4">#REF!</definedName>
    <definedName name="YearMonth" localSheetId="0">'[30]Vashon BS'!#REF!</definedName>
    <definedName name="YearMonth">'[31]Vashon BS'!#REF!</definedName>
    <definedName name="YearMonthDate">[10]Settings!$I$10</definedName>
    <definedName name="YearMonthDate2">[10]Settings!$I$11</definedName>
    <definedName name="YearMonthDate3">[10]Settings!$I$12</definedName>
    <definedName name="YearMonthDate4">[10]Settings!$I$13</definedName>
    <definedName name="YearMonthDate5">[10]Settings!$I$14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T102" i="7" l="1"/>
  <c r="T101" i="7"/>
  <c r="T100" i="7"/>
  <c r="T99" i="7"/>
  <c r="T98" i="7"/>
  <c r="T97" i="7"/>
  <c r="T95" i="7"/>
  <c r="T94" i="7"/>
  <c r="T93" i="7"/>
  <c r="T92" i="7"/>
  <c r="T91" i="7"/>
  <c r="T90" i="7"/>
  <c r="T89" i="7"/>
  <c r="T88" i="7"/>
  <c r="T87" i="7"/>
  <c r="T86" i="7"/>
  <c r="N102" i="7"/>
  <c r="N101" i="7"/>
  <c r="N100" i="7"/>
  <c r="N99" i="7"/>
  <c r="N98" i="7"/>
  <c r="N97" i="7"/>
  <c r="N95" i="7"/>
  <c r="N94" i="7"/>
  <c r="N93" i="7"/>
  <c r="N92" i="7"/>
  <c r="N91" i="7"/>
  <c r="N90" i="7"/>
  <c r="N89" i="7"/>
  <c r="N88" i="7"/>
  <c r="N87" i="7"/>
  <c r="N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70" i="7"/>
  <c r="C19" i="22" l="1"/>
  <c r="D19" i="22"/>
  <c r="H19" i="22"/>
  <c r="C20" i="22"/>
  <c r="D20" i="22"/>
  <c r="H20" i="22"/>
  <c r="C21" i="22"/>
  <c r="D21" i="22"/>
  <c r="H21" i="22"/>
  <c r="C22" i="22"/>
  <c r="D22" i="22"/>
  <c r="H22" i="22"/>
  <c r="C23" i="22"/>
  <c r="D23" i="22"/>
  <c r="H23" i="22"/>
  <c r="C24" i="22"/>
  <c r="D24" i="22"/>
  <c r="H24" i="22"/>
  <c r="C25" i="22"/>
  <c r="D25" i="22"/>
  <c r="H25" i="22"/>
  <c r="C26" i="22"/>
  <c r="D26" i="22"/>
  <c r="H26" i="22"/>
  <c r="C27" i="22"/>
  <c r="D27" i="22"/>
  <c r="H27" i="22"/>
  <c r="C28" i="22"/>
  <c r="D28" i="22"/>
  <c r="H28" i="22"/>
  <c r="C29" i="22"/>
  <c r="D29" i="22"/>
  <c r="H29" i="22"/>
  <c r="C30" i="22"/>
  <c r="D30" i="22"/>
  <c r="H30" i="22"/>
  <c r="C31" i="22"/>
  <c r="D31" i="22"/>
  <c r="H31" i="22"/>
  <c r="C32" i="22"/>
  <c r="D32" i="22"/>
  <c r="H32" i="22"/>
  <c r="C33" i="22"/>
  <c r="D33" i="22"/>
  <c r="H33" i="22"/>
  <c r="H2" i="22"/>
  <c r="D2" i="22"/>
  <c r="C2" i="22"/>
  <c r="F85" i="7" l="1"/>
  <c r="F84" i="7"/>
  <c r="F83" i="7"/>
  <c r="F82" i="7"/>
  <c r="O83" i="7"/>
  <c r="F31" i="22" s="1"/>
  <c r="E31" i="22" s="1"/>
  <c r="G31" i="22" s="1"/>
  <c r="H82" i="7"/>
  <c r="I82" i="7"/>
  <c r="J82" i="7" s="1"/>
  <c r="K82" i="7" s="1"/>
  <c r="H83" i="7"/>
  <c r="I83" i="7"/>
  <c r="J83" i="7"/>
  <c r="K83" i="7"/>
  <c r="H84" i="7"/>
  <c r="I84" i="7"/>
  <c r="J84" i="7" s="1"/>
  <c r="K84" i="7" s="1"/>
  <c r="H85" i="7"/>
  <c r="I85" i="7"/>
  <c r="J85" i="7" s="1"/>
  <c r="K85" i="7" s="1"/>
  <c r="G82" i="7"/>
  <c r="G83" i="7"/>
  <c r="G84" i="7"/>
  <c r="G85" i="7"/>
  <c r="E82" i="7"/>
  <c r="E83" i="7"/>
  <c r="E84" i="7"/>
  <c r="E85" i="7"/>
  <c r="G81" i="7"/>
  <c r="F81" i="7"/>
  <c r="E81" i="7"/>
  <c r="H81" i="7" s="1"/>
  <c r="G80" i="7"/>
  <c r="F80" i="7"/>
  <c r="E80" i="7"/>
  <c r="H80" i="7" s="1"/>
  <c r="G79" i="7"/>
  <c r="F79" i="7"/>
  <c r="E79" i="7"/>
  <c r="G78" i="7"/>
  <c r="F78" i="7"/>
  <c r="E78" i="7"/>
  <c r="G77" i="7"/>
  <c r="F77" i="7"/>
  <c r="E77" i="7"/>
  <c r="G76" i="7"/>
  <c r="G73" i="7"/>
  <c r="F76" i="7"/>
  <c r="E76" i="7"/>
  <c r="F75" i="7"/>
  <c r="G75" i="7"/>
  <c r="E75" i="7"/>
  <c r="G74" i="7"/>
  <c r="F74" i="7"/>
  <c r="F73" i="7"/>
  <c r="E74" i="7"/>
  <c r="E73" i="7"/>
  <c r="G72" i="7"/>
  <c r="E72" i="7"/>
  <c r="F72" i="7"/>
  <c r="O85" i="7" l="1"/>
  <c r="F33" i="22" s="1"/>
  <c r="E33" i="22" s="1"/>
  <c r="P85" i="7"/>
  <c r="J33" i="22" s="1"/>
  <c r="I33" i="22" s="1"/>
  <c r="K33" i="22" s="1"/>
  <c r="O84" i="7"/>
  <c r="F32" i="22" s="1"/>
  <c r="E32" i="22" s="1"/>
  <c r="P84" i="7"/>
  <c r="J32" i="22" s="1"/>
  <c r="I32" i="22" s="1"/>
  <c r="K32" i="22" s="1"/>
  <c r="O82" i="7"/>
  <c r="F30" i="22" s="1"/>
  <c r="E30" i="22" s="1"/>
  <c r="P82" i="7"/>
  <c r="J30" i="22" s="1"/>
  <c r="I30" i="22" s="1"/>
  <c r="K30" i="22" s="1"/>
  <c r="P83" i="7"/>
  <c r="J31" i="22" s="1"/>
  <c r="I31" i="22" s="1"/>
  <c r="K31" i="22" s="1"/>
  <c r="H79" i="7"/>
  <c r="H77" i="7"/>
  <c r="H78" i="7"/>
  <c r="H76" i="7"/>
  <c r="H73" i="7"/>
  <c r="H75" i="7"/>
  <c r="H74" i="7"/>
  <c r="H72" i="7"/>
  <c r="G71" i="7"/>
  <c r="F71" i="7"/>
  <c r="E71" i="7"/>
  <c r="G70" i="7"/>
  <c r="F70" i="7"/>
  <c r="E70" i="7"/>
  <c r="L30" i="22" l="1"/>
  <c r="G30" i="22"/>
  <c r="L33" i="22"/>
  <c r="G33" i="22"/>
  <c r="L32" i="22"/>
  <c r="G32" i="22"/>
  <c r="L31" i="22"/>
  <c r="H70" i="7"/>
  <c r="H71" i="7"/>
  <c r="F99" i="7"/>
  <c r="F98" i="7"/>
  <c r="L46" i="17"/>
  <c r="F87" i="7"/>
  <c r="G51" i="7"/>
  <c r="G50" i="7"/>
  <c r="M61" i="17" l="1"/>
  <c r="M60" i="17"/>
  <c r="M59" i="17"/>
  <c r="M58" i="17"/>
  <c r="M56" i="17"/>
  <c r="M57" i="17"/>
  <c r="M48" i="17"/>
  <c r="H41" i="22" l="1"/>
  <c r="H42" i="22"/>
  <c r="H43" i="22"/>
  <c r="H44" i="22"/>
  <c r="H45" i="22"/>
  <c r="H46" i="22"/>
  <c r="H47" i="22"/>
  <c r="H48" i="22"/>
  <c r="H49" i="22"/>
  <c r="H50" i="22"/>
  <c r="H51" i="22"/>
  <c r="H52" i="22"/>
  <c r="H53" i="22"/>
  <c r="H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40" i="22"/>
  <c r="C53" i="22"/>
  <c r="C51" i="22"/>
  <c r="C49" i="22"/>
  <c r="C47" i="22"/>
  <c r="C45" i="22"/>
  <c r="C43" i="22"/>
  <c r="C41" i="22"/>
  <c r="C67" i="22"/>
  <c r="D67" i="22"/>
  <c r="H67" i="22"/>
  <c r="D68" i="22"/>
  <c r="H68" i="22"/>
  <c r="D69" i="22"/>
  <c r="H69" i="22"/>
  <c r="D70" i="22"/>
  <c r="H70" i="22"/>
  <c r="D71" i="22"/>
  <c r="H71" i="22"/>
  <c r="D72" i="22"/>
  <c r="H72" i="22"/>
  <c r="C74" i="22"/>
  <c r="D74" i="22"/>
  <c r="H74" i="22"/>
  <c r="M50" i="17"/>
  <c r="M44" i="17"/>
  <c r="M34" i="17"/>
  <c r="N78" i="17"/>
  <c r="O78" i="17" s="1"/>
  <c r="M78" i="17"/>
  <c r="L78" i="17"/>
  <c r="J78" i="17"/>
  <c r="G34" i="7" l="1"/>
  <c r="G22" i="7"/>
  <c r="G23" i="7"/>
  <c r="G24" i="7"/>
  <c r="G25" i="7"/>
  <c r="G26" i="7"/>
  <c r="G27" i="7"/>
  <c r="G28" i="7"/>
  <c r="G29" i="7"/>
  <c r="G30" i="7"/>
  <c r="G31" i="7"/>
  <c r="G32" i="7"/>
  <c r="F31" i="7"/>
  <c r="F32" i="7"/>
  <c r="E98" i="7" l="1"/>
  <c r="E99" i="7"/>
  <c r="E97" i="7"/>
  <c r="E88" i="7"/>
  <c r="E89" i="7"/>
  <c r="E90" i="7"/>
  <c r="E91" i="7"/>
  <c r="E92" i="7"/>
  <c r="E93" i="7"/>
  <c r="E94" i="7"/>
  <c r="E95" i="7"/>
  <c r="E87" i="7"/>
  <c r="E86" i="7"/>
  <c r="G21" i="7"/>
  <c r="G33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F52" i="7"/>
  <c r="G52" i="7"/>
  <c r="F97" i="7"/>
  <c r="L77" i="17"/>
  <c r="M55" i="17"/>
  <c r="M54" i="17"/>
  <c r="H94" i="7" l="1"/>
  <c r="L18" i="17"/>
  <c r="F19" i="7" s="1"/>
  <c r="F89" i="7"/>
  <c r="G89" i="7"/>
  <c r="G90" i="7"/>
  <c r="F90" i="7"/>
  <c r="G88" i="7"/>
  <c r="F88" i="7"/>
  <c r="H88" i="7" s="1"/>
  <c r="G87" i="7"/>
  <c r="H87" i="7"/>
  <c r="L21" i="17"/>
  <c r="L20" i="17"/>
  <c r="L19" i="17"/>
  <c r="L14" i="17"/>
  <c r="M52" i="17"/>
  <c r="M51" i="17"/>
  <c r="M49" i="17"/>
  <c r="M43" i="17"/>
  <c r="M40" i="17"/>
  <c r="M39" i="17"/>
  <c r="M35" i="17"/>
  <c r="M33" i="17"/>
  <c r="M28" i="17"/>
  <c r="G86" i="7"/>
  <c r="F86" i="7"/>
  <c r="H86" i="7" s="1"/>
  <c r="H91" i="7"/>
  <c r="H92" i="7"/>
  <c r="H93" i="7"/>
  <c r="H95" i="7"/>
  <c r="R7" i="17"/>
  <c r="N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E21" i="7" s="1"/>
  <c r="E22" i="7" s="1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E27" i="7" s="1"/>
  <c r="N39" i="17"/>
  <c r="N40" i="17"/>
  <c r="O40" i="17" s="1"/>
  <c r="N41" i="17"/>
  <c r="O41" i="17" s="1"/>
  <c r="N42" i="17"/>
  <c r="O42" i="17" s="1"/>
  <c r="N43" i="17"/>
  <c r="O43" i="17" s="1"/>
  <c r="N44" i="17"/>
  <c r="O44" i="17" s="1"/>
  <c r="N45" i="17"/>
  <c r="O45" i="17" s="1"/>
  <c r="N46" i="17"/>
  <c r="E31" i="7" s="1"/>
  <c r="N47" i="17"/>
  <c r="N48" i="17"/>
  <c r="O48" i="17" s="1"/>
  <c r="N49" i="17"/>
  <c r="O49" i="17" s="1"/>
  <c r="N50" i="17"/>
  <c r="O50" i="17" s="1"/>
  <c r="N51" i="17"/>
  <c r="O51" i="17" s="1"/>
  <c r="N52" i="17"/>
  <c r="O52" i="17" s="1"/>
  <c r="N53" i="17"/>
  <c r="O53" i="17" s="1"/>
  <c r="N54" i="17"/>
  <c r="O54" i="17" s="1"/>
  <c r="E48" i="7" s="1"/>
  <c r="N55" i="17"/>
  <c r="O55" i="17" s="1"/>
  <c r="E49" i="7" s="1"/>
  <c r="N56" i="17"/>
  <c r="O56" i="17" s="1"/>
  <c r="E50" i="7" s="1"/>
  <c r="Q50" i="7" s="1"/>
  <c r="N57" i="17"/>
  <c r="O57" i="17" s="1"/>
  <c r="N58" i="17"/>
  <c r="O58" i="17" s="1"/>
  <c r="N59" i="17"/>
  <c r="O59" i="17" s="1"/>
  <c r="N60" i="17"/>
  <c r="O60" i="17" s="1"/>
  <c r="E51" i="7" s="1"/>
  <c r="Q51" i="7" s="1"/>
  <c r="N61" i="17"/>
  <c r="O61" i="17" s="1"/>
  <c r="N62" i="17"/>
  <c r="O62" i="17" s="1"/>
  <c r="E35" i="7" s="1"/>
  <c r="N63" i="17"/>
  <c r="O63" i="17" s="1"/>
  <c r="N64" i="17"/>
  <c r="O64" i="17" s="1"/>
  <c r="E36" i="7" s="1"/>
  <c r="N65" i="17"/>
  <c r="O65" i="17" s="1"/>
  <c r="E37" i="7" s="1"/>
  <c r="N66" i="17"/>
  <c r="O66" i="17" s="1"/>
  <c r="N67" i="17"/>
  <c r="O67" i="17" s="1"/>
  <c r="E38" i="7" s="1"/>
  <c r="N68" i="17"/>
  <c r="O68" i="17" s="1"/>
  <c r="E39" i="7" s="1"/>
  <c r="N69" i="17"/>
  <c r="O69" i="17" s="1"/>
  <c r="E40" i="7" s="1"/>
  <c r="N70" i="17"/>
  <c r="O70" i="17" s="1"/>
  <c r="E41" i="7" s="1"/>
  <c r="N71" i="17"/>
  <c r="O71" i="17" s="1"/>
  <c r="E42" i="7" s="1"/>
  <c r="N72" i="17"/>
  <c r="O72" i="17" s="1"/>
  <c r="E43" i="7" s="1"/>
  <c r="N73" i="17"/>
  <c r="O73" i="17" s="1"/>
  <c r="E44" i="7" s="1"/>
  <c r="N74" i="17"/>
  <c r="O74" i="17" s="1"/>
  <c r="E45" i="7" s="1"/>
  <c r="N75" i="17"/>
  <c r="O75" i="17" s="1"/>
  <c r="E46" i="7" s="1"/>
  <c r="N76" i="17"/>
  <c r="O76" i="17" s="1"/>
  <c r="E47" i="7" s="1"/>
  <c r="N77" i="17"/>
  <c r="O77" i="17" s="1"/>
  <c r="E52" i="7" s="1"/>
  <c r="N2" i="17"/>
  <c r="R6" i="17" s="1"/>
  <c r="R3" i="29"/>
  <c r="M77" i="17"/>
  <c r="M76" i="17"/>
  <c r="M53" i="17"/>
  <c r="M47" i="17"/>
  <c r="M46" i="17"/>
  <c r="M45" i="17"/>
  <c r="M42" i="17"/>
  <c r="M41" i="17"/>
  <c r="M38" i="17"/>
  <c r="M37" i="17"/>
  <c r="M36" i="17"/>
  <c r="M32" i="17"/>
  <c r="M31" i="17"/>
  <c r="M63" i="17"/>
  <c r="M64" i="17"/>
  <c r="M65" i="17"/>
  <c r="M66" i="17"/>
  <c r="M67" i="17"/>
  <c r="M68" i="17"/>
  <c r="M69" i="17"/>
  <c r="M62" i="17"/>
  <c r="M27" i="17"/>
  <c r="M26" i="17"/>
  <c r="M30" i="17"/>
  <c r="M29" i="17"/>
  <c r="M25" i="17"/>
  <c r="M24" i="17"/>
  <c r="M23" i="17"/>
  <c r="M22" i="17"/>
  <c r="M71" i="17"/>
  <c r="M72" i="17"/>
  <c r="M73" i="17"/>
  <c r="M74" i="17"/>
  <c r="M75" i="17"/>
  <c r="M70" i="17"/>
  <c r="Q44" i="7" l="1"/>
  <c r="Q37" i="7"/>
  <c r="Q36" i="7"/>
  <c r="Q49" i="7"/>
  <c r="Q42" i="7"/>
  <c r="Q48" i="7"/>
  <c r="Q43" i="7"/>
  <c r="Q52" i="7"/>
  <c r="H52" i="7"/>
  <c r="Q40" i="7"/>
  <c r="Q35" i="7"/>
  <c r="Q39" i="7"/>
  <c r="Q41" i="7"/>
  <c r="Q46" i="7"/>
  <c r="Q38" i="7"/>
  <c r="Q47" i="7"/>
  <c r="Q45" i="7"/>
  <c r="E33" i="7"/>
  <c r="E25" i="7"/>
  <c r="Q31" i="7"/>
  <c r="H31" i="7"/>
  <c r="Q27" i="7"/>
  <c r="Q21" i="7"/>
  <c r="E29" i="7"/>
  <c r="E23" i="7"/>
  <c r="O47" i="17"/>
  <c r="O46" i="17"/>
  <c r="E32" i="7" s="1"/>
  <c r="H90" i="7"/>
  <c r="H89" i="7"/>
  <c r="R13" i="17"/>
  <c r="Q33" i="7" l="1"/>
  <c r="Q25" i="7"/>
  <c r="Q29" i="7"/>
  <c r="Q32" i="7"/>
  <c r="H32" i="7"/>
  <c r="E34" i="7"/>
  <c r="Q23" i="7"/>
  <c r="E30" i="7"/>
  <c r="L75" i="17"/>
  <c r="F46" i="7" s="1"/>
  <c r="H46" i="7" s="1"/>
  <c r="L69" i="17"/>
  <c r="F40" i="7" s="1"/>
  <c r="H40" i="7" s="1"/>
  <c r="L74" i="17"/>
  <c r="F45" i="7" s="1"/>
  <c r="H45" i="7" s="1"/>
  <c r="L73" i="17"/>
  <c r="F44" i="7" s="1"/>
  <c r="H44" i="7" s="1"/>
  <c r="L68" i="17"/>
  <c r="F39" i="7" s="1"/>
  <c r="H39" i="7" s="1"/>
  <c r="L67" i="17"/>
  <c r="F38" i="7" s="1"/>
  <c r="H38" i="7" s="1"/>
  <c r="L71" i="17"/>
  <c r="F42" i="7" s="1"/>
  <c r="H42" i="7" s="1"/>
  <c r="L72" i="17"/>
  <c r="F43" i="7" s="1"/>
  <c r="H43" i="7" s="1"/>
  <c r="L66" i="17"/>
  <c r="L65" i="17"/>
  <c r="F37" i="7" s="1"/>
  <c r="H37" i="7" s="1"/>
  <c r="L70" i="17"/>
  <c r="F41" i="7" s="1"/>
  <c r="H41" i="7" s="1"/>
  <c r="L64" i="17"/>
  <c r="F36" i="7" s="1"/>
  <c r="H36" i="7" s="1"/>
  <c r="L63" i="17"/>
  <c r="L62" i="17"/>
  <c r="F35" i="7" s="1"/>
  <c r="H35" i="7" s="1"/>
  <c r="L48" i="17"/>
  <c r="L49" i="17"/>
  <c r="L50" i="17"/>
  <c r="L51" i="17"/>
  <c r="L52" i="17"/>
  <c r="L53" i="17"/>
  <c r="L47" i="17"/>
  <c r="L43" i="17"/>
  <c r="L44" i="17"/>
  <c r="L45" i="17"/>
  <c r="L42" i="17"/>
  <c r="L39" i="17"/>
  <c r="L40" i="17"/>
  <c r="L41" i="17"/>
  <c r="L38" i="17"/>
  <c r="L32" i="17"/>
  <c r="L33" i="17"/>
  <c r="L34" i="17" s="1"/>
  <c r="L35" i="17"/>
  <c r="L36" i="17"/>
  <c r="L37" i="17"/>
  <c r="L31" i="17"/>
  <c r="L27" i="17"/>
  <c r="L28" i="17"/>
  <c r="L29" i="17"/>
  <c r="L30" i="17"/>
  <c r="L26" i="17"/>
  <c r="L23" i="17"/>
  <c r="L24" i="17"/>
  <c r="L25" i="17"/>
  <c r="L22" i="17"/>
  <c r="L61" i="17"/>
  <c r="L60" i="17"/>
  <c r="F51" i="7" s="1"/>
  <c r="H51" i="7" s="1"/>
  <c r="L55" i="17"/>
  <c r="F49" i="7" s="1"/>
  <c r="H49" i="7" s="1"/>
  <c r="L76" i="17"/>
  <c r="F47" i="7" s="1"/>
  <c r="H47" i="7" s="1"/>
  <c r="L57" i="17"/>
  <c r="L58" i="17"/>
  <c r="L59" i="17"/>
  <c r="L56" i="17"/>
  <c r="F50" i="7" s="1"/>
  <c r="H50" i="7" s="1"/>
  <c r="L54" i="17"/>
  <c r="F48" i="7" s="1"/>
  <c r="H48" i="7" s="1"/>
  <c r="M21" i="17"/>
  <c r="M20" i="17"/>
  <c r="M19" i="17"/>
  <c r="M18" i="17"/>
  <c r="G19" i="7" s="1"/>
  <c r="M17" i="17"/>
  <c r="M16" i="17"/>
  <c r="M15" i="17"/>
  <c r="M14" i="17"/>
  <c r="M13" i="17"/>
  <c r="M12" i="17"/>
  <c r="M7" i="17"/>
  <c r="M6" i="17"/>
  <c r="M11" i="17"/>
  <c r="M10" i="17"/>
  <c r="M5" i="17"/>
  <c r="M4" i="17"/>
  <c r="M9" i="17"/>
  <c r="M8" i="17"/>
  <c r="M3" i="17"/>
  <c r="M2" i="17"/>
  <c r="L16" i="17"/>
  <c r="L17" i="17"/>
  <c r="L15" i="17"/>
  <c r="L9" i="17"/>
  <c r="L10" i="17"/>
  <c r="L11" i="17"/>
  <c r="L12" i="17"/>
  <c r="L13" i="17"/>
  <c r="L8" i="17"/>
  <c r="L3" i="17"/>
  <c r="L4" i="17"/>
  <c r="L5" i="17"/>
  <c r="L6" i="17"/>
  <c r="L7" i="17"/>
  <c r="L2" i="17"/>
  <c r="J3" i="17"/>
  <c r="J4" i="17"/>
  <c r="D9" i="7" s="1"/>
  <c r="J5" i="17"/>
  <c r="J6" i="17"/>
  <c r="D10" i="7" s="1"/>
  <c r="J7" i="17"/>
  <c r="J8" i="17"/>
  <c r="D11" i="7" s="1"/>
  <c r="J9" i="17"/>
  <c r="J10" i="17"/>
  <c r="D12" i="7" s="1"/>
  <c r="J11" i="17"/>
  <c r="J12" i="17"/>
  <c r="D13" i="7" s="1"/>
  <c r="J13" i="17"/>
  <c r="J14" i="17"/>
  <c r="D14" i="7" s="1"/>
  <c r="J15" i="17"/>
  <c r="D15" i="7" s="1"/>
  <c r="J16" i="17"/>
  <c r="D16" i="7" s="1"/>
  <c r="J17" i="17"/>
  <c r="J18" i="17"/>
  <c r="D19" i="7" s="1"/>
  <c r="J19" i="17"/>
  <c r="D17" i="7" s="1"/>
  <c r="J20" i="17"/>
  <c r="D18" i="7" s="1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D48" i="7" s="1"/>
  <c r="C68" i="22" s="1"/>
  <c r="J55" i="17"/>
  <c r="D49" i="7" s="1"/>
  <c r="C69" i="22" s="1"/>
  <c r="D50" i="7"/>
  <c r="C70" i="22" s="1"/>
  <c r="J56" i="17"/>
  <c r="J57" i="17"/>
  <c r="J58" i="17"/>
  <c r="J59" i="17"/>
  <c r="J60" i="17"/>
  <c r="D51" i="7" s="1"/>
  <c r="C71" i="22" s="1"/>
  <c r="J61" i="17"/>
  <c r="J62" i="17"/>
  <c r="D35" i="7" s="1"/>
  <c r="J63" i="17"/>
  <c r="J64" i="17"/>
  <c r="D36" i="7" s="1"/>
  <c r="J65" i="17"/>
  <c r="D37" i="7" s="1"/>
  <c r="J66" i="17"/>
  <c r="J67" i="17"/>
  <c r="D38" i="7" s="1"/>
  <c r="J68" i="17"/>
  <c r="D39" i="7" s="1"/>
  <c r="J69" i="17"/>
  <c r="D40" i="7" s="1"/>
  <c r="J70" i="17"/>
  <c r="D41" i="7" s="1"/>
  <c r="J71" i="17"/>
  <c r="D42" i="7" s="1"/>
  <c r="J72" i="17"/>
  <c r="D43" i="7" s="1"/>
  <c r="J73" i="17"/>
  <c r="D44" i="7" s="1"/>
  <c r="J74" i="17"/>
  <c r="D45" i="7" s="1"/>
  <c r="J75" i="17"/>
  <c r="D46" i="7" s="1"/>
  <c r="J76" i="17"/>
  <c r="D47" i="7" s="1"/>
  <c r="J77" i="17"/>
  <c r="D52" i="7" s="1"/>
  <c r="C72" i="22" s="1"/>
  <c r="J2" i="17"/>
  <c r="D8" i="7" s="1"/>
  <c r="F22" i="7" l="1"/>
  <c r="F21" i="7"/>
  <c r="H21" i="7" s="1"/>
  <c r="F26" i="7"/>
  <c r="F25" i="7"/>
  <c r="H25" i="7" s="1"/>
  <c r="F29" i="7"/>
  <c r="H29" i="7" s="1"/>
  <c r="F30" i="7"/>
  <c r="H30" i="7" s="1"/>
  <c r="F23" i="7"/>
  <c r="H23" i="7" s="1"/>
  <c r="F24" i="7"/>
  <c r="Q30" i="7"/>
  <c r="F27" i="7"/>
  <c r="H27" i="7" s="1"/>
  <c r="F28" i="7"/>
  <c r="F34" i="7"/>
  <c r="H34" i="7" s="1"/>
  <c r="F33" i="7"/>
  <c r="H33" i="7" s="1"/>
  <c r="Q34" i="7"/>
  <c r="AG188" i="29"/>
  <c r="J65" i="7"/>
  <c r="D60" i="7"/>
  <c r="I348" i="31" l="1"/>
  <c r="I346" i="31"/>
  <c r="I344" i="31"/>
  <c r="I342" i="31"/>
  <c r="F341" i="31"/>
  <c r="H341" i="31"/>
  <c r="I337" i="31"/>
  <c r="I335" i="31"/>
  <c r="I333" i="31"/>
  <c r="I331" i="31"/>
  <c r="I329" i="31"/>
  <c r="F328" i="31"/>
  <c r="H328" i="31"/>
  <c r="I325" i="31"/>
  <c r="I323" i="31"/>
  <c r="F321" i="31"/>
  <c r="H321" i="31"/>
  <c r="H320" i="31"/>
  <c r="H319" i="31"/>
  <c r="F319" i="31"/>
  <c r="H318" i="31"/>
  <c r="I316" i="31"/>
  <c r="I314" i="31"/>
  <c r="I312" i="31"/>
  <c r="I310" i="31"/>
  <c r="I307" i="31"/>
  <c r="E306" i="31"/>
  <c r="I305" i="31"/>
  <c r="E304" i="31"/>
  <c r="E300" i="31"/>
  <c r="I299" i="31"/>
  <c r="I297" i="31"/>
  <c r="I295" i="31"/>
  <c r="I293" i="31"/>
  <c r="H292" i="31"/>
  <c r="E294" i="31"/>
  <c r="I287" i="31"/>
  <c r="I285" i="31"/>
  <c r="H283" i="31"/>
  <c r="G283" i="31"/>
  <c r="F283" i="31"/>
  <c r="I283" i="31" s="1"/>
  <c r="I281" i="31"/>
  <c r="H272" i="31"/>
  <c r="H271" i="31"/>
  <c r="H270" i="31"/>
  <c r="I267" i="31"/>
  <c r="E266" i="31"/>
  <c r="I265" i="31"/>
  <c r="I263" i="31"/>
  <c r="E262" i="31"/>
  <c r="I261" i="31"/>
  <c r="I259" i="31"/>
  <c r="E258" i="31"/>
  <c r="I257" i="31"/>
  <c r="I255" i="31"/>
  <c r="I253" i="31"/>
  <c r="H251" i="31"/>
  <c r="G251" i="31"/>
  <c r="I251" i="31" s="1"/>
  <c r="F251" i="31"/>
  <c r="H249" i="31"/>
  <c r="F249" i="31"/>
  <c r="I249" i="31" s="1"/>
  <c r="G249" i="31"/>
  <c r="H247" i="31"/>
  <c r="I243" i="31"/>
  <c r="H243" i="31"/>
  <c r="G243" i="31"/>
  <c r="F243" i="31"/>
  <c r="H241" i="31"/>
  <c r="F241" i="31"/>
  <c r="G241" i="31"/>
  <c r="I241" i="31" s="1"/>
  <c r="H239" i="31"/>
  <c r="I238" i="31"/>
  <c r="I236" i="31"/>
  <c r="E237" i="31"/>
  <c r="I233" i="31"/>
  <c r="I231" i="31"/>
  <c r="G228" i="31"/>
  <c r="H226" i="31"/>
  <c r="E232" i="31"/>
  <c r="I224" i="31"/>
  <c r="I222" i="31"/>
  <c r="I220" i="31"/>
  <c r="I218" i="31"/>
  <c r="H212" i="31"/>
  <c r="G212" i="31"/>
  <c r="I212" i="31" s="1"/>
  <c r="F212" i="31"/>
  <c r="H211" i="31"/>
  <c r="G211" i="31"/>
  <c r="I211" i="31" s="1"/>
  <c r="F211" i="31"/>
  <c r="F210" i="31"/>
  <c r="H210" i="31"/>
  <c r="H209" i="31"/>
  <c r="F209" i="31"/>
  <c r="I209" i="31" s="1"/>
  <c r="G209" i="31"/>
  <c r="H208" i="31"/>
  <c r="F208" i="31"/>
  <c r="I204" i="31"/>
  <c r="I202" i="31"/>
  <c r="I196" i="31"/>
  <c r="E195" i="31"/>
  <c r="I194" i="31"/>
  <c r="I192" i="31"/>
  <c r="I190" i="31"/>
  <c r="E189" i="31"/>
  <c r="I188" i="31"/>
  <c r="I183" i="31"/>
  <c r="I181" i="31"/>
  <c r="H181" i="31"/>
  <c r="G181" i="31"/>
  <c r="F181" i="31"/>
  <c r="H179" i="31"/>
  <c r="E182" i="31"/>
  <c r="I177" i="31"/>
  <c r="I175" i="31"/>
  <c r="H171" i="31"/>
  <c r="H169" i="31"/>
  <c r="I169" i="31" s="1"/>
  <c r="G169" i="31"/>
  <c r="F169" i="31"/>
  <c r="H163" i="31"/>
  <c r="G163" i="31"/>
  <c r="F163" i="31"/>
  <c r="I163" i="31" s="1"/>
  <c r="H162" i="31"/>
  <c r="I162" i="31" s="1"/>
  <c r="F162" i="31"/>
  <c r="G162" i="31"/>
  <c r="H161" i="31"/>
  <c r="F161" i="31"/>
  <c r="F165" i="31" s="1"/>
  <c r="H157" i="31"/>
  <c r="G157" i="31"/>
  <c r="I157" i="31" s="1"/>
  <c r="F157" i="31"/>
  <c r="H156" i="31"/>
  <c r="G155" i="31"/>
  <c r="H155" i="31"/>
  <c r="H159" i="31" s="1"/>
  <c r="I152" i="31"/>
  <c r="F151" i="31"/>
  <c r="E153" i="31"/>
  <c r="I150" i="31"/>
  <c r="I148" i="31"/>
  <c r="E147" i="31"/>
  <c r="I146" i="31"/>
  <c r="H145" i="31"/>
  <c r="G145" i="31"/>
  <c r="F145" i="31"/>
  <c r="I145" i="31" s="1"/>
  <c r="H144" i="31"/>
  <c r="H147" i="31" s="1"/>
  <c r="G144" i="31"/>
  <c r="F144" i="31"/>
  <c r="I143" i="31"/>
  <c r="I141" i="31"/>
  <c r="G139" i="31"/>
  <c r="G138" i="31"/>
  <c r="F138" i="31"/>
  <c r="H138" i="31"/>
  <c r="H137" i="31"/>
  <c r="G137" i="31"/>
  <c r="F137" i="31"/>
  <c r="I137" i="31" s="1"/>
  <c r="H136" i="31"/>
  <c r="H135" i="31"/>
  <c r="G135" i="31"/>
  <c r="I134" i="31"/>
  <c r="H134" i="31"/>
  <c r="F134" i="31"/>
  <c r="G134" i="31"/>
  <c r="I132" i="31"/>
  <c r="G130" i="31"/>
  <c r="F130" i="31"/>
  <c r="I130" i="31" s="1"/>
  <c r="I128" i="31"/>
  <c r="H127" i="31"/>
  <c r="H124" i="31"/>
  <c r="G124" i="31"/>
  <c r="F124" i="31"/>
  <c r="I124" i="31"/>
  <c r="I122" i="31"/>
  <c r="F121" i="31"/>
  <c r="I120" i="31"/>
  <c r="H119" i="31"/>
  <c r="H121" i="31" s="1"/>
  <c r="I118" i="31"/>
  <c r="I116" i="31"/>
  <c r="H114" i="31"/>
  <c r="H113" i="31"/>
  <c r="I112" i="31"/>
  <c r="I110" i="31"/>
  <c r="H108" i="31"/>
  <c r="G107" i="31"/>
  <c r="H105" i="31"/>
  <c r="H104" i="31"/>
  <c r="G104" i="31"/>
  <c r="F104" i="31"/>
  <c r="H103" i="31"/>
  <c r="I102" i="31"/>
  <c r="I100" i="31"/>
  <c r="G98" i="31"/>
  <c r="H97" i="31"/>
  <c r="I96" i="31"/>
  <c r="I94" i="31"/>
  <c r="I92" i="31"/>
  <c r="H91" i="31"/>
  <c r="H90" i="31"/>
  <c r="E93" i="31"/>
  <c r="I88" i="31"/>
  <c r="H87" i="31"/>
  <c r="E87" i="31"/>
  <c r="I86" i="31"/>
  <c r="H85" i="31"/>
  <c r="I84" i="31"/>
  <c r="I82" i="31"/>
  <c r="G81" i="31"/>
  <c r="H80" i="31"/>
  <c r="H77" i="31"/>
  <c r="H76" i="31"/>
  <c r="H74" i="31"/>
  <c r="I73" i="31"/>
  <c r="I71" i="31"/>
  <c r="E72" i="31"/>
  <c r="I69" i="31"/>
  <c r="I64" i="31"/>
  <c r="H64" i="31"/>
  <c r="F64" i="31"/>
  <c r="G64" i="31"/>
  <c r="G63" i="31"/>
  <c r="F63" i="31"/>
  <c r="H63" i="31"/>
  <c r="I63" i="31" s="1"/>
  <c r="H62" i="31"/>
  <c r="G62" i="31"/>
  <c r="F62" i="31"/>
  <c r="H60" i="31"/>
  <c r="F60" i="31"/>
  <c r="H58" i="31"/>
  <c r="G57" i="31"/>
  <c r="H56" i="31"/>
  <c r="H55" i="31"/>
  <c r="H54" i="31"/>
  <c r="H52" i="31"/>
  <c r="I46" i="31"/>
  <c r="I44" i="31"/>
  <c r="I41" i="31"/>
  <c r="H40" i="31"/>
  <c r="G40" i="31"/>
  <c r="F40" i="31"/>
  <c r="E40" i="31"/>
  <c r="I40" i="31" s="1"/>
  <c r="I39" i="31"/>
  <c r="I35" i="31"/>
  <c r="I34" i="31"/>
  <c r="H33" i="31"/>
  <c r="G33" i="31"/>
  <c r="F33" i="31"/>
  <c r="I32" i="31"/>
  <c r="G30" i="31"/>
  <c r="I30" i="31" s="1"/>
  <c r="I29" i="31"/>
  <c r="E33" i="31"/>
  <c r="I33" i="31" s="1"/>
  <c r="I28" i="31"/>
  <c r="E26" i="31"/>
  <c r="I25" i="31"/>
  <c r="G24" i="31"/>
  <c r="G22" i="31"/>
  <c r="F21" i="31"/>
  <c r="I21" i="31" s="1"/>
  <c r="G20" i="31"/>
  <c r="I19" i="31"/>
  <c r="F19" i="31"/>
  <c r="H18" i="31"/>
  <c r="H26" i="31" s="1"/>
  <c r="H27" i="31" s="1"/>
  <c r="H11" i="31" s="1"/>
  <c r="H43" i="31" s="1"/>
  <c r="G17" i="31"/>
  <c r="G26" i="31" s="1"/>
  <c r="G27" i="31" s="1"/>
  <c r="G11" i="31" s="1"/>
  <c r="I17" i="31"/>
  <c r="F16" i="31"/>
  <c r="H198" i="31"/>
  <c r="G187" i="31"/>
  <c r="F340" i="31"/>
  <c r="H240" i="31"/>
  <c r="G85" i="31"/>
  <c r="G87" i="31" s="1"/>
  <c r="I10" i="31"/>
  <c r="G61" i="25"/>
  <c r="B52" i="25"/>
  <c r="G260" i="31" l="1"/>
  <c r="G262" i="31" s="1"/>
  <c r="G43" i="31"/>
  <c r="G55" i="31"/>
  <c r="G75" i="31"/>
  <c r="F75" i="31"/>
  <c r="I23" i="31"/>
  <c r="F23" i="31"/>
  <c r="F26" i="31" s="1"/>
  <c r="G52" i="31"/>
  <c r="E68" i="31"/>
  <c r="F54" i="31"/>
  <c r="I54" i="31" s="1"/>
  <c r="H59" i="31"/>
  <c r="H68" i="31" s="1"/>
  <c r="F59" i="31"/>
  <c r="F76" i="31"/>
  <c r="G89" i="31"/>
  <c r="F97" i="31"/>
  <c r="F106" i="31"/>
  <c r="H109" i="31"/>
  <c r="F109" i="31"/>
  <c r="I109" i="31" s="1"/>
  <c r="E129" i="31"/>
  <c r="H133" i="31"/>
  <c r="G133" i="31"/>
  <c r="G142" i="31" s="1"/>
  <c r="F133" i="31"/>
  <c r="E142" i="31"/>
  <c r="E296" i="31"/>
  <c r="F70" i="31"/>
  <c r="G339" i="31"/>
  <c r="G288" i="31"/>
  <c r="G206" i="31"/>
  <c r="I206" i="31" s="1"/>
  <c r="G174" i="31"/>
  <c r="G170" i="31"/>
  <c r="G113" i="31"/>
  <c r="G105" i="31"/>
  <c r="G245" i="31"/>
  <c r="G184" i="31"/>
  <c r="G289" i="31"/>
  <c r="G125" i="31"/>
  <c r="G186" i="31"/>
  <c r="G76" i="31"/>
  <c r="G54" i="31"/>
  <c r="G59" i="31"/>
  <c r="I59" i="31" s="1"/>
  <c r="G74" i="31"/>
  <c r="F79" i="31"/>
  <c r="H79" i="31"/>
  <c r="G90" i="31"/>
  <c r="I90" i="31"/>
  <c r="G97" i="31"/>
  <c r="I104" i="31"/>
  <c r="G109" i="31"/>
  <c r="H126" i="31"/>
  <c r="G126" i="31"/>
  <c r="F126" i="31"/>
  <c r="I126" i="31" s="1"/>
  <c r="G198" i="31"/>
  <c r="G275" i="31"/>
  <c r="G290" i="31"/>
  <c r="E45" i="31"/>
  <c r="H42" i="31"/>
  <c r="H45" i="31" s="1"/>
  <c r="H47" i="31" s="1"/>
  <c r="F52" i="31"/>
  <c r="I52" i="31" s="1"/>
  <c r="I62" i="31"/>
  <c r="F276" i="31"/>
  <c r="F268" i="31"/>
  <c r="F252" i="31"/>
  <c r="F244" i="31"/>
  <c r="I244" i="31" s="1"/>
  <c r="F322" i="31"/>
  <c r="F275" i="31"/>
  <c r="F235" i="31"/>
  <c r="F302" i="31"/>
  <c r="F304" i="31" s="1"/>
  <c r="F280" i="31"/>
  <c r="F216" i="31"/>
  <c r="F273" i="31"/>
  <c r="F256" i="31"/>
  <c r="F258" i="31" s="1"/>
  <c r="I258" i="31" s="1"/>
  <c r="F226" i="31"/>
  <c r="F201" i="31"/>
  <c r="F272" i="31"/>
  <c r="F217" i="31"/>
  <c r="I217" i="31" s="1"/>
  <c r="F274" i="31"/>
  <c r="F227" i="31"/>
  <c r="I24" i="31"/>
  <c r="G42" i="31"/>
  <c r="G45" i="31" s="1"/>
  <c r="G47" i="31" s="1"/>
  <c r="F57" i="31"/>
  <c r="H57" i="31"/>
  <c r="G60" i="31"/>
  <c r="I60" i="31"/>
  <c r="F74" i="31"/>
  <c r="G79" i="31"/>
  <c r="E83" i="31"/>
  <c r="F90" i="31"/>
  <c r="F107" i="31"/>
  <c r="F114" i="31"/>
  <c r="F123" i="31"/>
  <c r="F140" i="31"/>
  <c r="I140" i="31" s="1"/>
  <c r="H140" i="31"/>
  <c r="G140" i="31"/>
  <c r="G246" i="31"/>
  <c r="I246" i="31" s="1"/>
  <c r="F246" i="31"/>
  <c r="H246" i="31"/>
  <c r="F53" i="31"/>
  <c r="G213" i="31"/>
  <c r="I213" i="31" s="1"/>
  <c r="F65" i="31"/>
  <c r="H65" i="31"/>
  <c r="G201" i="31"/>
  <c r="I18" i="31"/>
  <c r="H53" i="31"/>
  <c r="I58" i="31"/>
  <c r="G61" i="31"/>
  <c r="F61" i="31"/>
  <c r="G65" i="31"/>
  <c r="H75" i="31"/>
  <c r="H83" i="31" s="1"/>
  <c r="G80" i="31"/>
  <c r="F105" i="31"/>
  <c r="G115" i="31"/>
  <c r="G215" i="31"/>
  <c r="F215" i="31"/>
  <c r="I215" i="31" s="1"/>
  <c r="H215" i="31"/>
  <c r="G279" i="31"/>
  <c r="I279" i="31" s="1"/>
  <c r="F279" i="31"/>
  <c r="H279" i="31"/>
  <c r="I286" i="31"/>
  <c r="G276" i="31"/>
  <c r="G229" i="31"/>
  <c r="G199" i="31"/>
  <c r="G123" i="31"/>
  <c r="G151" i="31"/>
  <c r="G153" i="31" s="1"/>
  <c r="G322" i="31"/>
  <c r="G268" i="31"/>
  <c r="G277" i="31"/>
  <c r="G244" i="31"/>
  <c r="G235" i="31"/>
  <c r="G227" i="31"/>
  <c r="G197" i="31"/>
  <c r="G252" i="31"/>
  <c r="G91" i="31"/>
  <c r="F91" i="31"/>
  <c r="I91" i="31" s="1"/>
  <c r="F115" i="31"/>
  <c r="F153" i="31"/>
  <c r="I12" i="31"/>
  <c r="I16" i="31"/>
  <c r="I22" i="31"/>
  <c r="G56" i="31"/>
  <c r="G58" i="31"/>
  <c r="H61" i="31"/>
  <c r="I65" i="31"/>
  <c r="I75" i="31"/>
  <c r="G78" i="31"/>
  <c r="F99" i="31"/>
  <c r="H99" i="31"/>
  <c r="E111" i="31"/>
  <c r="G103" i="31"/>
  <c r="F103" i="31"/>
  <c r="F111" i="31" s="1"/>
  <c r="G108" i="31"/>
  <c r="G308" i="31"/>
  <c r="I328" i="31"/>
  <c r="F289" i="31"/>
  <c r="F228" i="31"/>
  <c r="F313" i="31"/>
  <c r="F174" i="31"/>
  <c r="I174" i="31" s="1"/>
  <c r="F320" i="31"/>
  <c r="F179" i="31"/>
  <c r="F108" i="31"/>
  <c r="I108" i="31" s="1"/>
  <c r="F80" i="31"/>
  <c r="I80" i="31" s="1"/>
  <c r="F58" i="31"/>
  <c r="F240" i="31"/>
  <c r="I240" i="31" s="1"/>
  <c r="F184" i="31"/>
  <c r="F173" i="31"/>
  <c r="I173" i="31" s="1"/>
  <c r="F339" i="31"/>
  <c r="F298" i="31"/>
  <c r="F248" i="31"/>
  <c r="F242" i="31"/>
  <c r="I242" i="31" s="1"/>
  <c r="F225" i="31"/>
  <c r="F250" i="31"/>
  <c r="F55" i="31"/>
  <c r="I55" i="31" s="1"/>
  <c r="F77" i="31"/>
  <c r="I77" i="31" s="1"/>
  <c r="E121" i="31"/>
  <c r="G119" i="31"/>
  <c r="G121" i="31" s="1"/>
  <c r="H260" i="31"/>
  <c r="H262" i="31" s="1"/>
  <c r="H327" i="31"/>
  <c r="H264" i="31"/>
  <c r="H266" i="31" s="1"/>
  <c r="G53" i="31"/>
  <c r="I53" i="31" s="1"/>
  <c r="G77" i="31"/>
  <c r="F98" i="31"/>
  <c r="F56" i="31"/>
  <c r="F78" i="31"/>
  <c r="I81" i="31"/>
  <c r="H81" i="31"/>
  <c r="F81" i="31"/>
  <c r="F85" i="31"/>
  <c r="I89" i="31"/>
  <c r="H89" i="31"/>
  <c r="H93" i="31" s="1"/>
  <c r="F89" i="31"/>
  <c r="G99" i="31"/>
  <c r="G106" i="31"/>
  <c r="F113" i="31"/>
  <c r="I136" i="31"/>
  <c r="F147" i="31"/>
  <c r="H205" i="31"/>
  <c r="F205" i="31"/>
  <c r="E219" i="31"/>
  <c r="G205" i="31"/>
  <c r="G219" i="31" s="1"/>
  <c r="H269" i="31"/>
  <c r="F269" i="31"/>
  <c r="I269" i="31" s="1"/>
  <c r="G269" i="31"/>
  <c r="E282" i="31"/>
  <c r="H107" i="31"/>
  <c r="H115" i="31"/>
  <c r="H117" i="31" s="1"/>
  <c r="H123" i="31"/>
  <c r="F125" i="31"/>
  <c r="F139" i="31"/>
  <c r="I139" i="31" s="1"/>
  <c r="G147" i="31"/>
  <c r="H165" i="31"/>
  <c r="H170" i="31"/>
  <c r="H176" i="31" s="1"/>
  <c r="H191" i="31" s="1"/>
  <c r="G178" i="31"/>
  <c r="G182" i="31" s="1"/>
  <c r="F186" i="31"/>
  <c r="I186" i="31" s="1"/>
  <c r="F193" i="31"/>
  <c r="F195" i="31" s="1"/>
  <c r="I195" i="31" s="1"/>
  <c r="H197" i="31"/>
  <c r="H203" i="31" s="1"/>
  <c r="F197" i="31"/>
  <c r="H199" i="31"/>
  <c r="H206" i="31"/>
  <c r="H216" i="31"/>
  <c r="G230" i="31"/>
  <c r="F230" i="31"/>
  <c r="I230" i="31" s="1"/>
  <c r="H242" i="31"/>
  <c r="H254" i="31" s="1"/>
  <c r="G271" i="31"/>
  <c r="F271" i="31"/>
  <c r="I271" i="31" s="1"/>
  <c r="H274" i="31"/>
  <c r="H277" i="31"/>
  <c r="I277" i="31" s="1"/>
  <c r="F277" i="31"/>
  <c r="H280" i="31"/>
  <c r="I280" i="31" s="1"/>
  <c r="G298" i="31"/>
  <c r="G300" i="31" s="1"/>
  <c r="H302" i="31"/>
  <c r="H304" i="31" s="1"/>
  <c r="G173" i="31"/>
  <c r="H178" i="31"/>
  <c r="H182" i="31" s="1"/>
  <c r="H193" i="31"/>
  <c r="H195" i="31" s="1"/>
  <c r="G200" i="31"/>
  <c r="I200" i="31" s="1"/>
  <c r="E203" i="31"/>
  <c r="G207" i="31"/>
  <c r="F207" i="31"/>
  <c r="I207" i="31"/>
  <c r="F214" i="31"/>
  <c r="I214" i="31" s="1"/>
  <c r="G217" i="31"/>
  <c r="H221" i="31"/>
  <c r="H223" i="31" s="1"/>
  <c r="F221" i="31"/>
  <c r="F223" i="31" s="1"/>
  <c r="E223" i="31"/>
  <c r="H230" i="31"/>
  <c r="G309" i="31"/>
  <c r="I309" i="31" s="1"/>
  <c r="F309" i="31"/>
  <c r="G326" i="31"/>
  <c r="F326" i="31"/>
  <c r="I326" i="31" s="1"/>
  <c r="G70" i="31"/>
  <c r="G72" i="31" s="1"/>
  <c r="G114" i="31"/>
  <c r="H125" i="31"/>
  <c r="I125" i="31" s="1"/>
  <c r="F127" i="31"/>
  <c r="I127" i="31" s="1"/>
  <c r="F136" i="31"/>
  <c r="H139" i="31"/>
  <c r="I144" i="31"/>
  <c r="F156" i="31"/>
  <c r="I156" i="31" s="1"/>
  <c r="E159" i="31"/>
  <c r="I159" i="31" s="1"/>
  <c r="F171" i="31"/>
  <c r="I171" i="31" s="1"/>
  <c r="E176" i="31"/>
  <c r="G179" i="31"/>
  <c r="I179" i="31" s="1"/>
  <c r="H186" i="31"/>
  <c r="I197" i="31"/>
  <c r="F200" i="31"/>
  <c r="H207" i="31"/>
  <c r="G214" i="31"/>
  <c r="G221" i="31"/>
  <c r="G223" i="31" s="1"/>
  <c r="H225" i="31"/>
  <c r="H245" i="31"/>
  <c r="F245" i="31"/>
  <c r="I245" i="31" s="1"/>
  <c r="H248" i="31"/>
  <c r="I272" i="31"/>
  <c r="G278" i="31"/>
  <c r="I278" i="31" s="1"/>
  <c r="F278" i="31"/>
  <c r="H309" i="31"/>
  <c r="H326" i="31"/>
  <c r="H330" i="31" s="1"/>
  <c r="E330" i="31"/>
  <c r="H339" i="31"/>
  <c r="I339" i="31" s="1"/>
  <c r="H70" i="31"/>
  <c r="H72" i="31" s="1"/>
  <c r="H78" i="31"/>
  <c r="H98" i="31"/>
  <c r="H101" i="31" s="1"/>
  <c r="E101" i="31"/>
  <c r="H106" i="31"/>
  <c r="H111" i="31" s="1"/>
  <c r="E117" i="31"/>
  <c r="G127" i="31"/>
  <c r="G136" i="31"/>
  <c r="G156" i="31"/>
  <c r="G159" i="31" s="1"/>
  <c r="G176" i="31"/>
  <c r="G171" i="31"/>
  <c r="H173" i="31"/>
  <c r="F187" i="31"/>
  <c r="I187" i="31"/>
  <c r="F198" i="31"/>
  <c r="I198" i="31" s="1"/>
  <c r="H200" i="31"/>
  <c r="I208" i="31"/>
  <c r="G208" i="31"/>
  <c r="H214" i="31"/>
  <c r="H217" i="31"/>
  <c r="H278" i="31"/>
  <c r="H290" i="31"/>
  <c r="F290" i="31"/>
  <c r="F294" i="31" s="1"/>
  <c r="H340" i="31"/>
  <c r="G172" i="31"/>
  <c r="G180" i="31"/>
  <c r="H185" i="31"/>
  <c r="F185" i="31"/>
  <c r="I185" i="31" s="1"/>
  <c r="H187" i="31"/>
  <c r="I256" i="31"/>
  <c r="G273" i="31"/>
  <c r="G291" i="31"/>
  <c r="F291" i="31"/>
  <c r="I291" i="31" s="1"/>
  <c r="E324" i="31"/>
  <c r="G317" i="31"/>
  <c r="F317" i="31"/>
  <c r="F324" i="31" s="1"/>
  <c r="H332" i="31"/>
  <c r="H334" i="31" s="1"/>
  <c r="F332" i="31"/>
  <c r="F334" i="31" s="1"/>
  <c r="E334" i="31"/>
  <c r="E347" i="31"/>
  <c r="G345" i="31"/>
  <c r="G347" i="31" s="1"/>
  <c r="F345" i="31"/>
  <c r="F347" i="31" s="1"/>
  <c r="F349" i="31" s="1"/>
  <c r="H288" i="31"/>
  <c r="H174" i="31"/>
  <c r="H298" i="31"/>
  <c r="H300" i="31" s="1"/>
  <c r="H289" i="31"/>
  <c r="H228" i="31"/>
  <c r="H184" i="31"/>
  <c r="H189" i="31" s="1"/>
  <c r="H322" i="31"/>
  <c r="H275" i="31"/>
  <c r="H235" i="31"/>
  <c r="H227" i="31"/>
  <c r="H273" i="31"/>
  <c r="H276" i="31"/>
  <c r="H268" i="31"/>
  <c r="H252" i="31"/>
  <c r="H244" i="31"/>
  <c r="F135" i="31"/>
  <c r="I135" i="31" s="1"/>
  <c r="I138" i="31"/>
  <c r="H151" i="31"/>
  <c r="H153" i="31" s="1"/>
  <c r="F155" i="31"/>
  <c r="F159" i="31" s="1"/>
  <c r="E165" i="31"/>
  <c r="I165" i="31" s="1"/>
  <c r="G161" i="31"/>
  <c r="G165" i="31" s="1"/>
  <c r="F170" i="31"/>
  <c r="I170" i="31" s="1"/>
  <c r="F172" i="31"/>
  <c r="I172" i="31" s="1"/>
  <c r="F180" i="31"/>
  <c r="I180" i="31" s="1"/>
  <c r="G185" i="31"/>
  <c r="F199" i="31"/>
  <c r="I199" i="31"/>
  <c r="H201" i="31"/>
  <c r="F206" i="31"/>
  <c r="I216" i="31"/>
  <c r="G216" i="31"/>
  <c r="H229" i="31"/>
  <c r="F229" i="31"/>
  <c r="I229" i="31" s="1"/>
  <c r="G247" i="31"/>
  <c r="F247" i="31"/>
  <c r="I247" i="31" s="1"/>
  <c r="I270" i="31"/>
  <c r="G270" i="31"/>
  <c r="F270" i="31"/>
  <c r="H294" i="31"/>
  <c r="H296" i="31" s="1"/>
  <c r="H291" i="31"/>
  <c r="H313" i="31"/>
  <c r="H315" i="31" s="1"/>
  <c r="H317" i="31"/>
  <c r="H324" i="31" s="1"/>
  <c r="G332" i="31"/>
  <c r="G334" i="31" s="1"/>
  <c r="G338" i="31"/>
  <c r="F338" i="31"/>
  <c r="F343" i="31" s="1"/>
  <c r="E343" i="31"/>
  <c r="I338" i="31"/>
  <c r="H345" i="31"/>
  <c r="H347" i="31" s="1"/>
  <c r="H172" i="31"/>
  <c r="F178" i="31"/>
  <c r="F182" i="31" s="1"/>
  <c r="I182" i="31" s="1"/>
  <c r="I178" i="31"/>
  <c r="H180" i="31"/>
  <c r="G193" i="31"/>
  <c r="G195" i="31" s="1"/>
  <c r="H213" i="31"/>
  <c r="F213" i="31"/>
  <c r="G239" i="31"/>
  <c r="F239" i="31"/>
  <c r="E254" i="31"/>
  <c r="H250" i="31"/>
  <c r="H256" i="31"/>
  <c r="H258" i="31" s="1"/>
  <c r="G292" i="31"/>
  <c r="F292" i="31"/>
  <c r="I292" i="31" s="1"/>
  <c r="I308" i="31"/>
  <c r="E311" i="31"/>
  <c r="H308" i="31"/>
  <c r="H311" i="31" s="1"/>
  <c r="F308" i="31"/>
  <c r="F311" i="31" s="1"/>
  <c r="G318" i="31"/>
  <c r="I318" i="31" s="1"/>
  <c r="F318" i="31"/>
  <c r="H338" i="31"/>
  <c r="H343" i="31" s="1"/>
  <c r="G225" i="31"/>
  <c r="G232" i="31" s="1"/>
  <c r="G320" i="31"/>
  <c r="G328" i="31"/>
  <c r="G340" i="31"/>
  <c r="I340" i="31" s="1"/>
  <c r="E315" i="31"/>
  <c r="G240" i="31"/>
  <c r="G248" i="31"/>
  <c r="I248" i="31" s="1"/>
  <c r="G256" i="31"/>
  <c r="G258" i="31" s="1"/>
  <c r="G264" i="31"/>
  <c r="G266" i="31" s="1"/>
  <c r="G272" i="31"/>
  <c r="G280" i="31"/>
  <c r="G302" i="31"/>
  <c r="G304" i="31" s="1"/>
  <c r="G319" i="31"/>
  <c r="I319" i="31" s="1"/>
  <c r="G327" i="31"/>
  <c r="G210" i="31"/>
  <c r="I210" i="31" s="1"/>
  <c r="G226" i="31"/>
  <c r="G234" i="31"/>
  <c r="G237" i="31" s="1"/>
  <c r="G242" i="31"/>
  <c r="G250" i="31"/>
  <c r="G274" i="31"/>
  <c r="G313" i="31"/>
  <c r="G315" i="31" s="1"/>
  <c r="G321" i="31"/>
  <c r="I321" i="31" s="1"/>
  <c r="G341" i="31"/>
  <c r="I341" i="31" s="1"/>
  <c r="H234" i="31"/>
  <c r="H237" i="31" s="1"/>
  <c r="F27" i="31" l="1"/>
  <c r="F11" i="31" s="1"/>
  <c r="I26" i="31"/>
  <c r="F296" i="31"/>
  <c r="G191" i="31"/>
  <c r="E95" i="31"/>
  <c r="F254" i="31"/>
  <c r="I254" i="31" s="1"/>
  <c r="G324" i="31"/>
  <c r="G306" i="31"/>
  <c r="F117" i="31"/>
  <c r="I113" i="31"/>
  <c r="F87" i="31"/>
  <c r="I87" i="31" s="1"/>
  <c r="I85" i="31"/>
  <c r="F189" i="31"/>
  <c r="I184" i="31"/>
  <c r="F315" i="31"/>
  <c r="I315" i="31" s="1"/>
  <c r="I313" i="31"/>
  <c r="G111" i="31"/>
  <c r="I111" i="31" s="1"/>
  <c r="F167" i="31"/>
  <c r="I153" i="31"/>
  <c r="I273" i="31"/>
  <c r="I252" i="31"/>
  <c r="I79" i="31"/>
  <c r="G294" i="31"/>
  <c r="G296" i="31" s="1"/>
  <c r="I296" i="31" s="1"/>
  <c r="I288" i="31"/>
  <c r="I221" i="31"/>
  <c r="I317" i="31"/>
  <c r="F219" i="31"/>
  <c r="I219" i="31" s="1"/>
  <c r="I250" i="31"/>
  <c r="I228" i="31"/>
  <c r="I103" i="31"/>
  <c r="I151" i="31"/>
  <c r="I105" i="31"/>
  <c r="F83" i="31"/>
  <c r="I83" i="31" s="1"/>
  <c r="I227" i="31"/>
  <c r="I268" i="31"/>
  <c r="F282" i="31"/>
  <c r="I74" i="31"/>
  <c r="G189" i="31"/>
  <c r="E149" i="31"/>
  <c r="H129" i="31"/>
  <c r="H131" i="31" s="1"/>
  <c r="G254" i="31"/>
  <c r="F176" i="31"/>
  <c r="F191" i="31" s="1"/>
  <c r="I345" i="31"/>
  <c r="I290" i="31"/>
  <c r="H349" i="31"/>
  <c r="H282" i="31"/>
  <c r="E349" i="31"/>
  <c r="I347" i="31"/>
  <c r="I324" i="31"/>
  <c r="F203" i="31"/>
  <c r="I155" i="31"/>
  <c r="E284" i="31"/>
  <c r="H219" i="31"/>
  <c r="F232" i="31"/>
  <c r="I225" i="31"/>
  <c r="I289" i="31"/>
  <c r="I115" i="31"/>
  <c r="I274" i="31"/>
  <c r="I276" i="31"/>
  <c r="G83" i="31"/>
  <c r="I193" i="31"/>
  <c r="F142" i="31"/>
  <c r="F149" i="31" s="1"/>
  <c r="I106" i="31"/>
  <c r="E336" i="31"/>
  <c r="I334" i="31"/>
  <c r="G282" i="31"/>
  <c r="G149" i="31"/>
  <c r="G330" i="31"/>
  <c r="G336" i="31" s="1"/>
  <c r="I223" i="31"/>
  <c r="I78" i="31"/>
  <c r="G311" i="31"/>
  <c r="I99" i="31"/>
  <c r="I114" i="31"/>
  <c r="I235" i="31"/>
  <c r="F68" i="31"/>
  <c r="I68" i="31" s="1"/>
  <c r="G101" i="31"/>
  <c r="I101" i="31" s="1"/>
  <c r="G117" i="31"/>
  <c r="I117" i="31" s="1"/>
  <c r="H142" i="31"/>
  <c r="H149" i="31" s="1"/>
  <c r="G93" i="31"/>
  <c r="G68" i="31"/>
  <c r="E191" i="31"/>
  <c r="I191" i="31" s="1"/>
  <c r="I176" i="31"/>
  <c r="I70" i="31"/>
  <c r="F72" i="31"/>
  <c r="I72" i="31" s="1"/>
  <c r="H306" i="31"/>
  <c r="H336" i="31"/>
  <c r="I161" i="31"/>
  <c r="F93" i="31"/>
  <c r="I56" i="31"/>
  <c r="I119" i="31"/>
  <c r="F300" i="31"/>
  <c r="I298" i="31"/>
  <c r="G167" i="31"/>
  <c r="I61" i="31"/>
  <c r="I107" i="31"/>
  <c r="I201" i="31"/>
  <c r="I275" i="31"/>
  <c r="I133" i="31"/>
  <c r="I76" i="31"/>
  <c r="E167" i="31"/>
  <c r="I302" i="31"/>
  <c r="I205" i="31"/>
  <c r="F129" i="31"/>
  <c r="F131" i="31" s="1"/>
  <c r="I123" i="31"/>
  <c r="I304" i="31"/>
  <c r="F101" i="31"/>
  <c r="I97" i="31"/>
  <c r="H167" i="31"/>
  <c r="I311" i="31"/>
  <c r="I239" i="31"/>
  <c r="G343" i="31"/>
  <c r="G349" i="31" s="1"/>
  <c r="I332" i="31"/>
  <c r="H232" i="31"/>
  <c r="I203" i="31"/>
  <c r="I147" i="31"/>
  <c r="H95" i="31"/>
  <c r="I98" i="31"/>
  <c r="I121" i="31"/>
  <c r="I320" i="31"/>
  <c r="G203" i="31"/>
  <c r="G129" i="31"/>
  <c r="I57" i="31"/>
  <c r="I226" i="31"/>
  <c r="I322" i="31"/>
  <c r="E47" i="31"/>
  <c r="E131" i="31"/>
  <c r="G351" i="31" l="1"/>
  <c r="F260" i="31"/>
  <c r="F234" i="31"/>
  <c r="F327" i="31"/>
  <c r="F43" i="31"/>
  <c r="I43" i="31" s="1"/>
  <c r="F264" i="31"/>
  <c r="I11" i="31"/>
  <c r="F42" i="31"/>
  <c r="I232" i="31"/>
  <c r="E351" i="31"/>
  <c r="I349" i="31"/>
  <c r="G284" i="31"/>
  <c r="H284" i="31"/>
  <c r="H351" i="31" s="1"/>
  <c r="I142" i="31"/>
  <c r="I149" i="31"/>
  <c r="G95" i="31"/>
  <c r="I282" i="31"/>
  <c r="I294" i="31"/>
  <c r="I167" i="31"/>
  <c r="F95" i="31"/>
  <c r="I95" i="31" s="1"/>
  <c r="I93" i="31"/>
  <c r="G131" i="31"/>
  <c r="I131" i="31" s="1"/>
  <c r="I129" i="31"/>
  <c r="E353" i="31"/>
  <c r="F306" i="31"/>
  <c r="I306" i="31" s="1"/>
  <c r="I300" i="31"/>
  <c r="I343" i="31"/>
  <c r="I189" i="31"/>
  <c r="H355" i="31" l="1"/>
  <c r="H353" i="31"/>
  <c r="I42" i="31"/>
  <c r="F45" i="31"/>
  <c r="G355" i="31"/>
  <c r="G353" i="31"/>
  <c r="F266" i="31"/>
  <c r="I264" i="31"/>
  <c r="I327" i="31"/>
  <c r="F330" i="31"/>
  <c r="I234" i="31"/>
  <c r="F237" i="31"/>
  <c r="I237" i="31" s="1"/>
  <c r="I260" i="31"/>
  <c r="F262" i="31"/>
  <c r="I262" i="31" s="1"/>
  <c r="I266" i="31" l="1"/>
  <c r="F284" i="31"/>
  <c r="I284" i="31" s="1"/>
  <c r="I330" i="31"/>
  <c r="F336" i="31"/>
  <c r="F47" i="31"/>
  <c r="I45" i="31"/>
  <c r="F353" i="31" l="1"/>
  <c r="I47" i="31"/>
  <c r="F351" i="31"/>
  <c r="F355" i="31" s="1"/>
  <c r="I336" i="31"/>
  <c r="B204" i="29" l="1"/>
  <c r="B203" i="29"/>
  <c r="AE202" i="29"/>
  <c r="AC202" i="29"/>
  <c r="AB202" i="29"/>
  <c r="Y202" i="29"/>
  <c r="X202" i="29"/>
  <c r="W202" i="29"/>
  <c r="V202" i="29"/>
  <c r="U202" i="29"/>
  <c r="T202" i="29"/>
  <c r="R202" i="29"/>
  <c r="Q202" i="29"/>
  <c r="P202" i="29"/>
  <c r="O202" i="29"/>
  <c r="N202" i="29"/>
  <c r="M202" i="29"/>
  <c r="L202" i="29"/>
  <c r="K202" i="29"/>
  <c r="J202" i="29"/>
  <c r="I202" i="29"/>
  <c r="H202" i="29"/>
  <c r="G202" i="29"/>
  <c r="F202" i="29"/>
  <c r="B202" i="29"/>
  <c r="AO200" i="29"/>
  <c r="AE200" i="29"/>
  <c r="AD200" i="29"/>
  <c r="AC200" i="29"/>
  <c r="AB200" i="29"/>
  <c r="AA200" i="29"/>
  <c r="Z200" i="29"/>
  <c r="AF200" i="29" s="1"/>
  <c r="AG200" i="29" s="1"/>
  <c r="Y200" i="29"/>
  <c r="X200" i="29"/>
  <c r="W200" i="29"/>
  <c r="V200" i="29"/>
  <c r="U200" i="29"/>
  <c r="T200" i="29"/>
  <c r="R200" i="29"/>
  <c r="B200" i="29"/>
  <c r="A200" i="29"/>
  <c r="AG199" i="29"/>
  <c r="AE199" i="29"/>
  <c r="AD199" i="29"/>
  <c r="AC199" i="29"/>
  <c r="AB199" i="29"/>
  <c r="AA199" i="29"/>
  <c r="Z199" i="29"/>
  <c r="Y199" i="29"/>
  <c r="X199" i="29"/>
  <c r="W199" i="29"/>
  <c r="V199" i="29"/>
  <c r="AF199" i="29" s="1"/>
  <c r="U199" i="29"/>
  <c r="T199" i="29"/>
  <c r="R199" i="29"/>
  <c r="B199" i="29"/>
  <c r="A199" i="29"/>
  <c r="AO198" i="29"/>
  <c r="AE198" i="29"/>
  <c r="AD198" i="29"/>
  <c r="AC198" i="29"/>
  <c r="AB198" i="29"/>
  <c r="AA198" i="29"/>
  <c r="AA202" i="29" s="1"/>
  <c r="Z198" i="29"/>
  <c r="Y198" i="29"/>
  <c r="X198" i="29"/>
  <c r="W198" i="29"/>
  <c r="V198" i="29"/>
  <c r="U198" i="29"/>
  <c r="T198" i="29"/>
  <c r="R198" i="29"/>
  <c r="B198" i="29"/>
  <c r="A198" i="29"/>
  <c r="AO197" i="29"/>
  <c r="AE197" i="29"/>
  <c r="AD197" i="29"/>
  <c r="AD202" i="29" s="1"/>
  <c r="AC197" i="29"/>
  <c r="AB197" i="29"/>
  <c r="AA197" i="29"/>
  <c r="Z197" i="29"/>
  <c r="Y197" i="29"/>
  <c r="X197" i="29"/>
  <c r="W197" i="29"/>
  <c r="V197" i="29"/>
  <c r="AF197" i="29" s="1"/>
  <c r="U197" i="29"/>
  <c r="T197" i="29"/>
  <c r="R197" i="29"/>
  <c r="B197" i="29"/>
  <c r="A197" i="29"/>
  <c r="AE196" i="29"/>
  <c r="AD196" i="29"/>
  <c r="AC196" i="29"/>
  <c r="AB196" i="29"/>
  <c r="AA196" i="29"/>
  <c r="Z196" i="29"/>
  <c r="Y196" i="29"/>
  <c r="X196" i="29"/>
  <c r="W196" i="29"/>
  <c r="AF196" i="29" s="1"/>
  <c r="AG196" i="29" s="1"/>
  <c r="V196" i="29"/>
  <c r="U196" i="29"/>
  <c r="T196" i="29"/>
  <c r="B196" i="29"/>
  <c r="AG195" i="29"/>
  <c r="AE195" i="29"/>
  <c r="AD195" i="29"/>
  <c r="AC195" i="29"/>
  <c r="AB195" i="29"/>
  <c r="AA195" i="29"/>
  <c r="Z195" i="29"/>
  <c r="Y195" i="29"/>
  <c r="X195" i="29"/>
  <c r="W195" i="29"/>
  <c r="V195" i="29"/>
  <c r="AF195" i="29" s="1"/>
  <c r="U195" i="29"/>
  <c r="T195" i="29"/>
  <c r="B195" i="29"/>
  <c r="AF194" i="29"/>
  <c r="AG194" i="29" s="1"/>
  <c r="AE194" i="29"/>
  <c r="AD194" i="29"/>
  <c r="AC194" i="29"/>
  <c r="AB194" i="29"/>
  <c r="AA194" i="29"/>
  <c r="Z194" i="29"/>
  <c r="Y194" i="29"/>
  <c r="X194" i="29"/>
  <c r="W194" i="29"/>
  <c r="V194" i="29"/>
  <c r="U194" i="29"/>
  <c r="T194" i="29"/>
  <c r="B194" i="29"/>
  <c r="AE193" i="29"/>
  <c r="AD193" i="29"/>
  <c r="AC193" i="29"/>
  <c r="AB193" i="29"/>
  <c r="AA193" i="29"/>
  <c r="Z193" i="29"/>
  <c r="Y193" i="29"/>
  <c r="X193" i="29"/>
  <c r="W193" i="29"/>
  <c r="V193" i="29"/>
  <c r="U193" i="29"/>
  <c r="T193" i="29"/>
  <c r="R193" i="29"/>
  <c r="Q193" i="29"/>
  <c r="P193" i="29"/>
  <c r="O193" i="29"/>
  <c r="N193" i="29"/>
  <c r="M193" i="29"/>
  <c r="L193" i="29"/>
  <c r="K193" i="29"/>
  <c r="J193" i="29"/>
  <c r="I193" i="29"/>
  <c r="H193" i="29"/>
  <c r="G193" i="29"/>
  <c r="F193" i="29"/>
  <c r="B193" i="29"/>
  <c r="AO191" i="29"/>
  <c r="AE191" i="29"/>
  <c r="AD191" i="29"/>
  <c r="AC191" i="29"/>
  <c r="AB191" i="29"/>
  <c r="AA191" i="29"/>
  <c r="Z191" i="29"/>
  <c r="Y191" i="29"/>
  <c r="X191" i="29"/>
  <c r="W191" i="29"/>
  <c r="V191" i="29"/>
  <c r="AF191" i="29" s="1"/>
  <c r="AF193" i="29" s="1"/>
  <c r="U191" i="29"/>
  <c r="T191" i="29"/>
  <c r="R191" i="29"/>
  <c r="B191" i="29"/>
  <c r="A191" i="29"/>
  <c r="B190" i="29"/>
  <c r="AE188" i="29"/>
  <c r="AB188" i="29"/>
  <c r="AA188" i="29"/>
  <c r="S188" i="29"/>
  <c r="Q188" i="29"/>
  <c r="P188" i="29"/>
  <c r="O188" i="29"/>
  <c r="N188" i="29"/>
  <c r="M188" i="29"/>
  <c r="L188" i="29"/>
  <c r="K188" i="29"/>
  <c r="J188" i="29"/>
  <c r="I188" i="29"/>
  <c r="H188" i="29"/>
  <c r="G188" i="29"/>
  <c r="F188" i="29"/>
  <c r="B188" i="29"/>
  <c r="AE186" i="29"/>
  <c r="AD186" i="29"/>
  <c r="AC186" i="29"/>
  <c r="AB186" i="29"/>
  <c r="AA186" i="29"/>
  <c r="Z186" i="29"/>
  <c r="Y186" i="29"/>
  <c r="X186" i="29"/>
  <c r="W186" i="29"/>
  <c r="V186" i="29"/>
  <c r="U186" i="29"/>
  <c r="T186" i="29"/>
  <c r="AF186" i="29" s="1"/>
  <c r="AG186" i="29" s="1"/>
  <c r="R186" i="29"/>
  <c r="B186" i="29"/>
  <c r="A186" i="29"/>
  <c r="AE185" i="29"/>
  <c r="AD185" i="29"/>
  <c r="AC185" i="29"/>
  <c r="AB185" i="29"/>
  <c r="AA185" i="29"/>
  <c r="Z185" i="29"/>
  <c r="Y185" i="29"/>
  <c r="X185" i="29"/>
  <c r="AF185" i="29" s="1"/>
  <c r="AG185" i="29" s="1"/>
  <c r="W185" i="29"/>
  <c r="V185" i="29"/>
  <c r="U185" i="29"/>
  <c r="T185" i="29"/>
  <c r="R185" i="29"/>
  <c r="B185" i="29"/>
  <c r="A185" i="29"/>
  <c r="AF184" i="29"/>
  <c r="AG184" i="29" s="1"/>
  <c r="AE184" i="29"/>
  <c r="AD184" i="29"/>
  <c r="AC184" i="29"/>
  <c r="AB184" i="29"/>
  <c r="AA184" i="29"/>
  <c r="Z184" i="29"/>
  <c r="Y184" i="29"/>
  <c r="X184" i="29"/>
  <c r="W184" i="29"/>
  <c r="V184" i="29"/>
  <c r="U184" i="29"/>
  <c r="T184" i="29"/>
  <c r="R184" i="29"/>
  <c r="B184" i="29"/>
  <c r="A184" i="29"/>
  <c r="AG183" i="29"/>
  <c r="AE183" i="29"/>
  <c r="AD183" i="29"/>
  <c r="AC183" i="29"/>
  <c r="AB183" i="29"/>
  <c r="AA183" i="29"/>
  <c r="Z183" i="29"/>
  <c r="Y183" i="29"/>
  <c r="AF183" i="29" s="1"/>
  <c r="X183" i="29"/>
  <c r="W183" i="29"/>
  <c r="V183" i="29"/>
  <c r="U183" i="29"/>
  <c r="T183" i="29"/>
  <c r="R183" i="29"/>
  <c r="B183" i="29"/>
  <c r="A183" i="29"/>
  <c r="AE182" i="29"/>
  <c r="AD182" i="29"/>
  <c r="AC182" i="29"/>
  <c r="AB182" i="29"/>
  <c r="AA182" i="29"/>
  <c r="Z182" i="29"/>
  <c r="Y182" i="29"/>
  <c r="X182" i="29"/>
  <c r="W182" i="29"/>
  <c r="V182" i="29"/>
  <c r="U182" i="29"/>
  <c r="T182" i="29"/>
  <c r="R182" i="29"/>
  <c r="B182" i="29"/>
  <c r="A182" i="29"/>
  <c r="AE181" i="29"/>
  <c r="AD181" i="29"/>
  <c r="AC181" i="29"/>
  <c r="AB181" i="29"/>
  <c r="AA181" i="29"/>
  <c r="Z181" i="29"/>
  <c r="Y181" i="29"/>
  <c r="X181" i="29"/>
  <c r="W181" i="29"/>
  <c r="V181" i="29"/>
  <c r="U181" i="29"/>
  <c r="T181" i="29"/>
  <c r="AF181" i="29" s="1"/>
  <c r="AG181" i="29" s="1"/>
  <c r="AM181" i="29" s="1"/>
  <c r="R181" i="29"/>
  <c r="B181" i="29"/>
  <c r="A181" i="29"/>
  <c r="AE180" i="29"/>
  <c r="AD180" i="29"/>
  <c r="AC180" i="29"/>
  <c r="AB180" i="29"/>
  <c r="AA180" i="29"/>
  <c r="Z180" i="29"/>
  <c r="Y180" i="29"/>
  <c r="X180" i="29"/>
  <c r="AF180" i="29" s="1"/>
  <c r="AG180" i="29" s="1"/>
  <c r="W180" i="29"/>
  <c r="V180" i="29"/>
  <c r="U180" i="29"/>
  <c r="T180" i="29"/>
  <c r="R180" i="29"/>
  <c r="B180" i="29"/>
  <c r="A180" i="29"/>
  <c r="AE179" i="29"/>
  <c r="AD179" i="29"/>
  <c r="AD188" i="29" s="1"/>
  <c r="AC179" i="29"/>
  <c r="AB179" i="29"/>
  <c r="AA179" i="29"/>
  <c r="Z179" i="29"/>
  <c r="Y179" i="29"/>
  <c r="X179" i="29"/>
  <c r="W179" i="29"/>
  <c r="V179" i="29"/>
  <c r="V188" i="29" s="1"/>
  <c r="U179" i="29"/>
  <c r="AF179" i="29" s="1"/>
  <c r="AG179" i="29" s="1"/>
  <c r="T179" i="29"/>
  <c r="R179" i="29"/>
  <c r="B179" i="29"/>
  <c r="A179" i="29"/>
  <c r="AE178" i="29"/>
  <c r="AD178" i="29"/>
  <c r="AC178" i="29"/>
  <c r="AB178" i="29"/>
  <c r="AA178" i="29"/>
  <c r="Z178" i="29"/>
  <c r="Y178" i="29"/>
  <c r="X178" i="29"/>
  <c r="W178" i="29"/>
  <c r="V178" i="29"/>
  <c r="U178" i="29"/>
  <c r="T178" i="29"/>
  <c r="R178" i="29"/>
  <c r="R188" i="29" s="1"/>
  <c r="B178" i="29"/>
  <c r="A178" i="29"/>
  <c r="AE177" i="29"/>
  <c r="AD177" i="29"/>
  <c r="AC177" i="29"/>
  <c r="AB177" i="29"/>
  <c r="AA177" i="29"/>
  <c r="Z177" i="29"/>
  <c r="Y177" i="29"/>
  <c r="X177" i="29"/>
  <c r="W177" i="29"/>
  <c r="V177" i="29"/>
  <c r="U177" i="29"/>
  <c r="T177" i="29"/>
  <c r="R177" i="29"/>
  <c r="B177" i="29"/>
  <c r="A177" i="29"/>
  <c r="AF176" i="29"/>
  <c r="AG176" i="29" s="1"/>
  <c r="AM176" i="29" s="1"/>
  <c r="AE176" i="29"/>
  <c r="AD176" i="29"/>
  <c r="AC176" i="29"/>
  <c r="AB176" i="29"/>
  <c r="AA176" i="29"/>
  <c r="Z176" i="29"/>
  <c r="Y176" i="29"/>
  <c r="X176" i="29"/>
  <c r="W176" i="29"/>
  <c r="V176" i="29"/>
  <c r="U176" i="29"/>
  <c r="T176" i="29"/>
  <c r="T188" i="29" s="1"/>
  <c r="R176" i="29"/>
  <c r="B176" i="29"/>
  <c r="A176" i="29"/>
  <c r="AE175" i="29"/>
  <c r="AD175" i="29"/>
  <c r="AC175" i="29"/>
  <c r="AB175" i="29"/>
  <c r="AA175" i="29"/>
  <c r="Z175" i="29"/>
  <c r="Z188" i="29" s="1"/>
  <c r="Y175" i="29"/>
  <c r="X175" i="29"/>
  <c r="W175" i="29"/>
  <c r="V175" i="29"/>
  <c r="U175" i="29"/>
  <c r="T175" i="29"/>
  <c r="R175" i="29"/>
  <c r="B175" i="29"/>
  <c r="A175" i="29"/>
  <c r="AE174" i="29"/>
  <c r="AD174" i="29"/>
  <c r="AC174" i="29"/>
  <c r="AB174" i="29"/>
  <c r="AA174" i="29"/>
  <c r="Z174" i="29"/>
  <c r="Y174" i="29"/>
  <c r="X174" i="29"/>
  <c r="W174" i="29"/>
  <c r="V174" i="29"/>
  <c r="U174" i="29"/>
  <c r="AF174" i="29" s="1"/>
  <c r="AG174" i="29" s="1"/>
  <c r="T174" i="29"/>
  <c r="R174" i="29"/>
  <c r="B174" i="29"/>
  <c r="A174" i="29"/>
  <c r="AE173" i="29"/>
  <c r="AD173" i="29"/>
  <c r="AC173" i="29"/>
  <c r="AB173" i="29"/>
  <c r="AA173" i="29"/>
  <c r="Z173" i="29"/>
  <c r="Y173" i="29"/>
  <c r="AF173" i="29" s="1"/>
  <c r="AG173" i="29" s="1"/>
  <c r="X173" i="29"/>
  <c r="W173" i="29"/>
  <c r="V173" i="29"/>
  <c r="U173" i="29"/>
  <c r="T173" i="29"/>
  <c r="R173" i="29"/>
  <c r="B173" i="29"/>
  <c r="A173" i="29"/>
  <c r="AF172" i="29"/>
  <c r="AG172" i="29" s="1"/>
  <c r="AE172" i="29"/>
  <c r="AD172" i="29"/>
  <c r="AC172" i="29"/>
  <c r="AB172" i="29"/>
  <c r="AA172" i="29"/>
  <c r="Z172" i="29"/>
  <c r="Y172" i="29"/>
  <c r="X172" i="29"/>
  <c r="W172" i="29"/>
  <c r="V172" i="29"/>
  <c r="U172" i="29"/>
  <c r="T172" i="29"/>
  <c r="R172" i="29"/>
  <c r="B172" i="29"/>
  <c r="A172" i="29"/>
  <c r="AE171" i="29"/>
  <c r="AD171" i="29"/>
  <c r="AC171" i="29"/>
  <c r="AB171" i="29"/>
  <c r="AA171" i="29"/>
  <c r="Z171" i="29"/>
  <c r="Y171" i="29"/>
  <c r="AF171" i="29" s="1"/>
  <c r="AG171" i="29" s="1"/>
  <c r="X171" i="29"/>
  <c r="W171" i="29"/>
  <c r="V171" i="29"/>
  <c r="U171" i="29"/>
  <c r="T171" i="29"/>
  <c r="R171" i="29"/>
  <c r="B171" i="29"/>
  <c r="A171" i="29"/>
  <c r="AE170" i="29"/>
  <c r="AD170" i="29"/>
  <c r="AC170" i="29"/>
  <c r="AB170" i="29"/>
  <c r="AA170" i="29"/>
  <c r="Z170" i="29"/>
  <c r="Y170" i="29"/>
  <c r="X170" i="29"/>
  <c r="W170" i="29"/>
  <c r="V170" i="29"/>
  <c r="U170" i="29"/>
  <c r="AF170" i="29" s="1"/>
  <c r="AG170" i="29" s="1"/>
  <c r="T170" i="29"/>
  <c r="R170" i="29"/>
  <c r="B170" i="29"/>
  <c r="A170" i="29"/>
  <c r="AE169" i="29"/>
  <c r="AD169" i="29"/>
  <c r="AC169" i="29"/>
  <c r="AB169" i="29"/>
  <c r="AA169" i="29"/>
  <c r="Z169" i="29"/>
  <c r="Y169" i="29"/>
  <c r="X169" i="29"/>
  <c r="W169" i="29"/>
  <c r="V169" i="29"/>
  <c r="U169" i="29"/>
  <c r="T169" i="29"/>
  <c r="R169" i="29"/>
  <c r="B169" i="29"/>
  <c r="A169" i="29"/>
  <c r="AF168" i="29"/>
  <c r="AG168" i="29" s="1"/>
  <c r="AE168" i="29"/>
  <c r="AD168" i="29"/>
  <c r="AC168" i="29"/>
  <c r="AB168" i="29"/>
  <c r="AA168" i="29"/>
  <c r="Z168" i="29"/>
  <c r="Y168" i="29"/>
  <c r="X168" i="29"/>
  <c r="W168" i="29"/>
  <c r="V168" i="29"/>
  <c r="U168" i="29"/>
  <c r="T168" i="29"/>
  <c r="R168" i="29"/>
  <c r="B168" i="29"/>
  <c r="A168" i="29"/>
  <c r="AE167" i="29"/>
  <c r="AD167" i="29"/>
  <c r="AC167" i="29"/>
  <c r="AB167" i="29"/>
  <c r="AA167" i="29"/>
  <c r="Z167" i="29"/>
  <c r="Y167" i="29"/>
  <c r="X167" i="29"/>
  <c r="W167" i="29"/>
  <c r="V167" i="29"/>
  <c r="U167" i="29"/>
  <c r="T167" i="29"/>
  <c r="R167" i="29"/>
  <c r="B167" i="29"/>
  <c r="A167" i="29"/>
  <c r="AG166" i="29"/>
  <c r="AF166" i="29"/>
  <c r="AE166" i="29"/>
  <c r="AD166" i="29"/>
  <c r="AC166" i="29"/>
  <c r="AB166" i="29"/>
  <c r="AA166" i="29"/>
  <c r="Z166" i="29"/>
  <c r="Y166" i="29"/>
  <c r="X166" i="29"/>
  <c r="W166" i="29"/>
  <c r="V166" i="29"/>
  <c r="U166" i="29"/>
  <c r="T166" i="29"/>
  <c r="R166" i="29"/>
  <c r="B166" i="29"/>
  <c r="A166" i="29"/>
  <c r="AE165" i="29"/>
  <c r="AD165" i="29"/>
  <c r="AC165" i="29"/>
  <c r="AB165" i="29"/>
  <c r="AA165" i="29"/>
  <c r="Z165" i="29"/>
  <c r="Y165" i="29"/>
  <c r="X165" i="29"/>
  <c r="W165" i="29"/>
  <c r="V165" i="29"/>
  <c r="U165" i="29"/>
  <c r="T165" i="29"/>
  <c r="R165" i="29"/>
  <c r="B165" i="29"/>
  <c r="A165" i="29"/>
  <c r="AE164" i="29"/>
  <c r="AD164" i="29"/>
  <c r="AC164" i="29"/>
  <c r="AB164" i="29"/>
  <c r="AA164" i="29"/>
  <c r="Z164" i="29"/>
  <c r="Y164" i="29"/>
  <c r="X164" i="29"/>
  <c r="W164" i="29"/>
  <c r="V164" i="29"/>
  <c r="U164" i="29"/>
  <c r="AF164" i="29" s="1"/>
  <c r="AG164" i="29" s="1"/>
  <c r="T164" i="29"/>
  <c r="R164" i="29"/>
  <c r="B164" i="29"/>
  <c r="A164" i="29"/>
  <c r="AG163" i="29"/>
  <c r="AE163" i="29"/>
  <c r="AD163" i="29"/>
  <c r="AC163" i="29"/>
  <c r="AB163" i="29"/>
  <c r="AA163" i="29"/>
  <c r="Z163" i="29"/>
  <c r="Y163" i="29"/>
  <c r="AF163" i="29" s="1"/>
  <c r="X163" i="29"/>
  <c r="W163" i="29"/>
  <c r="V163" i="29"/>
  <c r="U163" i="29"/>
  <c r="T163" i="29"/>
  <c r="R163" i="29"/>
  <c r="B163" i="29"/>
  <c r="A163" i="29"/>
  <c r="AG162" i="29"/>
  <c r="AE162" i="29"/>
  <c r="AD162" i="29"/>
  <c r="AC162" i="29"/>
  <c r="AB162" i="29"/>
  <c r="AA162" i="29"/>
  <c r="Z162" i="29"/>
  <c r="Y162" i="29"/>
  <c r="X162" i="29"/>
  <c r="W162" i="29"/>
  <c r="V162" i="29"/>
  <c r="AF162" i="29" s="1"/>
  <c r="U162" i="29"/>
  <c r="T162" i="29"/>
  <c r="R162" i="29"/>
  <c r="B162" i="29"/>
  <c r="A162" i="29"/>
  <c r="AE161" i="29"/>
  <c r="AD161" i="29"/>
  <c r="AC161" i="29"/>
  <c r="AB161" i="29"/>
  <c r="AA161" i="29"/>
  <c r="Z161" i="29"/>
  <c r="Y161" i="29"/>
  <c r="AF161" i="29" s="1"/>
  <c r="AG161" i="29" s="1"/>
  <c r="X161" i="29"/>
  <c r="W161" i="29"/>
  <c r="V161" i="29"/>
  <c r="U161" i="29"/>
  <c r="T161" i="29"/>
  <c r="R161" i="29"/>
  <c r="B161" i="29"/>
  <c r="A161" i="29"/>
  <c r="AE160" i="29"/>
  <c r="AD160" i="29"/>
  <c r="AC160" i="29"/>
  <c r="AB160" i="29"/>
  <c r="AA160" i="29"/>
  <c r="Z160" i="29"/>
  <c r="Y160" i="29"/>
  <c r="X160" i="29"/>
  <c r="W160" i="29"/>
  <c r="V160" i="29"/>
  <c r="U160" i="29"/>
  <c r="AF160" i="29" s="1"/>
  <c r="AG160" i="29" s="1"/>
  <c r="T160" i="29"/>
  <c r="R160" i="29"/>
  <c r="B160" i="29"/>
  <c r="A160" i="29"/>
  <c r="AE159" i="29"/>
  <c r="AD159" i="29"/>
  <c r="AC159" i="29"/>
  <c r="AB159" i="29"/>
  <c r="AA159" i="29"/>
  <c r="Z159" i="29"/>
  <c r="Y159" i="29"/>
  <c r="AF159" i="29" s="1"/>
  <c r="AG159" i="29" s="1"/>
  <c r="X159" i="29"/>
  <c r="W159" i="29"/>
  <c r="V159" i="29"/>
  <c r="U159" i="29"/>
  <c r="T159" i="29"/>
  <c r="R159" i="29"/>
  <c r="B159" i="29"/>
  <c r="A159" i="29"/>
  <c r="B158" i="29"/>
  <c r="B156" i="29"/>
  <c r="AE153" i="29"/>
  <c r="AA153" i="29"/>
  <c r="Z153" i="29"/>
  <c r="Y153" i="29"/>
  <c r="W153" i="29"/>
  <c r="S153" i="29"/>
  <c r="R153" i="29"/>
  <c r="Q153" i="29"/>
  <c r="P153" i="29"/>
  <c r="O153" i="29"/>
  <c r="N153" i="29"/>
  <c r="M153" i="29"/>
  <c r="L153" i="29"/>
  <c r="K153" i="29"/>
  <c r="J153" i="29"/>
  <c r="I153" i="29"/>
  <c r="H153" i="29"/>
  <c r="G153" i="29"/>
  <c r="F153" i="29"/>
  <c r="B153" i="29"/>
  <c r="AE152" i="29"/>
  <c r="AD152" i="29"/>
  <c r="AC152" i="29"/>
  <c r="AB152" i="29"/>
  <c r="AB153" i="29" s="1"/>
  <c r="AA152" i="29"/>
  <c r="Z152" i="29"/>
  <c r="Y152" i="29"/>
  <c r="X152" i="29"/>
  <c r="W152" i="29"/>
  <c r="V152" i="29"/>
  <c r="U152" i="29"/>
  <c r="AF152" i="29" s="1"/>
  <c r="AG152" i="29" s="1"/>
  <c r="T152" i="29"/>
  <c r="T153" i="29" s="1"/>
  <c r="B152" i="29"/>
  <c r="AE151" i="29"/>
  <c r="AD151" i="29"/>
  <c r="AD153" i="29" s="1"/>
  <c r="AC151" i="29"/>
  <c r="AB151" i="29"/>
  <c r="AA151" i="29"/>
  <c r="Z151" i="29"/>
  <c r="Y151" i="29"/>
  <c r="X151" i="29"/>
  <c r="X153" i="29" s="1"/>
  <c r="W151" i="29"/>
  <c r="V151" i="29"/>
  <c r="V153" i="29" s="1"/>
  <c r="U151" i="29"/>
  <c r="T151" i="29"/>
  <c r="R151" i="29"/>
  <c r="B151" i="29"/>
  <c r="A151" i="29"/>
  <c r="B150" i="29"/>
  <c r="Q147" i="29"/>
  <c r="P147" i="29"/>
  <c r="O147" i="29"/>
  <c r="N147" i="29"/>
  <c r="M147" i="29"/>
  <c r="L147" i="29"/>
  <c r="K147" i="29"/>
  <c r="J147" i="29"/>
  <c r="I147" i="29"/>
  <c r="H147" i="29"/>
  <c r="G147" i="29"/>
  <c r="F147" i="29"/>
  <c r="B147" i="29"/>
  <c r="AF145" i="29"/>
  <c r="AG145" i="29" s="1"/>
  <c r="AE145" i="29"/>
  <c r="AD145" i="29"/>
  <c r="AC145" i="29"/>
  <c r="AB145" i="29"/>
  <c r="AA145" i="29"/>
  <c r="Z145" i="29"/>
  <c r="Y145" i="29"/>
  <c r="X145" i="29"/>
  <c r="W145" i="29"/>
  <c r="V145" i="29"/>
  <c r="U145" i="29"/>
  <c r="T145" i="29"/>
  <c r="R145" i="29"/>
  <c r="B145" i="29"/>
  <c r="A145" i="29"/>
  <c r="AE144" i="29"/>
  <c r="AD144" i="29"/>
  <c r="AC144" i="29"/>
  <c r="AB144" i="29"/>
  <c r="AA144" i="29"/>
  <c r="Z144" i="29"/>
  <c r="Y144" i="29"/>
  <c r="X144" i="29"/>
  <c r="W144" i="29"/>
  <c r="V144" i="29"/>
  <c r="U144" i="29"/>
  <c r="T144" i="29"/>
  <c r="R144" i="29"/>
  <c r="B144" i="29"/>
  <c r="A144" i="29"/>
  <c r="AE143" i="29"/>
  <c r="AD143" i="29"/>
  <c r="AC143" i="29"/>
  <c r="AB143" i="29"/>
  <c r="AA143" i="29"/>
  <c r="Z143" i="29"/>
  <c r="Y143" i="29"/>
  <c r="X143" i="29"/>
  <c r="W143" i="29"/>
  <c r="V143" i="29"/>
  <c r="U143" i="29"/>
  <c r="T143" i="29"/>
  <c r="AF143" i="29" s="1"/>
  <c r="AG143" i="29" s="1"/>
  <c r="R143" i="29"/>
  <c r="B143" i="29"/>
  <c r="A143" i="29"/>
  <c r="AE142" i="29"/>
  <c r="AD142" i="29"/>
  <c r="AC142" i="29"/>
  <c r="AB142" i="29"/>
  <c r="AA142" i="29"/>
  <c r="Z142" i="29"/>
  <c r="Y142" i="29"/>
  <c r="X142" i="29"/>
  <c r="W142" i="29"/>
  <c r="V142" i="29"/>
  <c r="U142" i="29"/>
  <c r="T142" i="29"/>
  <c r="R142" i="29"/>
  <c r="B142" i="29"/>
  <c r="A142" i="29"/>
  <c r="AE141" i="29"/>
  <c r="AD141" i="29"/>
  <c r="AC141" i="29"/>
  <c r="AB141" i="29"/>
  <c r="AA141" i="29"/>
  <c r="Z141" i="29"/>
  <c r="Y141" i="29"/>
  <c r="X141" i="29"/>
  <c r="W141" i="29"/>
  <c r="V141" i="29"/>
  <c r="U141" i="29"/>
  <c r="T141" i="29"/>
  <c r="R141" i="29"/>
  <c r="B141" i="29"/>
  <c r="A141" i="29"/>
  <c r="AE140" i="29"/>
  <c r="AD140" i="29"/>
  <c r="AC140" i="29"/>
  <c r="AB140" i="29"/>
  <c r="AA140" i="29"/>
  <c r="Z140" i="29"/>
  <c r="Y140" i="29"/>
  <c r="X140" i="29"/>
  <c r="W140" i="29"/>
  <c r="V140" i="29"/>
  <c r="AF140" i="29" s="1"/>
  <c r="AG140" i="29" s="1"/>
  <c r="U140" i="29"/>
  <c r="T140" i="29"/>
  <c r="R140" i="29"/>
  <c r="B140" i="29"/>
  <c r="A140" i="29"/>
  <c r="AE139" i="29"/>
  <c r="AD139" i="29"/>
  <c r="AC139" i="29"/>
  <c r="AB139" i="29"/>
  <c r="AA139" i="29"/>
  <c r="Z139" i="29"/>
  <c r="Y139" i="29"/>
  <c r="X139" i="29"/>
  <c r="W139" i="29"/>
  <c r="V139" i="29"/>
  <c r="U139" i="29"/>
  <c r="T139" i="29"/>
  <c r="R139" i="29"/>
  <c r="B139" i="29"/>
  <c r="A139" i="29"/>
  <c r="AE138" i="29"/>
  <c r="AD138" i="29"/>
  <c r="AC138" i="29"/>
  <c r="AB138" i="29"/>
  <c r="AA138" i="29"/>
  <c r="Z138" i="29"/>
  <c r="Y138" i="29"/>
  <c r="X138" i="29"/>
  <c r="W138" i="29"/>
  <c r="V138" i="29"/>
  <c r="U138" i="29"/>
  <c r="T138" i="29"/>
  <c r="R138" i="29"/>
  <c r="B138" i="29"/>
  <c r="A138" i="29"/>
  <c r="AG137" i="29"/>
  <c r="AE137" i="29"/>
  <c r="AD137" i="29"/>
  <c r="AC137" i="29"/>
  <c r="AB137" i="29"/>
  <c r="AA137" i="29"/>
  <c r="Z137" i="29"/>
  <c r="Y137" i="29"/>
  <c r="X137" i="29"/>
  <c r="W137" i="29"/>
  <c r="V137" i="29"/>
  <c r="U137" i="29"/>
  <c r="T137" i="29"/>
  <c r="AF137" i="29" s="1"/>
  <c r="R137" i="29"/>
  <c r="B137" i="29"/>
  <c r="A137" i="29"/>
  <c r="AE136" i="29"/>
  <c r="AD136" i="29"/>
  <c r="AC136" i="29"/>
  <c r="AB136" i="29"/>
  <c r="AA136" i="29"/>
  <c r="Z136" i="29"/>
  <c r="Y136" i="29"/>
  <c r="X136" i="29"/>
  <c r="W136" i="29"/>
  <c r="V136" i="29"/>
  <c r="U136" i="29"/>
  <c r="T136" i="29"/>
  <c r="R136" i="29"/>
  <c r="B136" i="29"/>
  <c r="A136" i="29"/>
  <c r="AE135" i="29"/>
  <c r="AD135" i="29"/>
  <c r="AC135" i="29"/>
  <c r="AB135" i="29"/>
  <c r="AA135" i="29"/>
  <c r="Z135" i="29"/>
  <c r="Y135" i="29"/>
  <c r="X135" i="29"/>
  <c r="W135" i="29"/>
  <c r="V135" i="29"/>
  <c r="U135" i="29"/>
  <c r="T135" i="29"/>
  <c r="R135" i="29"/>
  <c r="B135" i="29"/>
  <c r="A135" i="29"/>
  <c r="AE134" i="29"/>
  <c r="AD134" i="29"/>
  <c r="AC134" i="29"/>
  <c r="AB134" i="29"/>
  <c r="AA134" i="29"/>
  <c r="Z134" i="29"/>
  <c r="Y134" i="29"/>
  <c r="X134" i="29"/>
  <c r="W134" i="29"/>
  <c r="V134" i="29"/>
  <c r="AF134" i="29" s="1"/>
  <c r="AG134" i="29" s="1"/>
  <c r="U134" i="29"/>
  <c r="T134" i="29"/>
  <c r="R134" i="29"/>
  <c r="B134" i="29"/>
  <c r="A134" i="29"/>
  <c r="AE133" i="29"/>
  <c r="AD133" i="29"/>
  <c r="AC133" i="29"/>
  <c r="AB133" i="29"/>
  <c r="AA133" i="29"/>
  <c r="Z133" i="29"/>
  <c r="Y133" i="29"/>
  <c r="X133" i="29"/>
  <c r="W133" i="29"/>
  <c r="V133" i="29"/>
  <c r="U133" i="29"/>
  <c r="T133" i="29"/>
  <c r="R133" i="29"/>
  <c r="B133" i="29"/>
  <c r="A133" i="29"/>
  <c r="AE132" i="29"/>
  <c r="AD132" i="29"/>
  <c r="AC132" i="29"/>
  <c r="AB132" i="29"/>
  <c r="AA132" i="29"/>
  <c r="Z132" i="29"/>
  <c r="Y132" i="29"/>
  <c r="X132" i="29"/>
  <c r="W132" i="29"/>
  <c r="V132" i="29"/>
  <c r="AF132" i="29" s="1"/>
  <c r="AG132" i="29" s="1"/>
  <c r="U132" i="29"/>
  <c r="T132" i="29"/>
  <c r="R132" i="29"/>
  <c r="B132" i="29"/>
  <c r="A132" i="29"/>
  <c r="AE131" i="29"/>
  <c r="AD131" i="29"/>
  <c r="AC131" i="29"/>
  <c r="AB131" i="29"/>
  <c r="AA131" i="29"/>
  <c r="Z131" i="29"/>
  <c r="Y131" i="29"/>
  <c r="X131" i="29"/>
  <c r="W131" i="29"/>
  <c r="V131" i="29"/>
  <c r="U131" i="29"/>
  <c r="T131" i="29"/>
  <c r="R131" i="29"/>
  <c r="B131" i="29"/>
  <c r="A131" i="29"/>
  <c r="AE130" i="29"/>
  <c r="AD130" i="29"/>
  <c r="AC130" i="29"/>
  <c r="AB130" i="29"/>
  <c r="AA130" i="29"/>
  <c r="Z130" i="29"/>
  <c r="Y130" i="29"/>
  <c r="X130" i="29"/>
  <c r="W130" i="29"/>
  <c r="V130" i="29"/>
  <c r="U130" i="29"/>
  <c r="T130" i="29"/>
  <c r="R130" i="29"/>
  <c r="B130" i="29"/>
  <c r="A130" i="29"/>
  <c r="AG129" i="29"/>
  <c r="AE129" i="29"/>
  <c r="AD129" i="29"/>
  <c r="AC129" i="29"/>
  <c r="AB129" i="29"/>
  <c r="AA129" i="29"/>
  <c r="Z129" i="29"/>
  <c r="Y129" i="29"/>
  <c r="X129" i="29"/>
  <c r="W129" i="29"/>
  <c r="V129" i="29"/>
  <c r="U129" i="29"/>
  <c r="T129" i="29"/>
  <c r="AF129" i="29" s="1"/>
  <c r="R129" i="29"/>
  <c r="B129" i="29"/>
  <c r="A129" i="29"/>
  <c r="AE128" i="29"/>
  <c r="AD128" i="29"/>
  <c r="AC128" i="29"/>
  <c r="AB128" i="29"/>
  <c r="AA128" i="29"/>
  <c r="Z128" i="29"/>
  <c r="Y128" i="29"/>
  <c r="X128" i="29"/>
  <c r="W128" i="29"/>
  <c r="V128" i="29"/>
  <c r="U128" i="29"/>
  <c r="T128" i="29"/>
  <c r="R128" i="29"/>
  <c r="B128" i="29"/>
  <c r="A128" i="29"/>
  <c r="AE127" i="29"/>
  <c r="AD127" i="29"/>
  <c r="AC127" i="29"/>
  <c r="AB127" i="29"/>
  <c r="AA127" i="29"/>
  <c r="Z127" i="29"/>
  <c r="Y127" i="29"/>
  <c r="X127" i="29"/>
  <c r="W127" i="29"/>
  <c r="V127" i="29"/>
  <c r="U127" i="29"/>
  <c r="T127" i="29"/>
  <c r="R127" i="29"/>
  <c r="B127" i="29"/>
  <c r="A127" i="29"/>
  <c r="AE126" i="29"/>
  <c r="AD126" i="29"/>
  <c r="AC126" i="29"/>
  <c r="AB126" i="29"/>
  <c r="AA126" i="29"/>
  <c r="Z126" i="29"/>
  <c r="Y126" i="29"/>
  <c r="X126" i="29"/>
  <c r="W126" i="29"/>
  <c r="V126" i="29"/>
  <c r="AF126" i="29" s="1"/>
  <c r="AG126" i="29" s="1"/>
  <c r="U126" i="29"/>
  <c r="T126" i="29"/>
  <c r="R126" i="29"/>
  <c r="B126" i="29"/>
  <c r="A126" i="29"/>
  <c r="AE125" i="29"/>
  <c r="AD125" i="29"/>
  <c r="AC125" i="29"/>
  <c r="AB125" i="29"/>
  <c r="AA125" i="29"/>
  <c r="Z125" i="29"/>
  <c r="Y125" i="29"/>
  <c r="X125" i="29"/>
  <c r="W125" i="29"/>
  <c r="V125" i="29"/>
  <c r="U125" i="29"/>
  <c r="T125" i="29"/>
  <c r="AF125" i="29" s="1"/>
  <c r="AG125" i="29" s="1"/>
  <c r="R125" i="29"/>
  <c r="B125" i="29"/>
  <c r="A125" i="29"/>
  <c r="AE124" i="29"/>
  <c r="AD124" i="29"/>
  <c r="AC124" i="29"/>
  <c r="AB124" i="29"/>
  <c r="AA124" i="29"/>
  <c r="Z124" i="29"/>
  <c r="Y124" i="29"/>
  <c r="X124" i="29"/>
  <c r="W124" i="29"/>
  <c r="V124" i="29"/>
  <c r="AF124" i="29" s="1"/>
  <c r="AG124" i="29" s="1"/>
  <c r="U124" i="29"/>
  <c r="T124" i="29"/>
  <c r="R124" i="29"/>
  <c r="B124" i="29"/>
  <c r="A124" i="29"/>
  <c r="AE123" i="29"/>
  <c r="AD123" i="29"/>
  <c r="AC123" i="29"/>
  <c r="AB123" i="29"/>
  <c r="AA123" i="29"/>
  <c r="Z123" i="29"/>
  <c r="Y123" i="29"/>
  <c r="X123" i="29"/>
  <c r="W123" i="29"/>
  <c r="V123" i="29"/>
  <c r="U123" i="29"/>
  <c r="T123" i="29"/>
  <c r="R123" i="29"/>
  <c r="B123" i="29"/>
  <c r="A123" i="29"/>
  <c r="AE122" i="29"/>
  <c r="AD122" i="29"/>
  <c r="AC122" i="29"/>
  <c r="AB122" i="29"/>
  <c r="AA122" i="29"/>
  <c r="Z122" i="29"/>
  <c r="Y122" i="29"/>
  <c r="X122" i="29"/>
  <c r="W122" i="29"/>
  <c r="V122" i="29"/>
  <c r="U122" i="29"/>
  <c r="T122" i="29"/>
  <c r="R122" i="29"/>
  <c r="B122" i="29"/>
  <c r="A122" i="29"/>
  <c r="AG121" i="29"/>
  <c r="AE121" i="29"/>
  <c r="AD121" i="29"/>
  <c r="AC121" i="29"/>
  <c r="AB121" i="29"/>
  <c r="AA121" i="29"/>
  <c r="Z121" i="29"/>
  <c r="Y121" i="29"/>
  <c r="X121" i="29"/>
  <c r="W121" i="29"/>
  <c r="V121" i="29"/>
  <c r="U121" i="29"/>
  <c r="T121" i="29"/>
  <c r="AF121" i="29" s="1"/>
  <c r="R121" i="29"/>
  <c r="B121" i="29"/>
  <c r="A121" i="29"/>
  <c r="AE120" i="29"/>
  <c r="AD120" i="29"/>
  <c r="AC120" i="29"/>
  <c r="AB120" i="29"/>
  <c r="AA120" i="29"/>
  <c r="Z120" i="29"/>
  <c r="Y120" i="29"/>
  <c r="X120" i="29"/>
  <c r="W120" i="29"/>
  <c r="V120" i="29"/>
  <c r="U120" i="29"/>
  <c r="T120" i="29"/>
  <c r="R120" i="29"/>
  <c r="B120" i="29"/>
  <c r="A120" i="29"/>
  <c r="AE119" i="29"/>
  <c r="AD119" i="29"/>
  <c r="AC119" i="29"/>
  <c r="AB119" i="29"/>
  <c r="AA119" i="29"/>
  <c r="Z119" i="29"/>
  <c r="Y119" i="29"/>
  <c r="X119" i="29"/>
  <c r="W119" i="29"/>
  <c r="V119" i="29"/>
  <c r="U119" i="29"/>
  <c r="T119" i="29"/>
  <c r="R119" i="29"/>
  <c r="B119" i="29"/>
  <c r="A119" i="29"/>
  <c r="AE118" i="29"/>
  <c r="AD118" i="29"/>
  <c r="AC118" i="29"/>
  <c r="AB118" i="29"/>
  <c r="AA118" i="29"/>
  <c r="Z118" i="29"/>
  <c r="Y118" i="29"/>
  <c r="X118" i="29"/>
  <c r="W118" i="29"/>
  <c r="V118" i="29"/>
  <c r="U118" i="29"/>
  <c r="T118" i="29"/>
  <c r="R118" i="29"/>
  <c r="B118" i="29"/>
  <c r="A118" i="29"/>
  <c r="AE117" i="29"/>
  <c r="AD117" i="29"/>
  <c r="AC117" i="29"/>
  <c r="AB117" i="29"/>
  <c r="AA117" i="29"/>
  <c r="Z117" i="29"/>
  <c r="Y117" i="29"/>
  <c r="X117" i="29"/>
  <c r="W117" i="29"/>
  <c r="V117" i="29"/>
  <c r="U117" i="29"/>
  <c r="T117" i="29"/>
  <c r="AF117" i="29" s="1"/>
  <c r="AG117" i="29" s="1"/>
  <c r="R117" i="29"/>
  <c r="B117" i="29"/>
  <c r="A117" i="29"/>
  <c r="AE116" i="29"/>
  <c r="AD116" i="29"/>
  <c r="AC116" i="29"/>
  <c r="AB116" i="29"/>
  <c r="AA116" i="29"/>
  <c r="Z116" i="29"/>
  <c r="Y116" i="29"/>
  <c r="X116" i="29"/>
  <c r="W116" i="29"/>
  <c r="V116" i="29"/>
  <c r="AF116" i="29" s="1"/>
  <c r="AG116" i="29" s="1"/>
  <c r="U116" i="29"/>
  <c r="T116" i="29"/>
  <c r="R116" i="29"/>
  <c r="B116" i="29"/>
  <c r="A116" i="29"/>
  <c r="AE115" i="29"/>
  <c r="AD115" i="29"/>
  <c r="AC115" i="29"/>
  <c r="AB115" i="29"/>
  <c r="AA115" i="29"/>
  <c r="Z115" i="29"/>
  <c r="Y115" i="29"/>
  <c r="X115" i="29"/>
  <c r="W115" i="29"/>
  <c r="V115" i="29"/>
  <c r="U115" i="29"/>
  <c r="T115" i="29"/>
  <c r="R115" i="29"/>
  <c r="B115" i="29"/>
  <c r="A115" i="29"/>
  <c r="AE114" i="29"/>
  <c r="AD114" i="29"/>
  <c r="AC114" i="29"/>
  <c r="AB114" i="29"/>
  <c r="AA114" i="29"/>
  <c r="Z114" i="29"/>
  <c r="Y114" i="29"/>
  <c r="X114" i="29"/>
  <c r="W114" i="29"/>
  <c r="V114" i="29"/>
  <c r="U114" i="29"/>
  <c r="T114" i="29"/>
  <c r="R114" i="29"/>
  <c r="B114" i="29"/>
  <c r="A114" i="29"/>
  <c r="AG113" i="29"/>
  <c r="AE113" i="29"/>
  <c r="AD113" i="29"/>
  <c r="AC113" i="29"/>
  <c r="AB113" i="29"/>
  <c r="AA113" i="29"/>
  <c r="Z113" i="29"/>
  <c r="Y113" i="29"/>
  <c r="X113" i="29"/>
  <c r="W113" i="29"/>
  <c r="V113" i="29"/>
  <c r="U113" i="29"/>
  <c r="T113" i="29"/>
  <c r="AF113" i="29" s="1"/>
  <c r="R113" i="29"/>
  <c r="B113" i="29"/>
  <c r="A113" i="29"/>
  <c r="AE112" i="29"/>
  <c r="AD112" i="29"/>
  <c r="AC112" i="29"/>
  <c r="AB112" i="29"/>
  <c r="AA112" i="29"/>
  <c r="Z112" i="29"/>
  <c r="Y112" i="29"/>
  <c r="X112" i="29"/>
  <c r="W112" i="29"/>
  <c r="V112" i="29"/>
  <c r="U112" i="29"/>
  <c r="T112" i="29"/>
  <c r="R112" i="29"/>
  <c r="B112" i="29"/>
  <c r="A112" i="29"/>
  <c r="AE111" i="29"/>
  <c r="AD111" i="29"/>
  <c r="AC111" i="29"/>
  <c r="AB111" i="29"/>
  <c r="AA111" i="29"/>
  <c r="Z111" i="29"/>
  <c r="Y111" i="29"/>
  <c r="X111" i="29"/>
  <c r="W111" i="29"/>
  <c r="V111" i="29"/>
  <c r="U111" i="29"/>
  <c r="T111" i="29"/>
  <c r="AF111" i="29" s="1"/>
  <c r="AG111" i="29" s="1"/>
  <c r="R111" i="29"/>
  <c r="B111" i="29"/>
  <c r="A111" i="29"/>
  <c r="AE110" i="29"/>
  <c r="AD110" i="29"/>
  <c r="AC110" i="29"/>
  <c r="AB110" i="29"/>
  <c r="AA110" i="29"/>
  <c r="Z110" i="29"/>
  <c r="Y110" i="29"/>
  <c r="X110" i="29"/>
  <c r="W110" i="29"/>
  <c r="V110" i="29"/>
  <c r="AF110" i="29" s="1"/>
  <c r="AG110" i="29" s="1"/>
  <c r="U110" i="29"/>
  <c r="T110" i="29"/>
  <c r="R110" i="29"/>
  <c r="B110" i="29"/>
  <c r="A110" i="29"/>
  <c r="AG109" i="29"/>
  <c r="AE109" i="29"/>
  <c r="AD109" i="29"/>
  <c r="AC109" i="29"/>
  <c r="AB109" i="29"/>
  <c r="AA109" i="29"/>
  <c r="Z109" i="29"/>
  <c r="Y109" i="29"/>
  <c r="X109" i="29"/>
  <c r="W109" i="29"/>
  <c r="V109" i="29"/>
  <c r="U109" i="29"/>
  <c r="T109" i="29"/>
  <c r="AF109" i="29" s="1"/>
  <c r="R109" i="29"/>
  <c r="B109" i="29"/>
  <c r="A109" i="29"/>
  <c r="AE108" i="29"/>
  <c r="AD108" i="29"/>
  <c r="AC108" i="29"/>
  <c r="AB108" i="29"/>
  <c r="AA108" i="29"/>
  <c r="Z108" i="29"/>
  <c r="Y108" i="29"/>
  <c r="X108" i="29"/>
  <c r="W108" i="29"/>
  <c r="V108" i="29"/>
  <c r="U108" i="29"/>
  <c r="T108" i="29"/>
  <c r="R108" i="29"/>
  <c r="B108" i="29"/>
  <c r="A108" i="29"/>
  <c r="AE107" i="29"/>
  <c r="AD107" i="29"/>
  <c r="AC107" i="29"/>
  <c r="AB107" i="29"/>
  <c r="AA107" i="29"/>
  <c r="Z107" i="29"/>
  <c r="Y107" i="29"/>
  <c r="X107" i="29"/>
  <c r="W107" i="29"/>
  <c r="V107" i="29"/>
  <c r="AF107" i="29" s="1"/>
  <c r="AG107" i="29" s="1"/>
  <c r="U107" i="29"/>
  <c r="T107" i="29"/>
  <c r="R107" i="29"/>
  <c r="B107" i="29"/>
  <c r="A107" i="29"/>
  <c r="AG106" i="29"/>
  <c r="AE106" i="29"/>
  <c r="AD106" i="29"/>
  <c r="AC106" i="29"/>
  <c r="AB106" i="29"/>
  <c r="AA106" i="29"/>
  <c r="Z106" i="29"/>
  <c r="Y106" i="29"/>
  <c r="X106" i="29"/>
  <c r="W106" i="29"/>
  <c r="V106" i="29"/>
  <c r="U106" i="29"/>
  <c r="T106" i="29"/>
  <c r="AF106" i="29" s="1"/>
  <c r="R106" i="29"/>
  <c r="B106" i="29"/>
  <c r="A106" i="29"/>
  <c r="AE105" i="29"/>
  <c r="AD105" i="29"/>
  <c r="AC105" i="29"/>
  <c r="AB105" i="29"/>
  <c r="AA105" i="29"/>
  <c r="Z105" i="29"/>
  <c r="Y105" i="29"/>
  <c r="X105" i="29"/>
  <c r="W105" i="29"/>
  <c r="V105" i="29"/>
  <c r="AF105" i="29" s="1"/>
  <c r="AG105" i="29" s="1"/>
  <c r="U105" i="29"/>
  <c r="T105" i="29"/>
  <c r="R105" i="29"/>
  <c r="B105" i="29"/>
  <c r="A105" i="29"/>
  <c r="AM104" i="29"/>
  <c r="AE104" i="29"/>
  <c r="AD104" i="29"/>
  <c r="AC104" i="29"/>
  <c r="AB104" i="29"/>
  <c r="AA104" i="29"/>
  <c r="Z104" i="29"/>
  <c r="Y104" i="29"/>
  <c r="X104" i="29"/>
  <c r="W104" i="29"/>
  <c r="V104" i="29"/>
  <c r="U104" i="29"/>
  <c r="AF104" i="29" s="1"/>
  <c r="AG104" i="29" s="1"/>
  <c r="T104" i="29"/>
  <c r="R104" i="29"/>
  <c r="B104" i="29"/>
  <c r="A104" i="29"/>
  <c r="AE103" i="29"/>
  <c r="AD103" i="29"/>
  <c r="AC103" i="29"/>
  <c r="AB103" i="29"/>
  <c r="AA103" i="29"/>
  <c r="Z103" i="29"/>
  <c r="Y103" i="29"/>
  <c r="X103" i="29"/>
  <c r="W103" i="29"/>
  <c r="V103" i="29"/>
  <c r="AF103" i="29" s="1"/>
  <c r="AG103" i="29" s="1"/>
  <c r="U103" i="29"/>
  <c r="T103" i="29"/>
  <c r="R103" i="29"/>
  <c r="B103" i="29"/>
  <c r="A103" i="29"/>
  <c r="AE102" i="29"/>
  <c r="AD102" i="29"/>
  <c r="AC102" i="29"/>
  <c r="AB102" i="29"/>
  <c r="AA102" i="29"/>
  <c r="Z102" i="29"/>
  <c r="Y102" i="29"/>
  <c r="X102" i="29"/>
  <c r="W102" i="29"/>
  <c r="V102" i="29"/>
  <c r="U102" i="29"/>
  <c r="AF102" i="29" s="1"/>
  <c r="AG102" i="29" s="1"/>
  <c r="AM102" i="29" s="1"/>
  <c r="T102" i="29"/>
  <c r="R102" i="29"/>
  <c r="B102" i="29"/>
  <c r="A102" i="29"/>
  <c r="AE101" i="29"/>
  <c r="AD101" i="29"/>
  <c r="AC101" i="29"/>
  <c r="AB101" i="29"/>
  <c r="AA101" i="29"/>
  <c r="Z101" i="29"/>
  <c r="Y101" i="29"/>
  <c r="X101" i="29"/>
  <c r="AF101" i="29" s="1"/>
  <c r="AG101" i="29" s="1"/>
  <c r="W101" i="29"/>
  <c r="V101" i="29"/>
  <c r="U101" i="29"/>
  <c r="T101" i="29"/>
  <c r="R101" i="29"/>
  <c r="B101" i="29"/>
  <c r="A101" i="29"/>
  <c r="AE100" i="29"/>
  <c r="AD100" i="29"/>
  <c r="AC100" i="29"/>
  <c r="AB100" i="29"/>
  <c r="AA100" i="29"/>
  <c r="Z100" i="29"/>
  <c r="Y100" i="29"/>
  <c r="X100" i="29"/>
  <c r="W100" i="29"/>
  <c r="V100" i="29"/>
  <c r="U100" i="29"/>
  <c r="T100" i="29"/>
  <c r="AF100" i="29" s="1"/>
  <c r="AG100" i="29" s="1"/>
  <c r="AM100" i="29" s="1"/>
  <c r="R100" i="29"/>
  <c r="B100" i="29"/>
  <c r="A100" i="29"/>
  <c r="AE99" i="29"/>
  <c r="AD99" i="29"/>
  <c r="AC99" i="29"/>
  <c r="AB99" i="29"/>
  <c r="AA99" i="29"/>
  <c r="Z99" i="29"/>
  <c r="Y99" i="29"/>
  <c r="X99" i="29"/>
  <c r="AF99" i="29" s="1"/>
  <c r="AG99" i="29" s="1"/>
  <c r="W99" i="29"/>
  <c r="V99" i="29"/>
  <c r="U99" i="29"/>
  <c r="T99" i="29"/>
  <c r="R99" i="29"/>
  <c r="B99" i="29"/>
  <c r="A99" i="29"/>
  <c r="AE98" i="29"/>
  <c r="AD98" i="29"/>
  <c r="AC98" i="29"/>
  <c r="AB98" i="29"/>
  <c r="AA98" i="29"/>
  <c r="Z98" i="29"/>
  <c r="Y98" i="29"/>
  <c r="X98" i="29"/>
  <c r="W98" i="29"/>
  <c r="V98" i="29"/>
  <c r="U98" i="29"/>
  <c r="T98" i="29"/>
  <c r="R98" i="29"/>
  <c r="B98" i="29"/>
  <c r="A98" i="29"/>
  <c r="AE97" i="29"/>
  <c r="AD97" i="29"/>
  <c r="AC97" i="29"/>
  <c r="AB97" i="29"/>
  <c r="AA97" i="29"/>
  <c r="Z97" i="29"/>
  <c r="Y97" i="29"/>
  <c r="X97" i="29"/>
  <c r="AF97" i="29" s="1"/>
  <c r="AG97" i="29" s="1"/>
  <c r="W97" i="29"/>
  <c r="V97" i="29"/>
  <c r="U97" i="29"/>
  <c r="T97" i="29"/>
  <c r="R97" i="29"/>
  <c r="B97" i="29"/>
  <c r="A97" i="29"/>
  <c r="AE96" i="29"/>
  <c r="AD96" i="29"/>
  <c r="AC96" i="29"/>
  <c r="AB96" i="29"/>
  <c r="AA96" i="29"/>
  <c r="Z96" i="29"/>
  <c r="Y96" i="29"/>
  <c r="X96" i="29"/>
  <c r="W96" i="29"/>
  <c r="V96" i="29"/>
  <c r="U96" i="29"/>
  <c r="T96" i="29"/>
  <c r="R96" i="29"/>
  <c r="B96" i="29"/>
  <c r="A96" i="29"/>
  <c r="AE95" i="29"/>
  <c r="AD95" i="29"/>
  <c r="AC95" i="29"/>
  <c r="AB95" i="29"/>
  <c r="AA95" i="29"/>
  <c r="Z95" i="29"/>
  <c r="Y95" i="29"/>
  <c r="X95" i="29"/>
  <c r="AF95" i="29" s="1"/>
  <c r="AG95" i="29" s="1"/>
  <c r="W95" i="29"/>
  <c r="V95" i="29"/>
  <c r="U95" i="29"/>
  <c r="T95" i="29"/>
  <c r="R95" i="29"/>
  <c r="B95" i="29"/>
  <c r="A95" i="29"/>
  <c r="AE94" i="29"/>
  <c r="AD94" i="29"/>
  <c r="AC94" i="29"/>
  <c r="AB94" i="29"/>
  <c r="AA94" i="29"/>
  <c r="Z94" i="29"/>
  <c r="Y94" i="29"/>
  <c r="X94" i="29"/>
  <c r="AF94" i="29" s="1"/>
  <c r="AG94" i="29" s="1"/>
  <c r="W94" i="29"/>
  <c r="V94" i="29"/>
  <c r="U94" i="29"/>
  <c r="T94" i="29"/>
  <c r="R94" i="29"/>
  <c r="B94" i="29"/>
  <c r="A94" i="29"/>
  <c r="AE93" i="29"/>
  <c r="AD93" i="29"/>
  <c r="AC93" i="29"/>
  <c r="AB93" i="29"/>
  <c r="AA93" i="29"/>
  <c r="Z93" i="29"/>
  <c r="Y93" i="29"/>
  <c r="X93" i="29"/>
  <c r="W93" i="29"/>
  <c r="V93" i="29"/>
  <c r="U93" i="29"/>
  <c r="T93" i="29"/>
  <c r="R93" i="29"/>
  <c r="B93" i="29"/>
  <c r="A93" i="29"/>
  <c r="AE92" i="29"/>
  <c r="AD92" i="29"/>
  <c r="AC92" i="29"/>
  <c r="AB92" i="29"/>
  <c r="AA92" i="29"/>
  <c r="Z92" i="29"/>
  <c r="Y92" i="29"/>
  <c r="X92" i="29"/>
  <c r="W92" i="29"/>
  <c r="V92" i="29"/>
  <c r="U92" i="29"/>
  <c r="T92" i="29"/>
  <c r="R92" i="29"/>
  <c r="B92" i="29"/>
  <c r="A92" i="29"/>
  <c r="AE91" i="29"/>
  <c r="AD91" i="29"/>
  <c r="AC91" i="29"/>
  <c r="AB91" i="29"/>
  <c r="AA91" i="29"/>
  <c r="Z91" i="29"/>
  <c r="Y91" i="29"/>
  <c r="X91" i="29"/>
  <c r="W91" i="29"/>
  <c r="V91" i="29"/>
  <c r="U91" i="29"/>
  <c r="T91" i="29"/>
  <c r="AF91" i="29" s="1"/>
  <c r="AG91" i="29" s="1"/>
  <c r="R91" i="29"/>
  <c r="B91" i="29"/>
  <c r="A91" i="29"/>
  <c r="AE90" i="29"/>
  <c r="AD90" i="29"/>
  <c r="AC90" i="29"/>
  <c r="AB90" i="29"/>
  <c r="AA90" i="29"/>
  <c r="Z90" i="29"/>
  <c r="Y90" i="29"/>
  <c r="X90" i="29"/>
  <c r="W90" i="29"/>
  <c r="V90" i="29"/>
  <c r="U90" i="29"/>
  <c r="AF90" i="29" s="1"/>
  <c r="AG90" i="29" s="1"/>
  <c r="T90" i="29"/>
  <c r="R90" i="29"/>
  <c r="B90" i="29"/>
  <c r="A90" i="29"/>
  <c r="AM89" i="29"/>
  <c r="AE89" i="29"/>
  <c r="AD89" i="29"/>
  <c r="AC89" i="29"/>
  <c r="AB89" i="29"/>
  <c r="AA89" i="29"/>
  <c r="Z89" i="29"/>
  <c r="Y89" i="29"/>
  <c r="X89" i="29"/>
  <c r="W89" i="29"/>
  <c r="V89" i="29"/>
  <c r="U89" i="29"/>
  <c r="T89" i="29"/>
  <c r="AF89" i="29" s="1"/>
  <c r="AG89" i="29" s="1"/>
  <c r="R89" i="29"/>
  <c r="B89" i="29"/>
  <c r="A89" i="29"/>
  <c r="AE88" i="29"/>
  <c r="AD88" i="29"/>
  <c r="AC88" i="29"/>
  <c r="AB88" i="29"/>
  <c r="AA88" i="29"/>
  <c r="Z88" i="29"/>
  <c r="Y88" i="29"/>
  <c r="X88" i="29"/>
  <c r="W88" i="29"/>
  <c r="V88" i="29"/>
  <c r="AF88" i="29" s="1"/>
  <c r="AG88" i="29" s="1"/>
  <c r="U88" i="29"/>
  <c r="T88" i="29"/>
  <c r="R88" i="29"/>
  <c r="B88" i="29"/>
  <c r="A88" i="29"/>
  <c r="AE87" i="29"/>
  <c r="AD87" i="29"/>
  <c r="AC87" i="29"/>
  <c r="AB87" i="29"/>
  <c r="AA87" i="29"/>
  <c r="Z87" i="29"/>
  <c r="Y87" i="29"/>
  <c r="X87" i="29"/>
  <c r="W87" i="29"/>
  <c r="V87" i="29"/>
  <c r="U87" i="29"/>
  <c r="T87" i="29"/>
  <c r="R87" i="29"/>
  <c r="B87" i="29"/>
  <c r="A87" i="29"/>
  <c r="AE86" i="29"/>
  <c r="AD86" i="29"/>
  <c r="AC86" i="29"/>
  <c r="AB86" i="29"/>
  <c r="AA86" i="29"/>
  <c r="Z86" i="29"/>
  <c r="Y86" i="29"/>
  <c r="X86" i="29"/>
  <c r="AF86" i="29" s="1"/>
  <c r="AG86" i="29" s="1"/>
  <c r="W86" i="29"/>
  <c r="V86" i="29"/>
  <c r="U86" i="29"/>
  <c r="T86" i="29"/>
  <c r="R86" i="29"/>
  <c r="B86" i="29"/>
  <c r="A86" i="29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AF85" i="29" s="1"/>
  <c r="AG85" i="29" s="1"/>
  <c r="R85" i="29"/>
  <c r="B85" i="29"/>
  <c r="A85" i="29"/>
  <c r="AE84" i="29"/>
  <c r="AD84" i="29"/>
  <c r="AC84" i="29"/>
  <c r="AB84" i="29"/>
  <c r="AA84" i="29"/>
  <c r="Z84" i="29"/>
  <c r="Y84" i="29"/>
  <c r="X84" i="29"/>
  <c r="W84" i="29"/>
  <c r="V84" i="29"/>
  <c r="U84" i="29"/>
  <c r="T84" i="29"/>
  <c r="R84" i="29"/>
  <c r="B84" i="29"/>
  <c r="A84" i="29"/>
  <c r="AE83" i="29"/>
  <c r="AD83" i="29"/>
  <c r="AC83" i="29"/>
  <c r="AB83" i="29"/>
  <c r="AA83" i="29"/>
  <c r="Z83" i="29"/>
  <c r="Y83" i="29"/>
  <c r="X83" i="29"/>
  <c r="W83" i="29"/>
  <c r="V83" i="29"/>
  <c r="U83" i="29"/>
  <c r="T83" i="29"/>
  <c r="AF83" i="29" s="1"/>
  <c r="AG83" i="29" s="1"/>
  <c r="R83" i="29"/>
  <c r="B83" i="29"/>
  <c r="A83" i="29"/>
  <c r="AE82" i="29"/>
  <c r="AD82" i="29"/>
  <c r="AC82" i="29"/>
  <c r="AB82" i="29"/>
  <c r="AA82" i="29"/>
  <c r="Z82" i="29"/>
  <c r="Y82" i="29"/>
  <c r="X82" i="29"/>
  <c r="W82" i="29"/>
  <c r="AF82" i="29" s="1"/>
  <c r="AG82" i="29" s="1"/>
  <c r="V82" i="29"/>
  <c r="U82" i="29"/>
  <c r="T82" i="29"/>
  <c r="R82" i="29"/>
  <c r="B82" i="29"/>
  <c r="A82" i="29"/>
  <c r="AE81" i="29"/>
  <c r="AD81" i="29"/>
  <c r="AC81" i="29"/>
  <c r="AB81" i="29"/>
  <c r="AA81" i="29"/>
  <c r="Z81" i="29"/>
  <c r="Y81" i="29"/>
  <c r="X81" i="29"/>
  <c r="AF81" i="29" s="1"/>
  <c r="AG81" i="29" s="1"/>
  <c r="W81" i="29"/>
  <c r="V81" i="29"/>
  <c r="U81" i="29"/>
  <c r="T81" i="29"/>
  <c r="R81" i="29"/>
  <c r="B81" i="29"/>
  <c r="A81" i="29"/>
  <c r="AE80" i="29"/>
  <c r="AD80" i="29"/>
  <c r="AC80" i="29"/>
  <c r="AB80" i="29"/>
  <c r="AA80" i="29"/>
  <c r="Z80" i="29"/>
  <c r="Y80" i="29"/>
  <c r="X80" i="29"/>
  <c r="W80" i="29"/>
  <c r="V80" i="29"/>
  <c r="U80" i="29"/>
  <c r="T80" i="29"/>
  <c r="R80" i="29"/>
  <c r="B80" i="29"/>
  <c r="A80" i="29"/>
  <c r="AE79" i="29"/>
  <c r="AD79" i="29"/>
  <c r="AC79" i="29"/>
  <c r="AB79" i="29"/>
  <c r="AA79" i="29"/>
  <c r="Z79" i="29"/>
  <c r="Y79" i="29"/>
  <c r="X79" i="29"/>
  <c r="W79" i="29"/>
  <c r="V79" i="29"/>
  <c r="U79" i="29"/>
  <c r="T79" i="29"/>
  <c r="R79" i="29"/>
  <c r="B79" i="29"/>
  <c r="A79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R78" i="29"/>
  <c r="B78" i="29"/>
  <c r="A78" i="29"/>
  <c r="AE77" i="29"/>
  <c r="AD77" i="29"/>
  <c r="AC77" i="29"/>
  <c r="AB77" i="29"/>
  <c r="AA77" i="29"/>
  <c r="Z77" i="29"/>
  <c r="Y77" i="29"/>
  <c r="X77" i="29"/>
  <c r="W77" i="29"/>
  <c r="AF77" i="29" s="1"/>
  <c r="AG77" i="29" s="1"/>
  <c r="V77" i="29"/>
  <c r="U77" i="29"/>
  <c r="T77" i="29"/>
  <c r="R77" i="29"/>
  <c r="B77" i="29"/>
  <c r="A77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R76" i="29"/>
  <c r="B76" i="29"/>
  <c r="A76" i="29"/>
  <c r="AE75" i="29"/>
  <c r="AD75" i="29"/>
  <c r="AC75" i="29"/>
  <c r="AB75" i="29"/>
  <c r="AA75" i="29"/>
  <c r="Z75" i="29"/>
  <c r="Y75" i="29"/>
  <c r="X75" i="29"/>
  <c r="W75" i="29"/>
  <c r="V75" i="29"/>
  <c r="AF75" i="29" s="1"/>
  <c r="AG75" i="29" s="1"/>
  <c r="U75" i="29"/>
  <c r="T75" i="29"/>
  <c r="R75" i="29"/>
  <c r="B75" i="29"/>
  <c r="A75" i="29"/>
  <c r="AE74" i="29"/>
  <c r="AD74" i="29"/>
  <c r="AC74" i="29"/>
  <c r="AB74" i="29"/>
  <c r="AA74" i="29"/>
  <c r="Z74" i="29"/>
  <c r="Y74" i="29"/>
  <c r="X74" i="29"/>
  <c r="W74" i="29"/>
  <c r="V74" i="29"/>
  <c r="U74" i="29"/>
  <c r="T74" i="29"/>
  <c r="R74" i="29"/>
  <c r="B74" i="29"/>
  <c r="A74" i="29"/>
  <c r="AE73" i="29"/>
  <c r="AD73" i="29"/>
  <c r="AC73" i="29"/>
  <c r="AB73" i="29"/>
  <c r="AA73" i="29"/>
  <c r="Z73" i="29"/>
  <c r="Y73" i="29"/>
  <c r="X73" i="29"/>
  <c r="AF73" i="29" s="1"/>
  <c r="AG73" i="29" s="1"/>
  <c r="W73" i="29"/>
  <c r="V73" i="29"/>
  <c r="U73" i="29"/>
  <c r="T73" i="29"/>
  <c r="R73" i="29"/>
  <c r="B73" i="29"/>
  <c r="A73" i="29"/>
  <c r="AE72" i="29"/>
  <c r="AD72" i="29"/>
  <c r="AC72" i="29"/>
  <c r="AB72" i="29"/>
  <c r="AA72" i="29"/>
  <c r="Z72" i="29"/>
  <c r="Y72" i="29"/>
  <c r="X72" i="29"/>
  <c r="W72" i="29"/>
  <c r="V72" i="29"/>
  <c r="U72" i="29"/>
  <c r="AF72" i="29" s="1"/>
  <c r="AG72" i="29" s="1"/>
  <c r="T72" i="29"/>
  <c r="R72" i="29"/>
  <c r="B72" i="29"/>
  <c r="A72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R71" i="29"/>
  <c r="B71" i="29"/>
  <c r="A71" i="29"/>
  <c r="AE70" i="29"/>
  <c r="AD70" i="29"/>
  <c r="AC70" i="29"/>
  <c r="AB70" i="29"/>
  <c r="AA70" i="29"/>
  <c r="Z70" i="29"/>
  <c r="Y70" i="29"/>
  <c r="X70" i="29"/>
  <c r="W70" i="29"/>
  <c r="V70" i="29"/>
  <c r="U70" i="29"/>
  <c r="T70" i="29"/>
  <c r="R70" i="29"/>
  <c r="B70" i="29"/>
  <c r="A70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AF69" i="29" s="1"/>
  <c r="AG69" i="29" s="1"/>
  <c r="AM69" i="29" s="1"/>
  <c r="R69" i="29"/>
  <c r="B69" i="29"/>
  <c r="A69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R68" i="29"/>
  <c r="B68" i="29"/>
  <c r="A68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R67" i="29"/>
  <c r="B67" i="29"/>
  <c r="A67" i="29"/>
  <c r="AE66" i="29"/>
  <c r="AD66" i="29"/>
  <c r="AC66" i="29"/>
  <c r="AB66" i="29"/>
  <c r="AA66" i="29"/>
  <c r="Z66" i="29"/>
  <c r="Y66" i="29"/>
  <c r="X66" i="29"/>
  <c r="W66" i="29"/>
  <c r="AF66" i="29" s="1"/>
  <c r="AG66" i="29" s="1"/>
  <c r="V66" i="29"/>
  <c r="U66" i="29"/>
  <c r="T66" i="29"/>
  <c r="R66" i="29"/>
  <c r="B66" i="29"/>
  <c r="A66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R65" i="29"/>
  <c r="B65" i="29"/>
  <c r="A65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R64" i="29"/>
  <c r="B64" i="29"/>
  <c r="A64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R63" i="29"/>
  <c r="B63" i="29"/>
  <c r="A63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R62" i="29"/>
  <c r="B62" i="29"/>
  <c r="A62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R61" i="29"/>
  <c r="B61" i="29"/>
  <c r="A61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R60" i="29"/>
  <c r="B60" i="29"/>
  <c r="A60" i="29"/>
  <c r="B59" i="29"/>
  <c r="B58" i="29"/>
  <c r="B57" i="29"/>
  <c r="B56" i="29"/>
  <c r="B55" i="29"/>
  <c r="Q54" i="29"/>
  <c r="P54" i="29"/>
  <c r="O54" i="29"/>
  <c r="O204" i="29" s="1"/>
  <c r="N54" i="29"/>
  <c r="M54" i="29"/>
  <c r="L54" i="29"/>
  <c r="K54" i="29"/>
  <c r="J54" i="29"/>
  <c r="I54" i="29"/>
  <c r="H54" i="29"/>
  <c r="G54" i="29"/>
  <c r="G204" i="29" s="1"/>
  <c r="F54" i="29"/>
  <c r="B54" i="29"/>
  <c r="B53" i="29"/>
  <c r="AE52" i="29"/>
  <c r="AA52" i="29"/>
  <c r="X52" i="29"/>
  <c r="W52" i="29"/>
  <c r="V52" i="29"/>
  <c r="R52" i="29"/>
  <c r="E52" i="29"/>
  <c r="Z52" i="29" s="1"/>
  <c r="B52" i="29"/>
  <c r="A52" i="29"/>
  <c r="AE51" i="29"/>
  <c r="AD51" i="29"/>
  <c r="AC51" i="29"/>
  <c r="AB51" i="29"/>
  <c r="Y51" i="29"/>
  <c r="X51" i="29"/>
  <c r="X54" i="29" s="1"/>
  <c r="W51" i="29"/>
  <c r="V51" i="29"/>
  <c r="U51" i="29"/>
  <c r="T51" i="29"/>
  <c r="R51" i="29"/>
  <c r="E51" i="29"/>
  <c r="B51" i="29"/>
  <c r="A51" i="29"/>
  <c r="AE50" i="29"/>
  <c r="AE54" i="29" s="1"/>
  <c r="AD50" i="29"/>
  <c r="AC50" i="29"/>
  <c r="AB50" i="29"/>
  <c r="AA50" i="29"/>
  <c r="Z50" i="29"/>
  <c r="Y50" i="29"/>
  <c r="X50" i="29"/>
  <c r="W50" i="29"/>
  <c r="V50" i="29"/>
  <c r="U50" i="29"/>
  <c r="T50" i="29"/>
  <c r="R50" i="29"/>
  <c r="R54" i="29" s="1"/>
  <c r="B50" i="29"/>
  <c r="A50" i="29"/>
  <c r="B49" i="29"/>
  <c r="B48" i="29"/>
  <c r="B47" i="29"/>
  <c r="AC46" i="29"/>
  <c r="AB46" i="29"/>
  <c r="T46" i="29"/>
  <c r="Q46" i="29"/>
  <c r="P46" i="29"/>
  <c r="O46" i="29"/>
  <c r="N46" i="29"/>
  <c r="M46" i="29"/>
  <c r="L46" i="29"/>
  <c r="K46" i="29"/>
  <c r="K204" i="29" s="1"/>
  <c r="J46" i="29"/>
  <c r="I46" i="29"/>
  <c r="H46" i="29"/>
  <c r="G46" i="29"/>
  <c r="F46" i="29"/>
  <c r="B46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B45" i="29"/>
  <c r="AE44" i="29"/>
  <c r="AD44" i="29"/>
  <c r="AC44" i="29"/>
  <c r="AB44" i="29"/>
  <c r="AA44" i="29"/>
  <c r="Z44" i="29"/>
  <c r="Y44" i="29"/>
  <c r="X44" i="29"/>
  <c r="W44" i="29"/>
  <c r="V44" i="29"/>
  <c r="U44" i="29"/>
  <c r="U46" i="29" s="1"/>
  <c r="T44" i="29"/>
  <c r="R44" i="29"/>
  <c r="B44" i="29"/>
  <c r="A44" i="29"/>
  <c r="AE43" i="29"/>
  <c r="AE46" i="29" s="1"/>
  <c r="AD43" i="29"/>
  <c r="AD46" i="29" s="1"/>
  <c r="AC43" i="29"/>
  <c r="AB43" i="29"/>
  <c r="AA43" i="29"/>
  <c r="Z43" i="29"/>
  <c r="Y43" i="29"/>
  <c r="Y46" i="29" s="1"/>
  <c r="X43" i="29"/>
  <c r="X46" i="29" s="1"/>
  <c r="W43" i="29"/>
  <c r="W46" i="29" s="1"/>
  <c r="V43" i="29"/>
  <c r="AF43" i="29" s="1"/>
  <c r="U43" i="29"/>
  <c r="T43" i="29"/>
  <c r="R43" i="29"/>
  <c r="B43" i="29"/>
  <c r="A43" i="29"/>
  <c r="V42" i="29"/>
  <c r="U42" i="29"/>
  <c r="T42" i="29"/>
  <c r="B42" i="29"/>
  <c r="AE41" i="29"/>
  <c r="B41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B40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AF38" i="29" s="1"/>
  <c r="AG38" i="29" s="1"/>
  <c r="R38" i="29"/>
  <c r="B38" i="29"/>
  <c r="A38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R37" i="29"/>
  <c r="B37" i="29"/>
  <c r="A37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AF36" i="29" s="1"/>
  <c r="AG36" i="29" s="1"/>
  <c r="R36" i="29"/>
  <c r="B36" i="29"/>
  <c r="A36" i="29"/>
  <c r="AE35" i="29"/>
  <c r="Z35" i="29"/>
  <c r="W35" i="29"/>
  <c r="V35" i="29"/>
  <c r="R35" i="29"/>
  <c r="E35" i="29"/>
  <c r="B35" i="29"/>
  <c r="A35" i="29"/>
  <c r="AE34" i="29"/>
  <c r="AD34" i="29"/>
  <c r="AC34" i="29"/>
  <c r="AB34" i="29"/>
  <c r="AA34" i="29"/>
  <c r="Z34" i="29"/>
  <c r="Y34" i="29"/>
  <c r="X34" i="29"/>
  <c r="W34" i="29"/>
  <c r="V34" i="29"/>
  <c r="U34" i="29"/>
  <c r="AF34" i="29" s="1"/>
  <c r="AG34" i="29" s="1"/>
  <c r="T34" i="29"/>
  <c r="R34" i="29"/>
  <c r="B34" i="29"/>
  <c r="A34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AF33" i="29" s="1"/>
  <c r="AG33" i="29" s="1"/>
  <c r="R33" i="29"/>
  <c r="B33" i="29"/>
  <c r="A33" i="29"/>
  <c r="AE32" i="29"/>
  <c r="AD32" i="29"/>
  <c r="AC32" i="29"/>
  <c r="AB32" i="29"/>
  <c r="AA32" i="29"/>
  <c r="Z32" i="29"/>
  <c r="Y32" i="29"/>
  <c r="X32" i="29"/>
  <c r="AF32" i="29" s="1"/>
  <c r="AG32" i="29" s="1"/>
  <c r="W32" i="29"/>
  <c r="V32" i="29"/>
  <c r="U32" i="29"/>
  <c r="T32" i="29"/>
  <c r="R32" i="29"/>
  <c r="B32" i="29"/>
  <c r="A32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AF31" i="29" s="1"/>
  <c r="AG31" i="29" s="1"/>
  <c r="R31" i="29"/>
  <c r="B31" i="29"/>
  <c r="A31" i="29"/>
  <c r="AE30" i="29"/>
  <c r="AD30" i="29"/>
  <c r="AC30" i="29"/>
  <c r="AB30" i="29"/>
  <c r="AA30" i="29"/>
  <c r="Z30" i="29"/>
  <c r="Y30" i="29"/>
  <c r="X30" i="29"/>
  <c r="W30" i="29"/>
  <c r="AF30" i="29" s="1"/>
  <c r="AG30" i="29" s="1"/>
  <c r="V30" i="29"/>
  <c r="U30" i="29"/>
  <c r="T30" i="29"/>
  <c r="R30" i="29"/>
  <c r="B30" i="29"/>
  <c r="A30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R29" i="29"/>
  <c r="B29" i="29"/>
  <c r="A29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R28" i="29"/>
  <c r="B28" i="29"/>
  <c r="A28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AF27" i="29" s="1"/>
  <c r="AG27" i="29" s="1"/>
  <c r="R27" i="29"/>
  <c r="B27" i="29"/>
  <c r="A27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R26" i="29"/>
  <c r="B26" i="29"/>
  <c r="A26" i="29"/>
  <c r="AE25" i="29"/>
  <c r="AD25" i="29"/>
  <c r="AC25" i="29"/>
  <c r="AB25" i="29"/>
  <c r="AA25" i="29"/>
  <c r="Z25" i="29"/>
  <c r="Y25" i="29"/>
  <c r="X25" i="29"/>
  <c r="W25" i="29"/>
  <c r="V25" i="29"/>
  <c r="AF25" i="29" s="1"/>
  <c r="AG25" i="29" s="1"/>
  <c r="U25" i="29"/>
  <c r="T25" i="29"/>
  <c r="R25" i="29"/>
  <c r="B25" i="29"/>
  <c r="A25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AF24" i="29" s="1"/>
  <c r="AG24" i="29" s="1"/>
  <c r="R24" i="29"/>
  <c r="B24" i="29"/>
  <c r="A24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AF23" i="29" s="1"/>
  <c r="AG23" i="29" s="1"/>
  <c r="R23" i="29"/>
  <c r="B23" i="29"/>
  <c r="A23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R22" i="29"/>
  <c r="B22" i="29"/>
  <c r="A22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AF21" i="29" s="1"/>
  <c r="AG21" i="29" s="1"/>
  <c r="R21" i="29"/>
  <c r="B21" i="29"/>
  <c r="A21" i="29"/>
  <c r="AE20" i="29"/>
  <c r="AD20" i="29"/>
  <c r="AC20" i="29"/>
  <c r="AB20" i="29"/>
  <c r="AA20" i="29"/>
  <c r="Z20" i="29"/>
  <c r="Y20" i="29"/>
  <c r="X20" i="29"/>
  <c r="AF20" i="29" s="1"/>
  <c r="AG20" i="29" s="1"/>
  <c r="W20" i="29"/>
  <c r="V20" i="29"/>
  <c r="U20" i="29"/>
  <c r="T20" i="29"/>
  <c r="R20" i="29"/>
  <c r="B20" i="29"/>
  <c r="A20" i="29"/>
  <c r="AG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AF19" i="29" s="1"/>
  <c r="R19" i="29"/>
  <c r="B19" i="29"/>
  <c r="A19" i="29"/>
  <c r="AE18" i="29"/>
  <c r="AD18" i="29"/>
  <c r="AC18" i="29"/>
  <c r="AB18" i="29"/>
  <c r="AA18" i="29"/>
  <c r="Z18" i="29"/>
  <c r="Y18" i="29"/>
  <c r="X18" i="29"/>
  <c r="AF18" i="29" s="1"/>
  <c r="AG18" i="29" s="1"/>
  <c r="W18" i="29"/>
  <c r="V18" i="29"/>
  <c r="U18" i="29"/>
  <c r="T18" i="29"/>
  <c r="R18" i="29"/>
  <c r="B18" i="29"/>
  <c r="A18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AF17" i="29" s="1"/>
  <c r="AG17" i="29" s="1"/>
  <c r="R17" i="29"/>
  <c r="B17" i="29"/>
  <c r="A17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AF16" i="29" s="1"/>
  <c r="AG16" i="29" s="1"/>
  <c r="R16" i="29"/>
  <c r="B16" i="29"/>
  <c r="A16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R15" i="29"/>
  <c r="B15" i="29"/>
  <c r="A15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R14" i="29"/>
  <c r="B14" i="29"/>
  <c r="A14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AF13" i="29" s="1"/>
  <c r="AG13" i="29" s="1"/>
  <c r="R13" i="29"/>
  <c r="B13" i="29"/>
  <c r="A13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R12" i="29"/>
  <c r="B12" i="29"/>
  <c r="A12" i="29"/>
  <c r="AE11" i="29"/>
  <c r="AD11" i="29"/>
  <c r="AD41" i="29" s="1"/>
  <c r="AC11" i="29"/>
  <c r="AC41" i="29" s="1"/>
  <c r="AB11" i="29"/>
  <c r="AA11" i="29"/>
  <c r="AA41" i="29" s="1"/>
  <c r="Z11" i="29"/>
  <c r="Y11" i="29"/>
  <c r="X11" i="29"/>
  <c r="W11" i="29"/>
  <c r="W41" i="29" s="1"/>
  <c r="V11" i="29"/>
  <c r="V41" i="29" s="1"/>
  <c r="U11" i="29"/>
  <c r="U40" i="29" s="1"/>
  <c r="T11" i="29"/>
  <c r="R11" i="29"/>
  <c r="B11" i="29"/>
  <c r="A11" i="29"/>
  <c r="AE10" i="29"/>
  <c r="AE40" i="29" s="1"/>
  <c r="AD10" i="29"/>
  <c r="AC10" i="29"/>
  <c r="AB10" i="29"/>
  <c r="AA10" i="29"/>
  <c r="Z10" i="29"/>
  <c r="Y10" i="29"/>
  <c r="X10" i="29"/>
  <c r="W10" i="29"/>
  <c r="W40" i="29" s="1"/>
  <c r="V10" i="29"/>
  <c r="U10" i="29"/>
  <c r="T10" i="29"/>
  <c r="R10" i="29"/>
  <c r="B10" i="29"/>
  <c r="A10" i="29"/>
  <c r="AE4" i="29"/>
  <c r="AD4" i="29"/>
  <c r="AC4" i="29"/>
  <c r="AB4" i="29"/>
  <c r="AA4" i="29"/>
  <c r="Z4" i="29"/>
  <c r="Y4" i="29"/>
  <c r="X4" i="29"/>
  <c r="W4" i="29"/>
  <c r="V4" i="29"/>
  <c r="U4" i="29"/>
  <c r="T4" i="29"/>
  <c r="AM21" i="29" l="1"/>
  <c r="AM16" i="29"/>
  <c r="AM18" i="29"/>
  <c r="AM20" i="29"/>
  <c r="AM17" i="29"/>
  <c r="AM19" i="29"/>
  <c r="AF46" i="29"/>
  <c r="AG43" i="29"/>
  <c r="T40" i="29"/>
  <c r="AF29" i="29"/>
  <c r="AG29" i="29" s="1"/>
  <c r="Z46" i="29"/>
  <c r="AM75" i="29"/>
  <c r="AM94" i="29"/>
  <c r="AJ145" i="29" s="1"/>
  <c r="AM212" i="29" s="1"/>
  <c r="AM101" i="29"/>
  <c r="AF45" i="29"/>
  <c r="AG45" i="29" s="1"/>
  <c r="AF10" i="29"/>
  <c r="AD40" i="29"/>
  <c r="AF12" i="29"/>
  <c r="AG12" i="29" s="1"/>
  <c r="AC40" i="29"/>
  <c r="AF14" i="29"/>
  <c r="AG14" i="29" s="1"/>
  <c r="AF22" i="29"/>
  <c r="AG22" i="29" s="1"/>
  <c r="AF26" i="29"/>
  <c r="AG26" i="29" s="1"/>
  <c r="AF28" i="29"/>
  <c r="AG28" i="29" s="1"/>
  <c r="V46" i="29"/>
  <c r="AM13" i="29"/>
  <c r="Z40" i="29"/>
  <c r="Z41" i="29"/>
  <c r="X41" i="29"/>
  <c r="AF37" i="29"/>
  <c r="AG37" i="29" s="1"/>
  <c r="V40" i="29"/>
  <c r="AF15" i="29"/>
  <c r="AG15" i="29" s="1"/>
  <c r="U41" i="29"/>
  <c r="AB41" i="29"/>
  <c r="AB40" i="29"/>
  <c r="T54" i="29"/>
  <c r="AF50" i="29"/>
  <c r="AB54" i="29"/>
  <c r="AM81" i="29"/>
  <c r="R40" i="29"/>
  <c r="AM77" i="29"/>
  <c r="AM86" i="29"/>
  <c r="AM95" i="29"/>
  <c r="AA40" i="29"/>
  <c r="AB35" i="29"/>
  <c r="T35" i="29"/>
  <c r="AA35" i="29"/>
  <c r="R46" i="29"/>
  <c r="S46" i="29" s="1"/>
  <c r="AA46" i="29"/>
  <c r="AM107" i="29"/>
  <c r="AC35" i="29"/>
  <c r="AF80" i="29"/>
  <c r="AG80" i="29" s="1"/>
  <c r="AM82" i="29"/>
  <c r="AF98" i="29"/>
  <c r="AG98" i="29" s="1"/>
  <c r="AM105" i="29"/>
  <c r="AM180" i="29"/>
  <c r="AM73" i="29"/>
  <c r="AM88" i="29"/>
  <c r="Y41" i="29"/>
  <c r="U35" i="29"/>
  <c r="AD35" i="29"/>
  <c r="AA54" i="29"/>
  <c r="AA204" i="29" s="1"/>
  <c r="T147" i="29"/>
  <c r="T204" i="29" s="1"/>
  <c r="AF61" i="29"/>
  <c r="AG61" i="29" s="1"/>
  <c r="AF67" i="29"/>
  <c r="AG67" i="29" s="1"/>
  <c r="AM103" i="29"/>
  <c r="U147" i="29"/>
  <c r="AC147" i="29"/>
  <c r="AD147" i="29"/>
  <c r="AM91" i="29"/>
  <c r="AF96" i="29"/>
  <c r="AG96" i="29" s="1"/>
  <c r="AM99" i="29"/>
  <c r="AF151" i="29"/>
  <c r="AF44" i="29"/>
  <c r="AG44" i="29" s="1"/>
  <c r="V54" i="29"/>
  <c r="AE147" i="29"/>
  <c r="AE204" i="29" s="1"/>
  <c r="AF63" i="29"/>
  <c r="AG63" i="29" s="1"/>
  <c r="AF65" i="29"/>
  <c r="AG65" i="29" s="1"/>
  <c r="AF68" i="29"/>
  <c r="AG68" i="29" s="1"/>
  <c r="AM72" i="29"/>
  <c r="AF76" i="29"/>
  <c r="AG76" i="29" s="1"/>
  <c r="V147" i="29"/>
  <c r="AM85" i="29"/>
  <c r="X40" i="29"/>
  <c r="AF11" i="29"/>
  <c r="X35" i="29"/>
  <c r="Y40" i="29"/>
  <c r="Y35" i="29"/>
  <c r="T41" i="29"/>
  <c r="W54" i="29"/>
  <c r="X147" i="29"/>
  <c r="AF60" i="29"/>
  <c r="AM66" i="29"/>
  <c r="AF71" i="29"/>
  <c r="AG71" i="29" s="1"/>
  <c r="AF79" i="29"/>
  <c r="AG79" i="29" s="1"/>
  <c r="AM83" i="29"/>
  <c r="AM90" i="29"/>
  <c r="AM97" i="29"/>
  <c r="Z202" i="29"/>
  <c r="AF198" i="29"/>
  <c r="AG198" i="29" s="1"/>
  <c r="AP198" i="29" s="1"/>
  <c r="AQ198" i="29" s="1"/>
  <c r="V204" i="29"/>
  <c r="W147" i="29"/>
  <c r="AF64" i="29"/>
  <c r="AG64" i="29" s="1"/>
  <c r="AF93" i="29"/>
  <c r="AG93" i="29" s="1"/>
  <c r="AM179" i="29"/>
  <c r="AP200" i="29"/>
  <c r="AQ200" i="29" s="1"/>
  <c r="AM106" i="29"/>
  <c r="AF112" i="29"/>
  <c r="AG112" i="29" s="1"/>
  <c r="AF118" i="29"/>
  <c r="AG118" i="29" s="1"/>
  <c r="Y52" i="29"/>
  <c r="Y54" i="29" s="1"/>
  <c r="Y147" i="29"/>
  <c r="AF70" i="29"/>
  <c r="AG70" i="29" s="1"/>
  <c r="AF74" i="29"/>
  <c r="AG74" i="29" s="1"/>
  <c r="AF78" i="29"/>
  <c r="AG78" i="29" s="1"/>
  <c r="AF141" i="29"/>
  <c r="AG141" i="29" s="1"/>
  <c r="I204" i="29"/>
  <c r="Q204" i="29"/>
  <c r="F204" i="29"/>
  <c r="N204" i="29"/>
  <c r="AD204" i="29"/>
  <c r="AF87" i="29"/>
  <c r="AG87" i="29" s="1"/>
  <c r="U153" i="29"/>
  <c r="AC153" i="29"/>
  <c r="W188" i="29"/>
  <c r="W204" i="29" s="1"/>
  <c r="AF177" i="29"/>
  <c r="AG177" i="29" s="1"/>
  <c r="M204" i="29"/>
  <c r="AA147" i="29"/>
  <c r="AF62" i="29"/>
  <c r="AG62" i="29" s="1"/>
  <c r="AF133" i="29"/>
  <c r="AG133" i="29" s="1"/>
  <c r="J204" i="29"/>
  <c r="AC52" i="29"/>
  <c r="AC54" i="29" s="1"/>
  <c r="U52" i="29"/>
  <c r="U54" i="29" s="1"/>
  <c r="AB52" i="29"/>
  <c r="T52" i="29"/>
  <c r="AD52" i="29"/>
  <c r="AD54" i="29" s="1"/>
  <c r="AB147" i="29"/>
  <c r="AB204" i="29" s="1"/>
  <c r="AF108" i="29"/>
  <c r="AG108" i="29" s="1"/>
  <c r="AF119" i="29"/>
  <c r="AG119" i="29" s="1"/>
  <c r="AF127" i="29"/>
  <c r="AG127" i="29" s="1"/>
  <c r="AF135" i="29"/>
  <c r="AG135" i="29" s="1"/>
  <c r="AF167" i="29"/>
  <c r="AG167" i="29" s="1"/>
  <c r="X188" i="29"/>
  <c r="AF182" i="29"/>
  <c r="AG182" i="29" s="1"/>
  <c r="Z51" i="29"/>
  <c r="Z54" i="29" s="1"/>
  <c r="Z147" i="29"/>
  <c r="AF84" i="29"/>
  <c r="AG84" i="29" s="1"/>
  <c r="AF120" i="29"/>
  <c r="AG120" i="29" s="1"/>
  <c r="AF128" i="29"/>
  <c r="AG128" i="29" s="1"/>
  <c r="AF136" i="29"/>
  <c r="AG136" i="29" s="1"/>
  <c r="AF142" i="29"/>
  <c r="AG142" i="29" s="1"/>
  <c r="AF169" i="29"/>
  <c r="AG169" i="29" s="1"/>
  <c r="U188" i="29"/>
  <c r="AC188" i="29"/>
  <c r="AC204" i="29" s="1"/>
  <c r="S193" i="29"/>
  <c r="AA51" i="29"/>
  <c r="R147" i="29"/>
  <c r="S147" i="29" s="1"/>
  <c r="AF115" i="29"/>
  <c r="AG115" i="29" s="1"/>
  <c r="AF123" i="29"/>
  <c r="AG123" i="29" s="1"/>
  <c r="AF131" i="29"/>
  <c r="AG131" i="29" s="1"/>
  <c r="AF139" i="29"/>
  <c r="AG139" i="29" s="1"/>
  <c r="AF144" i="29"/>
  <c r="AG144" i="29" s="1"/>
  <c r="AF175" i="29"/>
  <c r="Y188" i="29"/>
  <c r="AF178" i="29"/>
  <c r="AG178" i="29" s="1"/>
  <c r="AM183" i="29"/>
  <c r="L204" i="29"/>
  <c r="AG191" i="29"/>
  <c r="AG197" i="29"/>
  <c r="Y204" i="29"/>
  <c r="AF92" i="29"/>
  <c r="AG92" i="29" s="1"/>
  <c r="AF114" i="29"/>
  <c r="AG114" i="29" s="1"/>
  <c r="AF122" i="29"/>
  <c r="AG122" i="29" s="1"/>
  <c r="AF130" i="29"/>
  <c r="AG130" i="29" s="1"/>
  <c r="AF138" i="29"/>
  <c r="AG138" i="29" s="1"/>
  <c r="H204" i="29"/>
  <c r="P204" i="29"/>
  <c r="AF165" i="29"/>
  <c r="AG165" i="29" s="1"/>
  <c r="AM182" i="29" l="1"/>
  <c r="AM15" i="29"/>
  <c r="X204" i="29"/>
  <c r="AM63" i="29"/>
  <c r="AG50" i="29"/>
  <c r="AM67" i="29"/>
  <c r="AG10" i="29"/>
  <c r="AF40" i="29"/>
  <c r="AF52" i="29"/>
  <c r="AG52" i="29" s="1"/>
  <c r="AM62" i="29"/>
  <c r="Z204" i="29"/>
  <c r="AM79" i="29"/>
  <c r="AM61" i="29"/>
  <c r="AF51" i="29"/>
  <c r="AG51" i="29" s="1"/>
  <c r="AM78" i="29"/>
  <c r="AM65" i="29"/>
  <c r="AM12" i="29"/>
  <c r="AM74" i="29"/>
  <c r="AM96" i="29"/>
  <c r="AM98" i="29"/>
  <c r="AM178" i="29"/>
  <c r="AM70" i="29"/>
  <c r="AM92" i="29"/>
  <c r="AF188" i="29"/>
  <c r="AG175" i="29"/>
  <c r="AM84" i="29"/>
  <c r="AM71" i="29"/>
  <c r="AM76" i="29"/>
  <c r="AM44" i="29"/>
  <c r="AM80" i="29"/>
  <c r="AJ143" i="29"/>
  <c r="AM177" i="29"/>
  <c r="AG151" i="29"/>
  <c r="AF153" i="29"/>
  <c r="AG46" i="29"/>
  <c r="AM43" i="29"/>
  <c r="AG202" i="29"/>
  <c r="AP197" i="29"/>
  <c r="U204" i="29"/>
  <c r="AM108" i="29"/>
  <c r="AM87" i="29"/>
  <c r="AM93" i="29"/>
  <c r="AM14" i="29"/>
  <c r="AP191" i="29"/>
  <c r="AG193" i="29"/>
  <c r="AF202" i="29"/>
  <c r="R204" i="29"/>
  <c r="AM64" i="29"/>
  <c r="AF147" i="29"/>
  <c r="AG60" i="29"/>
  <c r="AG11" i="29"/>
  <c r="AF41" i="29"/>
  <c r="AM68" i="29"/>
  <c r="AF35" i="29"/>
  <c r="AG35" i="29" s="1"/>
  <c r="AQ191" i="29" l="1"/>
  <c r="AQ193" i="29" s="1"/>
  <c r="AP193" i="29"/>
  <c r="AM50" i="29"/>
  <c r="AG54" i="29"/>
  <c r="AQ197" i="29"/>
  <c r="AF204" i="29"/>
  <c r="AM51" i="29"/>
  <c r="AG153" i="29"/>
  <c r="AM151" i="29"/>
  <c r="AI153" i="29" s="1"/>
  <c r="AM11" i="29"/>
  <c r="AG41" i="29"/>
  <c r="AI46" i="29"/>
  <c r="AM175" i="29"/>
  <c r="AJ186" i="29" s="1"/>
  <c r="AG40" i="29"/>
  <c r="AG204" i="29" s="1"/>
  <c r="AM10" i="29"/>
  <c r="AM52" i="29"/>
  <c r="AG147" i="29"/>
  <c r="AM60" i="29"/>
  <c r="AJ144" i="29" s="1"/>
  <c r="AF54" i="29"/>
  <c r="AM211" i="29" l="1"/>
  <c r="AM213" i="29" s="1"/>
  <c r="AJ37" i="29"/>
  <c r="AI54" i="29"/>
  <c r="C40" i="22" l="1"/>
  <c r="C42" i="22"/>
  <c r="D63" i="22"/>
  <c r="H63" i="22"/>
  <c r="C63" i="22"/>
  <c r="D64" i="22"/>
  <c r="H64" i="22"/>
  <c r="D65" i="22"/>
  <c r="H65" i="22"/>
  <c r="D73" i="22"/>
  <c r="H73" i="22"/>
  <c r="D66" i="22"/>
  <c r="H66" i="22"/>
  <c r="C65" i="22"/>
  <c r="C73" i="22"/>
  <c r="C66" i="22"/>
  <c r="C64" i="22"/>
  <c r="H102" i="7" l="1"/>
  <c r="H99" i="7"/>
  <c r="H101" i="7"/>
  <c r="H100" i="7"/>
  <c r="H98" i="7"/>
  <c r="D37" i="22" l="1"/>
  <c r="H37" i="22"/>
  <c r="D38" i="22"/>
  <c r="H38" i="22"/>
  <c r="D39" i="22"/>
  <c r="H39" i="22"/>
  <c r="D54" i="22"/>
  <c r="H54" i="22"/>
  <c r="D55" i="22"/>
  <c r="H55" i="22"/>
  <c r="D56" i="22"/>
  <c r="H56" i="22"/>
  <c r="D57" i="22"/>
  <c r="H57" i="22"/>
  <c r="D58" i="22"/>
  <c r="H58" i="22"/>
  <c r="D59" i="22"/>
  <c r="H59" i="22"/>
  <c r="D60" i="22"/>
  <c r="H60" i="22"/>
  <c r="D61" i="22"/>
  <c r="H61" i="22"/>
  <c r="D62" i="22"/>
  <c r="H62" i="22"/>
  <c r="E103" i="7" l="1"/>
  <c r="H97" i="7"/>
  <c r="H103" i="7" l="1"/>
  <c r="O30" i="17"/>
  <c r="O22" i="17"/>
  <c r="O26" i="17"/>
  <c r="E24" i="7" s="1"/>
  <c r="O23" i="17"/>
  <c r="O24" i="17"/>
  <c r="O25" i="17"/>
  <c r="O27" i="17"/>
  <c r="O28" i="17"/>
  <c r="O29" i="17"/>
  <c r="O31" i="17"/>
  <c r="O32" i="17"/>
  <c r="O33" i="17"/>
  <c r="O34" i="17"/>
  <c r="O36" i="17"/>
  <c r="O37" i="17"/>
  <c r="Q24" i="7" l="1"/>
  <c r="H24" i="7"/>
  <c r="O35" i="17"/>
  <c r="E26" i="7" s="1"/>
  <c r="Q22" i="7" l="1"/>
  <c r="H22" i="7"/>
  <c r="Q26" i="7"/>
  <c r="H26" i="7"/>
  <c r="D61" i="7"/>
  <c r="B60" i="25"/>
  <c r="O15" i="17"/>
  <c r="E15" i="7" s="1"/>
  <c r="O16" i="17"/>
  <c r="E16" i="7" s="1"/>
  <c r="O17" i="17"/>
  <c r="O18" i="17"/>
  <c r="E19" i="7" s="1"/>
  <c r="O19" i="17"/>
  <c r="E17" i="7" s="1"/>
  <c r="O20" i="17"/>
  <c r="E18" i="7" s="1"/>
  <c r="O21" i="17"/>
  <c r="O12" i="17"/>
  <c r="O13" i="17"/>
  <c r="O14" i="17"/>
  <c r="E14" i="7" s="1"/>
  <c r="O11" i="17"/>
  <c r="O7" i="17"/>
  <c r="O8" i="17"/>
  <c r="O9" i="17"/>
  <c r="O10" i="17"/>
  <c r="E12" i="7" s="1"/>
  <c r="O6" i="17"/>
  <c r="E10" i="7" s="1"/>
  <c r="O3" i="17"/>
  <c r="O4" i="17"/>
  <c r="E9" i="7" s="1"/>
  <c r="O5" i="17"/>
  <c r="O2" i="17"/>
  <c r="E11" i="7" l="1"/>
  <c r="E13" i="7"/>
  <c r="Q19" i="7"/>
  <c r="H19" i="7"/>
  <c r="G17" i="7"/>
  <c r="G13" i="7"/>
  <c r="G16" i="7"/>
  <c r="G12" i="7"/>
  <c r="G15" i="7"/>
  <c r="G14" i="7"/>
  <c r="G8" i="7"/>
  <c r="G11" i="7"/>
  <c r="G18" i="7"/>
  <c r="G10" i="7"/>
  <c r="G9" i="7"/>
  <c r="C5" i="22"/>
  <c r="C6" i="22"/>
  <c r="C7" i="22"/>
  <c r="C8" i="22"/>
  <c r="C11" i="22"/>
  <c r="C12" i="22"/>
  <c r="C13" i="22"/>
  <c r="C14" i="22"/>
  <c r="C15" i="22"/>
  <c r="C16" i="22"/>
  <c r="C9" i="22" l="1"/>
  <c r="C10" i="22"/>
  <c r="F8" i="7"/>
  <c r="E8" i="7" l="1"/>
  <c r="Q10" i="7"/>
  <c r="Q13" i="7"/>
  <c r="Q15" i="7"/>
  <c r="Q12" i="7"/>
  <c r="Q18" i="7"/>
  <c r="Q17" i="7"/>
  <c r="Q16" i="7"/>
  <c r="Q14" i="7"/>
  <c r="Q11" i="7"/>
  <c r="C4" i="22"/>
  <c r="H8" i="7" l="1"/>
  <c r="E20" i="7"/>
  <c r="Q9" i="7"/>
  <c r="O39" i="17" l="1"/>
  <c r="O38" i="17" l="1"/>
  <c r="R8" i="17"/>
  <c r="E28" i="7" l="1"/>
  <c r="R4" i="17"/>
  <c r="C37" i="22"/>
  <c r="C38" i="22"/>
  <c r="C39" i="22"/>
  <c r="C44" i="22"/>
  <c r="C46" i="22"/>
  <c r="C48" i="22"/>
  <c r="C50" i="22"/>
  <c r="C52" i="22"/>
  <c r="C54" i="22"/>
  <c r="C55" i="22"/>
  <c r="C56" i="22"/>
  <c r="C57" i="22"/>
  <c r="C58" i="22"/>
  <c r="C59" i="22"/>
  <c r="C60" i="22"/>
  <c r="C61" i="22"/>
  <c r="C62" i="22"/>
  <c r="C17" i="22"/>
  <c r="C18" i="22"/>
  <c r="C34" i="22"/>
  <c r="C35" i="22"/>
  <c r="C36" i="22"/>
  <c r="H28" i="7" l="1"/>
  <c r="Q28" i="7"/>
  <c r="E53" i="7"/>
  <c r="B53" i="25"/>
  <c r="B54" i="25"/>
  <c r="J67" i="7" s="1"/>
  <c r="C53" i="25"/>
  <c r="G52" i="25"/>
  <c r="G55" i="25" s="1"/>
  <c r="G57" i="25" s="1"/>
  <c r="C52" i="25"/>
  <c r="H13" i="25"/>
  <c r="B13" i="25"/>
  <c r="G13" i="25" s="1"/>
  <c r="H12" i="25"/>
  <c r="G12" i="25"/>
  <c r="B12" i="25"/>
  <c r="F12" i="25" s="1"/>
  <c r="H11" i="25"/>
  <c r="G11" i="25"/>
  <c r="F11" i="25"/>
  <c r="B11" i="25"/>
  <c r="E11" i="25" s="1"/>
  <c r="H10" i="25"/>
  <c r="G10" i="25"/>
  <c r="F10" i="25"/>
  <c r="E10" i="25"/>
  <c r="B10" i="25"/>
  <c r="D10" i="25" s="1"/>
  <c r="H9" i="25"/>
  <c r="G9" i="25"/>
  <c r="F9" i="25"/>
  <c r="E9" i="25"/>
  <c r="D9" i="25"/>
  <c r="B9" i="25"/>
  <c r="C9" i="25" s="1"/>
  <c r="H8" i="25"/>
  <c r="G8" i="25"/>
  <c r="F8" i="25"/>
  <c r="E8" i="25"/>
  <c r="D8" i="25"/>
  <c r="C8" i="25"/>
  <c r="B8" i="25"/>
  <c r="B7" i="25"/>
  <c r="G7" i="25" s="1"/>
  <c r="C54" i="25" l="1"/>
  <c r="D54" i="25"/>
  <c r="B58" i="25"/>
  <c r="B59" i="25"/>
  <c r="B61" i="25" s="1"/>
  <c r="E7" i="25"/>
  <c r="C7" i="25"/>
  <c r="D7" i="25"/>
  <c r="C12" i="25"/>
  <c r="D13" i="25"/>
  <c r="H7" i="25"/>
  <c r="C10" i="25"/>
  <c r="D11" i="25"/>
  <c r="E12" i="25"/>
  <c r="F13" i="25"/>
  <c r="C13" i="25"/>
  <c r="F7" i="25"/>
  <c r="C11" i="25"/>
  <c r="D12" i="25"/>
  <c r="E13" i="25"/>
  <c r="D5" i="22" l="1"/>
  <c r="D6" i="22"/>
  <c r="D7" i="22"/>
  <c r="D8" i="22"/>
  <c r="D9" i="22"/>
  <c r="D10" i="22"/>
  <c r="D11" i="22"/>
  <c r="D13" i="22"/>
  <c r="D14" i="22"/>
  <c r="D15" i="22"/>
  <c r="D18" i="22"/>
  <c r="D34" i="22"/>
  <c r="D35" i="22"/>
  <c r="D36" i="22"/>
  <c r="D3" i="22"/>
  <c r="D16" i="22"/>
  <c r="D12" i="22"/>
  <c r="D17" i="22"/>
  <c r="H5" i="22"/>
  <c r="H6" i="22"/>
  <c r="H7" i="22"/>
  <c r="H8" i="22"/>
  <c r="H9" i="22"/>
  <c r="H10" i="22"/>
  <c r="H11" i="22"/>
  <c r="H13" i="22"/>
  <c r="H14" i="22"/>
  <c r="H15" i="22"/>
  <c r="H18" i="22"/>
  <c r="H34" i="22"/>
  <c r="H35" i="22"/>
  <c r="H36" i="22"/>
  <c r="H3" i="22"/>
  <c r="H16" i="22"/>
  <c r="H12" i="22"/>
  <c r="H17" i="22"/>
  <c r="H4" i="22" l="1"/>
  <c r="D4" i="22"/>
  <c r="F18" i="7" l="1"/>
  <c r="F16" i="7"/>
  <c r="F15" i="7"/>
  <c r="F14" i="7"/>
  <c r="S13" i="17" l="1"/>
  <c r="Q8" i="7" l="1"/>
  <c r="Q20" i="7" s="1"/>
  <c r="F17" i="7"/>
  <c r="F13" i="7"/>
  <c r="F12" i="7"/>
  <c r="F11" i="7" l="1"/>
  <c r="H18" i="7" l="1"/>
  <c r="H17" i="7"/>
  <c r="H16" i="7"/>
  <c r="H13" i="7"/>
  <c r="H15" i="7"/>
  <c r="H14" i="7"/>
  <c r="H12" i="7"/>
  <c r="H11" i="7" l="1"/>
  <c r="R14" i="17" l="1"/>
  <c r="S14" i="17" l="1"/>
  <c r="F9" i="7" l="1"/>
  <c r="F10" i="7"/>
  <c r="H10" i="7" s="1"/>
  <c r="H53" i="7" l="1"/>
  <c r="Q53" i="7"/>
  <c r="E54" i="7" l="1"/>
  <c r="E55" i="7" s="1"/>
  <c r="Q54" i="7"/>
  <c r="H9" i="7"/>
  <c r="H20" i="7" l="1"/>
  <c r="H54" i="7" s="1"/>
  <c r="J60" i="7"/>
  <c r="D62" i="7" l="1"/>
  <c r="J62" i="7"/>
  <c r="D63" i="7"/>
  <c r="I81" i="7" l="1"/>
  <c r="J81" i="7" s="1"/>
  <c r="K81" i="7" s="1"/>
  <c r="I80" i="7"/>
  <c r="J80" i="7" s="1"/>
  <c r="K80" i="7" s="1"/>
  <c r="I79" i="7"/>
  <c r="J79" i="7" s="1"/>
  <c r="K79" i="7" s="1"/>
  <c r="I78" i="7"/>
  <c r="J78" i="7" s="1"/>
  <c r="K78" i="7" s="1"/>
  <c r="I77" i="7"/>
  <c r="J77" i="7" s="1"/>
  <c r="K77" i="7" s="1"/>
  <c r="I76" i="7"/>
  <c r="J76" i="7" s="1"/>
  <c r="K76" i="7" s="1"/>
  <c r="I75" i="7"/>
  <c r="J75" i="7" s="1"/>
  <c r="K75" i="7" s="1"/>
  <c r="I74" i="7"/>
  <c r="J74" i="7" s="1"/>
  <c r="K74" i="7" s="1"/>
  <c r="I73" i="7"/>
  <c r="J73" i="7" s="1"/>
  <c r="K73" i="7" s="1"/>
  <c r="I72" i="7"/>
  <c r="J72" i="7" s="1"/>
  <c r="K72" i="7" s="1"/>
  <c r="I71" i="7"/>
  <c r="J71" i="7" s="1"/>
  <c r="K71" i="7" s="1"/>
  <c r="I70" i="7"/>
  <c r="J70" i="7" s="1"/>
  <c r="K70" i="7" s="1"/>
  <c r="I34" i="7"/>
  <c r="J34" i="7" s="1"/>
  <c r="K34" i="7" s="1"/>
  <c r="N34" i="7" s="1"/>
  <c r="T34" i="7" s="1"/>
  <c r="I28" i="7"/>
  <c r="J28" i="7" s="1"/>
  <c r="K28" i="7" s="1"/>
  <c r="N28" i="7" s="1"/>
  <c r="I30" i="7"/>
  <c r="J30" i="7" s="1"/>
  <c r="K30" i="7" s="1"/>
  <c r="N30" i="7" s="1"/>
  <c r="T30" i="7" s="1"/>
  <c r="I23" i="7"/>
  <c r="J23" i="7" s="1"/>
  <c r="K23" i="7" s="1"/>
  <c r="N23" i="7" s="1"/>
  <c r="T23" i="7" s="1"/>
  <c r="I31" i="7"/>
  <c r="J31" i="7" s="1"/>
  <c r="K31" i="7" s="1"/>
  <c r="I25" i="7"/>
  <c r="J25" i="7" s="1"/>
  <c r="K25" i="7" s="1"/>
  <c r="I27" i="7"/>
  <c r="J27" i="7" s="1"/>
  <c r="K27" i="7" s="1"/>
  <c r="I24" i="7"/>
  <c r="J24" i="7" s="1"/>
  <c r="K24" i="7" s="1"/>
  <c r="N24" i="7" s="1"/>
  <c r="I32" i="7"/>
  <c r="J32" i="7" s="1"/>
  <c r="K32" i="7" s="1"/>
  <c r="N32" i="7" s="1"/>
  <c r="I29" i="7"/>
  <c r="J29" i="7" s="1"/>
  <c r="K29" i="7" s="1"/>
  <c r="N29" i="7" s="1"/>
  <c r="I26" i="7"/>
  <c r="J26" i="7" s="1"/>
  <c r="K26" i="7" s="1"/>
  <c r="N26" i="7" s="1"/>
  <c r="T26" i="7" s="1"/>
  <c r="I22" i="7"/>
  <c r="J22" i="7" s="1"/>
  <c r="K22" i="7" s="1"/>
  <c r="N22" i="7" s="1"/>
  <c r="I19" i="7"/>
  <c r="J19" i="7" s="1"/>
  <c r="K19" i="7" s="1"/>
  <c r="N19" i="7" s="1"/>
  <c r="T19" i="7" s="1"/>
  <c r="I50" i="7"/>
  <c r="J50" i="7" s="1"/>
  <c r="K50" i="7" s="1"/>
  <c r="N50" i="7" s="1"/>
  <c r="I52" i="7"/>
  <c r="J52" i="7" s="1"/>
  <c r="K52" i="7" s="1"/>
  <c r="N52" i="7" s="1"/>
  <c r="I21" i="7"/>
  <c r="J21" i="7" s="1"/>
  <c r="K21" i="7" s="1"/>
  <c r="N21" i="7" s="1"/>
  <c r="T21" i="7" s="1"/>
  <c r="I33" i="7"/>
  <c r="J33" i="7" s="1"/>
  <c r="K33" i="7" s="1"/>
  <c r="I35" i="7"/>
  <c r="J35" i="7" s="1"/>
  <c r="K35" i="7" s="1"/>
  <c r="N35" i="7" s="1"/>
  <c r="I36" i="7"/>
  <c r="J36" i="7" s="1"/>
  <c r="K36" i="7" s="1"/>
  <c r="N36" i="7" s="1"/>
  <c r="T36" i="7" s="1"/>
  <c r="I37" i="7"/>
  <c r="J37" i="7" s="1"/>
  <c r="K37" i="7" s="1"/>
  <c r="N37" i="7" s="1"/>
  <c r="T37" i="7" s="1"/>
  <c r="I38" i="7"/>
  <c r="J38" i="7" s="1"/>
  <c r="K38" i="7" s="1"/>
  <c r="N38" i="7" s="1"/>
  <c r="I39" i="7"/>
  <c r="J39" i="7" s="1"/>
  <c r="K39" i="7" s="1"/>
  <c r="N39" i="7" s="1"/>
  <c r="I40" i="7"/>
  <c r="J40" i="7" s="1"/>
  <c r="K40" i="7" s="1"/>
  <c r="N40" i="7" s="1"/>
  <c r="I41" i="7"/>
  <c r="J41" i="7" s="1"/>
  <c r="K41" i="7" s="1"/>
  <c r="N41" i="7" s="1"/>
  <c r="I42" i="7"/>
  <c r="J42" i="7" s="1"/>
  <c r="K42" i="7" s="1"/>
  <c r="N42" i="7" s="1"/>
  <c r="I43" i="7"/>
  <c r="J43" i="7" s="1"/>
  <c r="K43" i="7" s="1"/>
  <c r="N43" i="7" s="1"/>
  <c r="T43" i="7" s="1"/>
  <c r="I44" i="7"/>
  <c r="J44" i="7" s="1"/>
  <c r="K44" i="7" s="1"/>
  <c r="N44" i="7" s="1"/>
  <c r="I45" i="7"/>
  <c r="J45" i="7" s="1"/>
  <c r="K45" i="7" s="1"/>
  <c r="N45" i="7" s="1"/>
  <c r="I46" i="7"/>
  <c r="J46" i="7" s="1"/>
  <c r="K46" i="7" s="1"/>
  <c r="N46" i="7" s="1"/>
  <c r="T46" i="7" s="1"/>
  <c r="I47" i="7"/>
  <c r="J47" i="7" s="1"/>
  <c r="K47" i="7" s="1"/>
  <c r="N47" i="7" s="1"/>
  <c r="T47" i="7" s="1"/>
  <c r="I48" i="7"/>
  <c r="J48" i="7" s="1"/>
  <c r="K48" i="7" s="1"/>
  <c r="N48" i="7" s="1"/>
  <c r="I49" i="7"/>
  <c r="J49" i="7" s="1"/>
  <c r="K49" i="7" s="1"/>
  <c r="N49" i="7" s="1"/>
  <c r="I51" i="7"/>
  <c r="J51" i="7" s="1"/>
  <c r="K51" i="7" s="1"/>
  <c r="N51" i="7" s="1"/>
  <c r="I88" i="7"/>
  <c r="J88" i="7" s="1"/>
  <c r="K88" i="7" s="1"/>
  <c r="I89" i="7"/>
  <c r="J89" i="7" s="1"/>
  <c r="K89" i="7" s="1"/>
  <c r="I90" i="7"/>
  <c r="J90" i="7" s="1"/>
  <c r="K90" i="7" s="1"/>
  <c r="I92" i="7"/>
  <c r="J92" i="7" s="1"/>
  <c r="K92" i="7" s="1"/>
  <c r="I93" i="7"/>
  <c r="J93" i="7" s="1"/>
  <c r="K93" i="7" s="1"/>
  <c r="I95" i="7"/>
  <c r="J95" i="7" s="1"/>
  <c r="K95" i="7" s="1"/>
  <c r="I87" i="7"/>
  <c r="J87" i="7" s="1"/>
  <c r="K87" i="7" s="1"/>
  <c r="I91" i="7"/>
  <c r="J91" i="7" s="1"/>
  <c r="K91" i="7" s="1"/>
  <c r="I94" i="7"/>
  <c r="J94" i="7" s="1"/>
  <c r="K94" i="7" s="1"/>
  <c r="I86" i="7"/>
  <c r="J86" i="7" s="1"/>
  <c r="K86" i="7" s="1"/>
  <c r="I101" i="7"/>
  <c r="J101" i="7" s="1"/>
  <c r="K101" i="7" s="1"/>
  <c r="O101" i="7" s="1"/>
  <c r="I102" i="7"/>
  <c r="J102" i="7" s="1"/>
  <c r="K102" i="7" s="1"/>
  <c r="I100" i="7"/>
  <c r="J100" i="7" s="1"/>
  <c r="K100" i="7" s="1"/>
  <c r="I99" i="7"/>
  <c r="J99" i="7" s="1"/>
  <c r="K99" i="7" s="1"/>
  <c r="I98" i="7"/>
  <c r="J98" i="7" s="1"/>
  <c r="K98" i="7" s="1"/>
  <c r="I97" i="7"/>
  <c r="I10" i="7"/>
  <c r="J10" i="7" s="1"/>
  <c r="K10" i="7" s="1"/>
  <c r="N10" i="7" s="1"/>
  <c r="I18" i="7"/>
  <c r="J18" i="7" s="1"/>
  <c r="K18" i="7" s="1"/>
  <c r="N18" i="7" s="1"/>
  <c r="I12" i="7"/>
  <c r="J12" i="7" s="1"/>
  <c r="K12" i="7" s="1"/>
  <c r="N12" i="7" s="1"/>
  <c r="I11" i="7"/>
  <c r="J11" i="7" s="1"/>
  <c r="K11" i="7" s="1"/>
  <c r="N11" i="7" s="1"/>
  <c r="I8" i="7"/>
  <c r="I15" i="7"/>
  <c r="J15" i="7" s="1"/>
  <c r="K15" i="7" s="1"/>
  <c r="N15" i="7" s="1"/>
  <c r="I16" i="7"/>
  <c r="J16" i="7" s="1"/>
  <c r="K16" i="7" s="1"/>
  <c r="N16" i="7" s="1"/>
  <c r="I13" i="7"/>
  <c r="J13" i="7" s="1"/>
  <c r="K13" i="7" s="1"/>
  <c r="N13" i="7" s="1"/>
  <c r="I17" i="7"/>
  <c r="J17" i="7" s="1"/>
  <c r="K17" i="7" s="1"/>
  <c r="N17" i="7" s="1"/>
  <c r="I14" i="7"/>
  <c r="J14" i="7" s="1"/>
  <c r="K14" i="7" s="1"/>
  <c r="N14" i="7" s="1"/>
  <c r="I9" i="7"/>
  <c r="J9" i="7" s="1"/>
  <c r="K9" i="7" s="1"/>
  <c r="N9" i="7" s="1"/>
  <c r="P9" i="7" s="1"/>
  <c r="O81" i="7" l="1"/>
  <c r="F29" i="22" s="1"/>
  <c r="E29" i="22" s="1"/>
  <c r="P81" i="7"/>
  <c r="J29" i="22" s="1"/>
  <c r="I29" i="22" s="1"/>
  <c r="K29" i="22" s="1"/>
  <c r="O80" i="7"/>
  <c r="F28" i="22" s="1"/>
  <c r="E28" i="22" s="1"/>
  <c r="P80" i="7"/>
  <c r="J28" i="22" s="1"/>
  <c r="I28" i="22" s="1"/>
  <c r="K28" i="22" s="1"/>
  <c r="O79" i="7"/>
  <c r="F27" i="22" s="1"/>
  <c r="E27" i="22" s="1"/>
  <c r="P79" i="7"/>
  <c r="J27" i="22" s="1"/>
  <c r="I27" i="22" s="1"/>
  <c r="K27" i="22" s="1"/>
  <c r="O78" i="7"/>
  <c r="F26" i="22" s="1"/>
  <c r="E26" i="22" s="1"/>
  <c r="P78" i="7"/>
  <c r="J26" i="22" s="1"/>
  <c r="I26" i="22" s="1"/>
  <c r="K26" i="22" s="1"/>
  <c r="P77" i="7"/>
  <c r="J25" i="22" s="1"/>
  <c r="I25" i="22" s="1"/>
  <c r="K25" i="22" s="1"/>
  <c r="O77" i="7"/>
  <c r="F25" i="22" s="1"/>
  <c r="E25" i="22" s="1"/>
  <c r="O76" i="7"/>
  <c r="F24" i="22" s="1"/>
  <c r="E24" i="22" s="1"/>
  <c r="P76" i="7"/>
  <c r="J24" i="22" s="1"/>
  <c r="I24" i="22" s="1"/>
  <c r="K24" i="22" s="1"/>
  <c r="O75" i="7"/>
  <c r="F23" i="22" s="1"/>
  <c r="E23" i="22" s="1"/>
  <c r="P75" i="7"/>
  <c r="J23" i="22" s="1"/>
  <c r="I23" i="22" s="1"/>
  <c r="K23" i="22" s="1"/>
  <c r="P74" i="7"/>
  <c r="J22" i="22" s="1"/>
  <c r="I22" i="22" s="1"/>
  <c r="K22" i="22" s="1"/>
  <c r="O74" i="7"/>
  <c r="F22" i="22" s="1"/>
  <c r="E22" i="22" s="1"/>
  <c r="O73" i="7"/>
  <c r="F21" i="22" s="1"/>
  <c r="E21" i="22" s="1"/>
  <c r="P73" i="7"/>
  <c r="J21" i="22" s="1"/>
  <c r="I21" i="22" s="1"/>
  <c r="K21" i="22" s="1"/>
  <c r="O72" i="7"/>
  <c r="F20" i="22" s="1"/>
  <c r="E20" i="22" s="1"/>
  <c r="P72" i="7"/>
  <c r="J20" i="22" s="1"/>
  <c r="I20" i="22" s="1"/>
  <c r="K20" i="22" s="1"/>
  <c r="O71" i="7"/>
  <c r="F19" i="22" s="1"/>
  <c r="E19" i="22" s="1"/>
  <c r="P71" i="7"/>
  <c r="J19" i="22" s="1"/>
  <c r="I19" i="22" s="1"/>
  <c r="K19" i="22" s="1"/>
  <c r="P70" i="7"/>
  <c r="J2" i="22" s="1"/>
  <c r="I2" i="22" s="1"/>
  <c r="K2" i="22" s="1"/>
  <c r="O70" i="7"/>
  <c r="F2" i="22" s="1"/>
  <c r="E2" i="22" s="1"/>
  <c r="T51" i="7"/>
  <c r="T49" i="7"/>
  <c r="O42" i="7"/>
  <c r="R42" i="7" s="1"/>
  <c r="S42" i="7" s="1"/>
  <c r="P42" i="7"/>
  <c r="O35" i="7"/>
  <c r="R35" i="7" s="1"/>
  <c r="S35" i="7" s="1"/>
  <c r="P35" i="7"/>
  <c r="O29" i="7"/>
  <c r="P29" i="7"/>
  <c r="J48" i="22" s="1"/>
  <c r="O28" i="7"/>
  <c r="P28" i="7"/>
  <c r="J47" i="22" s="1"/>
  <c r="O41" i="7"/>
  <c r="R41" i="7" s="1"/>
  <c r="S41" i="7" s="1"/>
  <c r="P41" i="7"/>
  <c r="T28" i="7"/>
  <c r="P24" i="7"/>
  <c r="J43" i="22" s="1"/>
  <c r="O24" i="7"/>
  <c r="T42" i="7"/>
  <c r="O32" i="7"/>
  <c r="P32" i="7"/>
  <c r="J51" i="22" s="1"/>
  <c r="P39" i="7"/>
  <c r="O39" i="7"/>
  <c r="R39" i="7" s="1"/>
  <c r="S39" i="7" s="1"/>
  <c r="T35" i="7"/>
  <c r="T29" i="7"/>
  <c r="O38" i="7"/>
  <c r="R38" i="7" s="1"/>
  <c r="S38" i="7" s="1"/>
  <c r="P38" i="7"/>
  <c r="T39" i="7"/>
  <c r="T24" i="7"/>
  <c r="O37" i="7"/>
  <c r="R37" i="7" s="1"/>
  <c r="S37" i="7" s="1"/>
  <c r="P37" i="7"/>
  <c r="T41" i="7"/>
  <c r="T32" i="7"/>
  <c r="P36" i="7"/>
  <c r="O36" i="7"/>
  <c r="R36" i="7" s="1"/>
  <c r="S36" i="7" s="1"/>
  <c r="O22" i="7"/>
  <c r="P22" i="7"/>
  <c r="J41" i="22" s="1"/>
  <c r="P23" i="7"/>
  <c r="J42" i="22" s="1"/>
  <c r="O23" i="7"/>
  <c r="T38" i="7"/>
  <c r="T22" i="7"/>
  <c r="P40" i="7"/>
  <c r="O40" i="7"/>
  <c r="R40" i="7" s="1"/>
  <c r="S40" i="7" s="1"/>
  <c r="O26" i="7"/>
  <c r="P26" i="7"/>
  <c r="J45" i="22" s="1"/>
  <c r="P30" i="7"/>
  <c r="J49" i="22" s="1"/>
  <c r="O30" i="7"/>
  <c r="T40" i="7"/>
  <c r="O34" i="7"/>
  <c r="P34" i="7"/>
  <c r="J53" i="22" s="1"/>
  <c r="N27" i="7"/>
  <c r="N25" i="7"/>
  <c r="N31" i="7"/>
  <c r="I20" i="7"/>
  <c r="N33" i="7"/>
  <c r="O19" i="7"/>
  <c r="R19" i="7" s="1"/>
  <c r="S19" i="7" s="1"/>
  <c r="P19" i="7"/>
  <c r="J34" i="22" s="1"/>
  <c r="I34" i="22" s="1"/>
  <c r="K34" i="22" s="1"/>
  <c r="P44" i="7"/>
  <c r="O44" i="7"/>
  <c r="R44" i="7" s="1"/>
  <c r="S44" i="7" s="1"/>
  <c r="T44" i="7"/>
  <c r="O51" i="7"/>
  <c r="R51" i="7" s="1"/>
  <c r="P51" i="7"/>
  <c r="J71" i="22" s="1"/>
  <c r="I71" i="22" s="1"/>
  <c r="K71" i="22" s="1"/>
  <c r="P52" i="7"/>
  <c r="J72" i="22" s="1"/>
  <c r="I72" i="22" s="1"/>
  <c r="K72" i="22" s="1"/>
  <c r="O52" i="7"/>
  <c r="O45" i="7"/>
  <c r="R45" i="7" s="1"/>
  <c r="S45" i="7" s="1"/>
  <c r="P45" i="7"/>
  <c r="O21" i="7"/>
  <c r="P21" i="7"/>
  <c r="J40" i="22" s="1"/>
  <c r="O50" i="7"/>
  <c r="R50" i="7" s="1"/>
  <c r="P50" i="7"/>
  <c r="J70" i="22" s="1"/>
  <c r="I70" i="22" s="1"/>
  <c r="K70" i="22" s="1"/>
  <c r="O43" i="7"/>
  <c r="R43" i="7" s="1"/>
  <c r="S43" i="7" s="1"/>
  <c r="P43" i="7"/>
  <c r="P48" i="7"/>
  <c r="J68" i="22" s="1"/>
  <c r="I68" i="22" s="1"/>
  <c r="K68" i="22" s="1"/>
  <c r="O48" i="7"/>
  <c r="O49" i="7"/>
  <c r="P49" i="7"/>
  <c r="J69" i="22" s="1"/>
  <c r="I69" i="22" s="1"/>
  <c r="K69" i="22" s="1"/>
  <c r="O47" i="7"/>
  <c r="R47" i="7" s="1"/>
  <c r="S47" i="7" s="1"/>
  <c r="P47" i="7"/>
  <c r="T45" i="7"/>
  <c r="T48" i="7"/>
  <c r="T50" i="7"/>
  <c r="O46" i="7"/>
  <c r="R46" i="7" s="1"/>
  <c r="S46" i="7" s="1"/>
  <c r="P46" i="7"/>
  <c r="T52" i="7"/>
  <c r="O88" i="7"/>
  <c r="P88" i="7"/>
  <c r="O89" i="7"/>
  <c r="P89" i="7"/>
  <c r="P86" i="7"/>
  <c r="O86" i="7"/>
  <c r="O94" i="7"/>
  <c r="P94" i="7"/>
  <c r="O91" i="7"/>
  <c r="P91" i="7"/>
  <c r="J35" i="22" s="1"/>
  <c r="I35" i="22" s="1"/>
  <c r="K35" i="22" s="1"/>
  <c r="O95" i="7"/>
  <c r="P95" i="7"/>
  <c r="J39" i="22" s="1"/>
  <c r="I39" i="22" s="1"/>
  <c r="K39" i="22" s="1"/>
  <c r="O87" i="7"/>
  <c r="P87" i="7"/>
  <c r="J15" i="22" s="1"/>
  <c r="I15" i="22" s="1"/>
  <c r="K15" i="22" s="1"/>
  <c r="P93" i="7"/>
  <c r="O93" i="7"/>
  <c r="O92" i="7"/>
  <c r="P92" i="7"/>
  <c r="J36" i="22" s="1"/>
  <c r="I36" i="22" s="1"/>
  <c r="K36" i="22" s="1"/>
  <c r="P90" i="7"/>
  <c r="J18" i="22" s="1"/>
  <c r="I18" i="22" s="1"/>
  <c r="K18" i="22" s="1"/>
  <c r="O90" i="7"/>
  <c r="I103" i="7"/>
  <c r="O102" i="7"/>
  <c r="P102" i="7"/>
  <c r="P101" i="7"/>
  <c r="O99" i="7"/>
  <c r="P99" i="7"/>
  <c r="O100" i="7"/>
  <c r="P100" i="7"/>
  <c r="P98" i="7"/>
  <c r="J66" i="22" s="1"/>
  <c r="I66" i="22" s="1"/>
  <c r="K66" i="22" s="1"/>
  <c r="O98" i="7"/>
  <c r="F66" i="22" s="1"/>
  <c r="E66" i="22" s="1"/>
  <c r="J8" i="7"/>
  <c r="O10" i="7"/>
  <c r="R10" i="7" s="1"/>
  <c r="P10" i="7"/>
  <c r="J5" i="22" s="1"/>
  <c r="I5" i="22" s="1"/>
  <c r="K5" i="22" s="1"/>
  <c r="O14" i="7"/>
  <c r="R14" i="7" s="1"/>
  <c r="P14" i="7"/>
  <c r="O13" i="7"/>
  <c r="R13" i="7" s="1"/>
  <c r="P13" i="7"/>
  <c r="J8" i="22" s="1"/>
  <c r="I8" i="22" s="1"/>
  <c r="K8" i="22" s="1"/>
  <c r="O17" i="7"/>
  <c r="R17" i="7" s="1"/>
  <c r="P17" i="7"/>
  <c r="O11" i="7"/>
  <c r="R11" i="7" s="1"/>
  <c r="P11" i="7"/>
  <c r="J6" i="22" s="1"/>
  <c r="I6" i="22" s="1"/>
  <c r="K6" i="22" s="1"/>
  <c r="O12" i="7"/>
  <c r="R12" i="7" s="1"/>
  <c r="P12" i="7"/>
  <c r="J7" i="22" s="1"/>
  <c r="I7" i="22" s="1"/>
  <c r="K7" i="22" s="1"/>
  <c r="O16" i="7"/>
  <c r="R16" i="7" s="1"/>
  <c r="P16" i="7"/>
  <c r="O15" i="7"/>
  <c r="R15" i="7" s="1"/>
  <c r="P15" i="7"/>
  <c r="O18" i="7"/>
  <c r="R18" i="7" s="1"/>
  <c r="P18" i="7"/>
  <c r="J14" i="22" s="1"/>
  <c r="I14" i="22" s="1"/>
  <c r="K14" i="22" s="1"/>
  <c r="T9" i="7"/>
  <c r="O9" i="7"/>
  <c r="R9" i="7" s="1"/>
  <c r="T10" i="7"/>
  <c r="T14" i="7"/>
  <c r="T11" i="7"/>
  <c r="T12" i="7"/>
  <c r="T16" i="7"/>
  <c r="T13" i="7"/>
  <c r="T15" i="7"/>
  <c r="T18" i="7"/>
  <c r="T17" i="7"/>
  <c r="J97" i="7"/>
  <c r="J53" i="7"/>
  <c r="I53" i="7"/>
  <c r="G26" i="22" l="1"/>
  <c r="L26" i="22"/>
  <c r="L23" i="22"/>
  <c r="G23" i="22"/>
  <c r="L20" i="22"/>
  <c r="G20" i="22"/>
  <c r="G27" i="22"/>
  <c r="L27" i="22"/>
  <c r="G24" i="22"/>
  <c r="L24" i="22"/>
  <c r="G28" i="22"/>
  <c r="L28" i="22"/>
  <c r="G21" i="22"/>
  <c r="L21" i="22"/>
  <c r="L25" i="22"/>
  <c r="G25" i="22"/>
  <c r="L22" i="22"/>
  <c r="G22" i="22"/>
  <c r="G29" i="22"/>
  <c r="L29" i="22"/>
  <c r="L2" i="22"/>
  <c r="G2" i="22"/>
  <c r="L19" i="22"/>
  <c r="G19" i="22"/>
  <c r="I42" i="22"/>
  <c r="K42" i="22" s="1"/>
  <c r="I40" i="22"/>
  <c r="K40" i="22" s="1"/>
  <c r="I41" i="22"/>
  <c r="K41" i="22" s="1"/>
  <c r="J9" i="22"/>
  <c r="I9" i="22" s="1"/>
  <c r="K9" i="22" s="1"/>
  <c r="J10" i="22"/>
  <c r="I10" i="22" s="1"/>
  <c r="K10" i="22" s="1"/>
  <c r="R21" i="7"/>
  <c r="S21" i="7" s="1"/>
  <c r="F40" i="22"/>
  <c r="E40" i="22" s="1"/>
  <c r="G40" i="22" s="1"/>
  <c r="R24" i="7"/>
  <c r="S24" i="7" s="1"/>
  <c r="F43" i="22"/>
  <c r="R29" i="7"/>
  <c r="S29" i="7" s="1"/>
  <c r="F48" i="22"/>
  <c r="R34" i="7"/>
  <c r="S34" i="7" s="1"/>
  <c r="F53" i="22"/>
  <c r="R30" i="7"/>
  <c r="S30" i="7" s="1"/>
  <c r="F49" i="22"/>
  <c r="R23" i="7"/>
  <c r="S23" i="7" s="1"/>
  <c r="F42" i="22"/>
  <c r="E42" i="22" s="1"/>
  <c r="L42" i="22" s="1"/>
  <c r="R26" i="7"/>
  <c r="S26" i="7" s="1"/>
  <c r="F45" i="22"/>
  <c r="E45" i="22" s="1"/>
  <c r="R22" i="7"/>
  <c r="S22" i="7" s="1"/>
  <c r="F41" i="22"/>
  <c r="E41" i="22" s="1"/>
  <c r="R32" i="7"/>
  <c r="S32" i="7" s="1"/>
  <c r="F51" i="22"/>
  <c r="R28" i="7"/>
  <c r="S28" i="7" s="1"/>
  <c r="F47" i="22"/>
  <c r="J11" i="22"/>
  <c r="I11" i="22" s="1"/>
  <c r="K11" i="22" s="1"/>
  <c r="G66" i="22"/>
  <c r="L66" i="22"/>
  <c r="S50" i="7"/>
  <c r="F70" i="22"/>
  <c r="E70" i="22" s="1"/>
  <c r="S51" i="7"/>
  <c r="F71" i="22"/>
  <c r="E71" i="22" s="1"/>
  <c r="J67" i="22"/>
  <c r="I67" i="22" s="1"/>
  <c r="K67" i="22" s="1"/>
  <c r="R49" i="7"/>
  <c r="S49" i="7" s="1"/>
  <c r="F69" i="22"/>
  <c r="E69" i="22" s="1"/>
  <c r="F67" i="22"/>
  <c r="E67" i="22" s="1"/>
  <c r="R48" i="7"/>
  <c r="S48" i="7" s="1"/>
  <c r="F68" i="22"/>
  <c r="E68" i="22" s="1"/>
  <c r="J13" i="22"/>
  <c r="I13" i="22" s="1"/>
  <c r="K13" i="22" s="1"/>
  <c r="R52" i="7"/>
  <c r="S52" i="7" s="1"/>
  <c r="F72" i="22"/>
  <c r="E72" i="22" s="1"/>
  <c r="P27" i="7"/>
  <c r="O27" i="7"/>
  <c r="T27" i="7"/>
  <c r="O33" i="7"/>
  <c r="P33" i="7"/>
  <c r="J52" i="22" s="1"/>
  <c r="T33" i="7"/>
  <c r="O31" i="7"/>
  <c r="P31" i="7"/>
  <c r="T31" i="7"/>
  <c r="O25" i="7"/>
  <c r="P25" i="7"/>
  <c r="T25" i="7"/>
  <c r="K8" i="7"/>
  <c r="J20" i="7"/>
  <c r="J63" i="22"/>
  <c r="I63" i="22" s="1"/>
  <c r="K63" i="22" s="1"/>
  <c r="J103" i="7"/>
  <c r="F63" i="22"/>
  <c r="E63" i="22" s="1"/>
  <c r="I54" i="7"/>
  <c r="F37" i="22"/>
  <c r="E37" i="22" s="1"/>
  <c r="J37" i="22"/>
  <c r="I37" i="22" s="1"/>
  <c r="K37" i="22" s="1"/>
  <c r="F39" i="22"/>
  <c r="E39" i="22" s="1"/>
  <c r="K97" i="7"/>
  <c r="F17" i="22"/>
  <c r="E17" i="22" s="1"/>
  <c r="F9" i="22"/>
  <c r="E9" i="22" s="1"/>
  <c r="F5" i="22"/>
  <c r="E5" i="22" s="1"/>
  <c r="L5" i="22" s="1"/>
  <c r="F4" i="22"/>
  <c r="E4" i="22" s="1"/>
  <c r="F14" i="22"/>
  <c r="E14" i="22" s="1"/>
  <c r="L14" i="22" s="1"/>
  <c r="J17" i="22"/>
  <c r="I17" i="22" s="1"/>
  <c r="K17" i="22" s="1"/>
  <c r="F13" i="22"/>
  <c r="E13" i="22" s="1"/>
  <c r="F8" i="22"/>
  <c r="E8" i="22" s="1"/>
  <c r="L8" i="22" s="1"/>
  <c r="F15" i="22"/>
  <c r="E15" i="22" s="1"/>
  <c r="L15" i="22" s="1"/>
  <c r="F11" i="22"/>
  <c r="E11" i="22" s="1"/>
  <c r="F10" i="22"/>
  <c r="E10" i="22" s="1"/>
  <c r="J12" i="22"/>
  <c r="I12" i="22" s="1"/>
  <c r="K12" i="22" s="1"/>
  <c r="F12" i="22"/>
  <c r="E12" i="22" s="1"/>
  <c r="F34" i="22"/>
  <c r="E34" i="22" s="1"/>
  <c r="L34" i="22" s="1"/>
  <c r="F35" i="22"/>
  <c r="E35" i="22" s="1"/>
  <c r="L35" i="22" s="1"/>
  <c r="F18" i="22"/>
  <c r="E18" i="22" s="1"/>
  <c r="L18" i="22" s="1"/>
  <c r="F36" i="22"/>
  <c r="E36" i="22" s="1"/>
  <c r="L36" i="22" s="1"/>
  <c r="F7" i="22"/>
  <c r="E7" i="22" s="1"/>
  <c r="L7" i="22" s="1"/>
  <c r="S12" i="7"/>
  <c r="F6" i="22"/>
  <c r="E6" i="22" s="1"/>
  <c r="L6" i="22" s="1"/>
  <c r="S11" i="7"/>
  <c r="J4" i="22"/>
  <c r="I4" i="22" s="1"/>
  <c r="K4" i="22" s="1"/>
  <c r="S13" i="7"/>
  <c r="S15" i="7"/>
  <c r="S17" i="7"/>
  <c r="S16" i="7"/>
  <c r="S14" i="7"/>
  <c r="S18" i="7"/>
  <c r="S10" i="7"/>
  <c r="J63" i="7"/>
  <c r="L9" i="22" l="1"/>
  <c r="L10" i="22"/>
  <c r="L13" i="22"/>
  <c r="L40" i="22"/>
  <c r="L11" i="22"/>
  <c r="L12" i="22"/>
  <c r="R33" i="7"/>
  <c r="S33" i="7" s="1"/>
  <c r="F52" i="22"/>
  <c r="I45" i="22"/>
  <c r="K45" i="22" s="1"/>
  <c r="J44" i="22"/>
  <c r="I44" i="22" s="1"/>
  <c r="K44" i="22" s="1"/>
  <c r="R25" i="7"/>
  <c r="S25" i="7" s="1"/>
  <c r="F44" i="22"/>
  <c r="R27" i="7"/>
  <c r="S27" i="7" s="1"/>
  <c r="F46" i="22"/>
  <c r="E46" i="22" s="1"/>
  <c r="J46" i="22"/>
  <c r="I46" i="22" s="1"/>
  <c r="K46" i="22" s="1"/>
  <c r="I51" i="22"/>
  <c r="K51" i="22" s="1"/>
  <c r="J50" i="22"/>
  <c r="G42" i="22"/>
  <c r="R31" i="7"/>
  <c r="S31" i="7" s="1"/>
  <c r="F50" i="22"/>
  <c r="E51" i="22"/>
  <c r="G51" i="22" s="1"/>
  <c r="G63" i="22"/>
  <c r="L63" i="22"/>
  <c r="G67" i="22"/>
  <c r="L67" i="22"/>
  <c r="G41" i="22"/>
  <c r="L41" i="22"/>
  <c r="G45" i="22"/>
  <c r="L71" i="22"/>
  <c r="G71" i="22"/>
  <c r="L69" i="22"/>
  <c r="G69" i="22"/>
  <c r="L4" i="22"/>
  <c r="G37" i="22"/>
  <c r="L37" i="22"/>
  <c r="L72" i="22"/>
  <c r="G72" i="22"/>
  <c r="G70" i="22"/>
  <c r="L70" i="22"/>
  <c r="I47" i="22"/>
  <c r="K47" i="22" s="1"/>
  <c r="G39" i="22"/>
  <c r="L39" i="22"/>
  <c r="L17" i="22"/>
  <c r="G68" i="22"/>
  <c r="L68" i="22"/>
  <c r="N8" i="7"/>
  <c r="K20" i="7"/>
  <c r="F64" i="22"/>
  <c r="E64" i="22" s="1"/>
  <c r="J64" i="22"/>
  <c r="I64" i="22" s="1"/>
  <c r="K64" i="22" s="1"/>
  <c r="I43" i="22"/>
  <c r="K43" i="22" s="1"/>
  <c r="K103" i="7"/>
  <c r="G13" i="22"/>
  <c r="G34" i="22"/>
  <c r="G14" i="22"/>
  <c r="G17" i="22"/>
  <c r="G4" i="22"/>
  <c r="G18" i="22"/>
  <c r="G7" i="22"/>
  <c r="G10" i="22"/>
  <c r="G5" i="22"/>
  <c r="G11" i="22"/>
  <c r="G9" i="22"/>
  <c r="G36" i="22"/>
  <c r="G15" i="22"/>
  <c r="G12" i="22"/>
  <c r="G6" i="22"/>
  <c r="G35" i="22"/>
  <c r="G8" i="22"/>
  <c r="I49" i="22"/>
  <c r="K49" i="22" s="1"/>
  <c r="E49" i="22"/>
  <c r="F55" i="22"/>
  <c r="E55" i="22" s="1"/>
  <c r="J55" i="22"/>
  <c r="I55" i="22" s="1"/>
  <c r="K55" i="22" s="1"/>
  <c r="J58" i="22"/>
  <c r="I58" i="22" s="1"/>
  <c r="K58" i="22" s="1"/>
  <c r="F58" i="22"/>
  <c r="E58" i="22" s="1"/>
  <c r="F57" i="22"/>
  <c r="E57" i="22" s="1"/>
  <c r="J57" i="22"/>
  <c r="I57" i="22" s="1"/>
  <c r="K57" i="22" s="1"/>
  <c r="I53" i="22"/>
  <c r="K53" i="22" s="1"/>
  <c r="E53" i="22"/>
  <c r="J56" i="22"/>
  <c r="I56" i="22" s="1"/>
  <c r="K56" i="22" s="1"/>
  <c r="F56" i="22"/>
  <c r="E56" i="22" s="1"/>
  <c r="K53" i="7"/>
  <c r="J38" i="22"/>
  <c r="I38" i="22" s="1"/>
  <c r="K38" i="22" s="1"/>
  <c r="E47" i="22"/>
  <c r="J54" i="7"/>
  <c r="J16" i="22"/>
  <c r="I16" i="22" s="1"/>
  <c r="K16" i="22" s="1"/>
  <c r="F16" i="22"/>
  <c r="E16" i="22" s="1"/>
  <c r="S9" i="7"/>
  <c r="L45" i="22" l="1"/>
  <c r="L51" i="22"/>
  <c r="L55" i="22"/>
  <c r="G64" i="22"/>
  <c r="L64" i="22"/>
  <c r="G53" i="22"/>
  <c r="L53" i="22"/>
  <c r="G46" i="22"/>
  <c r="L46" i="22"/>
  <c r="G57" i="22"/>
  <c r="L57" i="22"/>
  <c r="L16" i="22"/>
  <c r="G47" i="22"/>
  <c r="L47" i="22"/>
  <c r="G58" i="22"/>
  <c r="L58" i="22"/>
  <c r="G49" i="22"/>
  <c r="L49" i="22"/>
  <c r="G56" i="22"/>
  <c r="L56" i="22"/>
  <c r="P8" i="7"/>
  <c r="J3" i="22" s="1"/>
  <c r="I3" i="22" s="1"/>
  <c r="K3" i="22" s="1"/>
  <c r="O8" i="7"/>
  <c r="R8" i="7" s="1"/>
  <c r="R20" i="7" s="1"/>
  <c r="T8" i="7"/>
  <c r="F73" i="22"/>
  <c r="E73" i="22" s="1"/>
  <c r="J73" i="22"/>
  <c r="I73" i="22" s="1"/>
  <c r="K73" i="22" s="1"/>
  <c r="F65" i="22"/>
  <c r="E65" i="22" s="1"/>
  <c r="J65" i="22"/>
  <c r="I65" i="22" s="1"/>
  <c r="K65" i="22" s="1"/>
  <c r="P97" i="7"/>
  <c r="J74" i="22" s="1"/>
  <c r="I74" i="22" s="1"/>
  <c r="K74" i="22" s="1"/>
  <c r="G55" i="22"/>
  <c r="O97" i="7"/>
  <c r="G16" i="22"/>
  <c r="K54" i="7"/>
  <c r="F38" i="22"/>
  <c r="E38" i="22" s="1"/>
  <c r="E44" i="22"/>
  <c r="F54" i="22"/>
  <c r="E54" i="22" s="1"/>
  <c r="E52" i="22"/>
  <c r="J54" i="22"/>
  <c r="I54" i="22" s="1"/>
  <c r="K54" i="22" s="1"/>
  <c r="I52" i="22"/>
  <c r="K52" i="22" s="1"/>
  <c r="F61" i="22"/>
  <c r="E61" i="22" s="1"/>
  <c r="F59" i="22"/>
  <c r="E59" i="22" s="1"/>
  <c r="J61" i="22"/>
  <c r="I61" i="22" s="1"/>
  <c r="K61" i="22" s="1"/>
  <c r="J59" i="22"/>
  <c r="I59" i="22" s="1"/>
  <c r="K59" i="22" s="1"/>
  <c r="J62" i="22"/>
  <c r="I62" i="22" s="1"/>
  <c r="K62" i="22" s="1"/>
  <c r="J60" i="22"/>
  <c r="I60" i="22" s="1"/>
  <c r="K60" i="22" s="1"/>
  <c r="F62" i="22"/>
  <c r="E62" i="22" s="1"/>
  <c r="F60" i="22"/>
  <c r="E60" i="22" s="1"/>
  <c r="E43" i="22"/>
  <c r="E50" i="22"/>
  <c r="I50" i="22"/>
  <c r="K50" i="22" s="1"/>
  <c r="L59" i="22" l="1"/>
  <c r="G38" i="22"/>
  <c r="L38" i="22"/>
  <c r="G65" i="22"/>
  <c r="L65" i="22"/>
  <c r="G50" i="22"/>
  <c r="L50" i="22"/>
  <c r="G61" i="22"/>
  <c r="L61" i="22"/>
  <c r="G73" i="22"/>
  <c r="L73" i="22"/>
  <c r="G43" i="22"/>
  <c r="L43" i="22"/>
  <c r="F74" i="22"/>
  <c r="E74" i="22" s="1"/>
  <c r="G60" i="22"/>
  <c r="L60" i="22"/>
  <c r="L62" i="22"/>
  <c r="G52" i="22"/>
  <c r="L52" i="22"/>
  <c r="G54" i="22"/>
  <c r="L54" i="22"/>
  <c r="G44" i="22"/>
  <c r="L44" i="22"/>
  <c r="G62" i="22"/>
  <c r="G59" i="22"/>
  <c r="E48" i="22"/>
  <c r="I48" i="22"/>
  <c r="K48" i="22" s="1"/>
  <c r="F3" i="22"/>
  <c r="E3" i="22" s="1"/>
  <c r="S103" i="7"/>
  <c r="R103" i="7"/>
  <c r="L74" i="22" l="1"/>
  <c r="G74" i="22"/>
  <c r="G48" i="22"/>
  <c r="L48" i="22"/>
  <c r="G3" i="22"/>
  <c r="L3" i="22"/>
  <c r="S53" i="7"/>
  <c r="R53" i="7"/>
  <c r="R54" i="7" s="1"/>
  <c r="S8" i="7"/>
  <c r="S20" i="7" s="1"/>
  <c r="L60" i="7"/>
  <c r="K60" i="7" s="1"/>
  <c r="S54" i="7" l="1"/>
  <c r="L62" i="7"/>
  <c r="K62" i="7" s="1"/>
  <c r="T53" i="7"/>
  <c r="T20" i="7"/>
  <c r="L63" i="7" l="1"/>
  <c r="B65" i="25" s="1"/>
  <c r="B66" i="25" s="1"/>
  <c r="T54" i="7"/>
  <c r="K63" i="7" l="1"/>
  <c r="M63" i="7"/>
  <c r="N63" i="7" s="1"/>
  <c r="AQ1" i="29" l="1"/>
  <c r="AO10" i="29" s="1"/>
  <c r="AP10" i="29" s="1"/>
  <c r="AQ2" i="29"/>
  <c r="AO43" i="29" s="1"/>
  <c r="AQ3" i="29"/>
  <c r="AO11" i="29"/>
  <c r="AP11" i="29"/>
  <c r="AQ11" i="29"/>
  <c r="AO12" i="29"/>
  <c r="AP12" i="29" s="1"/>
  <c r="AQ12" i="29" s="1"/>
  <c r="AO14" i="29"/>
  <c r="AP14" i="29"/>
  <c r="AQ14" i="29"/>
  <c r="AO15" i="29"/>
  <c r="AP15" i="29" s="1"/>
  <c r="AQ15" i="29" s="1"/>
  <c r="AO16" i="29"/>
  <c r="AP16" i="29"/>
  <c r="AQ16" i="29"/>
  <c r="AO17" i="29"/>
  <c r="AP17" i="29"/>
  <c r="AQ17" i="29" s="1"/>
  <c r="AO19" i="29"/>
  <c r="AP19" i="29"/>
  <c r="AQ19" i="29"/>
  <c r="AO20" i="29"/>
  <c r="AP20" i="29" s="1"/>
  <c r="AQ20" i="29" s="1"/>
  <c r="AO22" i="29"/>
  <c r="AP22" i="29"/>
  <c r="AQ22" i="29"/>
  <c r="AO23" i="29"/>
  <c r="AP23" i="29" s="1"/>
  <c r="AQ23" i="29" s="1"/>
  <c r="AO24" i="29"/>
  <c r="AP24" i="29"/>
  <c r="AQ24" i="29"/>
  <c r="AO25" i="29"/>
  <c r="AP25" i="29"/>
  <c r="AQ25" i="29" s="1"/>
  <c r="AO27" i="29"/>
  <c r="AP27" i="29"/>
  <c r="AQ27" i="29"/>
  <c r="AO28" i="29"/>
  <c r="AP28" i="29" s="1"/>
  <c r="AQ28" i="29" s="1"/>
  <c r="AO30" i="29"/>
  <c r="AP30" i="29"/>
  <c r="AQ30" i="29"/>
  <c r="AO31" i="29"/>
  <c r="AP31" i="29" s="1"/>
  <c r="AQ31" i="29" s="1"/>
  <c r="AO32" i="29"/>
  <c r="AP32" i="29"/>
  <c r="AQ32" i="29"/>
  <c r="AO33" i="29"/>
  <c r="AP33" i="29"/>
  <c r="AQ33" i="29" s="1"/>
  <c r="AO35" i="29"/>
  <c r="AP35" i="29"/>
  <c r="AQ35" i="29"/>
  <c r="AO36" i="29"/>
  <c r="AP36" i="29" s="1"/>
  <c r="AQ36" i="29" s="1"/>
  <c r="AO38" i="29"/>
  <c r="AP38" i="29"/>
  <c r="AQ38" i="29"/>
  <c r="AO60" i="29"/>
  <c r="AP60" i="29"/>
  <c r="AQ60" i="29"/>
  <c r="AO61" i="29"/>
  <c r="AP61" i="29" s="1"/>
  <c r="AO62" i="29"/>
  <c r="AP62" i="29"/>
  <c r="AQ62" i="29"/>
  <c r="AO63" i="29"/>
  <c r="AP63" i="29"/>
  <c r="AQ63" i="29" s="1"/>
  <c r="AO65" i="29"/>
  <c r="AP65" i="29"/>
  <c r="AQ65" i="29"/>
  <c r="AO66" i="29"/>
  <c r="AP66" i="29" s="1"/>
  <c r="AQ66" i="29" s="1"/>
  <c r="AO67" i="29"/>
  <c r="AP67" i="29"/>
  <c r="AQ67" i="29"/>
  <c r="AO68" i="29"/>
  <c r="AP68" i="29"/>
  <c r="AQ68" i="29"/>
  <c r="AO69" i="29"/>
  <c r="AP69" i="29" s="1"/>
  <c r="AQ69" i="29" s="1"/>
  <c r="AO70" i="29"/>
  <c r="AP70" i="29"/>
  <c r="AQ70" i="29"/>
  <c r="AO71" i="29"/>
  <c r="AP71" i="29"/>
  <c r="AQ71" i="29" s="1"/>
  <c r="AO72" i="29"/>
  <c r="AP72" i="29"/>
  <c r="AQ72" i="29"/>
  <c r="AO73" i="29"/>
  <c r="AP73" i="29"/>
  <c r="AQ73" i="29"/>
  <c r="AO74" i="29"/>
  <c r="AP74" i="29" s="1"/>
  <c r="AQ74" i="29" s="1"/>
  <c r="AO75" i="29"/>
  <c r="AP75" i="29"/>
  <c r="AQ75" i="29"/>
  <c r="AO76" i="29"/>
  <c r="AP76" i="29"/>
  <c r="AQ76" i="29"/>
  <c r="AO77" i="29"/>
  <c r="AP77" i="29" s="1"/>
  <c r="AQ77" i="29" s="1"/>
  <c r="AO78" i="29"/>
  <c r="AP78" i="29"/>
  <c r="AQ78" i="29"/>
  <c r="AO79" i="29"/>
  <c r="AP79" i="29"/>
  <c r="AQ79" i="29" s="1"/>
  <c r="AO80" i="29"/>
  <c r="AP80" i="29"/>
  <c r="AQ80" i="29"/>
  <c r="AO81" i="29"/>
  <c r="AP81" i="29"/>
  <c r="AQ81" i="29"/>
  <c r="AO82" i="29"/>
  <c r="AP82" i="29" s="1"/>
  <c r="AQ82" i="29" s="1"/>
  <c r="AO83" i="29"/>
  <c r="AP83" i="29"/>
  <c r="AQ83" i="29"/>
  <c r="AO84" i="29"/>
  <c r="AP84" i="29"/>
  <c r="AQ84" i="29"/>
  <c r="AO85" i="29"/>
  <c r="AP85" i="29" s="1"/>
  <c r="AQ85" i="29" s="1"/>
  <c r="AO86" i="29"/>
  <c r="AP86" i="29"/>
  <c r="AQ86" i="29"/>
  <c r="AO87" i="29"/>
  <c r="AP87" i="29"/>
  <c r="AQ87" i="29" s="1"/>
  <c r="AO88" i="29"/>
  <c r="AP88" i="29"/>
  <c r="AQ88" i="29"/>
  <c r="AO89" i="29"/>
  <c r="AP89" i="29"/>
  <c r="AQ89" i="29"/>
  <c r="AO90" i="29"/>
  <c r="AP90" i="29" s="1"/>
  <c r="AQ90" i="29" s="1"/>
  <c r="AO91" i="29"/>
  <c r="AP91" i="29"/>
  <c r="AQ91" i="29"/>
  <c r="AO92" i="29"/>
  <c r="AP92" i="29"/>
  <c r="AQ92" i="29"/>
  <c r="AO93" i="29"/>
  <c r="AP93" i="29" s="1"/>
  <c r="AQ93" i="29" s="1"/>
  <c r="AO94" i="29"/>
  <c r="AP94" i="29"/>
  <c r="AQ94" i="29"/>
  <c r="AO95" i="29"/>
  <c r="AP95" i="29"/>
  <c r="AQ95" i="29" s="1"/>
  <c r="AO96" i="29"/>
  <c r="AP96" i="29"/>
  <c r="AQ96" i="29"/>
  <c r="AO97" i="29"/>
  <c r="AP97" i="29"/>
  <c r="AQ97" i="29"/>
  <c r="AO98" i="29"/>
  <c r="AP98" i="29" s="1"/>
  <c r="AQ98" i="29" s="1"/>
  <c r="AO99" i="29"/>
  <c r="AP99" i="29"/>
  <c r="AQ99" i="29"/>
  <c r="AO100" i="29"/>
  <c r="AP100" i="29"/>
  <c r="AQ100" i="29"/>
  <c r="AO101" i="29"/>
  <c r="AP101" i="29" s="1"/>
  <c r="AQ101" i="29" s="1"/>
  <c r="AO102" i="29"/>
  <c r="AP102" i="29"/>
  <c r="AQ102" i="29"/>
  <c r="AO103" i="29"/>
  <c r="AP103" i="29"/>
  <c r="AQ103" i="29" s="1"/>
  <c r="AO104" i="29"/>
  <c r="AP104" i="29"/>
  <c r="AQ104" i="29"/>
  <c r="AO105" i="29"/>
  <c r="AP105" i="29"/>
  <c r="AQ105" i="29"/>
  <c r="AO106" i="29"/>
  <c r="AP106" i="29" s="1"/>
  <c r="AQ106" i="29" s="1"/>
  <c r="AO107" i="29"/>
  <c r="AP107" i="29"/>
  <c r="AQ107" i="29"/>
  <c r="AO108" i="29"/>
  <c r="AP108" i="29"/>
  <c r="AQ108" i="29"/>
  <c r="AO109" i="29"/>
  <c r="AP109" i="29" s="1"/>
  <c r="AQ109" i="29" s="1"/>
  <c r="AO110" i="29"/>
  <c r="AP110" i="29"/>
  <c r="AQ110" i="29"/>
  <c r="AO111" i="29"/>
  <c r="AP111" i="29"/>
  <c r="AQ111" i="29" s="1"/>
  <c r="AO112" i="29"/>
  <c r="AP112" i="29" s="1"/>
  <c r="AQ112" i="29" s="1"/>
  <c r="AO113" i="29"/>
  <c r="AP113" i="29"/>
  <c r="AQ113" i="29"/>
  <c r="AO114" i="29"/>
  <c r="AP114" i="29" s="1"/>
  <c r="AQ114" i="29" s="1"/>
  <c r="AO115" i="29"/>
  <c r="AP115" i="29"/>
  <c r="AQ115" i="29"/>
  <c r="AO116" i="29"/>
  <c r="AP116" i="29"/>
  <c r="AQ116" i="29"/>
  <c r="AO117" i="29"/>
  <c r="AP117" i="29" s="1"/>
  <c r="AQ117" i="29" s="1"/>
  <c r="AO118" i="29"/>
  <c r="AP118" i="29"/>
  <c r="AQ118" i="29"/>
  <c r="AO119" i="29"/>
  <c r="AP119" i="29"/>
  <c r="AQ119" i="29" s="1"/>
  <c r="AO120" i="29"/>
  <c r="AP120" i="29" s="1"/>
  <c r="AQ120" i="29" s="1"/>
  <c r="AO121" i="29"/>
  <c r="AP121" i="29"/>
  <c r="AQ121" i="29"/>
  <c r="AO122" i="29"/>
  <c r="AP122" i="29" s="1"/>
  <c r="AQ122" i="29" s="1"/>
  <c r="AO123" i="29"/>
  <c r="AP123" i="29"/>
  <c r="AQ123" i="29"/>
  <c r="AO124" i="29"/>
  <c r="AP124" i="29"/>
  <c r="AQ124" i="29"/>
  <c r="AO125" i="29"/>
  <c r="AP125" i="29" s="1"/>
  <c r="AQ125" i="29" s="1"/>
  <c r="AO126" i="29"/>
  <c r="AP126" i="29"/>
  <c r="AQ126" i="29"/>
  <c r="AO127" i="29"/>
  <c r="AP127" i="29"/>
  <c r="AQ127" i="29" s="1"/>
  <c r="AO128" i="29"/>
  <c r="AP128" i="29" s="1"/>
  <c r="AQ128" i="29" s="1"/>
  <c r="AO129" i="29"/>
  <c r="AP129" i="29"/>
  <c r="AQ129" i="29"/>
  <c r="AO130" i="29"/>
  <c r="AP130" i="29" s="1"/>
  <c r="AQ130" i="29" s="1"/>
  <c r="AO131" i="29"/>
  <c r="AP131" i="29"/>
  <c r="AQ131" i="29"/>
  <c r="AO132" i="29"/>
  <c r="AP132" i="29"/>
  <c r="AQ132" i="29"/>
  <c r="AO133" i="29"/>
  <c r="AP133" i="29" s="1"/>
  <c r="AQ133" i="29" s="1"/>
  <c r="AO134" i="29"/>
  <c r="AP134" i="29"/>
  <c r="AQ134" i="29"/>
  <c r="AO135" i="29"/>
  <c r="AP135" i="29"/>
  <c r="AQ135" i="29" s="1"/>
  <c r="AO136" i="29"/>
  <c r="AP136" i="29" s="1"/>
  <c r="AQ136" i="29" s="1"/>
  <c r="AO137" i="29"/>
  <c r="AP137" i="29"/>
  <c r="AQ137" i="29"/>
  <c r="AO138" i="29"/>
  <c r="AP138" i="29" s="1"/>
  <c r="AQ138" i="29" s="1"/>
  <c r="AO139" i="29"/>
  <c r="AP139" i="29"/>
  <c r="AQ139" i="29"/>
  <c r="AO140" i="29"/>
  <c r="AP140" i="29"/>
  <c r="AQ140" i="29"/>
  <c r="AO141" i="29"/>
  <c r="AP141" i="29" s="1"/>
  <c r="AQ141" i="29" s="1"/>
  <c r="AO142" i="29"/>
  <c r="AP142" i="29"/>
  <c r="AQ142" i="29"/>
  <c r="AO143" i="29"/>
  <c r="AP143" i="29"/>
  <c r="AQ143" i="29" s="1"/>
  <c r="AO144" i="29"/>
  <c r="AP144" i="29" s="1"/>
  <c r="AQ144" i="29" s="1"/>
  <c r="AO145" i="29"/>
  <c r="AP145" i="29"/>
  <c r="AQ145" i="29"/>
  <c r="AO151" i="29"/>
  <c r="AP151" i="29"/>
  <c r="AQ151" i="29"/>
  <c r="AP153" i="29"/>
  <c r="AQ153" i="29"/>
  <c r="AO159" i="29"/>
  <c r="AP159" i="29"/>
  <c r="AO160" i="29"/>
  <c r="AP160" i="29"/>
  <c r="AQ160" i="29"/>
  <c r="AO161" i="29"/>
  <c r="AP161" i="29"/>
  <c r="AQ161" i="29"/>
  <c r="AO162" i="29"/>
  <c r="AP162" i="29" s="1"/>
  <c r="AQ162" i="29" s="1"/>
  <c r="AO163" i="29"/>
  <c r="AP163" i="29"/>
  <c r="AQ163" i="29"/>
  <c r="AO164" i="29"/>
  <c r="AP164" i="29"/>
  <c r="AQ164" i="29"/>
  <c r="AO165" i="29"/>
  <c r="AP165" i="29" s="1"/>
  <c r="AQ165" i="29" s="1"/>
  <c r="AO166" i="29"/>
  <c r="AP166" i="29"/>
  <c r="AQ166" i="29"/>
  <c r="AO167" i="29"/>
  <c r="AP167" i="29"/>
  <c r="AQ167" i="29" s="1"/>
  <c r="AO168" i="29"/>
  <c r="AP168" i="29" s="1"/>
  <c r="AQ168" i="29" s="1"/>
  <c r="AO169" i="29"/>
  <c r="AP169" i="29"/>
  <c r="AQ169" i="29"/>
  <c r="AO170" i="29"/>
  <c r="AP170" i="29" s="1"/>
  <c r="AQ170" i="29" s="1"/>
  <c r="AO171" i="29"/>
  <c r="AP171" i="29"/>
  <c r="AQ171" i="29"/>
  <c r="AO172" i="29"/>
  <c r="AP172" i="29"/>
  <c r="AQ172" i="29"/>
  <c r="AO173" i="29"/>
  <c r="AP173" i="29" s="1"/>
  <c r="AQ173" i="29" s="1"/>
  <c r="AO174" i="29"/>
  <c r="AP174" i="29"/>
  <c r="AQ174" i="29"/>
  <c r="AO175" i="29"/>
  <c r="AP175" i="29"/>
  <c r="AQ175" i="29" s="1"/>
  <c r="AO176" i="29"/>
  <c r="AP176" i="29"/>
  <c r="AQ176" i="29"/>
  <c r="AO177" i="29"/>
  <c r="AP177" i="29"/>
  <c r="AQ177" i="29"/>
  <c r="AO178" i="29"/>
  <c r="AP178" i="29" s="1"/>
  <c r="AQ178" i="29" s="1"/>
  <c r="AO179" i="29"/>
  <c r="AP179" i="29"/>
  <c r="AQ179" i="29"/>
  <c r="AO180" i="29"/>
  <c r="AP180" i="29"/>
  <c r="AQ180" i="29"/>
  <c r="AO181" i="29"/>
  <c r="AP181" i="29" s="1"/>
  <c r="AQ181" i="29" s="1"/>
  <c r="AO182" i="29"/>
  <c r="AP182" i="29"/>
  <c r="AQ182" i="29"/>
  <c r="AO183" i="29"/>
  <c r="AP183" i="29"/>
  <c r="AQ183" i="29" s="1"/>
  <c r="AO184" i="29"/>
  <c r="AP184" i="29"/>
  <c r="AQ184" i="29"/>
  <c r="AO185" i="29"/>
  <c r="AP185" i="29"/>
  <c r="AQ185" i="29"/>
  <c r="AO186" i="29"/>
  <c r="AP186" i="29" s="1"/>
  <c r="AQ186" i="29" s="1"/>
  <c r="AO199" i="29"/>
  <c r="AP199" i="29"/>
  <c r="AQ199" i="29"/>
  <c r="AQ202" i="29" s="1"/>
  <c r="AP202" i="29"/>
  <c r="AO50" i="29" l="1"/>
  <c r="AP50" i="29" s="1"/>
  <c r="AO51" i="29"/>
  <c r="AP51" i="29" s="1"/>
  <c r="AQ51" i="29" s="1"/>
  <c r="AO52" i="29"/>
  <c r="AP52" i="29" s="1"/>
  <c r="AQ52" i="29" s="1"/>
  <c r="AP43" i="29"/>
  <c r="AO44" i="29"/>
  <c r="AP44" i="29" s="1"/>
  <c r="AQ44" i="29" s="1"/>
  <c r="AQ10" i="29"/>
  <c r="AP188" i="29"/>
  <c r="AQ61" i="29"/>
  <c r="AP147" i="29"/>
  <c r="AQ159" i="29"/>
  <c r="AQ188" i="29" s="1"/>
  <c r="AR188" i="29" s="1"/>
  <c r="AR209" i="29"/>
  <c r="AO37" i="29"/>
  <c r="AP37" i="29" s="1"/>
  <c r="AQ37" i="29" s="1"/>
  <c r="AO29" i="29"/>
  <c r="AP29" i="29" s="1"/>
  <c r="AQ29" i="29" s="1"/>
  <c r="AO21" i="29"/>
  <c r="AP21" i="29" s="1"/>
  <c r="AQ21" i="29" s="1"/>
  <c r="AO13" i="29"/>
  <c r="AP13" i="29" s="1"/>
  <c r="AQ13" i="29" s="1"/>
  <c r="AO64" i="29"/>
  <c r="AP64" i="29" s="1"/>
  <c r="AQ64" i="29" s="1"/>
  <c r="AO34" i="29"/>
  <c r="AP34" i="29" s="1"/>
  <c r="AQ34" i="29" s="1"/>
  <c r="AO26" i="29"/>
  <c r="AP26" i="29" s="1"/>
  <c r="AQ26" i="29" s="1"/>
  <c r="AO18" i="29"/>
  <c r="AP18" i="29" s="1"/>
  <c r="AQ18" i="29" s="1"/>
  <c r="AQ43" i="29" l="1"/>
  <c r="AQ46" i="29" s="1"/>
  <c r="AQ207" i="29" s="1"/>
  <c r="AS207" i="29" s="1"/>
  <c r="AP46" i="29"/>
  <c r="AP40" i="29"/>
  <c r="AQ40" i="29"/>
  <c r="AQ147" i="29"/>
  <c r="AP54" i="29"/>
  <c r="AP204" i="29" s="1"/>
  <c r="AQ50" i="29"/>
  <c r="AQ54" i="29" s="1"/>
  <c r="AQ208" i="29" s="1"/>
  <c r="AS208" i="29" s="1"/>
  <c r="AQ204" i="29" l="1"/>
  <c r="AQ206" i="29"/>
  <c r="AQ209" i="29" l="1"/>
  <c r="AS206" i="29"/>
  <c r="AS209" i="29" s="1"/>
</calcChain>
</file>

<file path=xl/comments1.xml><?xml version="1.0" encoding="utf-8"?>
<comments xmlns="http://schemas.openxmlformats.org/spreadsheetml/2006/main">
  <authors>
    <author>Akasha Leffler</author>
  </authors>
  <commentList>
    <comment ref="V58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From Lewis TL 7.16.21 for the 2020 filing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Resi/Comm disposal Exp. divided by $90 (old disposal rate)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RO Disposal Exp divided by $90 (old disposal rate)</t>
        </r>
      </text>
    </comment>
  </commentList>
</comments>
</file>

<file path=xl/comments2.xml><?xml version="1.0" encoding="utf-8"?>
<comments xmlns="http://schemas.openxmlformats.org/spreadsheetml/2006/main">
  <authors>
    <author>Akasha Leffler</author>
    <author>Heather Garland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Doesn't look like the tariff has rates for "No Recycling" anymore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32 gallon can code on the Price Out that is no longer being used so it's not included in the mapping. </t>
        </r>
      </text>
    </comment>
    <comment ref="M56" authorId="1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You had these all as 1.</t>
        </r>
      </text>
    </comment>
  </commentList>
</comments>
</file>

<file path=xl/comments3.xml><?xml version="1.0" encoding="utf-8"?>
<comments xmlns="http://schemas.openxmlformats.org/spreadsheetml/2006/main">
  <authors>
    <author>WCNX</author>
    <author>Lindsay Waldram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4.50 x 5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$1.05 x 4.33</t>
        </r>
      </text>
    </comment>
    <comment ref="E94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2 cans at 2.75 x 4.33</t>
        </r>
      </text>
    </comment>
    <comment ref="E95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$5.55 rate for single cans x 4.33 x 2</t>
        </r>
      </text>
    </comment>
    <comment ref="E96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$5.55 rate for single cans x 4.33</t>
        </r>
      </text>
    </comment>
    <comment ref="E99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$7.64 rate for single cans x 4.33</t>
        </r>
      </text>
    </comment>
    <comment ref="E126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$1.62 x 4.33</t>
        </r>
      </text>
    </comment>
    <comment ref="E139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$4.40 Roll out charge x4.33</t>
        </r>
      </text>
    </comment>
    <comment ref="E140" authorId="1" shapeId="0">
      <text>
        <r>
          <rPr>
            <b/>
            <sz val="9"/>
            <color indexed="81"/>
            <rFont val="Tahoma"/>
            <family val="2"/>
          </rPr>
          <t>WCNX:</t>
        </r>
        <r>
          <rPr>
            <sz val="9"/>
            <color indexed="81"/>
            <rFont val="Tahoma"/>
            <family val="2"/>
          </rPr>
          <t xml:space="preserve">
Cart roll out charge of $1.05 x 4.33</t>
        </r>
      </text>
    </comment>
    <comment ref="E145" authorId="1" shapeId="0">
      <text>
        <r>
          <rPr>
            <b/>
            <sz val="9"/>
            <color indexed="81"/>
            <rFont val="Tahoma"/>
            <family val="2"/>
          </rPr>
          <t xml:space="preserve">WCNX:
</t>
        </r>
        <r>
          <rPr>
            <sz val="9"/>
            <color indexed="81"/>
            <rFont val="Tahoma"/>
            <family val="2"/>
          </rPr>
          <t xml:space="preserve">First 25 ft $0.48 plus extra 25 feet $0.33 times 4.33
</t>
        </r>
      </text>
    </comment>
  </commentList>
</comments>
</file>

<file path=xl/comments4.xml><?xml version="1.0" encoding="utf-8"?>
<comments xmlns="http://schemas.openxmlformats.org/spreadsheetml/2006/main">
  <authors>
    <author>Heather Garland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Pioneer trucking credit.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Brokerage of drop boxes to Lewis.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Glass Disposal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Pioneer Processing Charge
</t>
        </r>
      </text>
    </comment>
  </commentList>
</comments>
</file>

<file path=xl/comments5.xml><?xml version="1.0" encoding="utf-8"?>
<comments xmlns="http://schemas.openxmlformats.org/spreadsheetml/2006/main">
  <authors>
    <author>Akasha Leffler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Vlookup wasn't working for this cell for whatever reason</t>
        </r>
      </text>
    </comment>
  </commentList>
</comments>
</file>

<file path=xl/sharedStrings.xml><?xml version="1.0" encoding="utf-8"?>
<sst xmlns="http://schemas.openxmlformats.org/spreadsheetml/2006/main" count="1959" uniqueCount="822">
  <si>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</si>
  <si>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</si>
  <si>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</si>
  <si>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</si>
  <si>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</si>
  <si>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</si>
  <si>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</si>
  <si>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</si>
  <si>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</si>
  <si>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</si>
  <si>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</si>
  <si>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</si>
  <si>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</si>
  <si>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</si>
  <si>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</si>
  <si>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</si>
  <si>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</si>
  <si>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</si>
  <si>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</si>
  <si>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</si>
  <si>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</si>
  <si>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</si>
  <si>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</si>
  <si>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</si>
  <si>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</si>
  <si>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</si>
  <si>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</si>
  <si>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</si>
  <si>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</si>
  <si>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</si>
  <si>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</si>
  <si>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</si>
  <si>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</si>
  <si>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</si>
  <si>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</si>
  <si>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</si>
  <si>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</si>
  <si>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</si>
  <si>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</si>
  <si>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</si>
  <si>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</si>
  <si>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</si>
  <si>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</si>
  <si>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</si>
  <si>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</si>
  <si>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</si>
  <si>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</si>
  <si>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</si>
  <si>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</si>
  <si>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</si>
  <si>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</si>
  <si>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</si>
  <si>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</si>
  <si>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</si>
  <si>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</si>
  <si>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</si>
  <si>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</si>
  <si>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</si>
  <si>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</si>
  <si>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</si>
  <si>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</si>
  <si>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</si>
  <si>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</si>
  <si>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</si>
  <si>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</si>
  <si>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</si>
  <si>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</si>
  <si>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</si>
  <si>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</si>
  <si>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</si>
  <si>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</si>
  <si>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</si>
  <si>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</si>
  <si>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</si>
  <si>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</si>
  <si>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</si>
  <si>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</si>
  <si>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</si>
  <si>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</si>
  <si>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RESIDENTIAL</t>
  </si>
  <si>
    <t>COMMERCIAL</t>
  </si>
  <si>
    <t>Proposed Revenue</t>
  </si>
  <si>
    <t>Pass Thru Tons</t>
  </si>
  <si>
    <t>Dump Fee Calculation</t>
  </si>
  <si>
    <t>Service Code</t>
  </si>
  <si>
    <t>Resi</t>
  </si>
  <si>
    <t>LOB</t>
  </si>
  <si>
    <t>SERVICE CODE</t>
  </si>
  <si>
    <t>SERVICE</t>
  </si>
  <si>
    <t>DETAILS</t>
  </si>
  <si>
    <t>FREQUENCY</t>
  </si>
  <si>
    <t>MEEKS WEIGHT</t>
  </si>
  <si>
    <t>SIZE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</si>
  <si>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</si>
  <si>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</si>
  <si>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</si>
  <si>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</si>
  <si>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</si>
  <si>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</si>
  <si>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</si>
  <si>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</si>
  <si>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</si>
  <si>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</si>
  <si>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</si>
  <si>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</si>
  <si>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</si>
  <si>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</si>
  <si>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</si>
  <si>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</si>
  <si>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</si>
  <si>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</si>
  <si>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</si>
  <si>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</si>
  <si>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</si>
  <si>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</si>
  <si>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</si>
  <si>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</si>
  <si>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</si>
  <si>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</si>
  <si>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</si>
  <si>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</si>
  <si>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</si>
  <si>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</si>
  <si>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</si>
  <si>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</si>
  <si>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</si>
  <si>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</si>
  <si>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Current COVID Rate</t>
  </si>
  <si>
    <t>MSW</t>
  </si>
  <si>
    <t>Recycle</t>
  </si>
  <si>
    <t>Container Counts</t>
  </si>
  <si>
    <t>Cart Size</t>
  </si>
  <si>
    <t>Can Size</t>
  </si>
  <si>
    <t>Container Size</t>
  </si>
  <si>
    <t>Quantity</t>
  </si>
  <si>
    <t>Count</t>
  </si>
  <si>
    <t>Proposed Tariff Rate</t>
  </si>
  <si>
    <t>Service Charges</t>
  </si>
  <si>
    <t>FINANCE CHARGE</t>
  </si>
  <si>
    <t>C19-ADJFIN</t>
  </si>
  <si>
    <t>COLLECTION AGENCY FEE</t>
  </si>
  <si>
    <t>TOTAL REVENUE</t>
  </si>
  <si>
    <t>Per Price Out</t>
  </si>
  <si>
    <t>Residential</t>
  </si>
  <si>
    <t>RO</t>
  </si>
  <si>
    <t>Cust Counts for TL - Rounded</t>
  </si>
  <si>
    <t xml:space="preserve">Proposed COVID Rate </t>
  </si>
  <si>
    <t>Current Normal Rate</t>
  </si>
  <si>
    <t>Proposed Normal Rate</t>
  </si>
  <si>
    <t>UNIQUE FORMULA</t>
  </si>
  <si>
    <t>Check to Mapping Tab</t>
  </si>
  <si>
    <t>Standard Service Code</t>
  </si>
  <si>
    <t>Company Current Tariff - Post COVID Recovery</t>
  </si>
  <si>
    <t>Calcualted Rate - Post COVID Recovery</t>
  </si>
  <si>
    <t>Company Current Tariff  with COVID Recovery</t>
  </si>
  <si>
    <t xml:space="preserve"> Calculated Rate - with COVID Recovery</t>
  </si>
  <si>
    <t>COVID RATE</t>
  </si>
  <si>
    <t>NON-COVID RATE</t>
  </si>
  <si>
    <t>Dump Fee Calculation References</t>
  </si>
  <si>
    <t>35 gallon cart</t>
  </si>
  <si>
    <t>48 gallon cart</t>
  </si>
  <si>
    <t>Supercan 64</t>
  </si>
  <si>
    <t>Supercan 94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</si>
  <si>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</si>
  <si>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</si>
  <si>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</si>
  <si>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</si>
  <si>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</si>
  <si>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Mason County</t>
  </si>
  <si>
    <t>Increase/(Decrease)</t>
  </si>
  <si>
    <t>Disposal Fee Revenue Increase/(Decrease)</t>
  </si>
  <si>
    <t>Effective 2/1/2022</t>
  </si>
  <si>
    <t>Tariff Rate</t>
  </si>
  <si>
    <t>Change in Annual Revenue</t>
  </si>
  <si>
    <t>Concatenate (Area &amp;LOB &amp; Service Code)</t>
  </si>
  <si>
    <t>Count (ensures no duplicates)</t>
  </si>
  <si>
    <t>Carts</t>
  </si>
  <si>
    <t xml:space="preserve">COMMERCIAL SERVICES </t>
  </si>
  <si>
    <t>Container</t>
  </si>
  <si>
    <t>Drop Box</t>
  </si>
  <si>
    <t>Diff</t>
  </si>
  <si>
    <t>Frequency</t>
  </si>
  <si>
    <t>Page Number</t>
  </si>
  <si>
    <t>EOW</t>
  </si>
  <si>
    <t>Extra</t>
  </si>
  <si>
    <t>Each</t>
  </si>
  <si>
    <t>Weekly</t>
  </si>
  <si>
    <t>1 yd</t>
  </si>
  <si>
    <t>1.5 yd</t>
  </si>
  <si>
    <t>Item 100</t>
  </si>
  <si>
    <t>WG</t>
  </si>
  <si>
    <t>EOWG</t>
  </si>
  <si>
    <t>MG</t>
  </si>
  <si>
    <t>Item 150</t>
  </si>
  <si>
    <t>Item 240</t>
  </si>
  <si>
    <t>Item/Note</t>
  </si>
  <si>
    <t>Permanent</t>
  </si>
  <si>
    <t>2022 Increase %</t>
  </si>
  <si>
    <t>Current Rate</t>
  </si>
  <si>
    <t>1 yard</t>
  </si>
  <si>
    <t>1.5 yard</t>
  </si>
  <si>
    <t>2 yard</t>
  </si>
  <si>
    <t>Short Code</t>
  </si>
  <si>
    <t>Total Annual Customers</t>
  </si>
  <si>
    <t>Annual Pickup Total for DF Calc Tab check</t>
  </si>
  <si>
    <t>Total from PO tab (annualized)</t>
  </si>
  <si>
    <t>Average</t>
  </si>
  <si>
    <t>Harold LeMay Enterprises, Inc.</t>
  </si>
  <si>
    <t>Lewis County UTC</t>
  </si>
  <si>
    <t xml:space="preserve"> City Sanitary, Joe's Refuse, White Pass Garbage G-98 </t>
  </si>
  <si>
    <t>LG:</t>
  </si>
  <si>
    <t>Lewis Co. Regulated - Price Out</t>
  </si>
  <si>
    <t xml:space="preserve"> Test Year Ended May 31, 2020 </t>
  </si>
  <si>
    <t>YW</t>
  </si>
  <si>
    <t xml:space="preserve">Total </t>
  </si>
  <si>
    <t>Annual Revenue</t>
  </si>
  <si>
    <t>SL065.0G1M001NOREC</t>
  </si>
  <si>
    <t>65 GL 1X MO NO RECY 1</t>
  </si>
  <si>
    <t>SL065.0G1M001WREC</t>
  </si>
  <si>
    <t>65 GL 1X MO W/RECY 1</t>
  </si>
  <si>
    <t>SL065.0G1W001NOREC</t>
  </si>
  <si>
    <t>65 GL 1X WK NO RECY 1</t>
  </si>
  <si>
    <t>SL065.0G1W001WREC</t>
  </si>
  <si>
    <t>65 GL 1X WK W/RECY 1</t>
  </si>
  <si>
    <t>SL065.0GEO001NOREC</t>
  </si>
  <si>
    <t>65 GL EOW NO RECY 1</t>
  </si>
  <si>
    <t>SL065.0GEO001WREC</t>
  </si>
  <si>
    <t>65 GL EOW W/RECY 1</t>
  </si>
  <si>
    <t>SL095.0G1M001NOREC</t>
  </si>
  <si>
    <t>95 GL 1X MO NO RECY 1</t>
  </si>
  <si>
    <t>SL095.0G1M001WREC</t>
  </si>
  <si>
    <t>95 GL 1X MO W/RECY 1</t>
  </si>
  <si>
    <t>SL095.0G1W001NOREC</t>
  </si>
  <si>
    <t>95 GL 1X WK NO RECY 1</t>
  </si>
  <si>
    <t>SL095.0G1W001WREC</t>
  </si>
  <si>
    <t>95 GL 1X WK W/RECY 1</t>
  </si>
  <si>
    <t>SL095.0GEO001NOREC</t>
  </si>
  <si>
    <t>95 GL EOW NO RECY 1</t>
  </si>
  <si>
    <t>SL095.0GEO001WREC</t>
  </si>
  <si>
    <t>95 GL EOW W/RECY 1</t>
  </si>
  <si>
    <t>OC-RES</t>
  </si>
  <si>
    <t>ON CALL SERVICE - RES</t>
  </si>
  <si>
    <t>SP65-RES</t>
  </si>
  <si>
    <t>SPECIAL PICK UP 65 GL - R</t>
  </si>
  <si>
    <t>SP95-RES</t>
  </si>
  <si>
    <t>SPECIAL PICK UP 95 GL - R</t>
  </si>
  <si>
    <t>SPCL65-RES</t>
  </si>
  <si>
    <t>SPECIAL 65 GL - RES</t>
  </si>
  <si>
    <t>ACCESS-RES</t>
  </si>
  <si>
    <t>ACCESS FEE - RES</t>
  </si>
  <si>
    <t>BULKY-RES</t>
  </si>
  <si>
    <t>BULKY ITEM PICK UP - RES</t>
  </si>
  <si>
    <t>DRIVEIN1-RES</t>
  </si>
  <si>
    <t>DRIVE IN 1 - RES</t>
  </si>
  <si>
    <t>DRIVEIN-RES</t>
  </si>
  <si>
    <t>DRIVE IN SERVICE - RES</t>
  </si>
  <si>
    <t>EXTRA-RES</t>
  </si>
  <si>
    <t>EXTRA CAN, BAG, BOX - RES</t>
  </si>
  <si>
    <t>PDBAG-COMM</t>
  </si>
  <si>
    <t>PREPAID BAG - COMM</t>
  </si>
  <si>
    <t>PDBAG-RES</t>
  </si>
  <si>
    <t>PREPAID BAG - RES</t>
  </si>
  <si>
    <t>REDEL-RES</t>
  </si>
  <si>
    <t>REDELIVER FEE - RES</t>
  </si>
  <si>
    <t>REINSTATE-RES</t>
  </si>
  <si>
    <t>REINSTATE FEE - RES</t>
  </si>
  <si>
    <t>ROLL1RES</t>
  </si>
  <si>
    <t>CART ROLL OUT 1 - RES</t>
  </si>
  <si>
    <t>RTRNCART65-RES</t>
  </si>
  <si>
    <t>RETURN TRIP 65 GL - RES</t>
  </si>
  <si>
    <t>RTRNCART-RES</t>
  </si>
  <si>
    <t>RETURN TRIP FEE CART - RE</t>
  </si>
  <si>
    <t>WI3-RES</t>
  </si>
  <si>
    <t>WALK IN 51-75' - RES</t>
  </si>
  <si>
    <t>Residential Recycling</t>
  </si>
  <si>
    <t>RECPROGADJ-RES</t>
  </si>
  <si>
    <t>RECYCLING PROGRAM ADJUSTM</t>
  </si>
  <si>
    <t>RECBINONLYR</t>
  </si>
  <si>
    <t>RESIDENTIAL YARD WASTE</t>
  </si>
  <si>
    <t>GWRES</t>
  </si>
  <si>
    <t>GREENWASTE SERVICE - RES</t>
  </si>
  <si>
    <t>GW2RES</t>
  </si>
  <si>
    <t>GREENWASTE SVC 2 - RES</t>
  </si>
  <si>
    <t>GW3RES</t>
  </si>
  <si>
    <t>GREENWASTE SVC 3 - RES</t>
  </si>
  <si>
    <t>TOTAL RESIDENTIAL YARD WASTE</t>
  </si>
  <si>
    <t>FL001.0Y1W001</t>
  </si>
  <si>
    <t>1 YD 1X WK 1</t>
  </si>
  <si>
    <t>RL001.0Y1W001</t>
  </si>
  <si>
    <t>FL001.0YEO001</t>
  </si>
  <si>
    <t>1 YD EOW 1</t>
  </si>
  <si>
    <t>RL001.0YEO001</t>
  </si>
  <si>
    <t>FL001.5Y1W001</t>
  </si>
  <si>
    <t>1.5 YD 1X WK 1</t>
  </si>
  <si>
    <t>RL001.5Y1W001</t>
  </si>
  <si>
    <t>RL001.5Y2W001</t>
  </si>
  <si>
    <t>1.5 YD 2X WK 1</t>
  </si>
  <si>
    <t>FL001.5YEO001</t>
  </si>
  <si>
    <t>1.5 YD EOW 1</t>
  </si>
  <si>
    <t>RL001.5YEO001</t>
  </si>
  <si>
    <t>FL002.0Y1W001</t>
  </si>
  <si>
    <t>2 YD 1X WK 1</t>
  </si>
  <si>
    <t>RL002.0Y1W001</t>
  </si>
  <si>
    <t>RL002.0Y2W001</t>
  </si>
  <si>
    <t>2 YD 2X WK 1</t>
  </si>
  <si>
    <t>FL002.0Y2W002</t>
  </si>
  <si>
    <t>2 YD 2X WK 2</t>
  </si>
  <si>
    <t>RL002.0Y3W001</t>
  </si>
  <si>
    <t>2 YD 3X WK 1</t>
  </si>
  <si>
    <t>FL002.0YEO001</t>
  </si>
  <si>
    <t>2 YD EOW 1</t>
  </si>
  <si>
    <t>RL002.0YEO001</t>
  </si>
  <si>
    <t>FL003.0Y1W001</t>
  </si>
  <si>
    <t>3 YD 1X WK 1</t>
  </si>
  <si>
    <t>FL003.0Y2W001</t>
  </si>
  <si>
    <t>3 YD 2X WK 1</t>
  </si>
  <si>
    <t>FL003.0Y4W001</t>
  </si>
  <si>
    <t>3 YD 4X WK 1</t>
  </si>
  <si>
    <t>FL003.0YEO001</t>
  </si>
  <si>
    <t>3 YD EOW 1</t>
  </si>
  <si>
    <t>FL004.0Y1W001</t>
  </si>
  <si>
    <t>4 YD 1X WK 1</t>
  </si>
  <si>
    <t>FL004.0Y2W001</t>
  </si>
  <si>
    <t>4 YD 2X WK 1</t>
  </si>
  <si>
    <t>FL004.0Y2W002</t>
  </si>
  <si>
    <t>4 YD 2X WK 2</t>
  </si>
  <si>
    <t>FL004.0YEO001</t>
  </si>
  <si>
    <t>4 YD EOW 1</t>
  </si>
  <si>
    <t>FL005.0Y1W001</t>
  </si>
  <si>
    <t>5 YD 1X WK 1</t>
  </si>
  <si>
    <t>FL006.0Y1W001</t>
  </si>
  <si>
    <t>6 YD 1X WK 1</t>
  </si>
  <si>
    <t>FL006.0Y1W002</t>
  </si>
  <si>
    <t>6 YD 1X WK 2</t>
  </si>
  <si>
    <t>FL006.0Y2W001</t>
  </si>
  <si>
    <t>6 YD 2X WK 1</t>
  </si>
  <si>
    <t>FL006.0Y2W002</t>
  </si>
  <si>
    <t>6 YD 2X WK 2</t>
  </si>
  <si>
    <t>FL006.0Y3W001</t>
  </si>
  <si>
    <t>6 YD 3X WK 1</t>
  </si>
  <si>
    <t>FL006.0Y5W001</t>
  </si>
  <si>
    <t>6 YD 5X WK 1</t>
  </si>
  <si>
    <t>FL006.0YEO001</t>
  </si>
  <si>
    <t>6 YD EOW 1</t>
  </si>
  <si>
    <t>CANCOUNT65-COMM</t>
  </si>
  <si>
    <t>CAN COUNT 65 GL - COMM</t>
  </si>
  <si>
    <t>Divded by 4.33</t>
  </si>
  <si>
    <t>CANCOUNT95-COMM</t>
  </si>
  <si>
    <t>CAN COUNT 95 GL - COMM</t>
  </si>
  <si>
    <t>RL032.0G1W002NORECC</t>
  </si>
  <si>
    <t xml:space="preserve">32 GL 1X WK NO RECY COMM </t>
  </si>
  <si>
    <t>SL065.0G1W002NORECC</t>
  </si>
  <si>
    <t>65 GL 1X WK NO REC COMM 2</t>
  </si>
  <si>
    <t>SL065.0G1W001NORECC</t>
  </si>
  <si>
    <t xml:space="preserve">65 GL 1X WK NO RECY COMM </t>
  </si>
  <si>
    <t>SL065.0GEO002NORECC</t>
  </si>
  <si>
    <t>65 GL EOW NO REC COMM 2</t>
  </si>
  <si>
    <t>SL065.0GEO001NORECC</t>
  </si>
  <si>
    <t>65 GL EOW NO RECY COMM 1</t>
  </si>
  <si>
    <t>SL095.0G1W001NORECC</t>
  </si>
  <si>
    <t xml:space="preserve">95 GL 1X WK NO RECY COMM </t>
  </si>
  <si>
    <t>SL095.0GEO001NORECC</t>
  </si>
  <si>
    <t>95 GL EOW NO RECY COMM 1</t>
  </si>
  <si>
    <t>RL001.0YXX001TEMPC</t>
  </si>
  <si>
    <t>1 YD TEMP</t>
  </si>
  <si>
    <t>FL001.0YXX001TEMPC</t>
  </si>
  <si>
    <t xml:space="preserve">1 YD TEMP </t>
  </si>
  <si>
    <t>RL001.5YXX001TEMPC</t>
  </si>
  <si>
    <t>1.5 YD TEMP</t>
  </si>
  <si>
    <t>RL002.0YXX001TEMPC</t>
  </si>
  <si>
    <t>2 YD TEMP</t>
  </si>
  <si>
    <t>FL002.0YXX001TEMPC</t>
  </si>
  <si>
    <t xml:space="preserve">2 YD TEMP </t>
  </si>
  <si>
    <t>FL003.0YXX001TEMPC</t>
  </si>
  <si>
    <t xml:space="preserve">3 YD TEMP </t>
  </si>
  <si>
    <t>FL004.0YXX001TEMPC</t>
  </si>
  <si>
    <t>4 YD TEMP 1</t>
  </si>
  <si>
    <t>FL006.0YXX001TEMPC</t>
  </si>
  <si>
    <t>6 YD TEMP 1</t>
  </si>
  <si>
    <t>SP1.5-COMM</t>
  </si>
  <si>
    <t xml:space="preserve">SPECIAL PICK UP 1.5 YD - </t>
  </si>
  <si>
    <t>SP1-COMM</t>
  </si>
  <si>
    <t>SPECIAL PICK UP 1 YD - CO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</si>
  <si>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</si>
  <si>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</si>
  <si>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</si>
  <si>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</si>
  <si>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</si>
  <si>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</si>
  <si>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</si>
  <si>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</si>
  <si>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SPCL65-COMM</t>
  </si>
  <si>
    <t>SPECIAL 65 GL - COMM</t>
  </si>
  <si>
    <t>ACCESS-COMM</t>
  </si>
  <si>
    <t>ACCESS FEE - COMM</t>
  </si>
  <si>
    <t>ACCESSEOW-COMM</t>
  </si>
  <si>
    <t>ACCESS FEE EOW - COMM</t>
  </si>
  <si>
    <t>CLEAN-COMM</t>
  </si>
  <si>
    <t xml:space="preserve">CONTAINER CLEANING FEE - </t>
  </si>
  <si>
    <t>DEL1.5TEMP-COMM</t>
  </si>
  <si>
    <t xml:space="preserve">DELIVERY FEE 1.5 YD TEMP </t>
  </si>
  <si>
    <t>DEL1TEMP-COMM</t>
  </si>
  <si>
    <t xml:space="preserve">DELIVERY FEE 1 YD TEMP - </t>
  </si>
  <si>
    <t>RTRNTRIP6-COMM</t>
  </si>
  <si>
    <t>RETURN TRIP 6 YD - COMM</t>
  </si>
  <si>
    <t>DEL2TEMP-COMM</t>
  </si>
  <si>
    <t xml:space="preserve">DELIVERY FEE 2 YD TEMP - </t>
  </si>
  <si>
    <t>DEL3TEMP-COMM</t>
  </si>
  <si>
    <t xml:space="preserve">DELIVERY FEE 3 YD TEMP - </t>
  </si>
  <si>
    <t>DEL4TEMP-COMM</t>
  </si>
  <si>
    <t xml:space="preserve">DELIVERY FEE 4 YD TEMP - </t>
  </si>
  <si>
    <t>DEL6TEMP-COMM</t>
  </si>
  <si>
    <t xml:space="preserve">DELIVERY FEE 6 YD TEMP - </t>
  </si>
  <si>
    <t>DRIVEIN-COMM</t>
  </si>
  <si>
    <t>DRIVE IN SERVICE - COMM</t>
  </si>
  <si>
    <t>EXTRA-COMM</t>
  </si>
  <si>
    <t>EXTRA CAN, BAG, BOX - COM</t>
  </si>
  <si>
    <t>EXTRAYDG-COM</t>
  </si>
  <si>
    <t>EXTRA YARDAGE - COMM</t>
  </si>
  <si>
    <t>LCKCEOW</t>
  </si>
  <si>
    <t>LOCK CHARGE EOW - COMM</t>
  </si>
  <si>
    <t>LCKC</t>
  </si>
  <si>
    <t>LOCK CHARGE - COMM</t>
  </si>
  <si>
    <t>REDEL-COMM</t>
  </si>
  <si>
    <t>REDELIVER FEE LVL 1 - COM</t>
  </si>
  <si>
    <t>REINSTATE-COMM</t>
  </si>
  <si>
    <t>REINSTATE FEE - COMM</t>
  </si>
  <si>
    <t>RENT1.5TEMP-COMM</t>
  </si>
  <si>
    <t>RENT 1.5 YD TEMP - COMM</t>
  </si>
  <si>
    <t>RENT1TEMP-COMM</t>
  </si>
  <si>
    <t>RENT 1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</si>
  <si>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</si>
  <si>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</si>
  <si>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</si>
  <si>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</si>
  <si>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</si>
  <si>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</si>
  <si>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</si>
  <si>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</si>
  <si>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ROLL-COMM</t>
  </si>
  <si>
    <t>ROLL OUT CHARGE - COMM</t>
  </si>
  <si>
    <t>ROLL1W-COMM</t>
  </si>
  <si>
    <t>ROLL OUT 1X WK - COMM</t>
  </si>
  <si>
    <t>RTRNCAN-COMM</t>
  </si>
  <si>
    <t>RETURN TRIP FEE CAN - COM</t>
  </si>
  <si>
    <t>RTRNCART65-COMM</t>
  </si>
  <si>
    <t>RETURN TRIP 65 GL - COMM</t>
  </si>
  <si>
    <t>RTRNTRIP1-COMM</t>
  </si>
  <si>
    <t>RETURN TRIP 1 YD - COMM</t>
  </si>
  <si>
    <t>RTRNTRIP2-COMM</t>
  </si>
  <si>
    <t>RETURN TRIP 2 YD - COMM</t>
  </si>
  <si>
    <t>Containers</t>
  </si>
  <si>
    <t>WI2-COMM</t>
  </si>
  <si>
    <t>WALK IN 26-50' - COMM</t>
  </si>
  <si>
    <t>COMMERCIAL RECYCLING</t>
  </si>
  <si>
    <t>MULTI FAMILY RECYCLING</t>
  </si>
  <si>
    <t>MFWBINS</t>
  </si>
  <si>
    <t>MULTI-FAMILY REC UNIT W/B</t>
  </si>
  <si>
    <t>TOTAL MULTI-FAMILY RECYCLING</t>
  </si>
  <si>
    <t>HAUL20-RO</t>
  </si>
  <si>
    <t>HAUL 20 YD - RO</t>
  </si>
  <si>
    <t>FINAL20-RO</t>
  </si>
  <si>
    <t>FINAL PULL 20 YD - RO</t>
  </si>
  <si>
    <t>HAUL30-RO</t>
  </si>
  <si>
    <t>HAUL 30 YD - RO</t>
  </si>
  <si>
    <t>HAUL40-RO</t>
  </si>
  <si>
    <t>HAUL 40 YD - RO</t>
  </si>
  <si>
    <t>FINAL40-RO</t>
  </si>
  <si>
    <t>FINAL PULL 40 YD - RO</t>
  </si>
  <si>
    <t>FINAL30-RO</t>
  </si>
  <si>
    <t>FINAL PULL 30 YD - RO</t>
  </si>
  <si>
    <t>HAUL20TEMP-RO</t>
  </si>
  <si>
    <t>HAUL 20 YD TEMP - RO</t>
  </si>
  <si>
    <t>FINAL20TEMP-RO</t>
  </si>
  <si>
    <t>FINAL PULL 20 YD TEMP - R</t>
  </si>
  <si>
    <t>HAUL30TEMP-RO</t>
  </si>
  <si>
    <t>HAUL 30 YD TEMP - RO</t>
  </si>
  <si>
    <t>FINAL30TEMP-RO</t>
  </si>
  <si>
    <t>FINAL PULL 30 YD TEMP - R</t>
  </si>
  <si>
    <t>HAUL40TEMP-RO</t>
  </si>
  <si>
    <t>HAUL 40 YD TEMP - RO</t>
  </si>
  <si>
    <t>FINAL40TEMP-RO</t>
  </si>
  <si>
    <t>FINAL PULL 40 YD TEMP - R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</si>
  <si>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</si>
  <si>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</si>
  <si>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</si>
  <si>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</si>
  <si>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</si>
  <si>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</si>
  <si>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HAUL40-CP</t>
  </si>
  <si>
    <t>COMPACTOR HAUL 40 YD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</si>
  <si>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</si>
  <si>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</si>
  <si>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</si>
  <si>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</si>
  <si>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</si>
  <si>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</si>
  <si>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RENT20TEMP-RO</t>
  </si>
  <si>
    <t>RENTAL FEE 20 YD TEMP - R</t>
  </si>
  <si>
    <t>Divided total by 30</t>
  </si>
  <si>
    <t>RENT30TEMP-RO</t>
  </si>
  <si>
    <t>RENTAL FEE 30 YD TEMP - R</t>
  </si>
  <si>
    <t>RENT40TEMP-RO</t>
  </si>
  <si>
    <t>RENTAL FEE 40 YD TEMP - R</t>
  </si>
  <si>
    <t>DEL20TEMP-RO</t>
  </si>
  <si>
    <t>DELIVERY FEE 20 YD TEMP -</t>
  </si>
  <si>
    <t>DEL30TEMP-RO</t>
  </si>
  <si>
    <t>DELIVERY FEE 30 YD TEMP -</t>
  </si>
  <si>
    <t>DEL40TEMP-RO</t>
  </si>
  <si>
    <t>DELIVERY FEE 40 YD TEMP -</t>
  </si>
  <si>
    <t>MILE-RO</t>
  </si>
  <si>
    <t>MILEAGE FEE - RO</t>
  </si>
  <si>
    <t>TIME-RO</t>
  </si>
  <si>
    <t>TIME FEE - RO</t>
  </si>
  <si>
    <t>EXWGHT-RO</t>
  </si>
  <si>
    <t>EXCESS WEIGHT - RO</t>
  </si>
  <si>
    <t>DISP-RO</t>
  </si>
  <si>
    <t>DISPOSAL CHARGE - RO</t>
  </si>
  <si>
    <t>Covid-19 FINANCE CHARGE Reverse</t>
  </si>
  <si>
    <t>RETCKC</t>
  </si>
  <si>
    <t>RETURN CHECK CHARGE</t>
  </si>
  <si>
    <t>COLLFEE</t>
  </si>
  <si>
    <t>Per LG</t>
  </si>
  <si>
    <t>Less: Can</t>
  </si>
  <si>
    <t>Adj Total</t>
  </si>
  <si>
    <t>Lewis County and Joes</t>
  </si>
  <si>
    <t>Description</t>
  </si>
  <si>
    <t>Lewis County</t>
  </si>
  <si>
    <t>TG-200682</t>
  </si>
  <si>
    <t>Harold LeMay Enterprises, Inc. G-98</t>
  </si>
  <si>
    <t>Lewis County Line of Business Allocation</t>
  </si>
  <si>
    <t>June 1, 2019 - May 31, 2020</t>
  </si>
  <si>
    <t>Abbreviations</t>
  </si>
  <si>
    <t xml:space="preserve">MSW </t>
  </si>
  <si>
    <t>Recycling</t>
  </si>
  <si>
    <t>Yard Waste</t>
  </si>
  <si>
    <t>Driver Hours</t>
  </si>
  <si>
    <t>DH</t>
  </si>
  <si>
    <t>REV</t>
  </si>
  <si>
    <t>CUST</t>
  </si>
  <si>
    <t>Actual</t>
  </si>
  <si>
    <t>ACT</t>
  </si>
  <si>
    <t>USOA #</t>
  </si>
  <si>
    <t>GL Code</t>
  </si>
  <si>
    <t>Allocator</t>
  </si>
  <si>
    <t>Total Lewis Regulated</t>
  </si>
  <si>
    <t>Residential Yard Waste</t>
  </si>
  <si>
    <t>MF Recycling</t>
  </si>
  <si>
    <t>Drop Box Recycling</t>
  </si>
  <si>
    <t>Pass Thru</t>
  </si>
  <si>
    <t>Commercial Recycling</t>
  </si>
  <si>
    <t xml:space="preserve"> Total Hauling Revenue </t>
  </si>
  <si>
    <t>Transfer Station - Third Party</t>
  </si>
  <si>
    <t>Transfer Station - Third Party Adjustmen</t>
  </si>
  <si>
    <t>Transfer Station - Intercompany</t>
  </si>
  <si>
    <t>Total Transfer Revenue</t>
  </si>
  <si>
    <t>Proceeds - OCC</t>
  </si>
  <si>
    <t>Proceeds - Other Recyclables</t>
  </si>
  <si>
    <t>Support - OCC</t>
  </si>
  <si>
    <t>Proceeds - Ferrous Metal</t>
  </si>
  <si>
    <t>Total Proceeds</t>
  </si>
  <si>
    <t>Other Revenue</t>
  </si>
  <si>
    <t>P-Card Rebate Revenue</t>
  </si>
  <si>
    <t>Total Other Revenue</t>
  </si>
  <si>
    <t>Expenses</t>
  </si>
  <si>
    <t>Salaries</t>
  </si>
  <si>
    <t>Wages-Regular</t>
  </si>
  <si>
    <t>Wages-OT</t>
  </si>
  <si>
    <t>Safety Bonus</t>
  </si>
  <si>
    <t>Other Bonus/Commission - Non-Safety</t>
  </si>
  <si>
    <t>Vacation Pay</t>
  </si>
  <si>
    <t>Sick Pay</t>
  </si>
  <si>
    <t>Contract Labor</t>
  </si>
  <si>
    <t>Wages Regular</t>
  </si>
  <si>
    <t>Cust</t>
  </si>
  <si>
    <t>Wages O.T.</t>
  </si>
  <si>
    <t>Safety Bonuses</t>
  </si>
  <si>
    <t>Total - Wages Mechanics</t>
  </si>
  <si>
    <t>Repair-Shop, Bldg.</t>
  </si>
  <si>
    <t>Total - Building/Shop Repairs</t>
  </si>
  <si>
    <t>Parts &amp; Materials</t>
  </si>
  <si>
    <t>Operating Supplies</t>
  </si>
  <si>
    <t>Equipment &amp; Maint Rep</t>
  </si>
  <si>
    <t>Outside Repair</t>
  </si>
  <si>
    <t>Freight</t>
  </si>
  <si>
    <t>Total - Repairs to Collection Equip</t>
  </si>
  <si>
    <t>Tires &amp; Tubes</t>
  </si>
  <si>
    <t>Total - Tires &amp; Tubes</t>
  </si>
  <si>
    <t>Uniforms</t>
  </si>
  <si>
    <t>Towing Expense</t>
  </si>
  <si>
    <t>Short Term Equip/Vehicle/Bldg Rental</t>
  </si>
  <si>
    <t xml:space="preserve">Total - Other Maint </t>
  </si>
  <si>
    <t xml:space="preserve">Total - 4100 </t>
  </si>
  <si>
    <t>Salaries-Supervisor</t>
  </si>
  <si>
    <t>Wages-Supervisor</t>
  </si>
  <si>
    <t>LH Driver</t>
  </si>
  <si>
    <t>Wages OT</t>
  </si>
  <si>
    <t>Performance Bonus</t>
  </si>
  <si>
    <t>Total Driver Wages</t>
  </si>
  <si>
    <t>Fuel Expense</t>
  </si>
  <si>
    <t>Urea Additive Expense</t>
  </si>
  <si>
    <t>Oil and Grease</t>
  </si>
  <si>
    <t>Total Fuel and Oil</t>
  </si>
  <si>
    <t>Brokerage Cost</t>
  </si>
  <si>
    <t>Total Purchased Transportation</t>
  </si>
  <si>
    <t>Other Prof Fees</t>
  </si>
  <si>
    <t>Total Other Collection Exp</t>
  </si>
  <si>
    <t xml:space="preserve">Total - 4200 </t>
  </si>
  <si>
    <t>Disposal Landfill</t>
  </si>
  <si>
    <t>Disposal Landfill Intercompany</t>
  </si>
  <si>
    <t>Disposal Other</t>
  </si>
  <si>
    <t>Disposal Transfer Station</t>
  </si>
  <si>
    <t>Disposal Transfer Station Intercompany</t>
  </si>
  <si>
    <t>Processing Fees MRF</t>
  </si>
  <si>
    <t>Processing Fees MRF Intercompany</t>
  </si>
  <si>
    <t>Total - Dump Fee and Charges</t>
  </si>
  <si>
    <t>Cost of Materials - Intercompany</t>
  </si>
  <si>
    <t>Cost of Materials - Other Recyclables</t>
  </si>
  <si>
    <t>Total - Processing Fees</t>
  </si>
  <si>
    <t xml:space="preserve">Total - 4300 </t>
  </si>
  <si>
    <t>Advertising and Promotions</t>
  </si>
  <si>
    <t>Total Processing Fees</t>
  </si>
  <si>
    <t>Bonuses and Commissions</t>
  </si>
  <si>
    <t>Salaries, Wages, &amp; Expenses</t>
  </si>
  <si>
    <t>Gifts to Customers</t>
  </si>
  <si>
    <t>Meals with Customers</t>
  </si>
  <si>
    <t>Advertising &amp; Promotions</t>
  </si>
  <si>
    <t xml:space="preserve">Total - 4400 </t>
  </si>
  <si>
    <t>Property and Liability Insurance</t>
  </si>
  <si>
    <t>Self Insurance Premium</t>
  </si>
  <si>
    <t>A&amp;L Current Year Claims</t>
  </si>
  <si>
    <t>Prior Year Claims</t>
  </si>
  <si>
    <t>WC - Current Year Claims</t>
  </si>
  <si>
    <t>Damages Paid by District</t>
  </si>
  <si>
    <t>Public Liability</t>
  </si>
  <si>
    <t>WC Prior Year Claims</t>
  </si>
  <si>
    <t>WC Premium</t>
  </si>
  <si>
    <t>Bond Exp-WC</t>
  </si>
  <si>
    <t>Workmen's Comp</t>
  </si>
  <si>
    <t>Safety &amp; Training</t>
  </si>
  <si>
    <t>Drive Cam Fees</t>
  </si>
  <si>
    <t>Safety and Training</t>
  </si>
  <si>
    <t>Total - Other Ins &amp; Safety</t>
  </si>
  <si>
    <t>Total - 4500 Series</t>
  </si>
  <si>
    <t>Total - Salaries of Gen Officers</t>
  </si>
  <si>
    <t>Bonuses</t>
  </si>
  <si>
    <t>Vacation</t>
  </si>
  <si>
    <t>Sick Leave</t>
  </si>
  <si>
    <t>Total - Salaries Office</t>
  </si>
  <si>
    <t>Security Services</t>
  </si>
  <si>
    <t>Monitoring and Maint</t>
  </si>
  <si>
    <t>Dues and Subscriptions</t>
  </si>
  <si>
    <t>Travel</t>
  </si>
  <si>
    <t>Entertainment</t>
  </si>
  <si>
    <t>Lodging</t>
  </si>
  <si>
    <t>Meals</t>
  </si>
  <si>
    <t>Office Supplies and Equip</t>
  </si>
  <si>
    <t>Postage</t>
  </si>
  <si>
    <t>Office Supplies</t>
  </si>
  <si>
    <t>Notifications</t>
  </si>
  <si>
    <t>Computer Supplies</t>
  </si>
  <si>
    <t>Credit Card Fees</t>
  </si>
  <si>
    <t>Total - Other Office</t>
  </si>
  <si>
    <t>Legal</t>
  </si>
  <si>
    <t>Total - Legal &amp; Accounting</t>
  </si>
  <si>
    <t>Communication</t>
  </si>
  <si>
    <t>Cellular Phone</t>
  </si>
  <si>
    <t>Communications</t>
  </si>
  <si>
    <t>Utilities</t>
  </si>
  <si>
    <t>Office Telephone</t>
  </si>
  <si>
    <t>Total - Communication &amp; Utilities</t>
  </si>
  <si>
    <t>Corp OH Allocation</t>
  </si>
  <si>
    <t>Alloc Exp In Distr</t>
  </si>
  <si>
    <t>Total - Mgmt OH Fees</t>
  </si>
  <si>
    <t>Group Insurance</t>
  </si>
  <si>
    <t>Pension</t>
  </si>
  <si>
    <t>Union Benefit Expense</t>
  </si>
  <si>
    <t>Union Pension</t>
  </si>
  <si>
    <t>Pension and Profit Sharing</t>
  </si>
  <si>
    <t>Total - Employee Welfare</t>
  </si>
  <si>
    <t>Credit and Collection</t>
  </si>
  <si>
    <t>Total - Bad Debt Collection Exp</t>
  </si>
  <si>
    <t>Bad Debt Provision</t>
  </si>
  <si>
    <t>Total - Uncollectible Revenue</t>
  </si>
  <si>
    <t>UTC Fee</t>
  </si>
  <si>
    <t>Total - Regulatory Exp</t>
  </si>
  <si>
    <t>Data Processing</t>
  </si>
  <si>
    <t>WCN Training</t>
  </si>
  <si>
    <t>Employee Comm Activity</t>
  </si>
  <si>
    <t>Contributions</t>
  </si>
  <si>
    <t>Dues &amp; Subscriptions</t>
  </si>
  <si>
    <t>Excursion Meetings</t>
  </si>
  <si>
    <t>Travel Auto</t>
  </si>
  <si>
    <t>Travel Meals</t>
  </si>
  <si>
    <t>Software License Fees</t>
  </si>
  <si>
    <t>Miscellaneous</t>
  </si>
  <si>
    <t>Total - Other General Expenses</t>
  </si>
  <si>
    <t xml:space="preserve">Total - 4600 </t>
  </si>
  <si>
    <t>Depreciation Trks</t>
  </si>
  <si>
    <t>Depreciation Cont, DB</t>
  </si>
  <si>
    <t>Depreciation Shop</t>
  </si>
  <si>
    <t>Depreciation Service</t>
  </si>
  <si>
    <t>Depreciation Office</t>
  </si>
  <si>
    <t>Depreciation Leasehold</t>
  </si>
  <si>
    <t>Depreciation Building</t>
  </si>
  <si>
    <t>Total - Depreciation Expense</t>
  </si>
  <si>
    <t xml:space="preserve">Total - 5000 </t>
  </si>
  <si>
    <t>Sale of Asset</t>
  </si>
  <si>
    <t>Total - G/L On Sale of Assets</t>
  </si>
  <si>
    <t>Long Term Contract Amort</t>
  </si>
  <si>
    <t>Total - Amortization</t>
  </si>
  <si>
    <t xml:space="preserve">Total - 5100 </t>
  </si>
  <si>
    <t>Licenses</t>
  </si>
  <si>
    <t>Permits</t>
  </si>
  <si>
    <t>Total - Vehicle Licenses</t>
  </si>
  <si>
    <t>Property Tax</t>
  </si>
  <si>
    <t>Total - Property Tax</t>
  </si>
  <si>
    <t>Payroll Taxes</t>
  </si>
  <si>
    <t>Total - Unemployment Tax</t>
  </si>
  <si>
    <t>Taxes &amp; Pass Thru Fees</t>
  </si>
  <si>
    <t xml:space="preserve">    B&amp;O Taxes</t>
  </si>
  <si>
    <t xml:space="preserve">    Specific taxes and pass thru fees</t>
  </si>
  <si>
    <t>Total - State Revenue Taxes</t>
  </si>
  <si>
    <t>Rebate &amp; Rev Sharing</t>
  </si>
  <si>
    <t>Total - Franchise Fee</t>
  </si>
  <si>
    <t xml:space="preserve">Total - 5200 </t>
  </si>
  <si>
    <t>Real Estate Rental</t>
  </si>
  <si>
    <t>Non-Qualifying Operating Lease Expense</t>
  </si>
  <si>
    <t>Machine Rental</t>
  </si>
  <si>
    <t>Visual Lease Clearing Account</t>
  </si>
  <si>
    <t>Total Rent-Land/Structures</t>
  </si>
  <si>
    <t>Equip Rental (Copier)</t>
  </si>
  <si>
    <t>Total - Rent-Office Equip</t>
  </si>
  <si>
    <t xml:space="preserve">Total - 5300 </t>
  </si>
  <si>
    <t>Total Expenses</t>
  </si>
  <si>
    <t>Net Income</t>
  </si>
  <si>
    <t>Operating Ratio</t>
  </si>
  <si>
    <t>Check to IS</t>
  </si>
  <si>
    <t>Average Investment</t>
  </si>
  <si>
    <t>Note from Heather Garland: This tab has been copied from TG-200682 filing</t>
  </si>
  <si>
    <t xml:space="preserve">d/b/a  City Sanitary, Joe's Refuse, White Pass Garbage G-98 </t>
  </si>
  <si>
    <t>1-65 gal cart</t>
  </si>
  <si>
    <t>1-95 gal cart</t>
  </si>
  <si>
    <t>Blue = codes used on Mapping Tap -AML 1.12.22</t>
  </si>
  <si>
    <t>On call</t>
  </si>
  <si>
    <t>Prepaid bag</t>
  </si>
  <si>
    <t>Special</t>
  </si>
  <si>
    <t>65 gal</t>
  </si>
  <si>
    <t>95 gal</t>
  </si>
  <si>
    <t>2 yd</t>
  </si>
  <si>
    <t>3 yd</t>
  </si>
  <si>
    <t>4 yd</t>
  </si>
  <si>
    <t>5 yd</t>
  </si>
  <si>
    <t>6 yd</t>
  </si>
  <si>
    <t>32 gal</t>
  </si>
  <si>
    <t>3 yard</t>
  </si>
  <si>
    <t>4 yard</t>
  </si>
  <si>
    <t>5 yard</t>
  </si>
  <si>
    <t>6 yard</t>
  </si>
  <si>
    <t>Mini Weekly Can</t>
  </si>
  <si>
    <t>On Call 95 gal cart</t>
  </si>
  <si>
    <t>Extra pickup - 32 gal</t>
  </si>
  <si>
    <t>33 gal</t>
  </si>
  <si>
    <t>Occasional Extra - Mini Can</t>
  </si>
  <si>
    <t>On Call 95 gal Cart</t>
  </si>
  <si>
    <t>Occasional Extra 65-gal</t>
  </si>
  <si>
    <t>Occasional Extra 65 gal</t>
  </si>
  <si>
    <t>Occasional Extra 90 gal</t>
  </si>
  <si>
    <t>1 - 4 yards</t>
  </si>
  <si>
    <t>1 - 4 yards Bulky</t>
  </si>
  <si>
    <t>Material</t>
  </si>
  <si>
    <t>1 - 4 yards Loose Material</t>
  </si>
  <si>
    <t>Additional yards Bulky Material</t>
  </si>
  <si>
    <t>Additional yard Loose Material</t>
  </si>
  <si>
    <t>Minimum Charge Loose</t>
  </si>
  <si>
    <t>Minimum Charge Bulky</t>
  </si>
  <si>
    <t>Item 245</t>
  </si>
  <si>
    <t>Single Can</t>
  </si>
  <si>
    <t>65 gal Company Provided</t>
  </si>
  <si>
    <t>95 gal Company Provided</t>
  </si>
  <si>
    <t>Minimum Monthly</t>
  </si>
  <si>
    <t>One Unit</t>
  </si>
  <si>
    <t>Item 240, Note 2</t>
  </si>
  <si>
    <t>32 gal or equivalent</t>
  </si>
  <si>
    <t>95 gal Company Provided One Unit</t>
  </si>
  <si>
    <t>Temporary Pickup</t>
  </si>
  <si>
    <t>Special Pickup</t>
  </si>
  <si>
    <t>5 yard Temporary Pickup</t>
  </si>
  <si>
    <t>5 yard Special Pickup</t>
  </si>
  <si>
    <t>1 yard Permanent - First Pickup</t>
  </si>
  <si>
    <t>1 yard Permanent - Additional Pickup</t>
  </si>
  <si>
    <t>1.5 yard Permanent - First Pickup</t>
  </si>
  <si>
    <t>1.5 yard Permanent - Additional Pickup</t>
  </si>
  <si>
    <t>2 yard Permanent - First Pickup</t>
  </si>
  <si>
    <t>2 yard Permanent - Additional Pickup</t>
  </si>
  <si>
    <t>3 yard Permanent - First Pickup</t>
  </si>
  <si>
    <t>3 yard Permanent - Additional Pickup</t>
  </si>
  <si>
    <t>4 yard Permanent - First Pickup</t>
  </si>
  <si>
    <t>4 yard Permanent - Additional Pickup</t>
  </si>
  <si>
    <t>5 yard Permanent - First Pickup</t>
  </si>
  <si>
    <t>5 yard Permanent - Additional Pickup</t>
  </si>
  <si>
    <t>6 yard Permanent - First Pickup</t>
  </si>
  <si>
    <t>6 yard Permanent - Additional Pickup</t>
  </si>
  <si>
    <t>1-65 gal cart MG</t>
  </si>
  <si>
    <t>Note from Heather Garland: This tab has been copied from TG-200682 Filing.</t>
  </si>
  <si>
    <t>0</t>
  </si>
  <si>
    <t>Overweight Can</t>
  </si>
  <si>
    <t>Mini Weekly Can - RSA</t>
  </si>
  <si>
    <t>65 gal Monthly - RSA</t>
  </si>
  <si>
    <t>65 gal EOW - RSA</t>
  </si>
  <si>
    <t>65 gal Weekly - RSA</t>
  </si>
  <si>
    <t>95 gal Monthly - RSA</t>
  </si>
  <si>
    <t>95 gal EOW - RSA</t>
  </si>
  <si>
    <t>95 gal Weekly - RSA</t>
  </si>
  <si>
    <t>Occasional Extra - 32 gal RSA</t>
  </si>
  <si>
    <t>Occasional Extra - 65 gal RSA</t>
  </si>
  <si>
    <t>Occasional Extra - 95 gal RSA</t>
  </si>
  <si>
    <t>Prepaid Bag - RSA</t>
  </si>
  <si>
    <t>On call 95 gal - RSA</t>
  </si>
  <si>
    <t>On call 95 gal Special - RSA</t>
  </si>
  <si>
    <t>On call 65 gal - RSA</t>
  </si>
  <si>
    <t>On call 65 gal Special - 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</si>
</sst>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%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mm\-yy;\-0;;@"/>
    <numFmt numFmtId="176" formatCode=".00#####;\-.00####;;@"/>
    <numFmt numFmtId="177" formatCode="0.000%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1"/>
      <color rgb="FFFF0000"/>
      <name val="Calibri"/>
      <family val="2"/>
      <scheme val="minor"/>
    </font>
    <font>
      <b/>
      <sz val="9"/>
      <color rgb="FF0070C0"/>
      <name val="Calibri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</fills>
  <borders count="3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4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0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5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39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2" borderId="37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3" borderId="40" applyNumberFormat="0" applyAlignment="0" applyProtection="0"/>
    <xf numFmtId="0" fontId="74" fillId="70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1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4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5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1" borderId="37" applyNumberFormat="0" applyAlignment="0" applyProtection="0"/>
    <xf numFmtId="0" fontId="73" fillId="0" borderId="33" applyBorder="0">
      <alignment horizontal="center" vertical="center" wrapText="1"/>
    </xf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85" fillId="72" borderId="43"/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73" fillId="0" borderId="33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39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4" fontId="28" fillId="0" borderId="0"/>
    <xf numFmtId="0" fontId="2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4" fontId="28" fillId="0" borderId="0"/>
    <xf numFmtId="174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4" borderId="41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4" borderId="41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8" fillId="44" borderId="44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2" borderId="38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1" borderId="0"/>
    <xf numFmtId="10" fontId="19" fillId="71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5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0" fontId="28" fillId="0" borderId="43"/>
    <xf numFmtId="176" fontId="91" fillId="71" borderId="0" applyFill="0" applyBorder="0" applyProtection="0">
      <alignment horizontal="center"/>
      <protection hidden="1"/>
    </xf>
    <xf numFmtId="0" fontId="92" fillId="73" borderId="0"/>
    <xf numFmtId="0" fontId="93" fillId="73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2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5"/>
    <xf numFmtId="0" fontId="85" fillId="0" borderId="45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85" fillId="0" borderId="43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4" applyNumberFormat="0" applyFill="0" applyAlignment="0" applyProtection="0"/>
    <xf numFmtId="0" fontId="60" fillId="0" borderId="35" applyNumberFormat="0" applyFill="0" applyAlignment="0" applyProtection="0"/>
    <xf numFmtId="0" fontId="61" fillId="0" borderId="36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37" applyNumberFormat="0" applyAlignment="0" applyProtection="0"/>
    <xf numFmtId="0" fontId="66" fillId="42" borderId="38" applyNumberFormat="0" applyAlignment="0" applyProtection="0"/>
    <xf numFmtId="0" fontId="67" fillId="42" borderId="37" applyNumberFormat="0" applyAlignment="0" applyProtection="0"/>
    <xf numFmtId="0" fontId="68" fillId="0" borderId="39" applyNumberFormat="0" applyFill="0" applyAlignment="0" applyProtection="0"/>
    <xf numFmtId="0" fontId="69" fillId="43" borderId="40" applyNumberFormat="0" applyAlignment="0" applyProtection="0"/>
    <xf numFmtId="0" fontId="9" fillId="0" borderId="0" applyNumberFormat="0" applyFill="0" applyBorder="0" applyAlignment="0" applyProtection="0"/>
    <xf numFmtId="0" fontId="1" fillId="44" borderId="41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2" applyNumberFormat="0" applyFill="0" applyAlignment="0" applyProtection="0"/>
    <xf numFmtId="0" fontId="7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71" fillId="68" borderId="0" applyNumberFormat="0" applyBorder="0" applyAlignment="0" applyProtection="0"/>
    <xf numFmtId="0" fontId="24" fillId="24" borderId="127" applyNumberFormat="0" applyAlignment="0" applyProtection="0"/>
    <xf numFmtId="0" fontId="48" fillId="24" borderId="93" applyNumberFormat="0" applyAlignment="0" applyProtection="0"/>
    <xf numFmtId="0" fontId="73" fillId="0" borderId="70" applyBorder="0">
      <alignment horizontal="center" vertical="center" wrapText="1"/>
    </xf>
    <xf numFmtId="0" fontId="29" fillId="24" borderId="99" applyNumberFormat="0" applyAlignment="0" applyProtection="0"/>
    <xf numFmtId="0" fontId="31" fillId="0" borderId="121" applyNumberFormat="0" applyFill="0" applyAlignment="0" applyProtection="0"/>
    <xf numFmtId="0" fontId="28" fillId="10" borderId="117" applyNumberFormat="0" applyFont="0" applyAlignment="0" applyProtection="0"/>
    <xf numFmtId="0" fontId="48" fillId="12" borderId="141" applyNumberFormat="0" applyAlignment="0" applyProtection="0"/>
    <xf numFmtId="0" fontId="31" fillId="0" borderId="114" applyNumberFormat="0" applyFill="0" applyAlignment="0" applyProtection="0"/>
    <xf numFmtId="0" fontId="8" fillId="44" borderId="123" applyNumberFormat="0" applyFont="0" applyAlignment="0" applyProtection="0"/>
    <xf numFmtId="0" fontId="48" fillId="24" borderId="125" applyNumberFormat="0" applyAlignment="0" applyProtection="0"/>
    <xf numFmtId="0" fontId="25" fillId="8" borderId="116" applyNumberFormat="0" applyAlignment="0" applyProtection="0"/>
    <xf numFmtId="0" fontId="31" fillId="0" borderId="198" applyNumberFormat="0" applyFill="0" applyAlignment="0" applyProtection="0"/>
    <xf numFmtId="0" fontId="28" fillId="10" borderId="101" applyNumberFormat="0" applyFont="0" applyAlignment="0" applyProtection="0"/>
    <xf numFmtId="0" fontId="25" fillId="8" borderId="100" applyNumberFormat="0" applyAlignment="0" applyProtection="0"/>
    <xf numFmtId="0" fontId="28" fillId="10" borderId="159" applyNumberFormat="0" applyFont="0" applyAlignment="0" applyProtection="0"/>
    <xf numFmtId="0" fontId="24" fillId="24" borderId="167" applyNumberFormat="0" applyAlignment="0" applyProtection="0"/>
    <xf numFmtId="0" fontId="16" fillId="24" borderId="65" applyNumberFormat="0" applyAlignment="0" applyProtection="0"/>
    <xf numFmtId="0" fontId="31" fillId="0" borderId="183" applyNumberFormat="0" applyFill="0" applyAlignment="0" applyProtection="0"/>
    <xf numFmtId="0" fontId="48" fillId="24" borderId="73" applyNumberFormat="0" applyAlignment="0" applyProtection="0"/>
    <xf numFmtId="0" fontId="31" fillId="0" borderId="161" applyNumberFormat="0" applyFill="0" applyAlignment="0" applyProtection="0"/>
    <xf numFmtId="0" fontId="31" fillId="0" borderId="164" applyNumberFormat="0" applyFill="0" applyAlignment="0" applyProtection="0"/>
    <xf numFmtId="0" fontId="73" fillId="0" borderId="196" applyBorder="0">
      <alignment horizontal="center" vertical="center" wrapText="1"/>
    </xf>
    <xf numFmtId="0" fontId="28" fillId="0" borderId="147"/>
    <xf numFmtId="0" fontId="16" fillId="24" borderId="174" applyNumberFormat="0" applyAlignment="0" applyProtection="0"/>
    <xf numFmtId="0" fontId="25" fillId="13" borderId="116" applyNumberFormat="0" applyAlignment="0" applyProtection="0"/>
    <xf numFmtId="0" fontId="85" fillId="0" borderId="86"/>
    <xf numFmtId="0" fontId="31" fillId="0" borderId="169" applyNumberFormat="0" applyFill="0" applyAlignment="0" applyProtection="0"/>
    <xf numFmtId="0" fontId="49" fillId="10" borderId="117" applyNumberFormat="0" applyFont="0" applyAlignment="0" applyProtection="0"/>
    <xf numFmtId="0" fontId="31" fillId="0" borderId="53" applyNumberFormat="0" applyFill="0" applyAlignment="0" applyProtection="0"/>
    <xf numFmtId="0" fontId="8" fillId="10" borderId="142" applyNumberFormat="0" applyFont="0" applyAlignment="0" applyProtection="0"/>
    <xf numFmtId="0" fontId="8" fillId="10" borderId="193" applyNumberFormat="0" applyFont="0" applyAlignment="0" applyProtection="0"/>
    <xf numFmtId="0" fontId="48" fillId="12" borderId="141" applyNumberFormat="0" applyAlignment="0" applyProtection="0"/>
    <xf numFmtId="0" fontId="29" fillId="24" borderId="144" applyNumberFormat="0" applyAlignment="0" applyProtection="0"/>
    <xf numFmtId="0" fontId="31" fillId="0" borderId="146" applyNumberFormat="0" applyFill="0" applyAlignment="0" applyProtection="0"/>
    <xf numFmtId="0" fontId="24" fillId="24" borderId="143" applyNumberFormat="0" applyAlignment="0" applyProtection="0"/>
    <xf numFmtId="0" fontId="28" fillId="0" borderId="172"/>
    <xf numFmtId="0" fontId="48" fillId="24" borderId="165" applyNumberFormat="0" applyAlignment="0" applyProtection="0"/>
    <xf numFmtId="0" fontId="16" fillId="24" borderId="116" applyNumberFormat="0" applyAlignment="0" applyProtection="0"/>
    <xf numFmtId="0" fontId="31" fillId="0" borderId="140" applyNumberFormat="0" applyFill="0" applyAlignment="0" applyProtection="0"/>
    <xf numFmtId="0" fontId="29" fillId="24" borderId="115" applyNumberFormat="0" applyAlignment="0" applyProtection="0"/>
    <xf numFmtId="0" fontId="31" fillId="0" borderId="149" applyNumberFormat="0" applyFill="0" applyAlignment="0" applyProtection="0"/>
    <xf numFmtId="0" fontId="41" fillId="13" borderId="109" applyNumberFormat="0" applyAlignment="0" applyProtection="0"/>
    <xf numFmtId="0" fontId="16" fillId="24" borderId="65" applyNumberFormat="0" applyAlignment="0" applyProtection="0"/>
    <xf numFmtId="0" fontId="31" fillId="0" borderId="105" applyNumberFormat="0" applyFill="0" applyAlignment="0" applyProtection="0"/>
    <xf numFmtId="0" fontId="32" fillId="24" borderId="158" applyNumberFormat="0" applyAlignment="0" applyProtection="0"/>
    <xf numFmtId="0" fontId="73" fillId="0" borderId="196" applyBorder="0">
      <alignment horizontal="center" vertical="center" wrapText="1"/>
    </xf>
    <xf numFmtId="0" fontId="31" fillId="0" borderId="197" applyNumberFormat="0" applyFill="0" applyAlignment="0" applyProtection="0"/>
    <xf numFmtId="0" fontId="31" fillId="0" borderId="98" applyNumberFormat="0" applyFill="0" applyAlignment="0" applyProtection="0"/>
    <xf numFmtId="0" fontId="29" fillId="12" borderId="99" applyNumberFormat="0" applyAlignment="0" applyProtection="0"/>
    <xf numFmtId="0" fontId="31" fillId="0" borderId="106" applyNumberFormat="0" applyFill="0" applyAlignment="0" applyProtection="0"/>
    <xf numFmtId="0" fontId="29" fillId="12" borderId="99" applyNumberFormat="0" applyAlignment="0" applyProtection="0"/>
    <xf numFmtId="0" fontId="24" fillId="24" borderId="167" applyNumberFormat="0" applyAlignment="0" applyProtection="0"/>
    <xf numFmtId="0" fontId="31" fillId="0" borderId="77" applyNumberFormat="0" applyFill="0" applyAlignment="0" applyProtection="0"/>
    <xf numFmtId="0" fontId="49" fillId="10" borderId="83" applyNumberFormat="0" applyFont="0" applyAlignment="0" applyProtection="0"/>
    <xf numFmtId="0" fontId="85" fillId="0" borderId="51"/>
    <xf numFmtId="0" fontId="25" fillId="13" borderId="185" applyNumberFormat="0" applyAlignment="0" applyProtection="0"/>
    <xf numFmtId="0" fontId="31" fillId="0" borderId="114" applyNumberFormat="0" applyFill="0" applyAlignment="0" applyProtection="0"/>
    <xf numFmtId="0" fontId="8" fillId="10" borderId="193" applyNumberFormat="0" applyFont="0" applyAlignment="0" applyProtection="0"/>
    <xf numFmtId="0" fontId="31" fillId="0" borderId="198" applyNumberFormat="0" applyFill="0" applyAlignment="0" applyProtection="0"/>
    <xf numFmtId="0" fontId="73" fillId="0" borderId="70" applyBorder="0">
      <alignment horizontal="center" vertical="center" wrapText="1"/>
    </xf>
    <xf numFmtId="0" fontId="48" fillId="24" borderId="58" applyNumberFormat="0" applyAlignment="0" applyProtection="0"/>
    <xf numFmtId="0" fontId="18" fillId="10" borderId="175" applyNumberFormat="0" applyFont="0" applyAlignment="0" applyProtection="0"/>
    <xf numFmtId="0" fontId="29" fillId="12" borderId="115" applyNumberFormat="0" applyAlignment="0" applyProtection="0"/>
    <xf numFmtId="0" fontId="18" fillId="10" borderId="193" applyNumberFormat="0" applyFont="0" applyAlignment="0" applyProtection="0"/>
    <xf numFmtId="0" fontId="48" fillId="24" borderId="116" applyNumberFormat="0" applyAlignment="0" applyProtection="0"/>
    <xf numFmtId="0" fontId="85" fillId="0" borderId="189"/>
    <xf numFmtId="0" fontId="29" fillId="24" borderId="144" applyNumberFormat="0" applyAlignment="0" applyProtection="0"/>
    <xf numFmtId="0" fontId="16" fillId="24" borderId="192" applyNumberFormat="0" applyAlignment="0" applyProtection="0"/>
    <xf numFmtId="0" fontId="25" fillId="13" borderId="192" applyNumberFormat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31" fillId="0" borderId="106" applyNumberFormat="0" applyFill="0" applyAlignment="0" applyProtection="0"/>
    <xf numFmtId="0" fontId="31" fillId="0" borderId="195" applyNumberFormat="0" applyFill="0" applyAlignment="0" applyProtection="0"/>
    <xf numFmtId="0" fontId="16" fillId="24" borderId="100" applyNumberFormat="0" applyAlignment="0" applyProtection="0"/>
    <xf numFmtId="0" fontId="48" fillId="12" borderId="100" applyNumberFormat="0" applyAlignment="0" applyProtection="0"/>
    <xf numFmtId="0" fontId="48" fillId="12" borderId="116" applyNumberFormat="0" applyAlignment="0" applyProtection="0"/>
    <xf numFmtId="0" fontId="16" fillId="24" borderId="100" applyNumberFormat="0" applyAlignment="0" applyProtection="0"/>
    <xf numFmtId="0" fontId="16" fillId="24" borderId="116" applyNumberFormat="0" applyAlignment="0" applyProtection="0"/>
    <xf numFmtId="0" fontId="49" fillId="10" borderId="110" applyNumberFormat="0" applyFont="0" applyAlignment="0" applyProtection="0"/>
    <xf numFmtId="0" fontId="31" fillId="0" borderId="130" applyNumberFormat="0" applyFill="0" applyAlignment="0" applyProtection="0"/>
    <xf numFmtId="0" fontId="49" fillId="10" borderId="117" applyNumberFormat="0" applyFont="0" applyAlignment="0" applyProtection="0"/>
    <xf numFmtId="0" fontId="28" fillId="10" borderId="101" applyNumberFormat="0" applyFont="0" applyAlignment="0" applyProtection="0"/>
    <xf numFmtId="0" fontId="31" fillId="0" borderId="106" applyNumberFormat="0" applyFill="0" applyAlignment="0" applyProtection="0"/>
    <xf numFmtId="0" fontId="73" fillId="0" borderId="139" applyBorder="0">
      <alignment horizontal="center" vertical="center" wrapText="1"/>
    </xf>
    <xf numFmtId="0" fontId="16" fillId="24" borderId="65" applyNumberFormat="0" applyAlignment="0" applyProtection="0"/>
    <xf numFmtId="0" fontId="31" fillId="0" borderId="106" applyNumberFormat="0" applyFill="0" applyAlignment="0" applyProtection="0"/>
    <xf numFmtId="0" fontId="31" fillId="0" borderId="169" applyNumberFormat="0" applyFill="0" applyAlignment="0" applyProtection="0"/>
    <xf numFmtId="0" fontId="8" fillId="44" borderId="123" applyNumberFormat="0" applyFont="0" applyAlignment="0" applyProtection="0"/>
    <xf numFmtId="0" fontId="29" fillId="24" borderId="191" applyNumberFormat="0" applyAlignment="0" applyProtection="0"/>
    <xf numFmtId="0" fontId="28" fillId="10" borderId="110" applyNumberFormat="0" applyFont="0" applyAlignment="0" applyProtection="0"/>
    <xf numFmtId="0" fontId="31" fillId="0" borderId="114" applyNumberFormat="0" applyFill="0" applyAlignment="0" applyProtection="0"/>
    <xf numFmtId="0" fontId="49" fillId="10" borderId="101" applyNumberFormat="0" applyFont="0" applyAlignment="0" applyProtection="0"/>
    <xf numFmtId="0" fontId="48" fillId="24" borderId="100" applyNumberFormat="0" applyAlignment="0" applyProtection="0"/>
    <xf numFmtId="0" fontId="8" fillId="10" borderId="101" applyNumberFormat="0" applyFont="0" applyAlignment="0" applyProtection="0"/>
    <xf numFmtId="0" fontId="31" fillId="0" borderId="106" applyNumberFormat="0" applyFill="0" applyAlignment="0" applyProtection="0"/>
    <xf numFmtId="0" fontId="25" fillId="13" borderId="192" applyNumberFormat="0" applyAlignment="0" applyProtection="0"/>
    <xf numFmtId="0" fontId="8" fillId="44" borderId="81" applyNumberFormat="0" applyFont="0" applyAlignment="0" applyProtection="0"/>
    <xf numFmtId="0" fontId="24" fillId="24" borderId="118" applyNumberFormat="0" applyAlignment="0" applyProtection="0"/>
    <xf numFmtId="0" fontId="41" fillId="13" borderId="73" applyNumberFormat="0" applyAlignment="0" applyProtection="0"/>
    <xf numFmtId="0" fontId="25" fillId="13" borderId="73" applyNumberFormat="0" applyAlignment="0" applyProtection="0"/>
    <xf numFmtId="0" fontId="32" fillId="24" borderId="73" applyNumberFormat="0" applyAlignment="0" applyProtection="0"/>
    <xf numFmtId="0" fontId="32" fillId="24" borderId="82" applyNumberFormat="0" applyAlignment="0" applyProtection="0"/>
    <xf numFmtId="0" fontId="48" fillId="24" borderId="82" applyNumberFormat="0" applyAlignment="0" applyProtection="0"/>
    <xf numFmtId="0" fontId="48" fillId="24" borderId="100" applyNumberFormat="0" applyAlignment="0" applyProtection="0"/>
    <xf numFmtId="0" fontId="85" fillId="0" borderId="122"/>
    <xf numFmtId="0" fontId="28" fillId="10" borderId="117" applyNumberFormat="0" applyFont="0" applyAlignment="0" applyProtection="0"/>
    <xf numFmtId="0" fontId="28" fillId="0" borderId="172"/>
    <xf numFmtId="0" fontId="8" fillId="10" borderId="193" applyNumberFormat="0" applyFont="0" applyAlignment="0" applyProtection="0"/>
    <xf numFmtId="0" fontId="31" fillId="0" borderId="140" applyNumberFormat="0" applyFill="0" applyAlignment="0" applyProtection="0"/>
    <xf numFmtId="0" fontId="16" fillId="24" borderId="141" applyNumberFormat="0" applyAlignment="0" applyProtection="0"/>
    <xf numFmtId="0" fontId="31" fillId="0" borderId="198" applyNumberFormat="0" applyFill="0" applyAlignment="0" applyProtection="0"/>
    <xf numFmtId="0" fontId="8" fillId="10" borderId="175" applyNumberFormat="0" applyFont="0" applyAlignment="0" applyProtection="0"/>
    <xf numFmtId="0" fontId="31" fillId="0" borderId="146" applyNumberFormat="0" applyFill="0" applyAlignment="0" applyProtection="0"/>
    <xf numFmtId="0" fontId="8" fillId="10" borderId="142" applyNumberFormat="0" applyFont="0" applyAlignment="0" applyProtection="0"/>
    <xf numFmtId="0" fontId="31" fillId="0" borderId="140" applyNumberFormat="0" applyFill="0" applyAlignment="0" applyProtection="0"/>
    <xf numFmtId="0" fontId="31" fillId="0" borderId="182" applyNumberFormat="0" applyFill="0" applyAlignment="0" applyProtection="0"/>
    <xf numFmtId="0" fontId="48" fillId="24" borderId="116" applyNumberFormat="0" applyAlignment="0" applyProtection="0"/>
    <xf numFmtId="0" fontId="8" fillId="10" borderId="117" applyNumberFormat="0" applyFont="0" applyAlignment="0" applyProtection="0"/>
    <xf numFmtId="0" fontId="18" fillId="10" borderId="133" applyNumberFormat="0" applyFont="0" applyAlignment="0" applyProtection="0"/>
    <xf numFmtId="0" fontId="41" fillId="13" borderId="100" applyNumberFormat="0" applyAlignment="0" applyProtection="0"/>
    <xf numFmtId="0" fontId="29" fillId="24" borderId="99" applyNumberFormat="0" applyAlignment="0" applyProtection="0"/>
    <xf numFmtId="0" fontId="48" fillId="12" borderId="100" applyNumberFormat="0" applyAlignment="0" applyProtection="0"/>
    <xf numFmtId="0" fontId="32" fillId="24" borderId="109" applyNumberFormat="0" applyAlignment="0" applyProtection="0"/>
    <xf numFmtId="0" fontId="85" fillId="72" borderId="122"/>
    <xf numFmtId="0" fontId="16" fillId="24" borderId="116" applyNumberFormat="0" applyAlignment="0" applyProtection="0"/>
    <xf numFmtId="0" fontId="31" fillId="0" borderId="106" applyNumberFormat="0" applyFill="0" applyAlignment="0" applyProtection="0"/>
    <xf numFmtId="0" fontId="24" fillId="24" borderId="102" applyNumberFormat="0" applyAlignment="0" applyProtection="0"/>
    <xf numFmtId="0" fontId="8" fillId="10" borderId="101" applyNumberFormat="0" applyFont="0" applyAlignment="0" applyProtection="0"/>
    <xf numFmtId="0" fontId="16" fillId="24" borderId="192" applyNumberFormat="0" applyAlignment="0" applyProtection="0"/>
    <xf numFmtId="0" fontId="49" fillId="10" borderId="193" applyNumberFormat="0" applyFont="0" applyAlignment="0" applyProtection="0"/>
    <xf numFmtId="0" fontId="48" fillId="12" borderId="141" applyNumberFormat="0" applyAlignment="0" applyProtection="0"/>
    <xf numFmtId="0" fontId="32" fillId="24" borderId="65" applyNumberFormat="0" applyAlignment="0" applyProtection="0"/>
    <xf numFmtId="0" fontId="49" fillId="10" borderId="101" applyNumberFormat="0" applyFont="0" applyAlignment="0" applyProtection="0"/>
    <xf numFmtId="0" fontId="25" fillId="13" borderId="100" applyNumberFormat="0" applyAlignment="0" applyProtection="0"/>
    <xf numFmtId="0" fontId="48" fillId="24" borderId="109" applyNumberFormat="0" applyAlignment="0" applyProtection="0"/>
    <xf numFmtId="0" fontId="28" fillId="10" borderId="166" applyNumberFormat="0" applyFont="0" applyAlignment="0" applyProtection="0"/>
    <xf numFmtId="0" fontId="31" fillId="0" borderId="182" applyNumberFormat="0" applyFill="0" applyAlignment="0" applyProtection="0"/>
    <xf numFmtId="0" fontId="31" fillId="0" borderId="146" applyNumberFormat="0" applyFill="0" applyAlignment="0" applyProtection="0"/>
    <xf numFmtId="0" fontId="28" fillId="10" borderId="193" applyNumberFormat="0" applyFont="0" applyAlignment="0" applyProtection="0"/>
    <xf numFmtId="0" fontId="8" fillId="10" borderId="142" applyNumberFormat="0" applyFont="0" applyAlignment="0" applyProtection="0"/>
    <xf numFmtId="0" fontId="41" fillId="13" borderId="141" applyNumberFormat="0" applyAlignment="0" applyProtection="0"/>
    <xf numFmtId="0" fontId="41" fillId="13" borderId="165" applyNumberFormat="0" applyAlignment="0" applyProtection="0"/>
    <xf numFmtId="0" fontId="31" fillId="0" borderId="198" applyNumberFormat="0" applyFill="0" applyAlignment="0" applyProtection="0"/>
    <xf numFmtId="0" fontId="31" fillId="0" borderId="190" applyNumberFormat="0" applyFill="0" applyAlignment="0" applyProtection="0"/>
    <xf numFmtId="0" fontId="31" fillId="0" borderId="114" applyNumberFormat="0" applyFill="0" applyAlignment="0" applyProtection="0"/>
    <xf numFmtId="0" fontId="8" fillId="10" borderId="101" applyNumberFormat="0" applyFont="0" applyAlignment="0" applyProtection="0"/>
    <xf numFmtId="0" fontId="29" fillId="12" borderId="99" applyNumberFormat="0" applyAlignment="0" applyProtection="0"/>
    <xf numFmtId="0" fontId="28" fillId="0" borderId="97"/>
    <xf numFmtId="0" fontId="31" fillId="0" borderId="198" applyNumberFormat="0" applyFill="0" applyAlignment="0" applyProtection="0"/>
    <xf numFmtId="0" fontId="25" fillId="8" borderId="141" applyNumberFormat="0" applyAlignment="0" applyProtection="0"/>
    <xf numFmtId="0" fontId="29" fillId="24" borderId="76" applyNumberFormat="0" applyAlignment="0" applyProtection="0"/>
    <xf numFmtId="0" fontId="28" fillId="0" borderId="80"/>
    <xf numFmtId="0" fontId="85" fillId="72" borderId="80"/>
    <xf numFmtId="0" fontId="24" fillId="24" borderId="75" applyNumberFormat="0" applyAlignment="0" applyProtection="0"/>
    <xf numFmtId="0" fontId="8" fillId="44" borderId="81" applyNumberFormat="0" applyFont="0" applyAlignment="0" applyProtection="0"/>
    <xf numFmtId="0" fontId="85" fillId="0" borderId="80"/>
    <xf numFmtId="0" fontId="25" fillId="8" borderId="73" applyNumberFormat="0" applyAlignment="0" applyProtection="0"/>
    <xf numFmtId="0" fontId="73" fillId="0" borderId="70" applyBorder="0">
      <alignment horizontal="center" vertical="center" wrapText="1"/>
    </xf>
    <xf numFmtId="0" fontId="31" fillId="0" borderId="78" applyNumberFormat="0" applyFill="0" applyAlignment="0" applyProtection="0"/>
    <xf numFmtId="0" fontId="73" fillId="0" borderId="70" applyBorder="0">
      <alignment horizontal="center" vertical="center" wrapText="1"/>
    </xf>
    <xf numFmtId="0" fontId="31" fillId="0" borderId="72" applyNumberFormat="0" applyFill="0" applyAlignment="0" applyProtection="0"/>
    <xf numFmtId="0" fontId="29" fillId="24" borderId="76" applyNumberFormat="0" applyAlignment="0" applyProtection="0"/>
    <xf numFmtId="0" fontId="18" fillId="10" borderId="74" applyNumberFormat="0" applyFont="0" applyAlignment="0" applyProtection="0"/>
    <xf numFmtId="0" fontId="41" fillId="13" borderId="73" applyNumberFormat="0" applyAlignment="0" applyProtection="0"/>
    <xf numFmtId="0" fontId="73" fillId="0" borderId="79" applyBorder="0">
      <alignment horizontal="center" vertical="center" wrapText="1"/>
    </xf>
    <xf numFmtId="0" fontId="31" fillId="0" borderId="78" applyNumberFormat="0" applyFill="0" applyAlignment="0" applyProtection="0"/>
    <xf numFmtId="0" fontId="8" fillId="10" borderId="74" applyNumberFormat="0" applyFont="0" applyAlignment="0" applyProtection="0"/>
    <xf numFmtId="0" fontId="25" fillId="8" borderId="73" applyNumberForma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31" fillId="0" borderId="78" applyNumberFormat="0" applyFill="0" applyAlignment="0" applyProtection="0"/>
    <xf numFmtId="0" fontId="28" fillId="10" borderId="74" applyNumberFormat="0" applyFont="0" applyAlignment="0" applyProtection="0"/>
    <xf numFmtId="0" fontId="8" fillId="10" borderId="175" applyNumberFormat="0" applyFont="0" applyAlignment="0" applyProtection="0"/>
    <xf numFmtId="0" fontId="28" fillId="10" borderId="83" applyNumberFormat="0" applyFont="0" applyAlignment="0" applyProtection="0"/>
    <xf numFmtId="0" fontId="85" fillId="0" borderId="97"/>
    <xf numFmtId="0" fontId="31" fillId="0" borderId="114" applyNumberFormat="0" applyFill="0" applyAlignment="0" applyProtection="0"/>
    <xf numFmtId="0" fontId="41" fillId="13" borderId="165" applyNumberFormat="0" applyAlignment="0" applyProtection="0"/>
    <xf numFmtId="0" fontId="25" fillId="8" borderId="165" applyNumberFormat="0" applyAlignment="0" applyProtection="0"/>
    <xf numFmtId="0" fontId="31" fillId="0" borderId="146" applyNumberFormat="0" applyFill="0" applyAlignment="0" applyProtection="0"/>
    <xf numFmtId="0" fontId="25" fillId="13" borderId="151" applyNumberFormat="0" applyAlignment="0" applyProtection="0"/>
    <xf numFmtId="0" fontId="28" fillId="10" borderId="142" applyNumberFormat="0" applyFont="0" applyAlignment="0" applyProtection="0"/>
    <xf numFmtId="0" fontId="18" fillId="10" borderId="159" applyNumberFormat="0" applyFont="0" applyAlignment="0" applyProtection="0"/>
    <xf numFmtId="0" fontId="29" fillId="12" borderId="144" applyNumberFormat="0" applyAlignment="0" applyProtection="0"/>
    <xf numFmtId="0" fontId="85" fillId="0" borderId="97"/>
    <xf numFmtId="0" fontId="48" fillId="12" borderId="100" applyNumberFormat="0" applyAlignment="0" applyProtection="0"/>
    <xf numFmtId="0" fontId="29" fillId="24" borderId="99" applyNumberFormat="0" applyAlignment="0" applyProtection="0"/>
    <xf numFmtId="0" fontId="31" fillId="0" borderId="149" applyNumberFormat="0" applyFill="0" applyAlignment="0" applyProtection="0"/>
    <xf numFmtId="0" fontId="73" fillId="0" borderId="171" applyBorder="0">
      <alignment horizontal="center" vertical="center" wrapText="1"/>
    </xf>
    <xf numFmtId="0" fontId="31" fillId="0" borderId="170" applyNumberFormat="0" applyFill="0" applyAlignment="0" applyProtection="0"/>
    <xf numFmtId="0" fontId="49" fillId="10" borderId="193" applyNumberFormat="0" applyFont="0" applyAlignment="0" applyProtection="0"/>
    <xf numFmtId="0" fontId="29" fillId="24" borderId="191" applyNumberFormat="0" applyAlignment="0" applyProtection="0"/>
    <xf numFmtId="0" fontId="31" fillId="0" borderId="140" applyNumberFormat="0" applyFill="0" applyAlignment="0" applyProtection="0"/>
    <xf numFmtId="0" fontId="18" fillId="10" borderId="142" applyNumberFormat="0" applyFont="0" applyAlignment="0" applyProtection="0"/>
    <xf numFmtId="0" fontId="31" fillId="0" borderId="121" applyNumberFormat="0" applyFill="0" applyAlignment="0" applyProtection="0"/>
    <xf numFmtId="0" fontId="31" fillId="0" borderId="121" applyNumberFormat="0" applyFill="0" applyAlignment="0" applyProtection="0"/>
    <xf numFmtId="0" fontId="31" fillId="0" borderId="119" applyNumberFormat="0" applyFill="0" applyAlignment="0" applyProtection="0"/>
    <xf numFmtId="0" fontId="32" fillId="24" borderId="201" applyNumberFormat="0" applyAlignment="0" applyProtection="0"/>
    <xf numFmtId="0" fontId="73" fillId="0" borderId="171" applyBorder="0">
      <alignment horizontal="center" vertical="center" wrapText="1"/>
    </xf>
    <xf numFmtId="0" fontId="16" fillId="24" borderId="158" applyNumberFormat="0" applyAlignment="0" applyProtection="0"/>
    <xf numFmtId="0" fontId="49" fillId="10" borderId="117" applyNumberFormat="0" applyFont="0" applyAlignment="0" applyProtection="0"/>
    <xf numFmtId="0" fontId="25" fillId="13" borderId="116" applyNumberFormat="0" applyAlignment="0" applyProtection="0"/>
    <xf numFmtId="0" fontId="8" fillId="10" borderId="117" applyNumberFormat="0" applyFont="0" applyAlignment="0" applyProtection="0"/>
    <xf numFmtId="0" fontId="48" fillId="12" borderId="165" applyNumberFormat="0" applyAlignment="0" applyProtection="0"/>
    <xf numFmtId="0" fontId="28" fillId="0" borderId="178"/>
    <xf numFmtId="0" fontId="48" fillId="12" borderId="192" applyNumberFormat="0" applyAlignment="0" applyProtection="0"/>
    <xf numFmtId="0" fontId="48" fillId="12" borderId="116" applyNumberFormat="0" applyAlignment="0" applyProtection="0"/>
    <xf numFmtId="0" fontId="29" fillId="24" borderId="115" applyNumberFormat="0" applyAlignment="0" applyProtection="0"/>
    <xf numFmtId="0" fontId="28" fillId="10" borderId="142" applyNumberFormat="0" applyFont="0" applyAlignment="0" applyProtection="0"/>
    <xf numFmtId="0" fontId="8" fillId="10" borderId="175" applyNumberFormat="0" applyFont="0" applyAlignment="0" applyProtection="0"/>
    <xf numFmtId="0" fontId="28" fillId="10" borderId="83" applyNumberFormat="0" applyFont="0" applyAlignment="0" applyProtection="0"/>
    <xf numFmtId="0" fontId="8" fillId="10" borderId="166" applyNumberFormat="0" applyFont="0" applyAlignment="0" applyProtection="0"/>
    <xf numFmtId="0" fontId="85" fillId="0" borderId="86"/>
    <xf numFmtId="0" fontId="18" fillId="10" borderId="94" applyNumberFormat="0" applyFont="0" applyAlignment="0" applyProtection="0"/>
    <xf numFmtId="0" fontId="31" fillId="0" borderId="198" applyNumberFormat="0" applyFill="0" applyAlignment="0" applyProtection="0"/>
    <xf numFmtId="0" fontId="28" fillId="0" borderId="51"/>
    <xf numFmtId="0" fontId="28" fillId="0" borderId="51"/>
    <xf numFmtId="0" fontId="8" fillId="44" borderId="57" applyNumberFormat="0" applyFont="0" applyAlignment="0" applyProtection="0"/>
    <xf numFmtId="0" fontId="49" fillId="10" borderId="48" applyNumberFormat="0" applyFont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31" fillId="0" borderId="53" applyNumberFormat="0" applyFill="0" applyAlignment="0" applyProtection="0"/>
    <xf numFmtId="0" fontId="8" fillId="10" borderId="48" applyNumberFormat="0" applyFont="0" applyAlignment="0" applyProtection="0"/>
    <xf numFmtId="0" fontId="8" fillId="10" borderId="48" applyNumberFormat="0" applyFont="0" applyAlignment="0" applyProtection="0"/>
    <xf numFmtId="0" fontId="25" fillId="13" borderId="116" applyNumberFormat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85" fillId="0" borderId="86"/>
    <xf numFmtId="0" fontId="28" fillId="10" borderId="193" applyNumberFormat="0" applyFont="0" applyAlignment="0" applyProtection="0"/>
    <xf numFmtId="0" fontId="28" fillId="10" borderId="193" applyNumberFormat="0" applyFont="0" applyAlignment="0" applyProtection="0"/>
    <xf numFmtId="0" fontId="18" fillId="10" borderId="142" applyNumberFormat="0" applyFont="0" applyAlignment="0" applyProtection="0"/>
    <xf numFmtId="0" fontId="31" fillId="0" borderId="198" applyNumberFormat="0" applyFill="0" applyAlignment="0" applyProtection="0"/>
    <xf numFmtId="0" fontId="16" fillId="24" borderId="93" applyNumberFormat="0" applyAlignment="0" applyProtection="0"/>
    <xf numFmtId="0" fontId="73" fillId="0" borderId="87" applyBorder="0">
      <alignment horizontal="center" vertical="center" wrapText="1"/>
    </xf>
    <xf numFmtId="0" fontId="49" fillId="10" borderId="142" applyNumberFormat="0" applyFont="0" applyAlignment="0" applyProtection="0"/>
    <xf numFmtId="0" fontId="31" fillId="0" borderId="146" applyNumberFormat="0" applyFill="0" applyAlignment="0" applyProtection="0"/>
    <xf numFmtId="0" fontId="31" fillId="0" borderId="164" applyNumberFormat="0" applyFill="0" applyAlignment="0" applyProtection="0"/>
    <xf numFmtId="0" fontId="85" fillId="0" borderId="178"/>
    <xf numFmtId="0" fontId="31" fillId="0" borderId="88" applyNumberFormat="0" applyFill="0" applyAlignment="0" applyProtection="0"/>
    <xf numFmtId="0" fontId="31" fillId="0" borderId="88" applyNumberFormat="0" applyFill="0" applyAlignment="0" applyProtection="0"/>
    <xf numFmtId="0" fontId="29" fillId="24" borderId="89" applyNumberFormat="0" applyAlignment="0" applyProtection="0"/>
    <xf numFmtId="0" fontId="73" fillId="0" borderId="107" applyBorder="0">
      <alignment horizontal="center" vertical="center" wrapText="1"/>
    </xf>
    <xf numFmtId="0" fontId="16" fillId="24" borderId="192" applyNumberFormat="0" applyAlignment="0" applyProtection="0"/>
    <xf numFmtId="0" fontId="29" fillId="12" borderId="191" applyNumberFormat="0" applyAlignment="0" applyProtection="0"/>
    <xf numFmtId="0" fontId="48" fillId="24" borderId="73" applyNumberFormat="0" applyAlignment="0" applyProtection="0"/>
    <xf numFmtId="0" fontId="28" fillId="10" borderId="101" applyNumberFormat="0" applyFont="0" applyAlignment="0" applyProtection="0"/>
    <xf numFmtId="0" fontId="31" fillId="0" borderId="170" applyNumberFormat="0" applyFill="0" applyAlignment="0" applyProtection="0"/>
    <xf numFmtId="0" fontId="49" fillId="10" borderId="126" applyNumberFormat="0" applyFont="0" applyAlignment="0" applyProtection="0"/>
    <xf numFmtId="0" fontId="16" fillId="24" borderId="141" applyNumberFormat="0" applyAlignment="0" applyProtection="0"/>
    <xf numFmtId="0" fontId="48" fillId="12" borderId="165" applyNumberFormat="0" applyAlignment="0" applyProtection="0"/>
    <xf numFmtId="0" fontId="31" fillId="0" borderId="183" applyNumberFormat="0" applyFill="0" applyAlignment="0" applyProtection="0"/>
    <xf numFmtId="0" fontId="28" fillId="10" borderId="142" applyNumberFormat="0" applyFont="0" applyAlignment="0" applyProtection="0"/>
    <xf numFmtId="0" fontId="41" fillId="13" borderId="192" applyNumberFormat="0" applyAlignment="0" applyProtection="0"/>
    <xf numFmtId="0" fontId="24" fillId="24" borderId="160" applyNumberFormat="0" applyAlignment="0" applyProtection="0"/>
    <xf numFmtId="0" fontId="24" fillId="24" borderId="111" applyNumberFormat="0" applyAlignment="0" applyProtection="0"/>
    <xf numFmtId="0" fontId="29" fillId="24" borderId="191" applyNumberFormat="0" applyAlignment="0" applyProtection="0"/>
    <xf numFmtId="0" fontId="28" fillId="10" borderId="142" applyNumberFormat="0" applyFont="0" applyAlignment="0" applyProtection="0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24" fillId="24" borderId="176" applyNumberFormat="0" applyAlignment="0" applyProtection="0"/>
    <xf numFmtId="0" fontId="85" fillId="0" borderId="147"/>
    <xf numFmtId="0" fontId="41" fillId="13" borderId="192" applyNumberFormat="0" applyAlignment="0" applyProtection="0"/>
    <xf numFmtId="0" fontId="31" fillId="0" borderId="169" applyNumberFormat="0" applyFill="0" applyAlignment="0" applyProtection="0"/>
    <xf numFmtId="0" fontId="29" fillId="24" borderId="89" applyNumberFormat="0" applyAlignment="0" applyProtection="0"/>
    <xf numFmtId="0" fontId="28" fillId="10" borderId="83" applyNumberFormat="0" applyFont="0" applyAlignment="0" applyProtection="0"/>
    <xf numFmtId="0" fontId="31" fillId="0" borderId="119" applyNumberFormat="0" applyFill="0" applyAlignment="0" applyProtection="0"/>
    <xf numFmtId="0" fontId="25" fillId="13" borderId="65" applyNumberFormat="0" applyAlignment="0" applyProtection="0"/>
    <xf numFmtId="0" fontId="24" fillId="24" borderId="143" applyNumberFormat="0" applyAlignment="0" applyProtection="0"/>
    <xf numFmtId="0" fontId="25" fillId="13" borderId="100" applyNumberFormat="0" applyAlignment="0" applyProtection="0"/>
    <xf numFmtId="0" fontId="31" fillId="0" borderId="183" applyNumberFormat="0" applyFill="0" applyAlignment="0" applyProtection="0"/>
    <xf numFmtId="0" fontId="16" fillId="24" borderId="116" applyNumberFormat="0" applyAlignment="0" applyProtection="0"/>
    <xf numFmtId="0" fontId="31" fillId="0" borderId="190" applyNumberFormat="0" applyFill="0" applyAlignment="0" applyProtection="0"/>
    <xf numFmtId="0" fontId="73" fillId="0" borderId="107" applyBorder="0">
      <alignment horizontal="center" vertical="center" wrapText="1"/>
    </xf>
    <xf numFmtId="0" fontId="24" fillId="24" borderId="143" applyNumberFormat="0" applyAlignment="0" applyProtection="0"/>
    <xf numFmtId="0" fontId="48" fillId="24" borderId="100" applyNumberFormat="0" applyAlignment="0" applyProtection="0"/>
    <xf numFmtId="0" fontId="29" fillId="12" borderId="99" applyNumberFormat="0" applyAlignment="0" applyProtection="0"/>
    <xf numFmtId="0" fontId="31" fillId="0" borderId="177" applyNumberFormat="0" applyFill="0" applyAlignment="0" applyProtection="0"/>
    <xf numFmtId="0" fontId="31" fillId="0" borderId="145" applyNumberFormat="0" applyFill="0" applyAlignment="0" applyProtection="0"/>
    <xf numFmtId="0" fontId="28" fillId="10" borderId="166" applyNumberFormat="0" applyFont="0" applyAlignment="0" applyProtection="0"/>
    <xf numFmtId="0" fontId="25" fillId="8" borderId="100" applyNumberFormat="0" applyAlignment="0" applyProtection="0"/>
    <xf numFmtId="0" fontId="29" fillId="24" borderId="131" applyNumberFormat="0" applyAlignment="0" applyProtection="0"/>
    <xf numFmtId="0" fontId="16" fillId="24" borderId="165" applyNumberFormat="0" applyAlignment="0" applyProtection="0"/>
    <xf numFmtId="0" fontId="31" fillId="0" borderId="106" applyNumberFormat="0" applyFill="0" applyAlignment="0" applyProtection="0"/>
    <xf numFmtId="0" fontId="29" fillId="24" borderId="168" applyNumberFormat="0" applyAlignment="0" applyProtection="0"/>
    <xf numFmtId="0" fontId="41" fillId="13" borderId="116" applyNumberFormat="0" applyAlignment="0" applyProtection="0"/>
    <xf numFmtId="0" fontId="8" fillId="10" borderId="175" applyNumberFormat="0" applyFont="0" applyAlignment="0" applyProtection="0"/>
    <xf numFmtId="0" fontId="28" fillId="10" borderId="175" applyNumberFormat="0" applyFont="0" applyAlignment="0" applyProtection="0"/>
    <xf numFmtId="0" fontId="8" fillId="10" borderId="193" applyNumberFormat="0" applyFont="0" applyAlignment="0" applyProtection="0"/>
    <xf numFmtId="0" fontId="48" fillId="12" borderId="116" applyNumberFormat="0" applyAlignment="0" applyProtection="0"/>
    <xf numFmtId="0" fontId="41" fillId="13" borderId="100" applyNumberFormat="0" applyAlignment="0" applyProtection="0"/>
    <xf numFmtId="0" fontId="31" fillId="0" borderId="183" applyNumberFormat="0" applyFill="0" applyAlignment="0" applyProtection="0"/>
    <xf numFmtId="0" fontId="8" fillId="10" borderId="83" applyNumberFormat="0" applyFont="0" applyAlignment="0" applyProtection="0"/>
    <xf numFmtId="0" fontId="31" fillId="0" borderId="140" applyNumberFormat="0" applyFill="0" applyAlignment="0" applyProtection="0"/>
    <xf numFmtId="0" fontId="24" fillId="24" borderId="75" applyNumberFormat="0" applyAlignment="0" applyProtection="0"/>
    <xf numFmtId="0" fontId="31" fillId="0" borderId="103" applyNumberFormat="0" applyFill="0" applyAlignment="0" applyProtection="0"/>
    <xf numFmtId="0" fontId="41" fillId="13" borderId="109" applyNumberFormat="0" applyAlignment="0" applyProtection="0"/>
    <xf numFmtId="0" fontId="28" fillId="10" borderId="83" applyNumberFormat="0" applyFont="0" applyAlignment="0" applyProtection="0"/>
    <xf numFmtId="0" fontId="28" fillId="0" borderId="97"/>
    <xf numFmtId="0" fontId="31" fillId="0" borderId="190" applyNumberFormat="0" applyFill="0" applyAlignment="0" applyProtection="0"/>
    <xf numFmtId="0" fontId="28" fillId="0" borderId="189"/>
    <xf numFmtId="0" fontId="18" fillId="10" borderId="166" applyNumberFormat="0" applyFont="0" applyAlignment="0" applyProtection="0"/>
    <xf numFmtId="0" fontId="73" fillId="0" borderId="162" applyBorder="0">
      <alignment horizontal="center" vertical="center" wrapText="1"/>
    </xf>
    <xf numFmtId="0" fontId="16" fillId="24" borderId="165" applyNumberFormat="0" applyAlignment="0" applyProtection="0"/>
    <xf numFmtId="0" fontId="31" fillId="0" borderId="164" applyNumberFormat="0" applyFill="0" applyAlignment="0" applyProtection="0"/>
    <xf numFmtId="0" fontId="48" fillId="12" borderId="192" applyNumberFormat="0" applyAlignment="0" applyProtection="0"/>
    <xf numFmtId="0" fontId="29" fillId="24" borderId="191" applyNumberFormat="0" applyAlignment="0" applyProtection="0"/>
    <xf numFmtId="0" fontId="49" fillId="10" borderId="74" applyNumberFormat="0" applyFont="0" applyAlignment="0" applyProtection="0"/>
    <xf numFmtId="0" fontId="29" fillId="24" borderId="115" applyNumberFormat="0" applyAlignment="0" applyProtection="0"/>
    <xf numFmtId="0" fontId="25" fillId="8" borderId="192" applyNumberFormat="0" applyAlignment="0" applyProtection="0"/>
    <xf numFmtId="0" fontId="85" fillId="72" borderId="122"/>
    <xf numFmtId="0" fontId="28" fillId="0" borderId="80"/>
    <xf numFmtId="0" fontId="24" fillId="24" borderId="118" applyNumberFormat="0" applyAlignment="0" applyProtection="0"/>
    <xf numFmtId="0" fontId="31" fillId="0" borderId="77" applyNumberFormat="0" applyFill="0" applyAlignment="0" applyProtection="0"/>
    <xf numFmtId="0" fontId="28" fillId="0" borderId="147"/>
    <xf numFmtId="0" fontId="85" fillId="0" borderId="80"/>
    <xf numFmtId="0" fontId="85" fillId="0" borderId="80"/>
    <xf numFmtId="0" fontId="48" fillId="12" borderId="73" applyNumberForma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31" fillId="0" borderId="164" applyNumberFormat="0" applyFill="0" applyAlignment="0" applyProtection="0"/>
    <xf numFmtId="0" fontId="16" fillId="24" borderId="141" applyNumberFormat="0" applyAlignment="0" applyProtection="0"/>
    <xf numFmtId="0" fontId="73" fillId="0" borderId="79" applyBorder="0">
      <alignment horizontal="center" vertical="center" wrapText="1"/>
    </xf>
    <xf numFmtId="0" fontId="29" fillId="24" borderId="76" applyNumberForma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48" fillId="24" borderId="73" applyNumberForma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25" fillId="8" borderId="73" applyNumberFormat="0" applyAlignment="0" applyProtection="0"/>
    <xf numFmtId="0" fontId="8" fillId="10" borderId="74" applyNumberFormat="0" applyFont="0" applyAlignment="0" applyProtection="0"/>
    <xf numFmtId="0" fontId="8" fillId="10" borderId="74" applyNumberFormat="0" applyFont="0" applyAlignment="0" applyProtection="0"/>
    <xf numFmtId="0" fontId="24" fillId="24" borderId="75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31" fillId="0" borderId="78" applyNumberFormat="0" applyFill="0" applyAlignment="0" applyProtection="0"/>
    <xf numFmtId="0" fontId="32" fillId="24" borderId="73" applyNumberFormat="0" applyAlignment="0" applyProtection="0"/>
    <xf numFmtId="0" fontId="16" fillId="24" borderId="73" applyNumberFormat="0" applyAlignment="0" applyProtection="0"/>
    <xf numFmtId="0" fontId="41" fillId="13" borderId="73" applyNumberFormat="0" applyAlignment="0" applyProtection="0"/>
    <xf numFmtId="0" fontId="25" fillId="13" borderId="73" applyNumberFormat="0" applyAlignment="0" applyProtection="0"/>
    <xf numFmtId="0" fontId="25" fillId="13" borderId="73" applyNumberFormat="0" applyAlignment="0" applyProtection="0"/>
    <xf numFmtId="0" fontId="18" fillId="10" borderId="74" applyNumberFormat="0" applyFont="0" applyAlignment="0" applyProtection="0"/>
    <xf numFmtId="0" fontId="28" fillId="10" borderId="74" applyNumberFormat="0" applyFont="0" applyAlignment="0" applyProtection="0"/>
    <xf numFmtId="0" fontId="8" fillId="10" borderId="74" applyNumberFormat="0" applyFont="0" applyAlignment="0" applyProtection="0"/>
    <xf numFmtId="0" fontId="24" fillId="24" borderId="75" applyNumberFormat="0" applyAlignment="0" applyProtection="0"/>
    <xf numFmtId="0" fontId="29" fillId="24" borderId="76" applyNumberFormat="0" applyAlignment="0" applyProtection="0"/>
    <xf numFmtId="0" fontId="29" fillId="24" borderId="76" applyNumberFormat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48" fillId="24" borderId="73" applyNumberFormat="0" applyAlignment="0" applyProtection="0"/>
    <xf numFmtId="0" fontId="28" fillId="0" borderId="80"/>
    <xf numFmtId="0" fontId="8" fillId="10" borderId="74" applyNumberFormat="0" applyFont="0" applyAlignment="0" applyProtection="0"/>
    <xf numFmtId="0" fontId="49" fillId="10" borderId="74" applyNumberFormat="0" applyFont="0" applyAlignment="0" applyProtection="0"/>
    <xf numFmtId="0" fontId="8" fillId="44" borderId="81" applyNumberFormat="0" applyFont="0" applyAlignment="0" applyProtection="0"/>
    <xf numFmtId="0" fontId="48" fillId="12" borderId="73" applyNumberForma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16" fillId="24" borderId="73" applyNumberFormat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73" fillId="0" borderId="79" applyBorder="0">
      <alignment horizontal="center" vertical="center" wrapText="1"/>
    </xf>
    <xf numFmtId="0" fontId="31" fillId="0" borderId="72" applyNumberFormat="0" applyFill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41" fillId="13" borderId="73" applyNumberFormat="0" applyAlignment="0" applyProtection="0"/>
    <xf numFmtId="0" fontId="25" fillId="8" borderId="73" applyNumberFormat="0" applyAlignment="0" applyProtection="0"/>
    <xf numFmtId="0" fontId="8" fillId="10" borderId="74" applyNumberFormat="0" applyFont="0" applyAlignment="0" applyProtection="0"/>
    <xf numFmtId="0" fontId="49" fillId="10" borderId="74" applyNumberFormat="0" applyFon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73" fillId="0" borderId="70" applyBorder="0">
      <alignment horizontal="center" vertical="center" wrapText="1"/>
    </xf>
    <xf numFmtId="0" fontId="49" fillId="10" borderId="74" applyNumberFormat="0" applyFont="0" applyAlignment="0" applyProtection="0"/>
    <xf numFmtId="0" fontId="48" fillId="24" borderId="73" applyNumberFormat="0" applyAlignment="0" applyProtection="0"/>
    <xf numFmtId="0" fontId="8" fillId="10" borderId="74" applyNumberFormat="0" applyFont="0" applyAlignment="0" applyProtection="0"/>
    <xf numFmtId="0" fontId="25" fillId="13" borderId="73" applyNumberFormat="0" applyAlignment="0" applyProtection="0"/>
    <xf numFmtId="0" fontId="31" fillId="0" borderId="71" applyNumberFormat="0" applyFill="0" applyAlignment="0" applyProtection="0"/>
    <xf numFmtId="0" fontId="31" fillId="0" borderId="78" applyNumberFormat="0" applyFill="0" applyAlignment="0" applyProtection="0"/>
    <xf numFmtId="0" fontId="8" fillId="10" borderId="74" applyNumberFormat="0" applyFont="0" applyAlignment="0" applyProtection="0"/>
    <xf numFmtId="0" fontId="49" fillId="10" borderId="74" applyNumberFormat="0" applyFont="0" applyAlignment="0" applyProtection="0"/>
    <xf numFmtId="0" fontId="24" fillId="24" borderId="75" applyNumberFormat="0" applyAlignment="0" applyProtection="0"/>
    <xf numFmtId="0" fontId="31" fillId="0" borderId="77" applyNumberFormat="0" applyFill="0" applyAlignment="0" applyProtection="0"/>
    <xf numFmtId="0" fontId="32" fillId="24" borderId="73" applyNumberFormat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29" fillId="24" borderId="76" applyNumberFormat="0" applyAlignment="0" applyProtection="0"/>
    <xf numFmtId="0" fontId="29" fillId="24" borderId="76" applyNumberFormat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25" fillId="13" borderId="73" applyNumberFormat="0" applyAlignment="0" applyProtection="0"/>
    <xf numFmtId="0" fontId="18" fillId="10" borderId="74" applyNumberFormat="0" applyFont="0" applyAlignment="0" applyProtection="0"/>
    <xf numFmtId="0" fontId="24" fillId="24" borderId="75" applyNumberFormat="0" applyAlignment="0" applyProtection="0"/>
    <xf numFmtId="0" fontId="48" fillId="12" borderId="192" applyNumberFormat="0" applyAlignment="0" applyProtection="0"/>
    <xf numFmtId="0" fontId="31" fillId="0" borderId="164" applyNumberFormat="0" applyFill="0" applyAlignment="0" applyProtection="0"/>
    <xf numFmtId="0" fontId="25" fillId="13" borderId="132" applyNumberFormat="0" applyAlignment="0" applyProtection="0"/>
    <xf numFmtId="0" fontId="28" fillId="0" borderId="147"/>
    <xf numFmtId="0" fontId="28" fillId="10" borderId="117" applyNumberFormat="0" applyFont="0" applyAlignment="0" applyProtection="0"/>
    <xf numFmtId="0" fontId="48" fillId="12" borderId="116" applyNumberFormat="0" applyAlignment="0" applyProtection="0"/>
    <xf numFmtId="0" fontId="24" fillId="24" borderId="167" applyNumberFormat="0" applyAlignment="0" applyProtection="0"/>
    <xf numFmtId="0" fontId="48" fillId="24" borderId="100" applyNumberFormat="0" applyAlignment="0" applyProtection="0"/>
    <xf numFmtId="0" fontId="25" fillId="13" borderId="116" applyNumberFormat="0" applyAlignment="0" applyProtection="0"/>
    <xf numFmtId="0" fontId="31" fillId="0" borderId="170" applyNumberFormat="0" applyFill="0" applyAlignment="0" applyProtection="0"/>
    <xf numFmtId="0" fontId="49" fillId="10" borderId="175" applyNumberFormat="0" applyFont="0" applyAlignment="0" applyProtection="0"/>
    <xf numFmtId="0" fontId="48" fillId="12" borderId="116" applyNumberFormat="0" applyAlignment="0" applyProtection="0"/>
    <xf numFmtId="0" fontId="32" fillId="24" borderId="192" applyNumberFormat="0" applyAlignment="0" applyProtection="0"/>
    <xf numFmtId="0" fontId="16" fillId="24" borderId="141" applyNumberFormat="0" applyAlignment="0" applyProtection="0"/>
    <xf numFmtId="0" fontId="28" fillId="10" borderId="166" applyNumberFormat="0" applyFont="0" applyAlignment="0" applyProtection="0"/>
    <xf numFmtId="0" fontId="49" fillId="10" borderId="175" applyNumberFormat="0" applyFont="0" applyAlignment="0" applyProtection="0"/>
    <xf numFmtId="0" fontId="48" fillId="24" borderId="100" applyNumberFormat="0" applyAlignment="0" applyProtection="0"/>
    <xf numFmtId="0" fontId="31" fillId="0" borderId="103" applyNumberFormat="0" applyFill="0" applyAlignment="0" applyProtection="0"/>
    <xf numFmtId="0" fontId="28" fillId="10" borderId="186" applyNumberFormat="0" applyFont="0" applyAlignment="0" applyProtection="0"/>
    <xf numFmtId="0" fontId="24" fillId="24" borderId="143" applyNumberFormat="0" applyAlignment="0" applyProtection="0"/>
    <xf numFmtId="0" fontId="16" fillId="24" borderId="192" applyNumberFormat="0" applyAlignment="0" applyProtection="0"/>
    <xf numFmtId="0" fontId="85" fillId="0" borderId="189"/>
    <xf numFmtId="0" fontId="8" fillId="10" borderId="175" applyNumberFormat="0" applyFont="0" applyAlignment="0" applyProtection="0"/>
    <xf numFmtId="0" fontId="48" fillId="12" borderId="141" applyNumberFormat="0" applyAlignment="0" applyProtection="0"/>
    <xf numFmtId="0" fontId="29" fillId="24" borderId="144" applyNumberFormat="0" applyAlignment="0" applyProtection="0"/>
    <xf numFmtId="0" fontId="32" fillId="24" borderId="192" applyNumberFormat="0" applyAlignment="0" applyProtection="0"/>
    <xf numFmtId="0" fontId="16" fillId="24" borderId="192" applyNumberFormat="0" applyAlignment="0" applyProtection="0"/>
    <xf numFmtId="0" fontId="25" fillId="8" borderId="100" applyNumberForma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25" fillId="8" borderId="100" applyNumberFormat="0" applyAlignment="0" applyProtection="0"/>
    <xf numFmtId="0" fontId="24" fillId="24" borderId="102" applyNumberFormat="0" applyAlignment="0" applyProtection="0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25" fillId="13" borderId="100" applyNumberFormat="0" applyAlignment="0" applyProtection="0"/>
    <xf numFmtId="0" fontId="31" fillId="0" borderId="98" applyNumberFormat="0" applyFill="0" applyAlignment="0" applyProtection="0"/>
    <xf numFmtId="0" fontId="25" fillId="13" borderId="100" applyNumberFormat="0" applyAlignment="0" applyProtection="0"/>
    <xf numFmtId="0" fontId="8" fillId="10" borderId="101" applyNumberFormat="0" applyFont="0" applyAlignment="0" applyProtection="0"/>
    <xf numFmtId="0" fontId="28" fillId="0" borderId="97"/>
    <xf numFmtId="0" fontId="41" fillId="13" borderId="192" applyNumberFormat="0" applyAlignment="0" applyProtection="0"/>
    <xf numFmtId="0" fontId="28" fillId="0" borderId="122"/>
    <xf numFmtId="0" fontId="25" fillId="8" borderId="116" applyNumberFormat="0" applyAlignment="0" applyProtection="0"/>
    <xf numFmtId="0" fontId="29" fillId="24" borderId="115" applyNumberFormat="0" applyAlignment="0" applyProtection="0"/>
    <xf numFmtId="0" fontId="31" fillId="0" borderId="146" applyNumberFormat="0" applyFill="0" applyAlignment="0" applyProtection="0"/>
    <xf numFmtId="0" fontId="85" fillId="72" borderId="122"/>
    <xf numFmtId="0" fontId="49" fillId="10" borderId="193" applyNumberFormat="0" applyFont="0" applyAlignment="0" applyProtection="0"/>
    <xf numFmtId="0" fontId="85" fillId="0" borderId="122"/>
    <xf numFmtId="0" fontId="8" fillId="44" borderId="92" applyNumberFormat="0" applyFont="0" applyAlignment="0" applyProtection="0"/>
    <xf numFmtId="0" fontId="31" fillId="0" borderId="164" applyNumberFormat="0" applyFill="0" applyAlignment="0" applyProtection="0"/>
    <xf numFmtId="0" fontId="16" fillId="24" borderId="116" applyNumberFormat="0" applyAlignment="0" applyProtection="0"/>
    <xf numFmtId="0" fontId="29" fillId="12" borderId="89" applyNumberFormat="0" applyAlignment="0" applyProtection="0"/>
    <xf numFmtId="0" fontId="48" fillId="12" borderId="116" applyNumberFormat="0" applyAlignment="0" applyProtection="0"/>
    <xf numFmtId="0" fontId="28" fillId="10" borderId="175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54" applyNumberFormat="0" applyAlignment="0" applyProtection="0"/>
    <xf numFmtId="0" fontId="24" fillId="24" borderId="49" applyNumberFormat="0" applyAlignment="0" applyProtection="0"/>
    <xf numFmtId="0" fontId="18" fillId="10" borderId="48" applyNumberFormat="0" applyFont="0" applyAlignment="0" applyProtection="0"/>
    <xf numFmtId="0" fontId="31" fillId="0" borderId="90" applyNumberFormat="0" applyFill="0" applyAlignment="0" applyProtection="0"/>
    <xf numFmtId="0" fontId="8" fillId="10" borderId="117" applyNumberFormat="0" applyFont="0" applyAlignment="0" applyProtection="0"/>
    <xf numFmtId="0" fontId="29" fillId="24" borderId="115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29" fillId="12" borderId="54" applyNumberFormat="0" applyAlignment="0" applyProtection="0"/>
    <xf numFmtId="0" fontId="24" fillId="24" borderId="49" applyNumberFormat="0" applyAlignment="0" applyProtection="0"/>
    <xf numFmtId="0" fontId="49" fillId="10" borderId="48" applyNumberFormat="0" applyFon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8" fillId="10" borderId="48" applyNumberFormat="0" applyFont="0" applyAlignment="0" applyProtection="0"/>
    <xf numFmtId="0" fontId="49" fillId="10" borderId="101" applyNumberFormat="0" applyFont="0" applyAlignment="0" applyProtection="0"/>
    <xf numFmtId="0" fontId="73" fillId="0" borderId="196" applyBorder="0">
      <alignment horizontal="center" vertical="center" wrapText="1"/>
    </xf>
    <xf numFmtId="0" fontId="31" fillId="0" borderId="119" applyNumberFormat="0" applyFill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144" applyNumberFormat="0" applyAlignment="0" applyProtection="0"/>
    <xf numFmtId="0" fontId="28" fillId="10" borderId="142" applyNumberFormat="0" applyFont="0" applyAlignment="0" applyProtection="0"/>
    <xf numFmtId="0" fontId="28" fillId="0" borderId="147"/>
    <xf numFmtId="0" fontId="85" fillId="0" borderId="172"/>
    <xf numFmtId="0" fontId="32" fillId="24" borderId="141" applyNumberFormat="0" applyAlignment="0" applyProtection="0"/>
    <xf numFmtId="0" fontId="48" fillId="12" borderId="165" applyNumberFormat="0" applyAlignment="0" applyProtection="0"/>
    <xf numFmtId="0" fontId="48" fillId="12" borderId="141" applyNumberFormat="0" applyAlignment="0" applyProtection="0"/>
    <xf numFmtId="0" fontId="16" fillId="24" borderId="151" applyNumberFormat="0" applyAlignment="0" applyProtection="0"/>
    <xf numFmtId="0" fontId="31" fillId="0" borderId="98" applyNumberFormat="0" applyFill="0" applyAlignment="0" applyProtection="0"/>
    <xf numFmtId="0" fontId="48" fillId="12" borderId="192" applyNumberFormat="0" applyAlignment="0" applyProtection="0"/>
    <xf numFmtId="0" fontId="85" fillId="0" borderId="172"/>
    <xf numFmtId="0" fontId="85" fillId="0" borderId="97"/>
    <xf numFmtId="0" fontId="49" fillId="10" borderId="74" applyNumberFormat="0" applyFont="0" applyAlignment="0" applyProtection="0"/>
    <xf numFmtId="0" fontId="31" fillId="0" borderId="77" applyNumberFormat="0" applyFill="0" applyAlignment="0" applyProtection="0"/>
    <xf numFmtId="0" fontId="32" fillId="24" borderId="73" applyNumberFormat="0" applyAlignment="0" applyProtection="0"/>
    <xf numFmtId="0" fontId="24" fillId="24" borderId="75" applyNumberFormat="0" applyAlignment="0" applyProtection="0"/>
    <xf numFmtId="0" fontId="28" fillId="0" borderId="80"/>
    <xf numFmtId="0" fontId="31" fillId="0" borderId="163" applyNumberFormat="0" applyFill="0" applyAlignment="0" applyProtection="0"/>
    <xf numFmtId="0" fontId="31" fillId="0" borderId="177" applyNumberFormat="0" applyFill="0" applyAlignment="0" applyProtection="0"/>
    <xf numFmtId="0" fontId="31" fillId="0" borderId="198" applyNumberFormat="0" applyFill="0" applyAlignment="0" applyProtection="0"/>
    <xf numFmtId="0" fontId="8" fillId="10" borderId="166" applyNumberFormat="0" applyFont="0" applyAlignment="0" applyProtection="0"/>
    <xf numFmtId="0" fontId="31" fillId="0" borderId="164" applyNumberFormat="0" applyFill="0" applyAlignment="0" applyProtection="0"/>
    <xf numFmtId="0" fontId="16" fillId="24" borderId="116" applyNumberFormat="0" applyAlignment="0" applyProtection="0"/>
    <xf numFmtId="0" fontId="16" fillId="24" borderId="116" applyNumberFormat="0" applyAlignment="0" applyProtection="0"/>
    <xf numFmtId="0" fontId="31" fillId="0" borderId="103" applyNumberFormat="0" applyFill="0" applyAlignment="0" applyProtection="0"/>
    <xf numFmtId="0" fontId="16" fillId="24" borderId="100" applyNumberFormat="0" applyAlignment="0" applyProtection="0"/>
    <xf numFmtId="0" fontId="31" fillId="0" borderId="98" applyNumberFormat="0" applyFill="0" applyAlignment="0" applyProtection="0"/>
    <xf numFmtId="0" fontId="28" fillId="0" borderId="172"/>
    <xf numFmtId="0" fontId="31" fillId="0" borderId="164" applyNumberFormat="0" applyFill="0" applyAlignment="0" applyProtection="0"/>
    <xf numFmtId="0" fontId="25" fillId="13" borderId="201" applyNumberFormat="0" applyAlignment="0" applyProtection="0"/>
    <xf numFmtId="0" fontId="48" fillId="24" borderId="192" applyNumberFormat="0" applyAlignment="0" applyProtection="0"/>
    <xf numFmtId="0" fontId="29" fillId="24" borderId="191" applyNumberFormat="0" applyAlignment="0" applyProtection="0"/>
    <xf numFmtId="0" fontId="29" fillId="24" borderId="131" applyNumberFormat="0" applyAlignment="0" applyProtection="0"/>
    <xf numFmtId="0" fontId="48" fillId="24" borderId="73" applyNumberFormat="0" applyAlignment="0" applyProtection="0"/>
    <xf numFmtId="0" fontId="49" fillId="10" borderId="193" applyNumberFormat="0" applyFont="0" applyAlignment="0" applyProtection="0"/>
    <xf numFmtId="0" fontId="28" fillId="10" borderId="117" applyNumberFormat="0" applyFont="0" applyAlignment="0" applyProtection="0"/>
    <xf numFmtId="0" fontId="28" fillId="0" borderId="86"/>
    <xf numFmtId="0" fontId="73" fillId="0" borderId="46" applyBorder="0">
      <alignment horizontal="center" vertical="center" wrapText="1"/>
    </xf>
    <xf numFmtId="0" fontId="49" fillId="10" borderId="94" applyNumberFormat="0" applyFont="0" applyAlignment="0" applyProtection="0"/>
    <xf numFmtId="0" fontId="48" fillId="12" borderId="165" applyNumberFormat="0" applyAlignment="0" applyProtection="0"/>
    <xf numFmtId="0" fontId="29" fillId="24" borderId="191" applyNumberFormat="0" applyAlignment="0" applyProtection="0"/>
    <xf numFmtId="0" fontId="31" fillId="0" borderId="198" applyNumberFormat="0" applyFill="0" applyAlignment="0" applyProtection="0"/>
    <xf numFmtId="0" fontId="8" fillId="10" borderId="175" applyNumberFormat="0" applyFont="0" applyAlignment="0" applyProtection="0"/>
    <xf numFmtId="0" fontId="48" fillId="24" borderId="165" applyNumberFormat="0" applyAlignment="0" applyProtection="0"/>
    <xf numFmtId="0" fontId="16" fillId="24" borderId="116" applyNumberFormat="0" applyAlignment="0" applyProtection="0"/>
    <xf numFmtId="0" fontId="31" fillId="0" borderId="169" applyNumberFormat="0" applyFill="0" applyAlignment="0" applyProtection="0"/>
    <xf numFmtId="0" fontId="29" fillId="12" borderId="115" applyNumberFormat="0" applyAlignment="0" applyProtection="0"/>
    <xf numFmtId="0" fontId="25" fillId="13" borderId="165" applyNumberFormat="0" applyAlignment="0" applyProtection="0"/>
    <xf numFmtId="0" fontId="25" fillId="13" borderId="65" applyNumberFormat="0" applyAlignment="0" applyProtection="0"/>
    <xf numFmtId="0" fontId="28" fillId="10" borderId="152" applyNumberFormat="0" applyFont="0" applyAlignment="0" applyProtection="0"/>
    <xf numFmtId="0" fontId="73" fillId="0" borderId="46" applyBorder="0">
      <alignment horizontal="center" vertical="center" wrapText="1"/>
    </xf>
    <xf numFmtId="0" fontId="41" fillId="13" borderId="65" applyNumberFormat="0" applyAlignment="0" applyProtection="0"/>
    <xf numFmtId="0" fontId="49" fillId="10" borderId="83" applyNumberFormat="0" applyFont="0" applyAlignment="0" applyProtection="0"/>
    <xf numFmtId="0" fontId="8" fillId="10" borderId="83" applyNumberFormat="0" applyFont="0" applyAlignment="0" applyProtection="0"/>
    <xf numFmtId="0" fontId="85" fillId="0" borderId="172"/>
    <xf numFmtId="0" fontId="85" fillId="0" borderId="86"/>
    <xf numFmtId="0" fontId="73" fillId="0" borderId="124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28" fillId="0" borderId="122"/>
    <xf numFmtId="0" fontId="18" fillId="10" borderId="117" applyNumberFormat="0" applyFont="0" applyAlignment="0" applyProtection="0"/>
    <xf numFmtId="0" fontId="28" fillId="0" borderId="147"/>
    <xf numFmtId="0" fontId="25" fillId="13" borderId="151" applyNumberFormat="0" applyAlignment="0" applyProtection="0"/>
    <xf numFmtId="0" fontId="8" fillId="10" borderId="175" applyNumberFormat="0" applyFont="0" applyAlignment="0" applyProtection="0"/>
    <xf numFmtId="0" fontId="31" fillId="0" borderId="121" applyNumberFormat="0" applyFill="0" applyAlignment="0" applyProtection="0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31" fillId="0" borderId="91" applyNumberFormat="0" applyFill="0" applyAlignment="0" applyProtection="0"/>
    <xf numFmtId="0" fontId="25" fillId="13" borderId="165" applyNumberFormat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25" fillId="8" borderId="165" applyNumberFormat="0" applyAlignment="0" applyProtection="0"/>
    <xf numFmtId="0" fontId="16" fillId="24" borderId="116" applyNumberFormat="0" applyAlignment="0" applyProtection="0"/>
    <xf numFmtId="0" fontId="31" fillId="0" borderId="183" applyNumberFormat="0" applyFill="0" applyAlignment="0" applyProtection="0"/>
    <xf numFmtId="0" fontId="28" fillId="10" borderId="83" applyNumberFormat="0" applyFont="0" applyAlignment="0" applyProtection="0"/>
    <xf numFmtId="0" fontId="31" fillId="0" borderId="182" applyNumberFormat="0" applyFill="0" applyAlignment="0" applyProtection="0"/>
    <xf numFmtId="0" fontId="28" fillId="0" borderId="97"/>
    <xf numFmtId="0" fontId="32" fillId="24" borderId="100" applyNumberFormat="0" applyAlignment="0" applyProtection="0"/>
    <xf numFmtId="0" fontId="31" fillId="0" borderId="120" applyNumberFormat="0" applyFill="0" applyAlignment="0" applyProtection="0"/>
    <xf numFmtId="0" fontId="28" fillId="0" borderId="97"/>
    <xf numFmtId="0" fontId="31" fillId="0" borderId="72" applyNumberFormat="0" applyFill="0" applyAlignment="0" applyProtection="0"/>
    <xf numFmtId="0" fontId="28" fillId="10" borderId="74" applyNumberFormat="0" applyFont="0" applyAlignment="0" applyProtection="0"/>
    <xf numFmtId="0" fontId="28" fillId="10" borderId="175" applyNumberFormat="0" applyFont="0" applyAlignment="0" applyProtection="0"/>
    <xf numFmtId="0" fontId="31" fillId="0" borderId="164" applyNumberFormat="0" applyFill="0" applyAlignment="0" applyProtection="0"/>
    <xf numFmtId="0" fontId="32" fillId="24" borderId="47" applyNumberFormat="0" applyAlignment="0" applyProtection="0"/>
    <xf numFmtId="0" fontId="16" fillId="24" borderId="47" applyNumberFormat="0" applyAlignment="0" applyProtection="0"/>
    <xf numFmtId="0" fontId="48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29" fillId="12" borderId="191" applyNumberFormat="0" applyAlignment="0" applyProtection="0"/>
    <xf numFmtId="0" fontId="24" fillId="24" borderId="194" applyNumberFormat="0" applyAlignment="0" applyProtection="0"/>
    <xf numFmtId="0" fontId="8" fillId="10" borderId="83" applyNumberFormat="0" applyFont="0" applyAlignment="0" applyProtection="0"/>
    <xf numFmtId="0" fontId="25" fillId="8" borderId="192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85" fillId="0" borderId="172"/>
    <xf numFmtId="0" fontId="41" fillId="13" borderId="151" applyNumberFormat="0" applyAlignment="0" applyProtection="0"/>
    <xf numFmtId="0" fontId="25" fillId="13" borderId="192" applyNumberFormat="0" applyAlignment="0" applyProtection="0"/>
    <xf numFmtId="0" fontId="29" fillId="24" borderId="115" applyNumberFormat="0" applyAlignment="0" applyProtection="0"/>
    <xf numFmtId="0" fontId="25" fillId="13" borderId="58" applyNumberFormat="0" applyAlignment="0" applyProtection="0"/>
    <xf numFmtId="0" fontId="29" fillId="12" borderId="54" applyNumberFormat="0" applyAlignment="0" applyProtection="0"/>
    <xf numFmtId="0" fontId="31" fillId="0" borderId="149" applyNumberFormat="0" applyFill="0" applyAlignment="0" applyProtection="0"/>
    <xf numFmtId="0" fontId="29" fillId="24" borderId="144" applyNumberFormat="0" applyAlignment="0" applyProtection="0"/>
    <xf numFmtId="0" fontId="8" fillId="44" borderId="148" applyNumberFormat="0" applyFont="0" applyAlignment="0" applyProtection="0"/>
    <xf numFmtId="0" fontId="18" fillId="10" borderId="48" applyNumberFormat="0" applyFon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28" fillId="10" borderId="48" applyNumberFormat="0" applyFont="0" applyAlignment="0" applyProtection="0"/>
    <xf numFmtId="0" fontId="24" fillId="24" borderId="49" applyNumberFormat="0" applyAlignment="0" applyProtection="0"/>
    <xf numFmtId="0" fontId="24" fillId="24" borderId="49" applyNumberFormat="0" applyAlignment="0" applyProtection="0"/>
    <xf numFmtId="0" fontId="31" fillId="0" borderId="50" applyNumberFormat="0" applyFill="0" applyAlignment="0" applyProtection="0"/>
    <xf numFmtId="0" fontId="31" fillId="0" borderId="190" applyNumberFormat="0" applyFill="0" applyAlignment="0" applyProtection="0"/>
    <xf numFmtId="0" fontId="29" fillId="12" borderId="115" applyNumberFormat="0" applyAlignment="0" applyProtection="0"/>
    <xf numFmtId="0" fontId="8" fillId="10" borderId="175" applyNumberFormat="0" applyFont="0" applyAlignment="0" applyProtection="0"/>
    <xf numFmtId="0" fontId="48" fillId="24" borderId="100" applyNumberFormat="0" applyAlignment="0" applyProtection="0"/>
    <xf numFmtId="0" fontId="24" fillId="24" borderId="67" applyNumberForma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48" fillId="12" borderId="73" applyNumberFormat="0" applyAlignment="0" applyProtection="0"/>
    <xf numFmtId="0" fontId="8" fillId="10" borderId="74" applyNumberFormat="0" applyFon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73" fillId="0" borderId="79" applyBorder="0">
      <alignment horizontal="center" vertical="center" wrapText="1"/>
    </xf>
    <xf numFmtId="0" fontId="41" fillId="13" borderId="73" applyNumberFormat="0" applyAlignment="0" applyProtection="0"/>
    <xf numFmtId="0" fontId="24" fillId="24" borderId="75" applyNumberFormat="0" applyAlignment="0" applyProtection="0"/>
    <xf numFmtId="0" fontId="29" fillId="24" borderId="76" applyNumberFormat="0" applyAlignment="0" applyProtection="0"/>
    <xf numFmtId="0" fontId="49" fillId="10" borderId="142" applyNumberFormat="0" applyFont="0" applyAlignment="0" applyProtection="0"/>
    <xf numFmtId="0" fontId="24" fillId="24" borderId="143" applyNumberFormat="0" applyAlignment="0" applyProtection="0"/>
    <xf numFmtId="0" fontId="49" fillId="10" borderId="142" applyNumberFormat="0" applyFont="0" applyAlignment="0" applyProtection="0"/>
    <xf numFmtId="0" fontId="41" fillId="13" borderId="165" applyNumberFormat="0" applyAlignment="0" applyProtection="0"/>
    <xf numFmtId="0" fontId="8" fillId="10" borderId="166" applyNumberFormat="0" applyFont="0" applyAlignment="0" applyProtection="0"/>
    <xf numFmtId="0" fontId="18" fillId="10" borderId="166" applyNumberFormat="0" applyFont="0" applyAlignment="0" applyProtection="0"/>
    <xf numFmtId="0" fontId="16" fillId="24" borderId="100" applyNumberFormat="0" applyAlignment="0" applyProtection="0"/>
    <xf numFmtId="0" fontId="28" fillId="0" borderId="80"/>
    <xf numFmtId="0" fontId="24" fillId="24" borderId="102" applyNumberFormat="0" applyAlignment="0" applyProtection="0"/>
    <xf numFmtId="0" fontId="48" fillId="12" borderId="100" applyNumberFormat="0" applyAlignment="0" applyProtection="0"/>
    <xf numFmtId="0" fontId="25" fillId="8" borderId="100" applyNumberFormat="0" applyAlignment="0" applyProtection="0"/>
    <xf numFmtId="0" fontId="24" fillId="24" borderId="102" applyNumberFormat="0" applyAlignment="0" applyProtection="0"/>
    <xf numFmtId="0" fontId="31" fillId="0" borderId="106" applyNumberFormat="0" applyFill="0" applyAlignment="0" applyProtection="0"/>
    <xf numFmtId="0" fontId="48" fillId="24" borderId="100" applyNumberFormat="0" applyAlignment="0" applyProtection="0"/>
    <xf numFmtId="0" fontId="28" fillId="10" borderId="101" applyNumberFormat="0" applyFont="0" applyAlignment="0" applyProtection="0"/>
    <xf numFmtId="0" fontId="31" fillId="0" borderId="105" applyNumberFormat="0" applyFill="0" applyAlignment="0" applyProtection="0"/>
    <xf numFmtId="0" fontId="29" fillId="12" borderId="99" applyNumberFormat="0" applyAlignment="0" applyProtection="0"/>
    <xf numFmtId="0" fontId="8" fillId="44" borderId="108" applyNumberFormat="0" applyFont="0" applyAlignment="0" applyProtection="0"/>
    <xf numFmtId="0" fontId="29" fillId="12" borderId="99" applyNumberFormat="0" applyAlignment="0" applyProtection="0"/>
    <xf numFmtId="0" fontId="16" fillId="24" borderId="109" applyNumberFormat="0" applyAlignment="0" applyProtection="0"/>
    <xf numFmtId="0" fontId="29" fillId="12" borderId="144" applyNumberFormat="0" applyAlignment="0" applyProtection="0"/>
    <xf numFmtId="0" fontId="25" fillId="13" borderId="109" applyNumberFormat="0" applyAlignment="0" applyProtection="0"/>
    <xf numFmtId="0" fontId="8" fillId="10" borderId="142" applyNumberFormat="0" applyFont="0" applyAlignment="0" applyProtection="0"/>
    <xf numFmtId="0" fontId="16" fillId="24" borderId="165" applyNumberFormat="0" applyAlignment="0" applyProtection="0"/>
    <xf numFmtId="0" fontId="8" fillId="44" borderId="173" applyNumberFormat="0" applyFont="0" applyAlignment="0" applyProtection="0"/>
    <xf numFmtId="0" fontId="49" fillId="10" borderId="142" applyNumberFormat="0" applyFont="0" applyAlignment="0" applyProtection="0"/>
    <xf numFmtId="0" fontId="31" fillId="0" borderId="161" applyNumberFormat="0" applyFill="0" applyAlignment="0" applyProtection="0"/>
    <xf numFmtId="0" fontId="31" fillId="0" borderId="190" applyNumberFormat="0" applyFill="0" applyAlignment="0" applyProtection="0"/>
    <xf numFmtId="0" fontId="8" fillId="10" borderId="166" applyNumberFormat="0" applyFont="0" applyAlignment="0" applyProtection="0"/>
    <xf numFmtId="0" fontId="29" fillId="12" borderId="191" applyNumberFormat="0" applyAlignment="0" applyProtection="0"/>
    <xf numFmtId="0" fontId="28" fillId="0" borderId="80"/>
    <xf numFmtId="0" fontId="48" fillId="12" borderId="73" applyNumberFormat="0" applyAlignment="0" applyProtection="0"/>
    <xf numFmtId="0" fontId="25" fillId="8" borderId="73" applyNumberFormat="0" applyAlignment="0" applyProtection="0"/>
    <xf numFmtId="0" fontId="29" fillId="12" borderId="76" applyNumberForma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41" fillId="13" borderId="73" applyNumberFormat="0" applyAlignment="0" applyProtection="0"/>
    <xf numFmtId="0" fontId="49" fillId="10" borderId="74" applyNumberFormat="0" applyFont="0" applyAlignment="0" applyProtection="0"/>
    <xf numFmtId="0" fontId="29" fillId="12" borderId="76" applyNumberFormat="0" applyAlignment="0" applyProtection="0"/>
    <xf numFmtId="0" fontId="16" fillId="24" borderId="73" applyNumberFormat="0" applyAlignment="0" applyProtection="0"/>
    <xf numFmtId="0" fontId="16" fillId="24" borderId="73" applyNumberFormat="0" applyAlignment="0" applyProtection="0"/>
    <xf numFmtId="0" fontId="28" fillId="10" borderId="74" applyNumberFormat="0" applyFon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85" fillId="72" borderId="80"/>
    <xf numFmtId="0" fontId="85" fillId="0" borderId="80"/>
    <xf numFmtId="0" fontId="31" fillId="0" borderId="78" applyNumberFormat="0" applyFill="0" applyAlignment="0" applyProtection="0"/>
    <xf numFmtId="0" fontId="31" fillId="0" borderId="72" applyNumberFormat="0" applyFill="0" applyAlignment="0" applyProtection="0"/>
    <xf numFmtId="0" fontId="85" fillId="72" borderId="80"/>
    <xf numFmtId="0" fontId="8" fillId="10" borderId="74" applyNumberFormat="0" applyFont="0" applyAlignment="0" applyProtection="0"/>
    <xf numFmtId="0" fontId="24" fillId="24" borderId="75" applyNumberFormat="0" applyAlignment="0" applyProtection="0"/>
    <xf numFmtId="0" fontId="8" fillId="10" borderId="74" applyNumberFormat="0" applyFont="0" applyAlignment="0" applyProtection="0"/>
    <xf numFmtId="0" fontId="16" fillId="24" borderId="73" applyNumberFormat="0" applyAlignment="0" applyProtection="0"/>
    <xf numFmtId="0" fontId="31" fillId="0" borderId="72" applyNumberFormat="0" applyFill="0" applyAlignment="0" applyProtection="0"/>
    <xf numFmtId="0" fontId="48" fillId="12" borderId="73" applyNumberFormat="0" applyAlignment="0" applyProtection="0"/>
    <xf numFmtId="0" fontId="8" fillId="10" borderId="74" applyNumberFormat="0" applyFont="0" applyAlignment="0" applyProtection="0"/>
    <xf numFmtId="0" fontId="29" fillId="12" borderId="76" applyNumberFormat="0" applyAlignment="0" applyProtection="0"/>
    <xf numFmtId="0" fontId="16" fillId="24" borderId="73" applyNumberFormat="0" applyAlignment="0" applyProtection="0"/>
    <xf numFmtId="0" fontId="41" fillId="13" borderId="73" applyNumberFormat="0" applyAlignment="0" applyProtection="0"/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73" fillId="0" borderId="79" applyBorder="0">
      <alignment horizontal="center" vertical="center" wrapText="1"/>
    </xf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29" fillId="24" borderId="76" applyNumberFormat="0" applyAlignment="0" applyProtection="0"/>
    <xf numFmtId="0" fontId="28" fillId="0" borderId="8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1" fillId="0" borderId="78" applyNumberFormat="0" applyFill="0" applyAlignment="0" applyProtection="0"/>
    <xf numFmtId="0" fontId="41" fillId="13" borderId="73" applyNumberForma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29" fillId="12" borderId="76" applyNumberFormat="0" applyAlignment="0" applyProtection="0"/>
    <xf numFmtId="0" fontId="25" fillId="13" borderId="73" applyNumberFormat="0" applyAlignment="0" applyProtection="0"/>
    <xf numFmtId="0" fontId="8" fillId="10" borderId="74" applyNumberFormat="0" applyFont="0" applyAlignment="0" applyProtection="0"/>
    <xf numFmtId="0" fontId="85" fillId="0" borderId="80"/>
    <xf numFmtId="0" fontId="25" fillId="8" borderId="73" applyNumberFormat="0" applyAlignment="0" applyProtection="0"/>
    <xf numFmtId="0" fontId="31" fillId="0" borderId="78" applyNumberFormat="0" applyFill="0" applyAlignment="0" applyProtection="0"/>
    <xf numFmtId="0" fontId="28" fillId="0" borderId="80"/>
    <xf numFmtId="0" fontId="48" fillId="12" borderId="73" applyNumberFormat="0" applyAlignment="0" applyProtection="0"/>
    <xf numFmtId="0" fontId="31" fillId="0" borderId="78" applyNumberFormat="0" applyFill="0" applyAlignment="0" applyProtection="0"/>
    <xf numFmtId="0" fontId="28" fillId="10" borderId="152" applyNumberFormat="0" applyFont="0" applyAlignment="0" applyProtection="0"/>
    <xf numFmtId="0" fontId="48" fillId="24" borderId="100" applyNumberFormat="0" applyAlignment="0" applyProtection="0"/>
    <xf numFmtId="0" fontId="41" fillId="13" borderId="82" applyNumberFormat="0" applyAlignment="0" applyProtection="0"/>
    <xf numFmtId="0" fontId="31" fillId="0" borderId="161" applyNumberFormat="0" applyFill="0" applyAlignment="0" applyProtection="0"/>
    <xf numFmtId="0" fontId="8" fillId="10" borderId="83" applyNumberFormat="0" applyFont="0" applyAlignment="0" applyProtection="0"/>
    <xf numFmtId="0" fontId="49" fillId="10" borderId="83" applyNumberFormat="0" applyFont="0" applyAlignment="0" applyProtection="0"/>
    <xf numFmtId="0" fontId="24" fillId="24" borderId="194" applyNumberFormat="0" applyAlignment="0" applyProtection="0"/>
    <xf numFmtId="0" fontId="8" fillId="10" borderId="175" applyNumberFormat="0" applyFont="0" applyAlignment="0" applyProtection="0"/>
    <xf numFmtId="0" fontId="29" fillId="12" borderId="144" applyNumberFormat="0" applyAlignment="0" applyProtection="0"/>
    <xf numFmtId="0" fontId="25" fillId="13" borderId="192" applyNumberFormat="0" applyAlignment="0" applyProtection="0"/>
    <xf numFmtId="0" fontId="29" fillId="12" borderId="191" applyNumberFormat="0" applyAlignment="0" applyProtection="0"/>
    <xf numFmtId="0" fontId="48" fillId="12" borderId="100" applyNumberFormat="0" applyAlignment="0" applyProtection="0"/>
    <xf numFmtId="0" fontId="28" fillId="10" borderId="101" applyNumberFormat="0" applyFont="0" applyAlignment="0" applyProtection="0"/>
    <xf numFmtId="0" fontId="28" fillId="10" borderId="101" applyNumberFormat="0" applyFon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73" fillId="0" borderId="104" applyBorder="0">
      <alignment horizontal="center" vertical="center" wrapText="1"/>
    </xf>
    <xf numFmtId="0" fontId="85" fillId="0" borderId="97"/>
    <xf numFmtId="0" fontId="25" fillId="13" borderId="165" applyNumberFormat="0" applyAlignment="0" applyProtection="0"/>
    <xf numFmtId="0" fontId="31" fillId="0" borderId="164" applyNumberFormat="0" applyFill="0" applyAlignment="0" applyProtection="0"/>
    <xf numFmtId="0" fontId="28" fillId="10" borderId="175" applyNumberFormat="0" applyFont="0" applyAlignment="0" applyProtection="0"/>
    <xf numFmtId="0" fontId="41" fillId="13" borderId="132" applyNumberFormat="0" applyAlignment="0" applyProtection="0"/>
    <xf numFmtId="0" fontId="73" fillId="0" borderId="150" applyBorder="0">
      <alignment horizontal="center" vertical="center" wrapText="1"/>
    </xf>
    <xf numFmtId="0" fontId="28" fillId="10" borderId="175" applyNumberFormat="0" applyFont="0" applyAlignment="0" applyProtection="0"/>
    <xf numFmtId="0" fontId="48" fillId="24" borderId="185" applyNumberFormat="0" applyAlignment="0" applyProtection="0"/>
    <xf numFmtId="0" fontId="31" fillId="0" borderId="156" applyNumberFormat="0" applyFill="0" applyAlignment="0" applyProtection="0"/>
    <xf numFmtId="0" fontId="48" fillId="12" borderId="192" applyNumberFormat="0" applyAlignment="0" applyProtection="0"/>
    <xf numFmtId="0" fontId="16" fillId="24" borderId="116" applyNumberFormat="0" applyAlignment="0" applyProtection="0"/>
    <xf numFmtId="0" fontId="48" fillId="24" borderId="116" applyNumberFormat="0" applyAlignment="0" applyProtection="0"/>
    <xf numFmtId="0" fontId="31" fillId="0" borderId="121" applyNumberFormat="0" applyFill="0" applyAlignment="0" applyProtection="0"/>
    <xf numFmtId="0" fontId="8" fillId="10" borderId="117" applyNumberFormat="0" applyFont="0" applyAlignment="0" applyProtection="0"/>
    <xf numFmtId="0" fontId="31" fillId="0" borderId="121" applyNumberFormat="0" applyFill="0" applyAlignment="0" applyProtection="0"/>
    <xf numFmtId="0" fontId="31" fillId="0" borderId="169" applyNumberFormat="0" applyFill="0" applyAlignment="0" applyProtection="0"/>
    <xf numFmtId="0" fontId="29" fillId="24" borderId="168" applyNumberFormat="0" applyAlignment="0" applyProtection="0"/>
    <xf numFmtId="0" fontId="49" fillId="10" borderId="193" applyNumberFormat="0" applyFont="0" applyAlignment="0" applyProtection="0"/>
    <xf numFmtId="0" fontId="31" fillId="0" borderId="164" applyNumberFormat="0" applyFill="0" applyAlignment="0" applyProtection="0"/>
    <xf numFmtId="0" fontId="16" fillId="24" borderId="116" applyNumberFormat="0" applyAlignment="0" applyProtection="0"/>
    <xf numFmtId="0" fontId="29" fillId="12" borderId="168" applyNumberFormat="0" applyAlignment="0" applyProtection="0"/>
    <xf numFmtId="0" fontId="29" fillId="24" borderId="144" applyNumberFormat="0" applyAlignment="0" applyProtection="0"/>
    <xf numFmtId="0" fontId="31" fillId="0" borderId="170" applyNumberFormat="0" applyFill="0" applyAlignment="0" applyProtection="0"/>
    <xf numFmtId="0" fontId="16" fillId="24" borderId="165" applyNumberFormat="0" applyAlignment="0" applyProtection="0"/>
    <xf numFmtId="0" fontId="31" fillId="0" borderId="140" applyNumberFormat="0" applyFill="0" applyAlignment="0" applyProtection="0"/>
    <xf numFmtId="0" fontId="31" fillId="0" borderId="149" applyNumberFormat="0" applyFill="0" applyAlignment="0" applyProtection="0"/>
    <xf numFmtId="0" fontId="25" fillId="8" borderId="192" applyNumberFormat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16" fillId="24" borderId="165" applyNumberFormat="0" applyAlignment="0" applyProtection="0"/>
    <xf numFmtId="0" fontId="28" fillId="10" borderId="193" applyNumberFormat="0" applyFont="0" applyAlignment="0" applyProtection="0"/>
    <xf numFmtId="0" fontId="28" fillId="10" borderId="133" applyNumberFormat="0" applyFont="0" applyAlignment="0" applyProtection="0"/>
    <xf numFmtId="0" fontId="8" fillId="44" borderId="184" applyNumberFormat="0" applyFont="0" applyAlignment="0" applyProtection="0"/>
    <xf numFmtId="0" fontId="16" fillId="24" borderId="141" applyNumberFormat="0" applyAlignment="0" applyProtection="0"/>
    <xf numFmtId="0" fontId="48" fillId="24" borderId="141" applyNumberFormat="0" applyAlignment="0" applyProtection="0"/>
    <xf numFmtId="0" fontId="28" fillId="10" borderId="142" applyNumberFormat="0" applyFont="0" applyAlignment="0" applyProtection="0"/>
    <xf numFmtId="0" fontId="18" fillId="10" borderId="152" applyNumberFormat="0" applyFont="0" applyAlignment="0" applyProtection="0"/>
    <xf numFmtId="0" fontId="18" fillId="10" borderId="193" applyNumberFormat="0" applyFont="0" applyAlignment="0" applyProtection="0"/>
    <xf numFmtId="0" fontId="8" fillId="10" borderId="142" applyNumberFormat="0" applyFont="0" applyAlignment="0" applyProtection="0"/>
    <xf numFmtId="0" fontId="8" fillId="10" borderId="193" applyNumberFormat="0" applyFont="0" applyAlignment="0" applyProtection="0"/>
    <xf numFmtId="0" fontId="49" fillId="10" borderId="101" applyNumberFormat="0" applyFont="0" applyAlignment="0" applyProtection="0"/>
    <xf numFmtId="0" fontId="48" fillId="12" borderId="100" applyNumberFormat="0" applyAlignment="0" applyProtection="0"/>
    <xf numFmtId="0" fontId="31" fillId="0" borderId="106" applyNumberFormat="0" applyFill="0" applyAlignment="0" applyProtection="0"/>
    <xf numFmtId="0" fontId="31" fillId="0" borderId="103" applyNumberFormat="0" applyFill="0" applyAlignment="0" applyProtection="0"/>
    <xf numFmtId="0" fontId="48" fillId="12" borderId="100" applyNumberForma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18" fillId="10" borderId="101" applyNumberFormat="0" applyFont="0" applyAlignment="0" applyProtection="0"/>
    <xf numFmtId="0" fontId="48" fillId="12" borderId="100" applyNumberFormat="0" applyAlignment="0" applyProtection="0"/>
    <xf numFmtId="0" fontId="16" fillId="24" borderId="141" applyNumberFormat="0" applyAlignment="0" applyProtection="0"/>
    <xf numFmtId="0" fontId="31" fillId="0" borderId="146" applyNumberFormat="0" applyFill="0" applyAlignment="0" applyProtection="0"/>
    <xf numFmtId="0" fontId="31" fillId="0" borderId="164" applyNumberFormat="0" applyFill="0" applyAlignment="0" applyProtection="0"/>
    <xf numFmtId="0" fontId="16" fillId="24" borderId="165" applyNumberFormat="0" applyAlignment="0" applyProtection="0"/>
    <xf numFmtId="0" fontId="85" fillId="72" borderId="172"/>
    <xf numFmtId="0" fontId="49" fillId="10" borderId="193" applyNumberFormat="0" applyFont="0" applyAlignment="0" applyProtection="0"/>
    <xf numFmtId="0" fontId="31" fillId="0" borderId="156" applyNumberFormat="0" applyFill="0" applyAlignment="0" applyProtection="0"/>
    <xf numFmtId="0" fontId="48" fillId="12" borderId="165" applyNumberFormat="0" applyAlignment="0" applyProtection="0"/>
    <xf numFmtId="0" fontId="48" fillId="24" borderId="165" applyNumberFormat="0" applyAlignment="0" applyProtection="0"/>
    <xf numFmtId="0" fontId="31" fillId="0" borderId="140" applyNumberFormat="0" applyFill="0" applyAlignment="0" applyProtection="0"/>
    <xf numFmtId="0" fontId="41" fillId="13" borderId="141" applyNumberFormat="0" applyAlignment="0" applyProtection="0"/>
    <xf numFmtId="0" fontId="18" fillId="10" borderId="175" applyNumberFormat="0" applyFont="0" applyAlignment="0" applyProtection="0"/>
    <xf numFmtId="0" fontId="31" fillId="0" borderId="190" applyNumberFormat="0" applyFill="0" applyAlignment="0" applyProtection="0"/>
    <xf numFmtId="0" fontId="31" fillId="0" borderId="119" applyNumberFormat="0" applyFill="0" applyAlignment="0" applyProtection="0"/>
    <xf numFmtId="0" fontId="29" fillId="24" borderId="115" applyNumberFormat="0" applyAlignment="0" applyProtection="0"/>
    <xf numFmtId="0" fontId="31" fillId="0" borderId="119" applyNumberFormat="0" applyFill="0" applyAlignment="0" applyProtection="0"/>
    <xf numFmtId="0" fontId="85" fillId="0" borderId="122"/>
    <xf numFmtId="0" fontId="24" fillId="24" borderId="118" applyNumberFormat="0" applyAlignment="0" applyProtection="0"/>
    <xf numFmtId="0" fontId="31" fillId="0" borderId="119" applyNumberFormat="0" applyFill="0" applyAlignment="0" applyProtection="0"/>
    <xf numFmtId="0" fontId="8" fillId="10" borderId="117" applyNumberFormat="0" applyFont="0" applyAlignment="0" applyProtection="0"/>
    <xf numFmtId="0" fontId="29" fillId="12" borderId="168" applyNumberFormat="0" applyAlignment="0" applyProtection="0"/>
    <xf numFmtId="0" fontId="49" fillId="10" borderId="166" applyNumberFormat="0" applyFont="0" applyAlignment="0" applyProtection="0"/>
    <xf numFmtId="0" fontId="25" fillId="13" borderId="165" applyNumberFormat="0" applyAlignment="0" applyProtection="0"/>
    <xf numFmtId="0" fontId="28" fillId="10" borderId="193" applyNumberFormat="0" applyFont="0" applyAlignment="0" applyProtection="0"/>
    <xf numFmtId="0" fontId="31" fillId="0" borderId="182" applyNumberFormat="0" applyFill="0" applyAlignment="0" applyProtection="0"/>
    <xf numFmtId="0" fontId="25" fillId="13" borderId="192" applyNumberFormat="0" applyAlignment="0" applyProtection="0"/>
    <xf numFmtId="0" fontId="25" fillId="8" borderId="141" applyNumberFormat="0" applyAlignment="0" applyProtection="0"/>
    <xf numFmtId="0" fontId="25" fillId="8" borderId="141" applyNumberFormat="0" applyAlignment="0" applyProtection="0"/>
    <xf numFmtId="0" fontId="31" fillId="0" borderId="170" applyNumberFormat="0" applyFill="0" applyAlignment="0" applyProtection="0"/>
    <xf numFmtId="0" fontId="25" fillId="13" borderId="158" applyNumberFormat="0" applyAlignment="0" applyProtection="0"/>
    <xf numFmtId="0" fontId="85" fillId="0" borderId="147"/>
    <xf numFmtId="0" fontId="28" fillId="0" borderId="147"/>
    <xf numFmtId="0" fontId="73" fillId="0" borderId="199" applyBorder="0">
      <alignment horizontal="center" vertical="center" wrapText="1"/>
    </xf>
    <xf numFmtId="0" fontId="29" fillId="12" borderId="168" applyNumberFormat="0" applyAlignment="0" applyProtection="0"/>
    <xf numFmtId="0" fontId="8" fillId="10" borderId="166" applyNumberFormat="0" applyFont="0" applyAlignment="0" applyProtection="0"/>
    <xf numFmtId="0" fontId="28" fillId="10" borderId="175" applyNumberFormat="0" applyFont="0" applyAlignment="0" applyProtection="0"/>
    <xf numFmtId="0" fontId="16" fillId="24" borderId="116" applyNumberFormat="0" applyAlignment="0" applyProtection="0"/>
    <xf numFmtId="0" fontId="29" fillId="24" borderId="115" applyNumberFormat="0" applyAlignment="0" applyProtection="0"/>
    <xf numFmtId="0" fontId="49" fillId="10" borderId="117" applyNumberFormat="0" applyFont="0" applyAlignment="0" applyProtection="0"/>
    <xf numFmtId="0" fontId="16" fillId="24" borderId="192" applyNumberFormat="0" applyAlignment="0" applyProtection="0"/>
    <xf numFmtId="0" fontId="29" fillId="24" borderId="89" applyNumberFormat="0" applyAlignment="0" applyProtection="0"/>
    <xf numFmtId="0" fontId="8" fillId="44" borderId="92" applyNumberFormat="0" applyFont="0" applyAlignment="0" applyProtection="0"/>
    <xf numFmtId="0" fontId="29" fillId="24" borderId="168" applyNumberFormat="0" applyAlignment="0" applyProtection="0"/>
    <xf numFmtId="0" fontId="18" fillId="10" borderId="83" applyNumberFormat="0" applyFont="0" applyAlignment="0" applyProtection="0"/>
    <xf numFmtId="0" fontId="48" fillId="12" borderId="165" applyNumberFormat="0" applyAlignment="0" applyProtection="0"/>
    <xf numFmtId="0" fontId="31" fillId="0" borderId="85" applyNumberFormat="0" applyFill="0" applyAlignment="0" applyProtection="0"/>
    <xf numFmtId="0" fontId="31" fillId="0" borderId="88" applyNumberFormat="0" applyFill="0" applyAlignment="0" applyProtection="0"/>
    <xf numFmtId="0" fontId="8" fillId="10" borderId="83" applyNumberFormat="0" applyFont="0" applyAlignment="0" applyProtection="0"/>
    <xf numFmtId="0" fontId="49" fillId="10" borderId="83" applyNumberFormat="0" applyFont="0" applyAlignment="0" applyProtection="0"/>
    <xf numFmtId="0" fontId="32" fillId="24" borderId="116" applyNumberFormat="0" applyAlignment="0" applyProtection="0"/>
    <xf numFmtId="0" fontId="31" fillId="0" borderId="91" applyNumberFormat="0" applyFill="0" applyAlignment="0" applyProtection="0"/>
    <xf numFmtId="0" fontId="31" fillId="0" borderId="170" applyNumberFormat="0" applyFill="0" applyAlignment="0" applyProtection="0"/>
    <xf numFmtId="0" fontId="8" fillId="10" borderId="83" applyNumberFormat="0" applyFont="0" applyAlignment="0" applyProtection="0"/>
    <xf numFmtId="0" fontId="18" fillId="10" borderId="83" applyNumberFormat="0" applyFont="0" applyAlignment="0" applyProtection="0"/>
    <xf numFmtId="0" fontId="8" fillId="10" borderId="175" applyNumberFormat="0" applyFont="0" applyAlignment="0" applyProtection="0"/>
    <xf numFmtId="0" fontId="24" fillId="24" borderId="84" applyNumberFormat="0" applyAlignment="0" applyProtection="0"/>
    <xf numFmtId="0" fontId="31" fillId="0" borderId="91" applyNumberFormat="0" applyFill="0" applyAlignment="0" applyProtection="0"/>
    <xf numFmtId="0" fontId="29" fillId="12" borderId="89" applyNumberFormat="0" applyAlignment="0" applyProtection="0"/>
    <xf numFmtId="0" fontId="85" fillId="0" borderId="86"/>
    <xf numFmtId="0" fontId="28" fillId="10" borderId="175" applyNumberFormat="0" applyFont="0" applyAlignment="0" applyProtection="0"/>
    <xf numFmtId="0" fontId="49" fillId="10" borderId="117" applyNumberFormat="0" applyFont="0" applyAlignment="0" applyProtection="0"/>
    <xf numFmtId="0" fontId="29" fillId="12" borderId="115" applyNumberFormat="0" applyAlignment="0" applyProtection="0"/>
    <xf numFmtId="0" fontId="48" fillId="24" borderId="116" applyNumberFormat="0" applyAlignment="0" applyProtection="0"/>
    <xf numFmtId="0" fontId="48" fillId="24" borderId="116" applyNumberFormat="0" applyAlignment="0" applyProtection="0"/>
    <xf numFmtId="0" fontId="49" fillId="10" borderId="193" applyNumberFormat="0" applyFont="0" applyAlignment="0" applyProtection="0"/>
    <xf numFmtId="0" fontId="28" fillId="10" borderId="193" applyNumberFormat="0" applyFont="0" applyAlignment="0" applyProtection="0"/>
    <xf numFmtId="0" fontId="31" fillId="0" borderId="161" applyNumberFormat="0" applyFill="0" applyAlignment="0" applyProtection="0"/>
    <xf numFmtId="0" fontId="31" fillId="0" borderId="128" applyNumberFormat="0" applyFill="0" applyAlignment="0" applyProtection="0"/>
    <xf numFmtId="0" fontId="28" fillId="10" borderId="126" applyNumberFormat="0" applyFont="0" applyAlignment="0" applyProtection="0"/>
    <xf numFmtId="0" fontId="25" fillId="13" borderId="125" applyNumberFormat="0" applyAlignment="0" applyProtection="0"/>
    <xf numFmtId="0" fontId="16" fillId="24" borderId="165" applyNumberFormat="0" applyAlignment="0" applyProtection="0"/>
    <xf numFmtId="0" fontId="32" fillId="24" borderId="125" applyNumberFormat="0" applyAlignment="0" applyProtection="0"/>
    <xf numFmtId="0" fontId="31" fillId="0" borderId="198" applyNumberFormat="0" applyFill="0" applyAlignment="0" applyProtection="0"/>
    <xf numFmtId="0" fontId="48" fillId="12" borderId="116" applyNumberFormat="0" applyAlignment="0" applyProtection="0"/>
    <xf numFmtId="0" fontId="16" fillId="24" borderId="116" applyNumberFormat="0" applyAlignment="0" applyProtection="0"/>
    <xf numFmtId="0" fontId="31" fillId="0" borderId="119" applyNumberFormat="0" applyFill="0" applyAlignment="0" applyProtection="0"/>
    <xf numFmtId="0" fontId="41" fillId="13" borderId="116" applyNumberFormat="0" applyAlignment="0" applyProtection="0"/>
    <xf numFmtId="0" fontId="8" fillId="10" borderId="117" applyNumberFormat="0" applyFont="0" applyAlignment="0" applyProtection="0"/>
    <xf numFmtId="0" fontId="29" fillId="24" borderId="168" applyNumberFormat="0" applyAlignment="0" applyProtection="0"/>
    <xf numFmtId="0" fontId="48" fillId="24" borderId="116" applyNumberFormat="0" applyAlignment="0" applyProtection="0"/>
    <xf numFmtId="0" fontId="48" fillId="12" borderId="141" applyNumberFormat="0" applyAlignment="0" applyProtection="0"/>
    <xf numFmtId="0" fontId="29" fillId="24" borderId="191" applyNumberFormat="0" applyAlignment="0" applyProtection="0"/>
    <xf numFmtId="0" fontId="31" fillId="0" borderId="145" applyNumberFormat="0" applyFill="0" applyAlignment="0" applyProtection="0"/>
    <xf numFmtId="0" fontId="28" fillId="0" borderId="172"/>
    <xf numFmtId="0" fontId="16" fillId="24" borderId="125" applyNumberFormat="0" applyAlignment="0" applyProtection="0"/>
    <xf numFmtId="0" fontId="31" fillId="0" borderId="145" applyNumberFormat="0" applyFill="0" applyAlignment="0" applyProtection="0"/>
    <xf numFmtId="0" fontId="8" fillId="10" borderId="166" applyNumberFormat="0" applyFont="0" applyAlignment="0" applyProtection="0"/>
    <xf numFmtId="0" fontId="24" fillId="24" borderId="194" applyNumberFormat="0" applyAlignment="0" applyProtection="0"/>
    <xf numFmtId="0" fontId="31" fillId="0" borderId="198" applyNumberFormat="0" applyFill="0" applyAlignment="0" applyProtection="0"/>
    <xf numFmtId="0" fontId="29" fillId="24" borderId="191" applyNumberFormat="0" applyAlignment="0" applyProtection="0"/>
    <xf numFmtId="0" fontId="31" fillId="0" borderId="183" applyNumberFormat="0" applyFill="0" applyAlignment="0" applyProtection="0"/>
    <xf numFmtId="0" fontId="16" fillId="24" borderId="185" applyNumberFormat="0" applyAlignment="0" applyProtection="0"/>
    <xf numFmtId="0" fontId="85" fillId="0" borderId="147"/>
    <xf numFmtId="0" fontId="48" fillId="12" borderId="165" applyNumberFormat="0" applyAlignment="0" applyProtection="0"/>
    <xf numFmtId="0" fontId="28" fillId="0" borderId="172"/>
    <xf numFmtId="0" fontId="8" fillId="10" borderId="193" applyNumberFormat="0" applyFont="0" applyAlignment="0" applyProtection="0"/>
    <xf numFmtId="0" fontId="48" fillId="24" borderId="165" applyNumberFormat="0" applyAlignment="0" applyProtection="0"/>
    <xf numFmtId="0" fontId="73" fillId="0" borderId="171" applyBorder="0">
      <alignment horizontal="center" vertical="center" wrapText="1"/>
    </xf>
    <xf numFmtId="0" fontId="25" fillId="13" borderId="116" applyNumberFormat="0" applyAlignment="0" applyProtection="0"/>
    <xf numFmtId="0" fontId="31" fillId="0" borderId="198" applyNumberFormat="0" applyFill="0" applyAlignment="0" applyProtection="0"/>
    <xf numFmtId="0" fontId="28" fillId="0" borderId="189"/>
    <xf numFmtId="0" fontId="73" fillId="0" borderId="139" applyBorder="0">
      <alignment horizontal="center" vertical="center" wrapText="1"/>
    </xf>
    <xf numFmtId="0" fontId="85" fillId="0" borderId="189"/>
    <xf numFmtId="0" fontId="48" fillId="12" borderId="165" applyNumberFormat="0" applyAlignment="0" applyProtection="0"/>
    <xf numFmtId="0" fontId="8" fillId="10" borderId="166" applyNumberFormat="0" applyFont="0" applyAlignment="0" applyProtection="0"/>
    <xf numFmtId="0" fontId="31" fillId="0" borderId="164" applyNumberFormat="0" applyFill="0" applyAlignment="0" applyProtection="0"/>
    <xf numFmtId="0" fontId="49" fillId="10" borderId="193" applyNumberFormat="0" applyFont="0" applyAlignment="0" applyProtection="0"/>
    <xf numFmtId="0" fontId="29" fillId="24" borderId="115" applyNumberFormat="0" applyAlignment="0" applyProtection="0"/>
    <xf numFmtId="0" fontId="32" fillId="24" borderId="165" applyNumberFormat="0" applyAlignment="0" applyProtection="0"/>
    <xf numFmtId="0" fontId="24" fillId="24" borderId="134" applyNumberFormat="0" applyAlignment="0" applyProtection="0"/>
    <xf numFmtId="0" fontId="31" fillId="0" borderId="121" applyNumberFormat="0" applyFill="0" applyAlignment="0" applyProtection="0"/>
    <xf numFmtId="0" fontId="32" fillId="24" borderId="141" applyNumberFormat="0" applyAlignment="0" applyProtection="0"/>
    <xf numFmtId="0" fontId="24" fillId="24" borderId="187" applyNumberFormat="0" applyAlignment="0" applyProtection="0"/>
    <xf numFmtId="0" fontId="48" fillId="12" borderId="141" applyNumberFormat="0" applyAlignment="0" applyProtection="0"/>
    <xf numFmtId="0" fontId="48" fillId="24" borderId="192" applyNumberFormat="0" applyAlignment="0" applyProtection="0"/>
    <xf numFmtId="0" fontId="32" fillId="24" borderId="141" applyNumberFormat="0" applyAlignment="0" applyProtection="0"/>
    <xf numFmtId="0" fontId="8" fillId="44" borderId="148" applyNumberFormat="0" applyFont="0" applyAlignment="0" applyProtection="0"/>
    <xf numFmtId="0" fontId="31" fillId="0" borderId="149" applyNumberFormat="0" applyFill="0" applyAlignment="0" applyProtection="0"/>
    <xf numFmtId="0" fontId="29" fillId="24" borderId="191" applyNumberFormat="0" applyAlignment="0" applyProtection="0"/>
    <xf numFmtId="0" fontId="49" fillId="10" borderId="175" applyNumberFormat="0" applyFont="0" applyAlignment="0" applyProtection="0"/>
    <xf numFmtId="0" fontId="48" fillId="24" borderId="100" applyNumberFormat="0" applyAlignment="0" applyProtection="0"/>
    <xf numFmtId="0" fontId="31" fillId="0" borderId="106" applyNumberFormat="0" applyFill="0" applyAlignment="0" applyProtection="0"/>
    <xf numFmtId="0" fontId="49" fillId="10" borderId="101" applyNumberFormat="0" applyFont="0" applyAlignment="0" applyProtection="0"/>
    <xf numFmtId="0" fontId="41" fillId="13" borderId="100" applyNumberFormat="0" applyAlignment="0" applyProtection="0"/>
    <xf numFmtId="0" fontId="25" fillId="13" borderId="100" applyNumberFormat="0" applyAlignment="0" applyProtection="0"/>
    <xf numFmtId="0" fontId="73" fillId="0" borderId="104" applyBorder="0">
      <alignment horizontal="center" vertical="center" wrapText="1"/>
    </xf>
    <xf numFmtId="0" fontId="29" fillId="12" borderId="144" applyNumberFormat="0" applyAlignment="0" applyProtection="0"/>
    <xf numFmtId="0" fontId="32" fillId="24" borderId="141" applyNumberFormat="0" applyAlignment="0" applyProtection="0"/>
    <xf numFmtId="0" fontId="31" fillId="0" borderId="195" applyNumberFormat="0" applyFill="0" applyAlignment="0" applyProtection="0"/>
    <xf numFmtId="0" fontId="31" fillId="0" borderId="169" applyNumberFormat="0" applyFill="0" applyAlignment="0" applyProtection="0"/>
    <xf numFmtId="0" fontId="8" fillId="10" borderId="175" applyNumberFormat="0" applyFont="0" applyAlignment="0" applyProtection="0"/>
    <xf numFmtId="0" fontId="31" fillId="0" borderId="183" applyNumberFormat="0" applyFill="0" applyAlignment="0" applyProtection="0"/>
    <xf numFmtId="0" fontId="31" fillId="0" borderId="149" applyNumberFormat="0" applyFill="0" applyAlignment="0" applyProtection="0"/>
    <xf numFmtId="0" fontId="16" fillId="24" borderId="141" applyNumberFormat="0" applyAlignment="0" applyProtection="0"/>
    <xf numFmtId="0" fontId="31" fillId="0" borderId="164" applyNumberFormat="0" applyFill="0" applyAlignment="0" applyProtection="0"/>
    <xf numFmtId="0" fontId="73" fillId="0" borderId="124" applyBorder="0">
      <alignment horizontal="center" vertical="center" wrapText="1"/>
    </xf>
    <xf numFmtId="0" fontId="41" fillId="13" borderId="116" applyNumberFormat="0" applyAlignment="0" applyProtection="0"/>
    <xf numFmtId="0" fontId="16" fillId="24" borderId="116" applyNumberFormat="0" applyAlignment="0" applyProtection="0"/>
    <xf numFmtId="0" fontId="48" fillId="12" borderId="116" applyNumberFormat="0" applyAlignment="0" applyProtection="0"/>
    <xf numFmtId="0" fontId="73" fillId="0" borderId="199" applyBorder="0">
      <alignment horizontal="center" vertical="center" wrapText="1"/>
    </xf>
    <xf numFmtId="0" fontId="31" fillId="0" borderId="170" applyNumberFormat="0" applyFill="0" applyAlignment="0" applyProtection="0"/>
    <xf numFmtId="0" fontId="28" fillId="0" borderId="189"/>
    <xf numFmtId="0" fontId="48" fillId="24" borderId="201" applyNumberFormat="0" applyAlignment="0" applyProtection="0"/>
    <xf numFmtId="0" fontId="28" fillId="0" borderId="189"/>
    <xf numFmtId="0" fontId="85" fillId="0" borderId="178"/>
    <xf numFmtId="0" fontId="24" fillId="24" borderId="160" applyNumberFormat="0" applyAlignment="0" applyProtection="0"/>
    <xf numFmtId="0" fontId="28" fillId="0" borderId="147"/>
    <xf numFmtId="0" fontId="25" fillId="13" borderId="141" applyNumberFormat="0" applyAlignment="0" applyProtection="0"/>
    <xf numFmtId="0" fontId="73" fillId="0" borderId="139" applyBorder="0">
      <alignment horizontal="center" vertical="center" wrapText="1"/>
    </xf>
    <xf numFmtId="0" fontId="85" fillId="72" borderId="172"/>
    <xf numFmtId="0" fontId="31" fillId="0" borderId="190" applyNumberFormat="0" applyFill="0" applyAlignment="0" applyProtection="0"/>
    <xf numFmtId="0" fontId="31" fillId="0" borderId="156" applyNumberFormat="0" applyFill="0" applyAlignment="0" applyProtection="0"/>
    <xf numFmtId="0" fontId="31" fillId="0" borderId="195" applyNumberFormat="0" applyFill="0" applyAlignment="0" applyProtection="0"/>
    <xf numFmtId="0" fontId="85" fillId="0" borderId="189"/>
    <xf numFmtId="0" fontId="28" fillId="0" borderId="122"/>
    <xf numFmtId="0" fontId="32" fillId="24" borderId="116" applyNumberFormat="0" applyAlignment="0" applyProtection="0"/>
    <xf numFmtId="0" fontId="28" fillId="10" borderId="83" applyNumberFormat="0" applyFont="0" applyAlignment="0" applyProtection="0"/>
    <xf numFmtId="0" fontId="49" fillId="10" borderId="83" applyNumberFormat="0" applyFont="0" applyAlignment="0" applyProtection="0"/>
    <xf numFmtId="0" fontId="29" fillId="12" borderId="168" applyNumberFormat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31" fillId="0" borderId="169" applyNumberFormat="0" applyFill="0" applyAlignment="0" applyProtection="0"/>
    <xf numFmtId="0" fontId="29" fillId="12" borderId="89" applyNumberFormat="0" applyAlignment="0" applyProtection="0"/>
    <xf numFmtId="0" fontId="29" fillId="24" borderId="89" applyNumberFormat="0" applyAlignment="0" applyProtection="0"/>
    <xf numFmtId="0" fontId="31" fillId="0" borderId="121" applyNumberFormat="0" applyFill="0" applyAlignment="0" applyProtection="0"/>
    <xf numFmtId="0" fontId="28" fillId="0" borderId="178"/>
    <xf numFmtId="0" fontId="8" fillId="10" borderId="117" applyNumberFormat="0" applyFont="0" applyAlignment="0" applyProtection="0"/>
    <xf numFmtId="0" fontId="48" fillId="12" borderId="116" applyNumberFormat="0" applyAlignment="0" applyProtection="0"/>
    <xf numFmtId="0" fontId="28" fillId="10" borderId="175" applyNumberFormat="0" applyFont="0" applyAlignment="0" applyProtection="0"/>
    <xf numFmtId="0" fontId="85" fillId="0" borderId="172"/>
    <xf numFmtId="0" fontId="18" fillId="10" borderId="101" applyNumberFormat="0" applyFont="0" applyAlignment="0" applyProtection="0"/>
    <xf numFmtId="0" fontId="16" fillId="24" borderId="100" applyNumberFormat="0" applyAlignment="0" applyProtection="0"/>
    <xf numFmtId="0" fontId="31" fillId="0" borderId="105" applyNumberFormat="0" applyFill="0" applyAlignment="0" applyProtection="0"/>
    <xf numFmtId="0" fontId="41" fillId="13" borderId="116" applyNumberFormat="0" applyAlignment="0" applyProtection="0"/>
    <xf numFmtId="0" fontId="31" fillId="0" borderId="85" applyNumberFormat="0" applyFill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18" fillId="10" borderId="83" applyNumberFormat="0" applyFont="0" applyAlignment="0" applyProtection="0"/>
    <xf numFmtId="0" fontId="8" fillId="10" borderId="142" applyNumberFormat="0" applyFont="0" applyAlignment="0" applyProtection="0"/>
    <xf numFmtId="0" fontId="49" fillId="10" borderId="117" applyNumberFormat="0" applyFont="0" applyAlignment="0" applyProtection="0"/>
    <xf numFmtId="0" fontId="48" fillId="12" borderId="116" applyNumberFormat="0" applyAlignment="0" applyProtection="0"/>
    <xf numFmtId="0" fontId="29" fillId="24" borderId="115" applyNumberFormat="0" applyAlignment="0" applyProtection="0"/>
    <xf numFmtId="0" fontId="29" fillId="24" borderId="115" applyNumberFormat="0" applyAlignment="0" applyProtection="0"/>
    <xf numFmtId="0" fontId="25" fillId="8" borderId="141" applyNumberFormat="0" applyAlignment="0" applyProtection="0"/>
    <xf numFmtId="0" fontId="29" fillId="24" borderId="99" applyNumberFormat="0" applyAlignment="0" applyProtection="0"/>
    <xf numFmtId="0" fontId="28" fillId="10" borderId="166" applyNumberFormat="0" applyFont="0" applyAlignment="0" applyProtection="0"/>
    <xf numFmtId="0" fontId="25" fillId="13" borderId="165" applyNumberFormat="0" applyAlignment="0" applyProtection="0"/>
    <xf numFmtId="0" fontId="31" fillId="0" borderId="190" applyNumberFormat="0" applyFill="0" applyAlignment="0" applyProtection="0"/>
    <xf numFmtId="0" fontId="25" fillId="13" borderId="100" applyNumberFormat="0" applyAlignment="0" applyProtection="0"/>
    <xf numFmtId="0" fontId="8" fillId="10" borderId="133" applyNumberFormat="0" applyFont="0" applyAlignment="0" applyProtection="0"/>
    <xf numFmtId="0" fontId="31" fillId="0" borderId="145" applyNumberFormat="0" applyFill="0" applyAlignment="0" applyProtection="0"/>
    <xf numFmtId="0" fontId="31" fillId="0" borderId="90" applyNumberFormat="0" applyFill="0" applyAlignment="0" applyProtection="0"/>
    <xf numFmtId="0" fontId="48" fillId="24" borderId="141" applyNumberFormat="0" applyAlignment="0" applyProtection="0"/>
    <xf numFmtId="0" fontId="29" fillId="24" borderId="99" applyNumberFormat="0" applyAlignment="0" applyProtection="0"/>
    <xf numFmtId="0" fontId="29" fillId="24" borderId="99" applyNumberFormat="0" applyAlignment="0" applyProtection="0"/>
    <xf numFmtId="0" fontId="16" fillId="24" borderId="141" applyNumberFormat="0" applyAlignment="0" applyProtection="0"/>
    <xf numFmtId="0" fontId="48" fillId="12" borderId="100" applyNumberFormat="0" applyAlignment="0" applyProtection="0"/>
    <xf numFmtId="0" fontId="73" fillId="0" borderId="87" applyBorder="0">
      <alignment horizontal="center" vertical="center" wrapText="1"/>
    </xf>
    <xf numFmtId="0" fontId="31" fillId="0" borderId="106" applyNumberFormat="0" applyFill="0" applyAlignment="0" applyProtection="0"/>
    <xf numFmtId="0" fontId="29" fillId="24" borderId="99" applyNumberFormat="0" applyAlignment="0" applyProtection="0"/>
    <xf numFmtId="0" fontId="48" fillId="12" borderId="132" applyNumberFormat="0" applyAlignment="0" applyProtection="0"/>
    <xf numFmtId="0" fontId="28" fillId="0" borderId="147"/>
    <xf numFmtId="0" fontId="48" fillId="24" borderId="192" applyNumberFormat="0" applyAlignment="0" applyProtection="0"/>
    <xf numFmtId="0" fontId="8" fillId="10" borderId="117" applyNumberFormat="0" applyFont="0" applyAlignment="0" applyProtection="0"/>
    <xf numFmtId="0" fontId="31" fillId="0" borderId="156" applyNumberFormat="0" applyFill="0" applyAlignment="0" applyProtection="0"/>
    <xf numFmtId="0" fontId="31" fillId="0" borderId="156" applyNumberFormat="0" applyFill="0" applyAlignment="0" applyProtection="0"/>
    <xf numFmtId="0" fontId="31" fillId="0" borderId="114" applyNumberFormat="0" applyFill="0" applyAlignment="0" applyProtection="0"/>
    <xf numFmtId="0" fontId="85" fillId="0" borderId="122"/>
    <xf numFmtId="0" fontId="25" fillId="13" borderId="125" applyNumberFormat="0" applyAlignment="0" applyProtection="0"/>
    <xf numFmtId="0" fontId="31" fillId="0" borderId="164" applyNumberFormat="0" applyFill="0" applyAlignment="0" applyProtection="0"/>
    <xf numFmtId="0" fontId="41" fillId="13" borderId="73" applyNumberFormat="0" applyAlignment="0" applyProtection="0"/>
    <xf numFmtId="0" fontId="8" fillId="10" borderId="74" applyNumberFormat="0" applyFont="0" applyAlignment="0" applyProtection="0"/>
    <xf numFmtId="0" fontId="31" fillId="0" borderId="77" applyNumberFormat="0" applyFill="0" applyAlignment="0" applyProtection="0"/>
    <xf numFmtId="0" fontId="31" fillId="0" borderId="78" applyNumberFormat="0" applyFill="0" applyAlignment="0" applyProtection="0"/>
    <xf numFmtId="0" fontId="32" fillId="24" borderId="73" applyNumberFormat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25" fillId="13" borderId="73" applyNumberFormat="0" applyAlignment="0" applyProtection="0"/>
    <xf numFmtId="0" fontId="29" fillId="24" borderId="76" applyNumberFormat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24" fillId="24" borderId="102" applyNumberFormat="0" applyAlignment="0" applyProtection="0"/>
    <xf numFmtId="0" fontId="41" fillId="13" borderId="100" applyNumberFormat="0" applyAlignment="0" applyProtection="0"/>
    <xf numFmtId="0" fontId="48" fillId="24" borderId="73" applyNumberFormat="0" applyAlignment="0" applyProtection="0"/>
    <xf numFmtId="0" fontId="31" fillId="0" borderId="145" applyNumberFormat="0" applyFill="0" applyAlignment="0" applyProtection="0"/>
    <xf numFmtId="0" fontId="8" fillId="44" borderId="173" applyNumberFormat="0" applyFont="0" applyAlignment="0" applyProtection="0"/>
    <xf numFmtId="0" fontId="16" fillId="24" borderId="165" applyNumberFormat="0" applyAlignment="0" applyProtection="0"/>
    <xf numFmtId="0" fontId="29" fillId="12" borderId="168" applyNumberFormat="0" applyAlignment="0" applyProtection="0"/>
    <xf numFmtId="0" fontId="29" fillId="24" borderId="191" applyNumberFormat="0" applyAlignment="0" applyProtection="0"/>
    <xf numFmtId="0" fontId="31" fillId="0" borderId="149" applyNumberFormat="0" applyFill="0" applyAlignment="0" applyProtection="0"/>
    <xf numFmtId="0" fontId="31" fillId="0" borderId="149" applyNumberFormat="0" applyFill="0" applyAlignment="0" applyProtection="0"/>
    <xf numFmtId="0" fontId="28" fillId="0" borderId="178"/>
    <xf numFmtId="0" fontId="29" fillId="12" borderId="191" applyNumberFormat="0" applyAlignment="0" applyProtection="0"/>
    <xf numFmtId="0" fontId="48" fillId="12" borderId="165" applyNumberFormat="0" applyAlignment="0" applyProtection="0"/>
    <xf numFmtId="0" fontId="32" fillId="24" borderId="100" applyNumberFormat="0" applyAlignment="0" applyProtection="0"/>
    <xf numFmtId="0" fontId="28" fillId="10" borderId="101" applyNumberFormat="0" applyFont="0" applyAlignment="0" applyProtection="0"/>
    <xf numFmtId="0" fontId="28" fillId="0" borderId="147"/>
    <xf numFmtId="0" fontId="24" fillId="24" borderId="194" applyNumberFormat="0" applyAlignment="0" applyProtection="0"/>
    <xf numFmtId="0" fontId="48" fillId="12" borderId="100" applyNumberFormat="0" applyAlignment="0" applyProtection="0"/>
    <xf numFmtId="0" fontId="31" fillId="0" borderId="105" applyNumberFormat="0" applyFill="0" applyAlignment="0" applyProtection="0"/>
    <xf numFmtId="0" fontId="73" fillId="0" borderId="104" applyBorder="0">
      <alignment horizontal="center" vertical="center" wrapText="1"/>
    </xf>
    <xf numFmtId="0" fontId="31" fillId="0" borderId="103" applyNumberFormat="0" applyFill="0" applyAlignment="0" applyProtection="0"/>
    <xf numFmtId="0" fontId="8" fillId="10" borderId="101" applyNumberFormat="0" applyFont="0" applyAlignment="0" applyProtection="0"/>
    <xf numFmtId="0" fontId="73" fillId="0" borderId="104" applyBorder="0">
      <alignment horizontal="center" vertical="center" wrapText="1"/>
    </xf>
    <xf numFmtId="0" fontId="31" fillId="0" borderId="98" applyNumberFormat="0" applyFill="0" applyAlignment="0" applyProtection="0"/>
    <xf numFmtId="0" fontId="48" fillId="12" borderId="100" applyNumberFormat="0" applyAlignment="0" applyProtection="0"/>
    <xf numFmtId="0" fontId="28" fillId="0" borderId="97"/>
    <xf numFmtId="0" fontId="31" fillId="0" borderId="98" applyNumberFormat="0" applyFill="0" applyAlignment="0" applyProtection="0"/>
    <xf numFmtId="0" fontId="16" fillId="24" borderId="100" applyNumberFormat="0" applyAlignment="0" applyProtection="0"/>
    <xf numFmtId="0" fontId="16" fillId="24" borderId="100" applyNumberFormat="0" applyAlignment="0" applyProtection="0"/>
    <xf numFmtId="0" fontId="49" fillId="10" borderId="101" applyNumberFormat="0" applyFont="0" applyAlignment="0" applyProtection="0"/>
    <xf numFmtId="0" fontId="8" fillId="44" borderId="108" applyNumberFormat="0" applyFont="0" applyAlignment="0" applyProtection="0"/>
    <xf numFmtId="0" fontId="48" fillId="12" borderId="100" applyNumberFormat="0" applyAlignment="0" applyProtection="0"/>
    <xf numFmtId="0" fontId="25" fillId="8" borderId="100" applyNumberFormat="0" applyAlignment="0" applyProtection="0"/>
    <xf numFmtId="0" fontId="31" fillId="0" borderId="98" applyNumberFormat="0" applyFill="0" applyAlignment="0" applyProtection="0"/>
    <xf numFmtId="0" fontId="28" fillId="0" borderId="178"/>
    <xf numFmtId="0" fontId="16" fillId="24" borderId="109" applyNumberFormat="0" applyAlignment="0" applyProtection="0"/>
    <xf numFmtId="0" fontId="16" fillId="24" borderId="109" applyNumberFormat="0" applyAlignment="0" applyProtection="0"/>
    <xf numFmtId="0" fontId="28" fillId="10" borderId="110" applyNumberFormat="0" applyFont="0" applyAlignment="0" applyProtection="0"/>
    <xf numFmtId="0" fontId="8" fillId="10" borderId="110" applyNumberFormat="0" applyFont="0" applyAlignment="0" applyProtection="0"/>
    <xf numFmtId="0" fontId="24" fillId="24" borderId="111" applyNumberFormat="0" applyAlignment="0" applyProtection="0"/>
    <xf numFmtId="0" fontId="31" fillId="0" borderId="112" applyNumberFormat="0" applyFill="0" applyAlignment="0" applyProtection="0"/>
    <xf numFmtId="0" fontId="25" fillId="8" borderId="192" applyNumberFormat="0" applyAlignment="0" applyProtection="0"/>
    <xf numFmtId="0" fontId="48" fillId="24" borderId="165" applyNumberFormat="0" applyAlignment="0" applyProtection="0"/>
    <xf numFmtId="0" fontId="8" fillId="44" borderId="173" applyNumberFormat="0" applyFont="0" applyAlignment="0" applyProtection="0"/>
    <xf numFmtId="0" fontId="73" fillId="0" borderId="150" applyBorder="0">
      <alignment horizontal="center" vertical="center" wrapText="1"/>
    </xf>
    <xf numFmtId="0" fontId="85" fillId="0" borderId="189"/>
    <xf numFmtId="0" fontId="31" fillId="0" borderId="161" applyNumberFormat="0" applyFill="0" applyAlignment="0" applyProtection="0"/>
    <xf numFmtId="0" fontId="49" fillId="10" borderId="166" applyNumberFormat="0" applyFont="0" applyAlignment="0" applyProtection="0"/>
    <xf numFmtId="0" fontId="29" fillId="24" borderId="99" applyNumberFormat="0" applyAlignment="0" applyProtection="0"/>
    <xf numFmtId="0" fontId="25" fillId="13" borderId="100" applyNumberFormat="0" applyAlignment="0" applyProtection="0"/>
    <xf numFmtId="0" fontId="31" fillId="0" borderId="103" applyNumberFormat="0" applyFill="0" applyAlignment="0" applyProtection="0"/>
    <xf numFmtId="0" fontId="31" fillId="0" borderId="106" applyNumberFormat="0" applyFill="0" applyAlignment="0" applyProtection="0"/>
    <xf numFmtId="0" fontId="29" fillId="12" borderId="99" applyNumberFormat="0" applyAlignment="0" applyProtection="0"/>
    <xf numFmtId="0" fontId="31" fillId="0" borderId="106" applyNumberFormat="0" applyFill="0" applyAlignment="0" applyProtection="0"/>
    <xf numFmtId="0" fontId="31" fillId="0" borderId="106" applyNumberFormat="0" applyFill="0" applyAlignment="0" applyProtection="0"/>
    <xf numFmtId="0" fontId="31" fillId="0" borderId="106" applyNumberFormat="0" applyFill="0" applyAlignment="0" applyProtection="0"/>
    <xf numFmtId="0" fontId="28" fillId="0" borderId="172"/>
    <xf numFmtId="0" fontId="85" fillId="0" borderId="189"/>
    <xf numFmtId="0" fontId="31" fillId="0" borderId="71" applyNumberFormat="0" applyFill="0" applyAlignment="0" applyProtection="0"/>
    <xf numFmtId="0" fontId="48" fillId="24" borderId="73" applyNumberFormat="0" applyAlignment="0" applyProtection="0"/>
    <xf numFmtId="0" fontId="41" fillId="13" borderId="73" applyNumberFormat="0" applyAlignment="0" applyProtection="0"/>
    <xf numFmtId="0" fontId="31" fillId="0" borderId="77" applyNumberFormat="0" applyFill="0" applyAlignment="0" applyProtection="0"/>
    <xf numFmtId="0" fontId="25" fillId="13" borderId="73" applyNumberFormat="0" applyAlignment="0" applyProtection="0"/>
    <xf numFmtId="0" fontId="8" fillId="10" borderId="74" applyNumberFormat="0" applyFont="0" applyAlignment="0" applyProtection="0"/>
    <xf numFmtId="0" fontId="28" fillId="10" borderId="74" applyNumberFormat="0" applyFont="0" applyAlignment="0" applyProtection="0"/>
    <xf numFmtId="0" fontId="48" fillId="24" borderId="73" applyNumberFormat="0" applyAlignment="0" applyProtection="0"/>
    <xf numFmtId="0" fontId="16" fillId="24" borderId="73" applyNumberFormat="0" applyAlignment="0" applyProtection="0"/>
    <xf numFmtId="0" fontId="31" fillId="0" borderId="71" applyNumberFormat="0" applyFill="0" applyAlignment="0" applyProtection="0"/>
    <xf numFmtId="0" fontId="28" fillId="10" borderId="74" applyNumberFormat="0" applyFont="0" applyAlignment="0" applyProtection="0"/>
    <xf numFmtId="0" fontId="31" fillId="0" borderId="77" applyNumberFormat="0" applyFill="0" applyAlignment="0" applyProtection="0"/>
    <xf numFmtId="0" fontId="49" fillId="10" borderId="74" applyNumberFormat="0" applyFont="0" applyAlignment="0" applyProtection="0"/>
    <xf numFmtId="0" fontId="8" fillId="44" borderId="81" applyNumberFormat="0" applyFont="0" applyAlignment="0" applyProtection="0"/>
    <xf numFmtId="0" fontId="85" fillId="0" borderId="80"/>
    <xf numFmtId="0" fontId="48" fillId="12" borderId="73" applyNumberFormat="0" applyAlignment="0" applyProtection="0"/>
    <xf numFmtId="0" fontId="29" fillId="12" borderId="76" applyNumberFormat="0" applyAlignment="0" applyProtection="0"/>
    <xf numFmtId="0" fontId="31" fillId="0" borderId="78" applyNumberFormat="0" applyFill="0" applyAlignment="0" applyProtection="0"/>
    <xf numFmtId="0" fontId="49" fillId="10" borderId="74" applyNumberFormat="0" applyFont="0" applyAlignment="0" applyProtection="0"/>
    <xf numFmtId="0" fontId="28" fillId="0" borderId="80"/>
    <xf numFmtId="0" fontId="31" fillId="0" borderId="77" applyNumberFormat="0" applyFill="0" applyAlignment="0" applyProtection="0"/>
    <xf numFmtId="0" fontId="85" fillId="0" borderId="80"/>
    <xf numFmtId="0" fontId="25" fillId="8" borderId="73" applyNumberFormat="0" applyAlignment="0" applyProtection="0"/>
    <xf numFmtId="0" fontId="29" fillId="12" borderId="76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41" fillId="13" borderId="100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41" fillId="13" borderId="82" applyNumberFormat="0" applyAlignment="0" applyProtection="0"/>
    <xf numFmtId="0" fontId="24" fillId="24" borderId="160" applyNumberForma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83" applyNumberFormat="0" applyFont="0" applyAlignment="0" applyProtection="0"/>
    <xf numFmtId="0" fontId="24" fillId="24" borderId="84" applyNumberFormat="0" applyAlignment="0" applyProtection="0"/>
    <xf numFmtId="0" fontId="24" fillId="24" borderId="84" applyNumberFormat="0" applyAlignment="0" applyProtection="0"/>
    <xf numFmtId="0" fontId="25" fillId="13" borderId="192" applyNumberFormat="0" applyAlignment="0" applyProtection="0"/>
    <xf numFmtId="0" fontId="29" fillId="12" borderId="191" applyNumberFormat="0" applyAlignment="0" applyProtection="0"/>
    <xf numFmtId="0" fontId="31" fillId="0" borderId="138" applyNumberFormat="0" applyFill="0" applyAlignment="0" applyProtection="0"/>
    <xf numFmtId="0" fontId="29" fillId="12" borderId="144" applyNumberFormat="0" applyAlignment="0" applyProtection="0"/>
    <xf numFmtId="0" fontId="8" fillId="10" borderId="193" applyNumberFormat="0" applyFont="0" applyAlignment="0" applyProtection="0"/>
    <xf numFmtId="0" fontId="8" fillId="10" borderId="101" applyNumberFormat="0" applyFont="0" applyAlignment="0" applyProtection="0"/>
    <xf numFmtId="0" fontId="85" fillId="0" borderId="172"/>
    <xf numFmtId="0" fontId="31" fillId="0" borderId="98" applyNumberFormat="0" applyFill="0" applyAlignment="0" applyProtection="0"/>
    <xf numFmtId="0" fontId="31" fillId="0" borderId="98" applyNumberFormat="0" applyFill="0" applyAlignment="0" applyProtection="0"/>
    <xf numFmtId="0" fontId="28" fillId="10" borderId="101" applyNumberFormat="0" applyFont="0" applyAlignment="0" applyProtection="0"/>
    <xf numFmtId="0" fontId="31" fillId="0" borderId="98" applyNumberFormat="0" applyFill="0" applyAlignment="0" applyProtection="0"/>
    <xf numFmtId="0" fontId="8" fillId="10" borderId="101" applyNumberFormat="0" applyFont="0" applyAlignment="0" applyProtection="0"/>
    <xf numFmtId="0" fontId="16" fillId="24" borderId="100" applyNumberFormat="0" applyAlignment="0" applyProtection="0"/>
    <xf numFmtId="0" fontId="48" fillId="12" borderId="100" applyNumberFormat="0" applyAlignment="0" applyProtection="0"/>
    <xf numFmtId="0" fontId="16" fillId="24" borderId="100" applyNumberFormat="0" applyAlignment="0" applyProtection="0"/>
    <xf numFmtId="0" fontId="73" fillId="0" borderId="107" applyBorder="0">
      <alignment horizontal="center" vertical="center" wrapText="1"/>
    </xf>
    <xf numFmtId="0" fontId="28" fillId="10" borderId="101" applyNumberFormat="0" applyFont="0" applyAlignment="0" applyProtection="0"/>
    <xf numFmtId="0" fontId="28" fillId="0" borderId="97"/>
    <xf numFmtId="0" fontId="31" fillId="0" borderId="106" applyNumberFormat="0" applyFill="0" applyAlignment="0" applyProtection="0"/>
    <xf numFmtId="0" fontId="48" fillId="12" borderId="100" applyNumberFormat="0" applyAlignment="0" applyProtection="0"/>
    <xf numFmtId="0" fontId="48" fillId="24" borderId="100" applyNumberFormat="0" applyAlignment="0" applyProtection="0"/>
    <xf numFmtId="0" fontId="85" fillId="0" borderId="97"/>
    <xf numFmtId="0" fontId="31" fillId="0" borderId="98" applyNumberFormat="0" applyFill="0" applyAlignment="0" applyProtection="0"/>
    <xf numFmtId="0" fontId="31" fillId="0" borderId="190" applyNumberFormat="0" applyFill="0" applyAlignment="0" applyProtection="0"/>
    <xf numFmtId="0" fontId="29" fillId="12" borderId="144" applyNumberFormat="0" applyAlignment="0" applyProtection="0"/>
    <xf numFmtId="0" fontId="48" fillId="12" borderId="192" applyNumberFormat="0" applyAlignment="0" applyProtection="0"/>
    <xf numFmtId="0" fontId="8" fillId="44" borderId="200" applyNumberFormat="0" applyFont="0" applyAlignment="0" applyProtection="0"/>
    <xf numFmtId="0" fontId="31" fillId="0" borderId="156" applyNumberFormat="0" applyFill="0" applyAlignment="0" applyProtection="0"/>
    <xf numFmtId="0" fontId="8" fillId="44" borderId="184" applyNumberFormat="0" applyFont="0" applyAlignment="0" applyProtection="0"/>
    <xf numFmtId="0" fontId="31" fillId="0" borderId="190" applyNumberFormat="0" applyFill="0" applyAlignment="0" applyProtection="0"/>
    <xf numFmtId="0" fontId="48" fillId="12" borderId="165" applyNumberFormat="0" applyAlignment="0" applyProtection="0"/>
    <xf numFmtId="0" fontId="41" fillId="13" borderId="192" applyNumberFormat="0" applyAlignment="0" applyProtection="0"/>
    <xf numFmtId="0" fontId="29" fillId="12" borderId="191" applyNumberFormat="0" applyAlignment="0" applyProtection="0"/>
    <xf numFmtId="0" fontId="31" fillId="0" borderId="182" applyNumberFormat="0" applyFill="0" applyAlignment="0" applyProtection="0"/>
    <xf numFmtId="0" fontId="8" fillId="10" borderId="142" applyNumberFormat="0" applyFont="0" applyAlignment="0" applyProtection="0"/>
    <xf numFmtId="0" fontId="31" fillId="0" borderId="156" applyNumberFormat="0" applyFill="0" applyAlignment="0" applyProtection="0"/>
    <xf numFmtId="0" fontId="85" fillId="0" borderId="189"/>
    <xf numFmtId="0" fontId="41" fillId="13" borderId="165" applyNumberFormat="0" applyAlignment="0" applyProtection="0"/>
    <xf numFmtId="0" fontId="24" fillId="24" borderId="160" applyNumberFormat="0" applyAlignment="0" applyProtection="0"/>
    <xf numFmtId="0" fontId="48" fillId="24" borderId="165" applyNumberFormat="0" applyAlignment="0" applyProtection="0"/>
    <xf numFmtId="0" fontId="28" fillId="0" borderId="122"/>
    <xf numFmtId="0" fontId="29" fillId="24" borderId="115" applyNumberFormat="0" applyAlignment="0" applyProtection="0"/>
    <xf numFmtId="0" fontId="31" fillId="0" borderId="121" applyNumberFormat="0" applyFill="0" applyAlignment="0" applyProtection="0"/>
    <xf numFmtId="0" fontId="8" fillId="10" borderId="117" applyNumberFormat="0" applyFont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28" fillId="0" borderId="122"/>
    <xf numFmtId="0" fontId="29" fillId="24" borderId="115" applyNumberFormat="0" applyAlignment="0" applyProtection="0"/>
    <xf numFmtId="0" fontId="41" fillId="13" borderId="116" applyNumberFormat="0" applyAlignment="0" applyProtection="0"/>
    <xf numFmtId="0" fontId="49" fillId="10" borderId="166" applyNumberFormat="0" applyFont="0" applyAlignment="0" applyProtection="0"/>
    <xf numFmtId="0" fontId="18" fillId="10" borderId="202" applyNumberFormat="0" applyFont="0" applyAlignment="0" applyProtection="0"/>
    <xf numFmtId="0" fontId="49" fillId="10" borderId="166" applyNumberFormat="0" applyFont="0" applyAlignment="0" applyProtection="0"/>
    <xf numFmtId="0" fontId="73" fillId="0" borderId="162" applyBorder="0">
      <alignment horizontal="center" vertical="center" wrapText="1"/>
    </xf>
    <xf numFmtId="0" fontId="31" fillId="0" borderId="198" applyNumberFormat="0" applyFill="0" applyAlignment="0" applyProtection="0"/>
    <xf numFmtId="0" fontId="8" fillId="10" borderId="175" applyNumberFormat="0" applyFont="0" applyAlignment="0" applyProtection="0"/>
    <xf numFmtId="0" fontId="16" fillId="24" borderId="141" applyNumberFormat="0" applyAlignment="0" applyProtection="0"/>
    <xf numFmtId="0" fontId="49" fillId="10" borderId="142" applyNumberFormat="0" applyFont="0" applyAlignment="0" applyProtection="0"/>
    <xf numFmtId="0" fontId="16" fillId="24" borderId="141" applyNumberFormat="0" applyAlignment="0" applyProtection="0"/>
    <xf numFmtId="0" fontId="25" fillId="13" borderId="165" applyNumberFormat="0" applyAlignment="0" applyProtection="0"/>
    <xf numFmtId="0" fontId="25" fillId="8" borderId="165" applyNumberFormat="0" applyAlignment="0" applyProtection="0"/>
    <xf numFmtId="0" fontId="31" fillId="0" borderId="177" applyNumberFormat="0" applyFill="0" applyAlignment="0" applyProtection="0"/>
    <xf numFmtId="0" fontId="16" fillId="24" borderId="185" applyNumberFormat="0" applyAlignment="0" applyProtection="0"/>
    <xf numFmtId="0" fontId="28" fillId="10" borderId="142" applyNumberFormat="0" applyFont="0" applyAlignment="0" applyProtection="0"/>
    <xf numFmtId="0" fontId="49" fillId="10" borderId="117" applyNumberFormat="0" applyFont="0" applyAlignment="0" applyProtection="0"/>
    <xf numFmtId="0" fontId="32" fillId="24" borderId="132" applyNumberFormat="0" applyAlignment="0" applyProtection="0"/>
    <xf numFmtId="0" fontId="49" fillId="10" borderId="126" applyNumberFormat="0" applyFont="0" applyAlignment="0" applyProtection="0"/>
    <xf numFmtId="0" fontId="28" fillId="10" borderId="133" applyNumberFormat="0" applyFont="0" applyAlignment="0" applyProtection="0"/>
    <xf numFmtId="0" fontId="25" fillId="8" borderId="141" applyNumberFormat="0" applyAlignment="0" applyProtection="0"/>
    <xf numFmtId="0" fontId="25" fillId="13" borderId="192" applyNumberFormat="0" applyAlignment="0" applyProtection="0"/>
    <xf numFmtId="0" fontId="25" fillId="13" borderId="100" applyNumberFormat="0" applyAlignment="0" applyProtection="0"/>
    <xf numFmtId="0" fontId="48" fillId="24" borderId="141" applyNumberFormat="0" applyAlignment="0" applyProtection="0"/>
    <xf numFmtId="0" fontId="41" fillId="13" borderId="141" applyNumberFormat="0" applyAlignment="0" applyProtection="0"/>
    <xf numFmtId="0" fontId="29" fillId="24" borderId="144" applyNumberFormat="0" applyAlignment="0" applyProtection="0"/>
    <xf numFmtId="0" fontId="31" fillId="0" borderId="140" applyNumberFormat="0" applyFill="0" applyAlignment="0" applyProtection="0"/>
    <xf numFmtId="0" fontId="48" fillId="24" borderId="141" applyNumberFormat="0" applyAlignment="0" applyProtection="0"/>
    <xf numFmtId="0" fontId="28" fillId="0" borderId="147"/>
    <xf numFmtId="0" fontId="31" fillId="0" borderId="149" applyNumberFormat="0" applyFill="0" applyAlignment="0" applyProtection="0"/>
    <xf numFmtId="0" fontId="8" fillId="10" borderId="152" applyNumberFormat="0" applyFont="0" applyAlignment="0" applyProtection="0"/>
    <xf numFmtId="0" fontId="31" fillId="0" borderId="154" applyNumberFormat="0" applyFill="0" applyAlignment="0" applyProtection="0"/>
    <xf numFmtId="0" fontId="25" fillId="8" borderId="192" applyNumberFormat="0" applyAlignment="0" applyProtection="0"/>
    <xf numFmtId="0" fontId="31" fillId="0" borderId="121" applyNumberFormat="0" applyFill="0" applyAlignment="0" applyProtection="0"/>
    <xf numFmtId="0" fontId="28" fillId="0" borderId="147"/>
    <xf numFmtId="0" fontId="31" fillId="0" borderId="146" applyNumberFormat="0" applyFill="0" applyAlignment="0" applyProtection="0"/>
    <xf numFmtId="0" fontId="49" fillId="10" borderId="142" applyNumberFormat="0" applyFont="0" applyAlignment="0" applyProtection="0"/>
    <xf numFmtId="0" fontId="31" fillId="0" borderId="198" applyNumberFormat="0" applyFill="0" applyAlignment="0" applyProtection="0"/>
    <xf numFmtId="0" fontId="49" fillId="10" borderId="193" applyNumberFormat="0" applyFont="0" applyAlignment="0" applyProtection="0"/>
    <xf numFmtId="0" fontId="28" fillId="0" borderId="97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8" fillId="10" borderId="101" applyNumberFormat="0" applyFont="0" applyAlignment="0" applyProtection="0"/>
    <xf numFmtId="0" fontId="29" fillId="12" borderId="99" applyNumberFormat="0" applyAlignment="0" applyProtection="0"/>
    <xf numFmtId="0" fontId="31" fillId="0" borderId="98" applyNumberFormat="0" applyFill="0" applyAlignment="0" applyProtection="0"/>
    <xf numFmtId="0" fontId="31" fillId="0" borderId="106" applyNumberFormat="0" applyFill="0" applyAlignment="0" applyProtection="0"/>
    <xf numFmtId="0" fontId="25" fillId="8" borderId="100" applyNumberFormat="0" applyAlignment="0" applyProtection="0"/>
    <xf numFmtId="0" fontId="8" fillId="10" borderId="101" applyNumberFormat="0" applyFont="0" applyAlignment="0" applyProtection="0"/>
    <xf numFmtId="0" fontId="48" fillId="24" borderId="100" applyNumberFormat="0" applyAlignment="0" applyProtection="0"/>
    <xf numFmtId="0" fontId="25" fillId="13" borderId="100" applyNumberFormat="0" applyAlignment="0" applyProtection="0"/>
    <xf numFmtId="0" fontId="8" fillId="10" borderId="101" applyNumberFormat="0" applyFont="0" applyAlignment="0" applyProtection="0"/>
    <xf numFmtId="0" fontId="16" fillId="24" borderId="100" applyNumberFormat="0" applyAlignment="0" applyProtection="0"/>
    <xf numFmtId="0" fontId="25" fillId="13" borderId="100" applyNumberFormat="0" applyAlignment="0" applyProtection="0"/>
    <xf numFmtId="0" fontId="28" fillId="10" borderId="101" applyNumberFormat="0" applyFont="0" applyAlignment="0" applyProtection="0"/>
    <xf numFmtId="0" fontId="25" fillId="13" borderId="100" applyNumberFormat="0" applyAlignment="0" applyProtection="0"/>
    <xf numFmtId="0" fontId="29" fillId="24" borderId="99" applyNumberFormat="0" applyAlignment="0" applyProtection="0"/>
    <xf numFmtId="0" fontId="85" fillId="0" borderId="97"/>
    <xf numFmtId="0" fontId="31" fillId="0" borderId="98" applyNumberFormat="0" applyFill="0" applyAlignment="0" applyProtection="0"/>
    <xf numFmtId="0" fontId="31" fillId="0" borderId="140" applyNumberFormat="0" applyFill="0" applyAlignment="0" applyProtection="0"/>
    <xf numFmtId="0" fontId="25" fillId="13" borderId="141" applyNumberFormat="0" applyAlignment="0" applyProtection="0"/>
    <xf numFmtId="0" fontId="28" fillId="0" borderId="147"/>
    <xf numFmtId="0" fontId="31" fillId="0" borderId="149" applyNumberFormat="0" applyFill="0" applyAlignment="0" applyProtection="0"/>
    <xf numFmtId="0" fontId="31" fillId="0" borderId="183" applyNumberFormat="0" applyFill="0" applyAlignment="0" applyProtection="0"/>
    <xf numFmtId="0" fontId="31" fillId="0" borderId="198" applyNumberFormat="0" applyFill="0" applyAlignment="0" applyProtection="0"/>
    <xf numFmtId="0" fontId="8" fillId="10" borderId="193" applyNumberFormat="0" applyFont="0" applyAlignment="0" applyProtection="0"/>
    <xf numFmtId="0" fontId="49" fillId="10" borderId="166" applyNumberFormat="0" applyFont="0" applyAlignment="0" applyProtection="0"/>
    <xf numFmtId="0" fontId="31" fillId="0" borderId="169" applyNumberFormat="0" applyFill="0" applyAlignment="0" applyProtection="0"/>
    <xf numFmtId="0" fontId="31" fillId="0" borderId="121" applyNumberFormat="0" applyFill="0" applyAlignment="0" applyProtection="0"/>
    <xf numFmtId="0" fontId="31" fillId="0" borderId="114" applyNumberFormat="0" applyFill="0" applyAlignment="0" applyProtection="0"/>
    <xf numFmtId="0" fontId="41" fillId="13" borderId="116" applyNumberFormat="0" applyAlignment="0" applyProtection="0"/>
    <xf numFmtId="0" fontId="73" fillId="0" borderId="124" applyBorder="0">
      <alignment horizontal="center" vertical="center" wrapText="1"/>
    </xf>
    <xf numFmtId="0" fontId="48" fillId="24" borderId="116" applyNumberFormat="0" applyAlignment="0" applyProtection="0"/>
    <xf numFmtId="0" fontId="48" fillId="24" borderId="116" applyNumberFormat="0" applyAlignment="0" applyProtection="0"/>
    <xf numFmtId="0" fontId="29" fillId="24" borderId="168" applyNumberFormat="0" applyAlignment="0" applyProtection="0"/>
    <xf numFmtId="0" fontId="28" fillId="0" borderId="172"/>
    <xf numFmtId="0" fontId="25" fillId="13" borderId="141" applyNumberFormat="0" applyAlignment="0" applyProtection="0"/>
    <xf numFmtId="0" fontId="28" fillId="10" borderId="193" applyNumberFormat="0" applyFont="0" applyAlignment="0" applyProtection="0"/>
    <xf numFmtId="0" fontId="8" fillId="10" borderId="166" applyNumberFormat="0" applyFont="0" applyAlignment="0" applyProtection="0"/>
    <xf numFmtId="0" fontId="28" fillId="0" borderId="122"/>
    <xf numFmtId="0" fontId="28" fillId="10" borderId="175" applyNumberFormat="0" applyFont="0" applyAlignment="0" applyProtection="0"/>
    <xf numFmtId="0" fontId="31" fillId="0" borderId="156" applyNumberFormat="0" applyFill="0" applyAlignment="0" applyProtection="0"/>
    <xf numFmtId="0" fontId="28" fillId="0" borderId="172"/>
    <xf numFmtId="0" fontId="31" fillId="0" borderId="164" applyNumberFormat="0" applyFill="0" applyAlignment="0" applyProtection="0"/>
    <xf numFmtId="0" fontId="32" fillId="24" borderId="116" applyNumberFormat="0" applyAlignment="0" applyProtection="0"/>
    <xf numFmtId="0" fontId="31" fillId="0" borderId="170" applyNumberFormat="0" applyFill="0" applyAlignment="0" applyProtection="0"/>
    <xf numFmtId="0" fontId="28" fillId="0" borderId="189"/>
    <xf numFmtId="0" fontId="48" fillId="12" borderId="141" applyNumberFormat="0" applyAlignment="0" applyProtection="0"/>
    <xf numFmtId="0" fontId="28" fillId="10" borderId="142" applyNumberFormat="0" applyFont="0" applyAlignment="0" applyProtection="0"/>
    <xf numFmtId="0" fontId="48" fillId="24" borderId="141" applyNumberFormat="0" applyAlignment="0" applyProtection="0"/>
    <xf numFmtId="0" fontId="8" fillId="10" borderId="166" applyNumberFormat="0" applyFont="0" applyAlignment="0" applyProtection="0"/>
    <xf numFmtId="0" fontId="31" fillId="0" borderId="164" applyNumberFormat="0" applyFill="0" applyAlignment="0" applyProtection="0"/>
    <xf numFmtId="0" fontId="48" fillId="12" borderId="192" applyNumberFormat="0" applyAlignment="0" applyProtection="0"/>
    <xf numFmtId="0" fontId="28" fillId="0" borderId="178"/>
    <xf numFmtId="0" fontId="41" fillId="13" borderId="165" applyNumberFormat="0" applyAlignment="0" applyProtection="0"/>
    <xf numFmtId="0" fontId="85" fillId="72" borderId="147"/>
    <xf numFmtId="0" fontId="49" fillId="10" borderId="175" applyNumberFormat="0" applyFont="0" applyAlignment="0" applyProtection="0"/>
    <xf numFmtId="0" fontId="31" fillId="0" borderId="145" applyNumberFormat="0" applyFill="0" applyAlignment="0" applyProtection="0"/>
    <xf numFmtId="0" fontId="8" fillId="10" borderId="142" applyNumberFormat="0" applyFont="0" applyAlignment="0" applyProtection="0"/>
    <xf numFmtId="0" fontId="31" fillId="0" borderId="146" applyNumberFormat="0" applyFill="0" applyAlignment="0" applyProtection="0"/>
    <xf numFmtId="0" fontId="31" fillId="0" borderId="149" applyNumberFormat="0" applyFill="0" applyAlignment="0" applyProtection="0"/>
    <xf numFmtId="0" fontId="28" fillId="10" borderId="142" applyNumberFormat="0" applyFont="0" applyAlignment="0" applyProtection="0"/>
    <xf numFmtId="0" fontId="25" fillId="13" borderId="141" applyNumberFormat="0" applyAlignment="0" applyProtection="0"/>
    <xf numFmtId="0" fontId="8" fillId="10" borderId="193" applyNumberFormat="0" applyFont="0" applyAlignment="0" applyProtection="0"/>
    <xf numFmtId="0" fontId="28" fillId="10" borderId="193" applyNumberFormat="0" applyFont="0" applyAlignment="0" applyProtection="0"/>
    <xf numFmtId="0" fontId="18" fillId="10" borderId="166" applyNumberFormat="0" applyFont="0" applyAlignment="0" applyProtection="0"/>
    <xf numFmtId="0" fontId="31" fillId="0" borderId="170" applyNumberFormat="0" applyFill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28" fillId="10" borderId="166" applyNumberFormat="0" applyFont="0" applyAlignment="0" applyProtection="0"/>
    <xf numFmtId="0" fontId="31" fillId="0" borderId="119" applyNumberFormat="0" applyFill="0" applyAlignment="0" applyProtection="0"/>
    <xf numFmtId="0" fontId="31" fillId="0" borderId="120" applyNumberFormat="0" applyFill="0" applyAlignment="0" applyProtection="0"/>
    <xf numFmtId="0" fontId="25" fillId="13" borderId="116" applyNumberFormat="0" applyAlignment="0" applyProtection="0"/>
    <xf numFmtId="0" fontId="31" fillId="0" borderId="121" applyNumberFormat="0" applyFill="0" applyAlignment="0" applyProtection="0"/>
    <xf numFmtId="0" fontId="41" fillId="13" borderId="165" applyNumberFormat="0" applyAlignment="0" applyProtection="0"/>
    <xf numFmtId="0" fontId="28" fillId="10" borderId="83" applyNumberFormat="0" applyFont="0" applyAlignment="0" applyProtection="0"/>
    <xf numFmtId="0" fontId="31" fillId="0" borderId="88" applyNumberFormat="0" applyFill="0" applyAlignment="0" applyProtection="0"/>
    <xf numFmtId="0" fontId="24" fillId="24" borderId="84" applyNumberFormat="0" applyAlignment="0" applyProtection="0"/>
    <xf numFmtId="0" fontId="29" fillId="24" borderId="89" applyNumberFormat="0" applyAlignment="0" applyProtection="0"/>
    <xf numFmtId="0" fontId="8" fillId="10" borderId="117" applyNumberFormat="0" applyFont="0" applyAlignment="0" applyProtection="0"/>
    <xf numFmtId="0" fontId="28" fillId="10" borderId="83" applyNumberFormat="0" applyFont="0" applyAlignment="0" applyProtection="0"/>
    <xf numFmtId="0" fontId="24" fillId="24" borderId="84" applyNumberFormat="0" applyAlignment="0" applyProtection="0"/>
    <xf numFmtId="0" fontId="28" fillId="0" borderId="172"/>
    <xf numFmtId="0" fontId="31" fillId="0" borderId="91" applyNumberFormat="0" applyFill="0" applyAlignment="0" applyProtection="0"/>
    <xf numFmtId="0" fontId="49" fillId="10" borderId="83" applyNumberFormat="0" applyFont="0" applyAlignment="0" applyProtection="0"/>
    <xf numFmtId="0" fontId="31" fillId="0" borderId="85" applyNumberFormat="0" applyFill="0" applyAlignment="0" applyProtection="0"/>
    <xf numFmtId="0" fontId="31" fillId="0" borderId="91" applyNumberFormat="0" applyFill="0" applyAlignment="0" applyProtection="0"/>
    <xf numFmtId="0" fontId="31" fillId="0" borderId="90" applyNumberFormat="0" applyFill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28" fillId="10" borderId="83" applyNumberFormat="0" applyFont="0" applyAlignment="0" applyProtection="0"/>
    <xf numFmtId="0" fontId="31" fillId="0" borderId="85" applyNumberFormat="0" applyFill="0" applyAlignment="0" applyProtection="0"/>
    <xf numFmtId="0" fontId="8" fillId="10" borderId="83" applyNumberFormat="0" applyFont="0" applyAlignment="0" applyProtection="0"/>
    <xf numFmtId="0" fontId="29" fillId="24" borderId="89" applyNumberFormat="0" applyAlignment="0" applyProtection="0"/>
    <xf numFmtId="0" fontId="28" fillId="0" borderId="86"/>
    <xf numFmtId="0" fontId="48" fillId="12" borderId="141" applyNumberFormat="0" applyAlignment="0" applyProtection="0"/>
    <xf numFmtId="0" fontId="29" fillId="12" borderId="131" applyNumberFormat="0" applyAlignment="0" applyProtection="0"/>
    <xf numFmtId="0" fontId="49" fillId="10" borderId="83" applyNumberFormat="0" applyFont="0" applyAlignment="0" applyProtection="0"/>
    <xf numFmtId="0" fontId="31" fillId="0" borderId="183" applyNumberFormat="0" applyFill="0" applyAlignment="0" applyProtection="0"/>
    <xf numFmtId="0" fontId="8" fillId="10" borderId="175" applyNumberFormat="0" applyFont="0" applyAlignment="0" applyProtection="0"/>
    <xf numFmtId="0" fontId="31" fillId="0" borderId="190" applyNumberFormat="0" applyFill="0" applyAlignment="0" applyProtection="0"/>
    <xf numFmtId="0" fontId="24" fillId="24" borderId="118" applyNumberFormat="0" applyAlignment="0" applyProtection="0"/>
    <xf numFmtId="0" fontId="32" fillId="24" borderId="116" applyNumberFormat="0" applyAlignment="0" applyProtection="0"/>
    <xf numFmtId="0" fontId="31" fillId="0" borderId="114" applyNumberFormat="0" applyFill="0" applyAlignment="0" applyProtection="0"/>
    <xf numFmtId="0" fontId="8" fillId="10" borderId="117" applyNumberFormat="0" applyFont="0" applyAlignment="0" applyProtection="0"/>
    <xf numFmtId="0" fontId="8" fillId="44" borderId="173" applyNumberFormat="0" applyFont="0" applyAlignment="0" applyProtection="0"/>
    <xf numFmtId="0" fontId="48" fillId="12" borderId="141" applyNumberFormat="0" applyAlignment="0" applyProtection="0"/>
    <xf numFmtId="0" fontId="32" fillId="24" borderId="192" applyNumberFormat="0" applyAlignment="0" applyProtection="0"/>
    <xf numFmtId="0" fontId="8" fillId="10" borderId="202" applyNumberFormat="0" applyFont="0" applyAlignment="0" applyProtection="0"/>
    <xf numFmtId="0" fontId="16" fillId="24" borderId="165" applyNumberFormat="0" applyAlignment="0" applyProtection="0"/>
    <xf numFmtId="0" fontId="24" fillId="24" borderId="127" applyNumberFormat="0" applyAlignment="0" applyProtection="0"/>
    <xf numFmtId="0" fontId="8" fillId="10" borderId="126" applyNumberFormat="0" applyFont="0" applyAlignment="0" applyProtection="0"/>
    <xf numFmtId="0" fontId="31" fillId="0" borderId="170" applyNumberFormat="0" applyFill="0" applyAlignment="0" applyProtection="0"/>
    <xf numFmtId="0" fontId="16" fillId="24" borderId="125" applyNumberFormat="0" applyAlignment="0" applyProtection="0"/>
    <xf numFmtId="0" fontId="28" fillId="0" borderId="172"/>
    <xf numFmtId="0" fontId="31" fillId="0" borderId="114" applyNumberFormat="0" applyFill="0" applyAlignment="0" applyProtection="0"/>
    <xf numFmtId="0" fontId="31" fillId="0" borderId="114" applyNumberFormat="0" applyFill="0" applyAlignment="0" applyProtection="0"/>
    <xf numFmtId="0" fontId="25" fillId="13" borderId="116" applyNumberFormat="0" applyAlignment="0" applyProtection="0"/>
    <xf numFmtId="0" fontId="31" fillId="0" borderId="114" applyNumberFormat="0" applyFill="0" applyAlignment="0" applyProtection="0"/>
    <xf numFmtId="0" fontId="48" fillId="24" borderId="116" applyNumberFormat="0" applyAlignment="0" applyProtection="0"/>
    <xf numFmtId="0" fontId="8" fillId="10" borderId="117" applyNumberFormat="0" applyFont="0" applyAlignment="0" applyProtection="0"/>
    <xf numFmtId="0" fontId="25" fillId="13" borderId="116" applyNumberFormat="0" applyAlignment="0" applyProtection="0"/>
    <xf numFmtId="0" fontId="31" fillId="0" borderId="120" applyNumberFormat="0" applyFill="0" applyAlignment="0" applyProtection="0"/>
    <xf numFmtId="0" fontId="8" fillId="10" borderId="117" applyNumberFormat="0" applyFont="0" applyAlignment="0" applyProtection="0"/>
    <xf numFmtId="0" fontId="48" fillId="12" borderId="116" applyNumberFormat="0" applyAlignment="0" applyProtection="0"/>
    <xf numFmtId="0" fontId="28" fillId="0" borderId="122"/>
    <xf numFmtId="0" fontId="49" fillId="10" borderId="166" applyNumberFormat="0" applyFont="0" applyAlignment="0" applyProtection="0"/>
    <xf numFmtId="0" fontId="29" fillId="24" borderId="168" applyNumberFormat="0" applyAlignment="0" applyProtection="0"/>
    <xf numFmtId="0" fontId="49" fillId="10" borderId="142" applyNumberFormat="0" applyFont="0" applyAlignment="0" applyProtection="0"/>
    <xf numFmtId="0" fontId="31" fillId="0" borderId="146" applyNumberFormat="0" applyFill="0" applyAlignment="0" applyProtection="0"/>
    <xf numFmtId="0" fontId="31" fillId="0" borderId="190" applyNumberFormat="0" applyFill="0" applyAlignment="0" applyProtection="0"/>
    <xf numFmtId="0" fontId="85" fillId="0" borderId="122"/>
    <xf numFmtId="0" fontId="28" fillId="0" borderId="122"/>
    <xf numFmtId="0" fontId="48" fillId="24" borderId="116" applyNumberFormat="0" applyAlignment="0" applyProtection="0"/>
    <xf numFmtId="0" fontId="16" fillId="24" borderId="174" applyNumberFormat="0" applyAlignment="0" applyProtection="0"/>
    <xf numFmtId="0" fontId="48" fillId="24" borderId="141" applyNumberFormat="0" applyAlignment="0" applyProtection="0"/>
    <xf numFmtId="0" fontId="31" fillId="0" borderId="197" applyNumberFormat="0" applyFill="0" applyAlignment="0" applyProtection="0"/>
    <xf numFmtId="0" fontId="18" fillId="10" borderId="142" applyNumberFormat="0" applyFont="0" applyAlignment="0" applyProtection="0"/>
    <xf numFmtId="0" fontId="49" fillId="10" borderId="166" applyNumberFormat="0" applyFont="0" applyAlignment="0" applyProtection="0"/>
    <xf numFmtId="0" fontId="8" fillId="10" borderId="166" applyNumberFormat="0" applyFont="0" applyAlignment="0" applyProtection="0"/>
    <xf numFmtId="0" fontId="31" fillId="0" borderId="197" applyNumberFormat="0" applyFill="0" applyAlignment="0" applyProtection="0"/>
    <xf numFmtId="0" fontId="8" fillId="10" borderId="193" applyNumberFormat="0" applyFont="0" applyAlignment="0" applyProtection="0"/>
    <xf numFmtId="0" fontId="8" fillId="10" borderId="175" applyNumberFormat="0" applyFont="0" applyAlignment="0" applyProtection="0"/>
    <xf numFmtId="0" fontId="41" fillId="13" borderId="192" applyNumberFormat="0" applyAlignment="0" applyProtection="0"/>
    <xf numFmtId="0" fontId="25" fillId="13" borderId="165" applyNumberFormat="0" applyAlignment="0" applyProtection="0"/>
    <xf numFmtId="0" fontId="29" fillId="12" borderId="144" applyNumberFormat="0" applyAlignment="0" applyProtection="0"/>
    <xf numFmtId="0" fontId="31" fillId="0" borderId="183" applyNumberFormat="0" applyFill="0" applyAlignment="0" applyProtection="0"/>
    <xf numFmtId="0" fontId="8" fillId="44" borderId="200" applyNumberFormat="0" applyFont="0" applyAlignment="0" applyProtection="0"/>
    <xf numFmtId="0" fontId="31" fillId="0" borderId="161" applyNumberFormat="0" applyFill="0" applyAlignment="0" applyProtection="0"/>
    <xf numFmtId="0" fontId="85" fillId="72" borderId="122"/>
    <xf numFmtId="0" fontId="8" fillId="10" borderId="117" applyNumberFormat="0" applyFont="0" applyAlignment="0" applyProtection="0"/>
    <xf numFmtId="0" fontId="25" fillId="13" borderId="174" applyNumberFormat="0" applyAlignment="0" applyProtection="0"/>
    <xf numFmtId="0" fontId="48" fillId="12" borderId="165" applyNumberFormat="0" applyAlignment="0" applyProtection="0"/>
    <xf numFmtId="0" fontId="28" fillId="10" borderId="166" applyNumberFormat="0" applyFont="0" applyAlignment="0" applyProtection="0"/>
    <xf numFmtId="0" fontId="85" fillId="0" borderId="178"/>
    <xf numFmtId="0" fontId="48" fillId="24" borderId="165" applyNumberFormat="0" applyAlignment="0" applyProtection="0"/>
    <xf numFmtId="0" fontId="25" fillId="13" borderId="174" applyNumberFormat="0" applyAlignment="0" applyProtection="0"/>
    <xf numFmtId="0" fontId="49" fillId="10" borderId="142" applyNumberFormat="0" applyFont="0" applyAlignment="0" applyProtection="0"/>
    <xf numFmtId="0" fontId="31" fillId="0" borderId="145" applyNumberFormat="0" applyFill="0" applyAlignment="0" applyProtection="0"/>
    <xf numFmtId="0" fontId="31" fillId="0" borderId="198" applyNumberFormat="0" applyFill="0" applyAlignment="0" applyProtection="0"/>
    <xf numFmtId="0" fontId="85" fillId="72" borderId="172"/>
    <xf numFmtId="0" fontId="49" fillId="10" borderId="117" applyNumberFormat="0" applyFont="0" applyAlignment="0" applyProtection="0"/>
    <xf numFmtId="0" fontId="31" fillId="0" borderId="119" applyNumberFormat="0" applyFill="0" applyAlignment="0" applyProtection="0"/>
    <xf numFmtId="0" fontId="31" fillId="0" borderId="197" applyNumberFormat="0" applyFill="0" applyAlignment="0" applyProtection="0"/>
    <xf numFmtId="0" fontId="24" fillId="24" borderId="143" applyNumberFormat="0" applyAlignment="0" applyProtection="0"/>
    <xf numFmtId="0" fontId="31" fillId="0" borderId="198" applyNumberFormat="0" applyFill="0" applyAlignment="0" applyProtection="0"/>
    <xf numFmtId="0" fontId="85" fillId="0" borderId="172"/>
    <xf numFmtId="0" fontId="24" fillId="24" borderId="194" applyNumberFormat="0" applyAlignment="0" applyProtection="0"/>
    <xf numFmtId="0" fontId="28" fillId="10" borderId="202" applyNumberFormat="0" applyFont="0" applyAlignment="0" applyProtection="0"/>
    <xf numFmtId="0" fontId="16" fillId="24" borderId="185" applyNumberFormat="0" applyAlignment="0" applyProtection="0"/>
    <xf numFmtId="0" fontId="31" fillId="0" borderId="183" applyNumberFormat="0" applyFill="0" applyAlignment="0" applyProtection="0"/>
    <xf numFmtId="0" fontId="8" fillId="10" borderId="142" applyNumberFormat="0" applyFont="0" applyAlignment="0" applyProtection="0"/>
    <xf numFmtId="0" fontId="48" fillId="12" borderId="141" applyNumberFormat="0" applyAlignment="0" applyProtection="0"/>
    <xf numFmtId="0" fontId="25" fillId="13" borderId="141" applyNumberFormat="0" applyAlignment="0" applyProtection="0"/>
    <xf numFmtId="0" fontId="48" fillId="12" borderId="141" applyNumberFormat="0" applyAlignment="0" applyProtection="0"/>
    <xf numFmtId="0" fontId="8" fillId="10" borderId="152" applyNumberFormat="0" applyFont="0" applyAlignment="0" applyProtection="0"/>
    <xf numFmtId="0" fontId="31" fillId="0" borderId="198" applyNumberFormat="0" applyFill="0" applyAlignment="0" applyProtection="0"/>
    <xf numFmtId="0" fontId="41" fillId="13" borderId="116" applyNumberFormat="0" applyAlignment="0" applyProtection="0"/>
    <xf numFmtId="0" fontId="48" fillId="24" borderId="192" applyNumberFormat="0" applyAlignment="0" applyProtection="0"/>
    <xf numFmtId="0" fontId="31" fillId="0" borderId="149" applyNumberFormat="0" applyFill="0" applyAlignment="0" applyProtection="0"/>
    <xf numFmtId="0" fontId="48" fillId="24" borderId="192" applyNumberFormat="0" applyAlignment="0" applyProtection="0"/>
    <xf numFmtId="0" fontId="32" fillId="24" borderId="192" applyNumberFormat="0" applyAlignment="0" applyProtection="0"/>
    <xf numFmtId="0" fontId="31" fillId="0" borderId="164" applyNumberFormat="0" applyFill="0" applyAlignment="0" applyProtection="0"/>
    <xf numFmtId="0" fontId="31" fillId="0" borderId="103" applyNumberFormat="0" applyFill="0" applyAlignment="0" applyProtection="0"/>
    <xf numFmtId="0" fontId="73" fillId="0" borderId="107" applyBorder="0">
      <alignment horizontal="center" vertical="center" wrapText="1"/>
    </xf>
    <xf numFmtId="0" fontId="48" fillId="24" borderId="100" applyNumberFormat="0" applyAlignment="0" applyProtection="0"/>
    <xf numFmtId="0" fontId="31" fillId="0" borderId="103" applyNumberFormat="0" applyFill="0" applyAlignment="0" applyProtection="0"/>
    <xf numFmtId="0" fontId="41" fillId="13" borderId="100" applyNumberFormat="0" applyAlignment="0" applyProtection="0"/>
    <xf numFmtId="0" fontId="29" fillId="24" borderId="99" applyNumberFormat="0" applyAlignment="0" applyProtection="0"/>
    <xf numFmtId="0" fontId="16" fillId="24" borderId="100" applyNumberFormat="0" applyAlignment="0" applyProtection="0"/>
    <xf numFmtId="0" fontId="31" fillId="0" borderId="106" applyNumberFormat="0" applyFill="0" applyAlignment="0" applyProtection="0"/>
    <xf numFmtId="0" fontId="41" fillId="13" borderId="100" applyNumberFormat="0" applyAlignment="0" applyProtection="0"/>
    <xf numFmtId="0" fontId="31" fillId="0" borderId="105" applyNumberFormat="0" applyFill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28" fillId="10" borderId="101" applyNumberFormat="0" applyFont="0" applyAlignment="0" applyProtection="0"/>
    <xf numFmtId="0" fontId="8" fillId="44" borderId="108" applyNumberFormat="0" applyFont="0" applyAlignment="0" applyProtection="0"/>
    <xf numFmtId="0" fontId="29" fillId="24" borderId="99" applyNumberFormat="0" applyAlignment="0" applyProtection="0"/>
    <xf numFmtId="0" fontId="18" fillId="10" borderId="101" applyNumberFormat="0" applyFont="0" applyAlignment="0" applyProtection="0"/>
    <xf numFmtId="0" fontId="48" fillId="24" borderId="192" applyNumberFormat="0" applyAlignment="0" applyProtection="0"/>
    <xf numFmtId="0" fontId="29" fillId="24" borderId="144" applyNumberFormat="0" applyAlignment="0" applyProtection="0"/>
    <xf numFmtId="0" fontId="24" fillId="24" borderId="143" applyNumberFormat="0" applyAlignment="0" applyProtection="0"/>
    <xf numFmtId="0" fontId="28" fillId="10" borderId="142" applyNumberFormat="0" applyFont="0" applyAlignment="0" applyProtection="0"/>
    <xf numFmtId="0" fontId="25" fillId="13" borderId="165" applyNumberFormat="0" applyAlignment="0" applyProtection="0"/>
    <xf numFmtId="0" fontId="31" fillId="0" borderId="163" applyNumberFormat="0" applyFill="0" applyAlignment="0" applyProtection="0"/>
    <xf numFmtId="0" fontId="31" fillId="0" borderId="190" applyNumberFormat="0" applyFill="0" applyAlignment="0" applyProtection="0"/>
    <xf numFmtId="0" fontId="16" fillId="24" borderId="192" applyNumberFormat="0" applyAlignment="0" applyProtection="0"/>
    <xf numFmtId="0" fontId="49" fillId="10" borderId="175" applyNumberFormat="0" applyFont="0" applyAlignment="0" applyProtection="0"/>
    <xf numFmtId="0" fontId="28" fillId="10" borderId="166" applyNumberFormat="0" applyFont="0" applyAlignment="0" applyProtection="0"/>
    <xf numFmtId="0" fontId="48" fillId="24" borderId="141" applyNumberFormat="0" applyAlignment="0" applyProtection="0"/>
    <xf numFmtId="0" fontId="16" fillId="24" borderId="141" applyNumberFormat="0" applyAlignment="0" applyProtection="0"/>
    <xf numFmtId="0" fontId="49" fillId="10" borderId="142" applyNumberFormat="0" applyFont="0" applyAlignment="0" applyProtection="0"/>
    <xf numFmtId="0" fontId="25" fillId="13" borderId="141" applyNumberFormat="0" applyAlignment="0" applyProtection="0"/>
    <xf numFmtId="0" fontId="25" fillId="13" borderId="141" applyNumberFormat="0" applyAlignment="0" applyProtection="0"/>
    <xf numFmtId="0" fontId="24" fillId="24" borderId="167" applyNumberFormat="0" applyAlignment="0" applyProtection="0"/>
    <xf numFmtId="0" fontId="49" fillId="10" borderId="193" applyNumberFormat="0" applyFont="0" applyAlignment="0" applyProtection="0"/>
    <xf numFmtId="0" fontId="31" fillId="0" borderId="183" applyNumberFormat="0" applyFill="0" applyAlignment="0" applyProtection="0"/>
    <xf numFmtId="0" fontId="8" fillId="10" borderId="175" applyNumberFormat="0" applyFont="0" applyAlignment="0" applyProtection="0"/>
    <xf numFmtId="0" fontId="18" fillId="10" borderId="117" applyNumberFormat="0" applyFont="0" applyAlignment="0" applyProtection="0"/>
    <xf numFmtId="0" fontId="31" fillId="0" borderId="121" applyNumberFormat="0" applyFill="0" applyAlignment="0" applyProtection="0"/>
    <xf numFmtId="0" fontId="31" fillId="0" borderId="121" applyNumberFormat="0" applyFill="0" applyAlignment="0" applyProtection="0"/>
    <xf numFmtId="0" fontId="24" fillId="24" borderId="167" applyNumberFormat="0" applyAlignment="0" applyProtection="0"/>
    <xf numFmtId="0" fontId="8" fillId="44" borderId="200" applyNumberFormat="0" applyFont="0" applyAlignment="0" applyProtection="0"/>
    <xf numFmtId="0" fontId="31" fillId="0" borderId="170" applyNumberFormat="0" applyFill="0" applyAlignment="0" applyProtection="0"/>
    <xf numFmtId="0" fontId="25" fillId="13" borderId="165" applyNumberFormat="0" applyAlignment="0" applyProtection="0"/>
    <xf numFmtId="0" fontId="31" fillId="0" borderId="164" applyNumberFormat="0" applyFill="0" applyAlignment="0" applyProtection="0"/>
    <xf numFmtId="0" fontId="29" fillId="24" borderId="168" applyNumberFormat="0" applyAlignment="0" applyProtection="0"/>
    <xf numFmtId="0" fontId="24" fillId="24" borderId="143" applyNumberFormat="0" applyAlignment="0" applyProtection="0"/>
    <xf numFmtId="0" fontId="16" fillId="24" borderId="151" applyNumberFormat="0" applyAlignment="0" applyProtection="0"/>
    <xf numFmtId="0" fontId="48" fillId="12" borderId="192" applyNumberFormat="0" applyAlignment="0" applyProtection="0"/>
    <xf numFmtId="0" fontId="31" fillId="0" borderId="163" applyNumberFormat="0" applyFill="0" applyAlignment="0" applyProtection="0"/>
    <xf numFmtId="0" fontId="25" fillId="8" borderId="141" applyNumberFormat="0" applyAlignment="0" applyProtection="0"/>
    <xf numFmtId="0" fontId="31" fillId="0" borderId="146" applyNumberFormat="0" applyFill="0" applyAlignment="0" applyProtection="0"/>
    <xf numFmtId="0" fontId="16" fillId="24" borderId="192" applyNumberFormat="0" applyAlignment="0" applyProtection="0"/>
    <xf numFmtId="0" fontId="31" fillId="0" borderId="164" applyNumberFormat="0" applyFill="0" applyAlignment="0" applyProtection="0"/>
    <xf numFmtId="0" fontId="31" fillId="0" borderId="190" applyNumberFormat="0" applyFill="0" applyAlignment="0" applyProtection="0"/>
    <xf numFmtId="0" fontId="41" fillId="13" borderId="192" applyNumberFormat="0" applyAlignment="0" applyProtection="0"/>
    <xf numFmtId="0" fontId="31" fillId="0" borderId="114" applyNumberFormat="0" applyFill="0" applyAlignment="0" applyProtection="0"/>
    <xf numFmtId="0" fontId="28" fillId="10" borderId="117" applyNumberFormat="0" applyFont="0" applyAlignment="0" applyProtection="0"/>
    <xf numFmtId="0" fontId="29" fillId="12" borderId="115" applyNumberFormat="0" applyAlignment="0" applyProtection="0"/>
    <xf numFmtId="0" fontId="31" fillId="0" borderId="164" applyNumberFormat="0" applyFill="0" applyAlignment="0" applyProtection="0"/>
    <xf numFmtId="0" fontId="31" fillId="0" borderId="88" applyNumberFormat="0" applyFill="0" applyAlignment="0" applyProtection="0"/>
    <xf numFmtId="0" fontId="8" fillId="10" borderId="83" applyNumberFormat="0" applyFon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49" fillId="10" borderId="83" applyNumberFormat="0" applyFont="0" applyAlignment="0" applyProtection="0"/>
    <xf numFmtId="0" fontId="31" fillId="0" borderId="90" applyNumberFormat="0" applyFill="0" applyAlignment="0" applyProtection="0"/>
    <xf numFmtId="0" fontId="29" fillId="12" borderId="89" applyNumberFormat="0" applyAlignment="0" applyProtection="0"/>
    <xf numFmtId="0" fontId="31" fillId="0" borderId="88" applyNumberFormat="0" applyFill="0" applyAlignment="0" applyProtection="0"/>
    <xf numFmtId="0" fontId="28" fillId="10" borderId="142" applyNumberFormat="0" applyFont="0" applyAlignment="0" applyProtection="0"/>
    <xf numFmtId="0" fontId="49" fillId="10" borderId="142" applyNumberFormat="0" applyFont="0" applyAlignment="0" applyProtection="0"/>
    <xf numFmtId="0" fontId="31" fillId="0" borderId="198" applyNumberFormat="0" applyFill="0" applyAlignment="0" applyProtection="0"/>
    <xf numFmtId="0" fontId="31" fillId="0" borderId="198" applyNumberFormat="0" applyFill="0" applyAlignment="0" applyProtection="0"/>
    <xf numFmtId="0" fontId="25" fillId="8" borderId="116" applyNumberFormat="0" applyAlignment="0" applyProtection="0"/>
    <xf numFmtId="0" fontId="28" fillId="0" borderId="122"/>
    <xf numFmtId="0" fontId="8" fillId="10" borderId="126" applyNumberFormat="0" applyFont="0" applyAlignment="0" applyProtection="0"/>
    <xf numFmtId="0" fontId="28" fillId="10" borderId="142" applyNumberFormat="0" applyFont="0" applyAlignment="0" applyProtection="0"/>
    <xf numFmtId="0" fontId="31" fillId="0" borderId="61" applyNumberFormat="0" applyFill="0" applyAlignment="0" applyProtection="0"/>
    <xf numFmtId="0" fontId="24" fillId="24" borderId="60" applyNumberFormat="0" applyAlignment="0" applyProtection="0"/>
    <xf numFmtId="0" fontId="28" fillId="10" borderId="59" applyNumberFormat="0" applyFont="0" applyAlignment="0" applyProtection="0"/>
    <xf numFmtId="0" fontId="49" fillId="10" borderId="59" applyNumberFormat="0" applyFont="0" applyAlignment="0" applyProtection="0"/>
    <xf numFmtId="0" fontId="28" fillId="10" borderId="59" applyNumberFormat="0" applyFont="0" applyAlignment="0" applyProtection="0"/>
    <xf numFmtId="0" fontId="28" fillId="10" borderId="59" applyNumberFormat="0" applyFont="0" applyAlignment="0" applyProtection="0"/>
    <xf numFmtId="0" fontId="18" fillId="10" borderId="59" applyNumberFormat="0" applyFont="0" applyAlignment="0" applyProtection="0"/>
    <xf numFmtId="0" fontId="31" fillId="0" borderId="119" applyNumberFormat="0" applyFill="0" applyAlignment="0" applyProtection="0"/>
    <xf numFmtId="0" fontId="31" fillId="0" borderId="198" applyNumberFormat="0" applyFill="0" applyAlignment="0" applyProtection="0"/>
    <xf numFmtId="0" fontId="28" fillId="0" borderId="80"/>
    <xf numFmtId="0" fontId="73" fillId="0" borderId="139" applyBorder="0">
      <alignment horizontal="center" vertical="center" wrapText="1"/>
    </xf>
    <xf numFmtId="0" fontId="49" fillId="10" borderId="117" applyNumberFormat="0" applyFont="0" applyAlignment="0" applyProtection="0"/>
    <xf numFmtId="0" fontId="16" fillId="24" borderId="132" applyNumberFormat="0" applyAlignment="0" applyProtection="0"/>
    <xf numFmtId="0" fontId="41" fillId="13" borderId="58" applyNumberFormat="0" applyAlignment="0" applyProtection="0"/>
    <xf numFmtId="0" fontId="25" fillId="13" borderId="58" applyNumberFormat="0" applyAlignment="0" applyProtection="0"/>
    <xf numFmtId="0" fontId="41" fillId="13" borderId="58" applyNumberFormat="0" applyAlignment="0" applyProtection="0"/>
    <xf numFmtId="0" fontId="48" fillId="24" borderId="165" applyNumberFormat="0" applyAlignment="0" applyProtection="0"/>
    <xf numFmtId="0" fontId="31" fillId="0" borderId="146" applyNumberFormat="0" applyFill="0" applyAlignment="0" applyProtection="0"/>
    <xf numFmtId="0" fontId="31" fillId="0" borderId="85" applyNumberFormat="0" applyFill="0" applyAlignment="0" applyProtection="0"/>
    <xf numFmtId="0" fontId="16" fillId="24" borderId="58" applyNumberFormat="0" applyAlignment="0" applyProtection="0"/>
    <xf numFmtId="0" fontId="48" fillId="24" borderId="58" applyNumberFormat="0" applyAlignment="0" applyProtection="0"/>
    <xf numFmtId="0" fontId="32" fillId="24" borderId="58" applyNumberFormat="0" applyAlignment="0" applyProtection="0"/>
    <xf numFmtId="0" fontId="16" fillId="24" borderId="165" applyNumberFormat="0" applyAlignment="0" applyProtection="0"/>
    <xf numFmtId="0" fontId="25" fillId="8" borderId="165" applyNumberFormat="0" applyAlignment="0" applyProtection="0"/>
    <xf numFmtId="0" fontId="48" fillId="24" borderId="141" applyNumberFormat="0" applyAlignment="0" applyProtection="0"/>
    <xf numFmtId="0" fontId="48" fillId="24" borderId="132" applyNumberFormat="0" applyAlignment="0" applyProtection="0"/>
    <xf numFmtId="0" fontId="31" fillId="0" borderId="170" applyNumberFormat="0" applyFill="0" applyAlignment="0" applyProtection="0"/>
    <xf numFmtId="0" fontId="31" fillId="0" borderId="53" applyNumberFormat="0" applyFill="0" applyAlignment="0" applyProtection="0"/>
    <xf numFmtId="0" fontId="29" fillId="12" borderId="54" applyNumberFormat="0" applyAlignment="0" applyProtection="0"/>
    <xf numFmtId="0" fontId="85" fillId="0" borderId="51"/>
    <xf numFmtId="0" fontId="8" fillId="10" borderId="48" applyNumberFormat="0" applyFont="0" applyAlignment="0" applyProtection="0"/>
    <xf numFmtId="0" fontId="31" fillId="0" borderId="53" applyNumberFormat="0" applyFill="0" applyAlignment="0" applyProtection="0"/>
    <xf numFmtId="0" fontId="29" fillId="12" borderId="54" applyNumberFormat="0" applyAlignment="0" applyProtection="0"/>
    <xf numFmtId="0" fontId="25" fillId="13" borderId="116" applyNumberFormat="0" applyAlignment="0" applyProtection="0"/>
    <xf numFmtId="0" fontId="85" fillId="0" borderId="51"/>
    <xf numFmtId="0" fontId="85" fillId="0" borderId="51"/>
    <xf numFmtId="0" fontId="28" fillId="0" borderId="51"/>
    <xf numFmtId="0" fontId="28" fillId="0" borderId="51"/>
    <xf numFmtId="0" fontId="8" fillId="44" borderId="57" applyNumberFormat="0" applyFon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31" fillId="0" borderId="50" applyNumberFormat="0" applyFill="0" applyAlignment="0" applyProtection="0"/>
    <xf numFmtId="0" fontId="31" fillId="0" borderId="55" applyNumberFormat="0" applyFill="0" applyAlignment="0" applyProtection="0"/>
    <xf numFmtId="0" fontId="28" fillId="10" borderId="48" applyNumberFormat="0" applyFon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28" fillId="10" borderId="166" applyNumberFormat="0" applyFont="0" applyAlignment="0" applyProtection="0"/>
    <xf numFmtId="0" fontId="48" fillId="24" borderId="116" applyNumberFormat="0" applyAlignment="0" applyProtection="0"/>
    <xf numFmtId="0" fontId="8" fillId="10" borderId="117" applyNumberFormat="0" applyFont="0" applyAlignment="0" applyProtection="0"/>
    <xf numFmtId="0" fontId="31" fillId="0" borderId="53" applyNumberFormat="0" applyFill="0" applyAlignment="0" applyProtection="0"/>
    <xf numFmtId="0" fontId="28" fillId="10" borderId="48" applyNumberFormat="0" applyFont="0" applyAlignment="0" applyProtection="0"/>
    <xf numFmtId="0" fontId="29" fillId="24" borderId="54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73" fillId="0" borderId="52" applyBorder="0">
      <alignment horizontal="center" vertical="center" wrapText="1"/>
    </xf>
    <xf numFmtId="0" fontId="85" fillId="0" borderId="51"/>
    <xf numFmtId="0" fontId="8" fillId="44" borderId="57" applyNumberFormat="0" applyFont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18" fillId="10" borderId="48" applyNumberFormat="0" applyFont="0" applyAlignment="0" applyProtection="0"/>
    <xf numFmtId="0" fontId="25" fillId="13" borderId="116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8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31" fillId="0" borderId="91" applyNumberFormat="0" applyFill="0" applyAlignment="0" applyProtection="0"/>
    <xf numFmtId="0" fontId="31" fillId="0" borderId="88" applyNumberFormat="0" applyFill="0" applyAlignment="0" applyProtection="0"/>
    <xf numFmtId="0" fontId="48" fillId="12" borderId="116" applyNumberForma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28" fillId="0" borderId="122"/>
    <xf numFmtId="0" fontId="31" fillId="0" borderId="53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8" fillId="44" borderId="123" applyNumberFormat="0" applyFont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31" fillId="0" borderId="114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48" fillId="12" borderId="116" applyNumberFormat="0" applyAlignment="0" applyProtection="0"/>
    <xf numFmtId="0" fontId="49" fillId="10" borderId="48" applyNumberFormat="0" applyFon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85" fillId="0" borderId="51"/>
    <xf numFmtId="0" fontId="85" fillId="0" borderId="51"/>
    <xf numFmtId="0" fontId="31" fillId="0" borderId="50" applyNumberFormat="0" applyFill="0" applyAlignment="0" applyProtection="0"/>
    <xf numFmtId="0" fontId="28" fillId="0" borderId="51"/>
    <xf numFmtId="0" fontId="8" fillId="44" borderId="57" applyNumberFormat="0" applyFont="0" applyAlignment="0" applyProtection="0"/>
    <xf numFmtId="0" fontId="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28" fillId="10" borderId="48" applyNumberFormat="0" applyFont="0" applyAlignment="0" applyProtection="0"/>
    <xf numFmtId="0" fontId="28" fillId="10" borderId="48" applyNumberFormat="0" applyFont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31" fillId="0" borderId="85" applyNumberFormat="0" applyFill="0" applyAlignment="0" applyProtection="0"/>
    <xf numFmtId="0" fontId="31" fillId="0" borderId="53" applyNumberFormat="0" applyFill="0" applyAlignment="0" applyProtection="0"/>
    <xf numFmtId="0" fontId="24" fillId="24" borderId="49" applyNumberFormat="0" applyAlignment="0" applyProtection="0"/>
    <xf numFmtId="0" fontId="49" fillId="10" borderId="48" applyNumberFormat="0" applyFon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29" fillId="12" borderId="54" applyNumberFormat="0" applyAlignment="0" applyProtection="0"/>
    <xf numFmtId="0" fontId="31" fillId="0" borderId="53" applyNumberFormat="0" applyFill="0" applyAlignment="0" applyProtection="0"/>
    <xf numFmtId="0" fontId="48" fillId="24" borderId="165" applyNumberFormat="0" applyAlignment="0" applyProtection="0"/>
    <xf numFmtId="0" fontId="85" fillId="0" borderId="51"/>
    <xf numFmtId="0" fontId="85" fillId="0" borderId="51"/>
    <xf numFmtId="0" fontId="73" fillId="0" borderId="107" applyBorder="0">
      <alignment horizontal="center" vertical="center" wrapText="1"/>
    </xf>
    <xf numFmtId="0" fontId="28" fillId="0" borderId="51"/>
    <xf numFmtId="0" fontId="28" fillId="0" borderId="51"/>
    <xf numFmtId="0" fontId="29" fillId="12" borderId="144" applyNumberFormat="0" applyAlignment="0" applyProtection="0"/>
    <xf numFmtId="0" fontId="48" fillId="12" borderId="192" applyNumberFormat="0" applyAlignment="0" applyProtection="0"/>
    <xf numFmtId="0" fontId="49" fillId="10" borderId="101" applyNumberFormat="0" applyFont="0" applyAlignment="0" applyProtection="0"/>
    <xf numFmtId="0" fontId="8" fillId="44" borderId="57" applyNumberFormat="0" applyFont="0" applyAlignment="0" applyProtection="0"/>
    <xf numFmtId="0" fontId="8" fillId="10" borderId="48" applyNumberFormat="0" applyFont="0" applyAlignment="0" applyProtection="0"/>
    <xf numFmtId="0" fontId="48" fillId="12" borderId="141" applyNumberFormat="0" applyAlignment="0" applyProtection="0"/>
    <xf numFmtId="0" fontId="29" fillId="12" borderId="144" applyNumberFormat="0" applyAlignment="0" applyProtection="0"/>
    <xf numFmtId="0" fontId="85" fillId="72" borderId="147"/>
    <xf numFmtId="0" fontId="48" fillId="24" borderId="141" applyNumberFormat="0" applyAlignment="0" applyProtection="0"/>
    <xf numFmtId="0" fontId="49" fillId="10" borderId="175" applyNumberFormat="0" applyFont="0" applyAlignment="0" applyProtection="0"/>
    <xf numFmtId="0" fontId="49" fillId="10" borderId="175" applyNumberFormat="0" applyFont="0" applyAlignment="0" applyProtection="0"/>
    <xf numFmtId="0" fontId="31" fillId="0" borderId="164" applyNumberFormat="0" applyFill="0" applyAlignment="0" applyProtection="0"/>
    <xf numFmtId="0" fontId="73" fillId="0" borderId="150" applyBorder="0">
      <alignment horizontal="center" vertical="center" wrapText="1"/>
    </xf>
    <xf numFmtId="0" fontId="85" fillId="0" borderId="178"/>
    <xf numFmtId="0" fontId="25" fillId="8" borderId="165" applyNumberFormat="0" applyAlignment="0" applyProtection="0"/>
    <xf numFmtId="0" fontId="73" fillId="0" borderId="162" applyBorder="0">
      <alignment horizontal="center" vertical="center" wrapText="1"/>
    </xf>
    <xf numFmtId="0" fontId="31" fillId="0" borderId="182" applyNumberFormat="0" applyFill="0" applyAlignment="0" applyProtection="0"/>
    <xf numFmtId="0" fontId="24" fillId="24" borderId="167" applyNumberFormat="0" applyAlignment="0" applyProtection="0"/>
    <xf numFmtId="0" fontId="25" fillId="8" borderId="165" applyNumberFormat="0" applyAlignment="0" applyProtection="0"/>
    <xf numFmtId="0" fontId="31" fillId="0" borderId="91" applyNumberFormat="0" applyFill="0" applyAlignment="0" applyProtection="0"/>
    <xf numFmtId="0" fontId="31" fillId="0" borderId="90" applyNumberFormat="0" applyFill="0" applyAlignment="0" applyProtection="0"/>
    <xf numFmtId="0" fontId="31" fillId="0" borderId="91" applyNumberFormat="0" applyFill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31" fillId="0" borderId="91" applyNumberFormat="0" applyFill="0" applyAlignment="0" applyProtection="0"/>
    <xf numFmtId="0" fontId="31" fillId="0" borderId="85" applyNumberFormat="0" applyFill="0" applyAlignment="0" applyProtection="0"/>
    <xf numFmtId="0" fontId="28" fillId="0" borderId="86"/>
    <xf numFmtId="0" fontId="28" fillId="0" borderId="86"/>
    <xf numFmtId="0" fontId="48" fillId="24" borderId="192" applyNumberFormat="0" applyAlignment="0" applyProtection="0"/>
    <xf numFmtId="0" fontId="8" fillId="44" borderId="123" applyNumberFormat="0" applyFont="0" applyAlignment="0" applyProtection="0"/>
    <xf numFmtId="0" fontId="28" fillId="10" borderId="74" applyNumberFormat="0" applyFont="0" applyAlignment="0" applyProtection="0"/>
    <xf numFmtId="0" fontId="28" fillId="10" borderId="74" applyNumberFormat="0" applyFont="0" applyAlignment="0" applyProtection="0"/>
    <xf numFmtId="0" fontId="8" fillId="10" borderId="101" applyNumberFormat="0" applyFont="0" applyAlignment="0" applyProtection="0"/>
    <xf numFmtId="0" fontId="29" fillId="24" borderId="89" applyNumberFormat="0" applyAlignment="0" applyProtection="0"/>
    <xf numFmtId="0" fontId="25" fillId="13" borderId="116" applyNumberFormat="0" applyAlignment="0" applyProtection="0"/>
    <xf numFmtId="0" fontId="31" fillId="0" borderId="106" applyNumberFormat="0" applyFill="0" applyAlignment="0" applyProtection="0"/>
    <xf numFmtId="0" fontId="31" fillId="0" borderId="195" applyNumberFormat="0" applyFill="0" applyAlignment="0" applyProtection="0"/>
    <xf numFmtId="0" fontId="31" fillId="0" borderId="183" applyNumberFormat="0" applyFill="0" applyAlignment="0" applyProtection="0"/>
    <xf numFmtId="0" fontId="8" fillId="10" borderId="166" applyNumberFormat="0" applyFont="0" applyAlignment="0" applyProtection="0"/>
    <xf numFmtId="0" fontId="48" fillId="12" borderId="192" applyNumberFormat="0" applyAlignment="0" applyProtection="0"/>
    <xf numFmtId="0" fontId="31" fillId="0" borderId="183" applyNumberFormat="0" applyFill="0" applyAlignment="0" applyProtection="0"/>
    <xf numFmtId="0" fontId="41" fillId="13" borderId="192" applyNumberFormat="0" applyAlignment="0" applyProtection="0"/>
    <xf numFmtId="0" fontId="32" fillId="24" borderId="192" applyNumberFormat="0" applyAlignment="0" applyProtection="0"/>
    <xf numFmtId="0" fontId="85" fillId="0" borderId="122"/>
    <xf numFmtId="0" fontId="28" fillId="10" borderId="117" applyNumberFormat="0" applyFont="0" applyAlignment="0" applyProtection="0"/>
    <xf numFmtId="0" fontId="85" fillId="72" borderId="147"/>
    <xf numFmtId="0" fontId="29" fillId="24" borderId="191" applyNumberFormat="0" applyAlignment="0" applyProtection="0"/>
    <xf numFmtId="0" fontId="41" fillId="13" borderId="158" applyNumberFormat="0" applyAlignment="0" applyProtection="0"/>
    <xf numFmtId="0" fontId="8" fillId="44" borderId="184" applyNumberFormat="0" applyFont="0" applyAlignment="0" applyProtection="0"/>
    <xf numFmtId="0" fontId="48" fillId="12" borderId="192" applyNumberFormat="0" applyAlignment="0" applyProtection="0"/>
    <xf numFmtId="0" fontId="28" fillId="10" borderId="175" applyNumberFormat="0" applyFont="0" applyAlignment="0" applyProtection="0"/>
    <xf numFmtId="0" fontId="31" fillId="0" borderId="96" applyNumberFormat="0" applyFill="0" applyAlignment="0" applyProtection="0"/>
    <xf numFmtId="0" fontId="24" fillId="24" borderId="95" applyNumberFormat="0" applyAlignment="0" applyProtection="0"/>
    <xf numFmtId="0" fontId="28" fillId="10" borderId="94" applyNumberFormat="0" applyFont="0" applyAlignment="0" applyProtection="0"/>
    <xf numFmtId="0" fontId="8" fillId="10" borderId="94" applyNumberFormat="0" applyFont="0" applyAlignment="0" applyProtection="0"/>
    <xf numFmtId="0" fontId="28" fillId="10" borderId="94" applyNumberFormat="0" applyFont="0" applyAlignment="0" applyProtection="0"/>
    <xf numFmtId="0" fontId="28" fillId="0" borderId="97"/>
    <xf numFmtId="0" fontId="29" fillId="12" borderId="191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9" fillId="24" borderId="168" applyNumberFormat="0" applyAlignment="0" applyProtection="0"/>
    <xf numFmtId="0" fontId="28" fillId="10" borderId="117" applyNumberFormat="0" applyFont="0" applyAlignment="0" applyProtection="0"/>
    <xf numFmtId="0" fontId="31" fillId="0" borderId="120" applyNumberFormat="0" applyFill="0" applyAlignment="0" applyProtection="0"/>
    <xf numFmtId="0" fontId="16" fillId="24" borderId="93" applyNumberFormat="0" applyAlignment="0" applyProtection="0"/>
    <xf numFmtId="0" fontId="28" fillId="10" borderId="175" applyNumberFormat="0" applyFont="0" applyAlignment="0" applyProtection="0"/>
    <xf numFmtId="0" fontId="31" fillId="0" borderId="121" applyNumberFormat="0" applyFill="0" applyAlignment="0" applyProtection="0"/>
    <xf numFmtId="0" fontId="31" fillId="0" borderId="88" applyNumberFormat="0" applyFill="0" applyAlignment="0" applyProtection="0"/>
    <xf numFmtId="0" fontId="16" fillId="24" borderId="158" applyNumberFormat="0" applyAlignment="0" applyProtection="0"/>
    <xf numFmtId="0" fontId="8" fillId="44" borderId="173" applyNumberFormat="0" applyFont="0" applyAlignment="0" applyProtection="0"/>
    <xf numFmtId="0" fontId="31" fillId="0" borderId="85" applyNumberFormat="0" applyFill="0" applyAlignment="0" applyProtection="0"/>
    <xf numFmtId="0" fontId="49" fillId="10" borderId="83" applyNumberFormat="0" applyFont="0" applyAlignment="0" applyProtection="0"/>
    <xf numFmtId="0" fontId="29" fillId="12" borderId="89" applyNumberFormat="0" applyAlignment="0" applyProtection="0"/>
    <xf numFmtId="0" fontId="85" fillId="0" borderId="86"/>
    <xf numFmtId="0" fontId="8" fillId="44" borderId="92" applyNumberFormat="0" applyFont="0" applyAlignment="0" applyProtection="0"/>
    <xf numFmtId="0" fontId="49" fillId="10" borderId="83" applyNumberFormat="0" applyFont="0" applyAlignment="0" applyProtection="0"/>
    <xf numFmtId="0" fontId="31" fillId="0" borderId="85" applyNumberFormat="0" applyFill="0" applyAlignment="0" applyProtection="0"/>
    <xf numFmtId="0" fontId="28" fillId="10" borderId="83" applyNumberFormat="0" applyFont="0" applyAlignment="0" applyProtection="0"/>
    <xf numFmtId="0" fontId="31" fillId="0" borderId="90" applyNumberFormat="0" applyFill="0" applyAlignment="0" applyProtection="0"/>
    <xf numFmtId="0" fontId="28" fillId="10" borderId="83" applyNumberFormat="0" applyFont="0" applyAlignment="0" applyProtection="0"/>
    <xf numFmtId="0" fontId="31" fillId="0" borderId="88" applyNumberFormat="0" applyFill="0" applyAlignment="0" applyProtection="0"/>
    <xf numFmtId="0" fontId="31" fillId="0" borderId="85" applyNumberFormat="0" applyFill="0" applyAlignment="0" applyProtection="0"/>
    <xf numFmtId="0" fontId="8" fillId="10" borderId="83" applyNumberFormat="0" applyFont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24" fillId="24" borderId="84" applyNumberFormat="0" applyAlignment="0" applyProtection="0"/>
    <xf numFmtId="0" fontId="24" fillId="24" borderId="84" applyNumberFormat="0" applyAlignment="0" applyProtection="0"/>
    <xf numFmtId="0" fontId="31" fillId="0" borderId="88" applyNumberFormat="0" applyFill="0" applyAlignment="0" applyProtection="0"/>
    <xf numFmtId="0" fontId="31" fillId="0" borderId="90" applyNumberFormat="0" applyFill="0" applyAlignment="0" applyProtection="0"/>
    <xf numFmtId="0" fontId="24" fillId="24" borderId="84" applyNumberFormat="0" applyAlignment="0" applyProtection="0"/>
    <xf numFmtId="0" fontId="48" fillId="12" borderId="165" applyNumberFormat="0" applyAlignment="0" applyProtection="0"/>
    <xf numFmtId="0" fontId="24" fillId="24" borderId="160" applyNumberFormat="0" applyAlignment="0" applyProtection="0"/>
    <xf numFmtId="0" fontId="31" fillId="0" borderId="120" applyNumberFormat="0" applyFill="0" applyAlignment="0" applyProtection="0"/>
    <xf numFmtId="0" fontId="31" fillId="0" borderId="198" applyNumberFormat="0" applyFill="0" applyAlignment="0" applyProtection="0"/>
    <xf numFmtId="0" fontId="31" fillId="0" borderId="164" applyNumberFormat="0" applyFill="0" applyAlignment="0" applyProtection="0"/>
    <xf numFmtId="0" fontId="49" fillId="10" borderId="193" applyNumberFormat="0" applyFont="0" applyAlignment="0" applyProtection="0"/>
    <xf numFmtId="0" fontId="31" fillId="0" borderId="198" applyNumberFormat="0" applyFill="0" applyAlignment="0" applyProtection="0"/>
    <xf numFmtId="0" fontId="31" fillId="0" borderId="183" applyNumberFormat="0" applyFill="0" applyAlignment="0" applyProtection="0"/>
    <xf numFmtId="0" fontId="41" fillId="13" borderId="192" applyNumberFormat="0" applyAlignment="0" applyProtection="0"/>
    <xf numFmtId="0" fontId="25" fillId="8" borderId="141" applyNumberFormat="0" applyAlignment="0" applyProtection="0"/>
    <xf numFmtId="0" fontId="41" fillId="13" borderId="141" applyNumberFormat="0" applyAlignment="0" applyProtection="0"/>
    <xf numFmtId="0" fontId="48" fillId="12" borderId="141" applyNumberFormat="0" applyAlignment="0" applyProtection="0"/>
    <xf numFmtId="0" fontId="49" fillId="10" borderId="193" applyNumberFormat="0" applyFont="0" applyAlignment="0" applyProtection="0"/>
    <xf numFmtId="0" fontId="24" fillId="24" borderId="160" applyNumberFormat="0" applyAlignment="0" applyProtection="0"/>
    <xf numFmtId="0" fontId="31" fillId="0" borderId="88" applyNumberFormat="0" applyFill="0" applyAlignment="0" applyProtection="0"/>
    <xf numFmtId="0" fontId="8" fillId="10" borderId="83" applyNumberFormat="0" applyFont="0" applyAlignment="0" applyProtection="0"/>
    <xf numFmtId="0" fontId="31" fillId="0" borderId="169" applyNumberFormat="0" applyFill="0" applyAlignment="0" applyProtection="0"/>
    <xf numFmtId="0" fontId="31" fillId="0" borderId="183" applyNumberFormat="0" applyFill="0" applyAlignment="0" applyProtection="0"/>
    <xf numFmtId="0" fontId="31" fillId="0" borderId="183" applyNumberFormat="0" applyFill="0" applyAlignment="0" applyProtection="0"/>
    <xf numFmtId="0" fontId="31" fillId="0" borderId="114" applyNumberFormat="0" applyFill="0" applyAlignment="0" applyProtection="0"/>
    <xf numFmtId="0" fontId="29" fillId="12" borderId="115" applyNumberFormat="0" applyAlignment="0" applyProtection="0"/>
    <xf numFmtId="0" fontId="31" fillId="0" borderId="105" applyNumberFormat="0" applyFill="0" applyAlignment="0" applyProtection="0"/>
    <xf numFmtId="0" fontId="29" fillId="24" borderId="54" applyNumberFormat="0" applyAlignment="0" applyProtection="0"/>
    <xf numFmtId="0" fontId="28" fillId="10" borderId="48" applyNumberFormat="0" applyFont="0" applyAlignment="0" applyProtection="0"/>
    <xf numFmtId="0" fontId="28" fillId="10" borderId="48" applyNumberFormat="0" applyFont="0" applyAlignment="0" applyProtection="0"/>
    <xf numFmtId="0" fontId="49" fillId="10" borderId="83" applyNumberFormat="0" applyFont="0" applyAlignment="0" applyProtection="0"/>
    <xf numFmtId="0" fontId="28" fillId="10" borderId="142" applyNumberFormat="0" applyFont="0" applyAlignment="0" applyProtection="0"/>
    <xf numFmtId="0" fontId="31" fillId="0" borderId="164" applyNumberFormat="0" applyFill="0" applyAlignment="0" applyProtection="0"/>
    <xf numFmtId="0" fontId="85" fillId="0" borderId="147"/>
    <xf numFmtId="0" fontId="25" fillId="13" borderId="65" applyNumberFormat="0" applyAlignment="0" applyProtection="0"/>
    <xf numFmtId="0" fontId="48" fillId="24" borderId="100" applyNumberFormat="0" applyAlignment="0" applyProtection="0"/>
    <xf numFmtId="0" fontId="29" fillId="24" borderId="54" applyNumberFormat="0" applyAlignment="0" applyProtection="0"/>
    <xf numFmtId="0" fontId="16" fillId="24" borderId="151" applyNumberFormat="0" applyAlignment="0" applyProtection="0"/>
    <xf numFmtId="0" fontId="8" fillId="44" borderId="108" applyNumberFormat="0" applyFont="0" applyAlignment="0" applyProtection="0"/>
    <xf numFmtId="0" fontId="48" fillId="12" borderId="192" applyNumberFormat="0" applyAlignment="0" applyProtection="0"/>
    <xf numFmtId="0" fontId="48" fillId="24" borderId="73" applyNumberFormat="0" applyAlignment="0" applyProtection="0"/>
    <xf numFmtId="0" fontId="25" fillId="13" borderId="100" applyNumberFormat="0" applyAlignment="0" applyProtection="0"/>
    <xf numFmtId="0" fontId="31" fillId="0" borderId="163" applyNumberFormat="0" applyFill="0" applyAlignment="0" applyProtection="0"/>
    <xf numFmtId="0" fontId="48" fillId="12" borderId="165" applyNumberFormat="0" applyAlignment="0" applyProtection="0"/>
    <xf numFmtId="0" fontId="16" fillId="24" borderId="201" applyNumberFormat="0" applyAlignment="0" applyProtection="0"/>
    <xf numFmtId="0" fontId="28" fillId="0" borderId="80"/>
    <xf numFmtId="0" fontId="85" fillId="0" borderId="80"/>
    <xf numFmtId="0" fontId="31" fillId="0" borderId="72" applyNumberFormat="0" applyFill="0" applyAlignment="0" applyProtection="0"/>
    <xf numFmtId="0" fontId="8" fillId="10" borderId="74" applyNumberFormat="0" applyFon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31" fillId="0" borderId="71" applyNumberFormat="0" applyFill="0" applyAlignment="0" applyProtection="0"/>
    <xf numFmtId="0" fontId="31" fillId="0" borderId="72" applyNumberFormat="0" applyFill="0" applyAlignment="0" applyProtection="0"/>
    <xf numFmtId="0" fontId="25" fillId="13" borderId="165" applyNumberFormat="0" applyAlignment="0" applyProtection="0"/>
    <xf numFmtId="0" fontId="8" fillId="10" borderId="142" applyNumberFormat="0" applyFont="0" applyAlignment="0" applyProtection="0"/>
    <xf numFmtId="0" fontId="85" fillId="0" borderId="122"/>
    <xf numFmtId="0" fontId="28" fillId="0" borderId="122"/>
    <xf numFmtId="0" fontId="73" fillId="0" borderId="52" applyBorder="0">
      <alignment horizontal="center" vertical="center" wrapText="1"/>
    </xf>
    <xf numFmtId="0" fontId="29" fillId="24" borderId="89" applyNumberFormat="0" applyAlignment="0" applyProtection="0"/>
    <xf numFmtId="0" fontId="8" fillId="10" borderId="83" applyNumberFormat="0" applyFont="0" applyAlignment="0" applyProtection="0"/>
    <xf numFmtId="0" fontId="31" fillId="0" borderId="91" applyNumberFormat="0" applyFill="0" applyAlignment="0" applyProtection="0"/>
    <xf numFmtId="0" fontId="28" fillId="10" borderId="193" applyNumberFormat="0" applyFont="0" applyAlignment="0" applyProtection="0"/>
    <xf numFmtId="0" fontId="31" fillId="0" borderId="149" applyNumberFormat="0" applyFill="0" applyAlignment="0" applyProtection="0"/>
    <xf numFmtId="0" fontId="25" fillId="13" borderId="141" applyNumberFormat="0" applyAlignment="0" applyProtection="0"/>
    <xf numFmtId="0" fontId="49" fillId="10" borderId="117" applyNumberFormat="0" applyFont="0" applyAlignment="0" applyProtection="0"/>
    <xf numFmtId="0" fontId="48" fillId="24" borderId="192" applyNumberFormat="0" applyAlignment="0" applyProtection="0"/>
    <xf numFmtId="0" fontId="18" fillId="10" borderId="193" applyNumberFormat="0" applyFont="0" applyAlignment="0" applyProtection="0"/>
    <xf numFmtId="0" fontId="31" fillId="0" borderId="146" applyNumberFormat="0" applyFill="0" applyAlignment="0" applyProtection="0"/>
    <xf numFmtId="0" fontId="29" fillId="24" borderId="168" applyNumberFormat="0" applyAlignment="0" applyProtection="0"/>
    <xf numFmtId="0" fontId="29" fillId="24" borderId="168" applyNumberFormat="0" applyAlignment="0" applyProtection="0"/>
    <xf numFmtId="0" fontId="31" fillId="0" borderId="146" applyNumberFormat="0" applyFill="0" applyAlignment="0" applyProtection="0"/>
    <xf numFmtId="0" fontId="24" fillId="24" borderId="143" applyNumberFormat="0" applyAlignment="0" applyProtection="0"/>
    <xf numFmtId="0" fontId="8" fillId="10" borderId="101" applyNumberFormat="0" applyFont="0" applyAlignment="0" applyProtection="0"/>
    <xf numFmtId="0" fontId="29" fillId="24" borderId="99" applyNumberFormat="0" applyAlignment="0" applyProtection="0"/>
    <xf numFmtId="0" fontId="31" fillId="0" borderId="195" applyNumberFormat="0" applyFill="0" applyAlignment="0" applyProtection="0"/>
    <xf numFmtId="0" fontId="31" fillId="0" borderId="156" applyNumberFormat="0" applyFill="0" applyAlignment="0" applyProtection="0"/>
    <xf numFmtId="0" fontId="31" fillId="0" borderId="197" applyNumberFormat="0" applyFill="0" applyAlignment="0" applyProtection="0"/>
    <xf numFmtId="0" fontId="29" fillId="24" borderId="191" applyNumberFormat="0" applyAlignment="0" applyProtection="0"/>
    <xf numFmtId="0" fontId="31" fillId="0" borderId="156" applyNumberFormat="0" applyFill="0" applyAlignment="0" applyProtection="0"/>
    <xf numFmtId="0" fontId="31" fillId="0" borderId="198" applyNumberFormat="0" applyFill="0" applyAlignment="0" applyProtection="0"/>
    <xf numFmtId="0" fontId="28" fillId="0" borderId="86"/>
    <xf numFmtId="0" fontId="85" fillId="0" borderId="86"/>
    <xf numFmtId="0" fontId="29" fillId="12" borderId="89" applyNumberForma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28" fillId="10" borderId="83" applyNumberFormat="0" applyFont="0" applyAlignment="0" applyProtection="0"/>
    <xf numFmtId="0" fontId="29" fillId="12" borderId="89" applyNumberFormat="0" applyAlignment="0" applyProtection="0"/>
    <xf numFmtId="0" fontId="31" fillId="0" borderId="88" applyNumberFormat="0" applyFill="0" applyAlignment="0" applyProtection="0"/>
    <xf numFmtId="0" fontId="8" fillId="44" borderId="92" applyNumberFormat="0" applyFont="0" applyAlignment="0" applyProtection="0"/>
    <xf numFmtId="0" fontId="28" fillId="10" borderId="101" applyNumberFormat="0" applyFont="0" applyAlignment="0" applyProtection="0"/>
    <xf numFmtId="0" fontId="29" fillId="12" borderId="191" applyNumberFormat="0" applyAlignment="0" applyProtection="0"/>
    <xf numFmtId="0" fontId="16" fillId="24" borderId="125" applyNumberFormat="0" applyAlignment="0" applyProtection="0"/>
    <xf numFmtId="0" fontId="29" fillId="12" borderId="115" applyNumberFormat="0" applyAlignment="0" applyProtection="0"/>
    <xf numFmtId="0" fontId="73" fillId="0" borderId="52" applyBorder="0">
      <alignment horizontal="center" vertical="center" wrapText="1"/>
    </xf>
    <xf numFmtId="0" fontId="28" fillId="10" borderId="166" applyNumberFormat="0" applyFont="0" applyAlignment="0" applyProtection="0"/>
    <xf numFmtId="0" fontId="85" fillId="0" borderId="178"/>
    <xf numFmtId="0" fontId="31" fillId="0" borderId="121" applyNumberFormat="0" applyFill="0" applyAlignment="0" applyProtection="0"/>
    <xf numFmtId="0" fontId="16" fillId="24" borderId="192" applyNumberFormat="0" applyAlignment="0" applyProtection="0"/>
    <xf numFmtId="0" fontId="29" fillId="12" borderId="191" applyNumberFormat="0" applyAlignment="0" applyProtection="0"/>
    <xf numFmtId="0" fontId="31" fillId="0" borderId="146" applyNumberFormat="0" applyFill="0" applyAlignment="0" applyProtection="0"/>
    <xf numFmtId="0" fontId="25" fillId="13" borderId="141" applyNumberFormat="0" applyAlignment="0" applyProtection="0"/>
    <xf numFmtId="0" fontId="28" fillId="10" borderId="166" applyNumberFormat="0" applyFont="0" applyAlignment="0" applyProtection="0"/>
    <xf numFmtId="0" fontId="25" fillId="13" borderId="151" applyNumberFormat="0" applyAlignment="0" applyProtection="0"/>
    <xf numFmtId="0" fontId="8" fillId="10" borderId="101" applyNumberFormat="0" applyFont="0" applyAlignment="0" applyProtection="0"/>
    <xf numFmtId="0" fontId="24" fillId="24" borderId="160" applyNumberFormat="0" applyAlignment="0" applyProtection="0"/>
    <xf numFmtId="0" fontId="28" fillId="10" borderId="186" applyNumberFormat="0" applyFont="0" applyAlignment="0" applyProtection="0"/>
    <xf numFmtId="0" fontId="31" fillId="0" borderId="120" applyNumberFormat="0" applyFill="0" applyAlignment="0" applyProtection="0"/>
    <xf numFmtId="0" fontId="16" fillId="24" borderId="165" applyNumberFormat="0" applyAlignment="0" applyProtection="0"/>
    <xf numFmtId="0" fontId="28" fillId="10" borderId="126" applyNumberFormat="0" applyFont="0" applyAlignment="0" applyProtection="0"/>
    <xf numFmtId="0" fontId="31" fillId="0" borderId="120" applyNumberFormat="0" applyFill="0" applyAlignment="0" applyProtection="0"/>
    <xf numFmtId="0" fontId="8" fillId="10" borderId="101" applyNumberFormat="0" applyFont="0" applyAlignment="0" applyProtection="0"/>
    <xf numFmtId="0" fontId="48" fillId="12" borderId="73" applyNumberFormat="0" applyAlignment="0" applyProtection="0"/>
    <xf numFmtId="0" fontId="31" fillId="0" borderId="140" applyNumberFormat="0" applyFill="0" applyAlignment="0" applyProtection="0"/>
    <xf numFmtId="0" fontId="49" fillId="10" borderId="83" applyNumberFormat="0" applyFont="0" applyAlignment="0" applyProtection="0"/>
    <xf numFmtId="0" fontId="31" fillId="0" borderId="183" applyNumberFormat="0" applyFill="0" applyAlignment="0" applyProtection="0"/>
    <xf numFmtId="0" fontId="32" fillId="24" borderId="100" applyNumberFormat="0" applyAlignment="0" applyProtection="0"/>
    <xf numFmtId="0" fontId="28" fillId="0" borderId="189"/>
    <xf numFmtId="0" fontId="31" fillId="0" borderId="71" applyNumberFormat="0" applyFill="0" applyAlignment="0" applyProtection="0"/>
    <xf numFmtId="0" fontId="25" fillId="13" borderId="100" applyNumberFormat="0" applyAlignment="0" applyProtection="0"/>
    <xf numFmtId="0" fontId="28" fillId="10" borderId="117" applyNumberFormat="0" applyFont="0" applyAlignment="0" applyProtection="0"/>
    <xf numFmtId="0" fontId="28" fillId="0" borderId="172"/>
    <xf numFmtId="0" fontId="49" fillId="10" borderId="117" applyNumberFormat="0" applyFont="0" applyAlignment="0" applyProtection="0"/>
    <xf numFmtId="0" fontId="18" fillId="10" borderId="142" applyNumberFormat="0" applyFont="0" applyAlignment="0" applyProtection="0"/>
    <xf numFmtId="0" fontId="49" fillId="10" borderId="186" applyNumberFormat="0" applyFont="0" applyAlignment="0" applyProtection="0"/>
    <xf numFmtId="0" fontId="31" fillId="0" borderId="182" applyNumberFormat="0" applyFill="0" applyAlignment="0" applyProtection="0"/>
    <xf numFmtId="0" fontId="8" fillId="10" borderId="83" applyNumberFormat="0" applyFont="0" applyAlignment="0" applyProtection="0"/>
    <xf numFmtId="0" fontId="16" fillId="24" borderId="192" applyNumberFormat="0" applyAlignment="0" applyProtection="0"/>
    <xf numFmtId="0" fontId="31" fillId="0" borderId="91" applyNumberFormat="0" applyFill="0" applyAlignment="0" applyProtection="0"/>
    <xf numFmtId="0" fontId="8" fillId="10" borderId="175" applyNumberFormat="0" applyFont="0" applyAlignment="0" applyProtection="0"/>
    <xf numFmtId="0" fontId="29" fillId="12" borderId="168" applyNumberFormat="0" applyAlignment="0" applyProtection="0"/>
    <xf numFmtId="0" fontId="18" fillId="10" borderId="110" applyNumberFormat="0" applyFont="0" applyAlignment="0" applyProtection="0"/>
    <xf numFmtId="0" fontId="29" fillId="24" borderId="144" applyNumberFormat="0" applyAlignment="0" applyProtection="0"/>
    <xf numFmtId="0" fontId="48" fillId="12" borderId="192" applyNumberFormat="0" applyAlignment="0" applyProtection="0"/>
    <xf numFmtId="0" fontId="16" fillId="24" borderId="100" applyNumberFormat="0" applyAlignment="0" applyProtection="0"/>
    <xf numFmtId="0" fontId="31" fillId="0" borderId="121" applyNumberFormat="0" applyFill="0" applyAlignment="0" applyProtection="0"/>
    <xf numFmtId="0" fontId="73" fillId="0" borderId="79" applyBorder="0">
      <alignment horizontal="center" vertical="center" wrapText="1"/>
    </xf>
    <xf numFmtId="0" fontId="48" fillId="24" borderId="192" applyNumberFormat="0" applyAlignment="0" applyProtection="0"/>
    <xf numFmtId="0" fontId="49" fillId="10" borderId="74" applyNumberFormat="0" applyFont="0" applyAlignment="0" applyProtection="0"/>
    <xf numFmtId="0" fontId="48" fillId="12" borderId="73" applyNumberFormat="0" applyAlignment="0" applyProtection="0"/>
    <xf numFmtId="0" fontId="85" fillId="72" borderId="80"/>
    <xf numFmtId="0" fontId="31" fillId="0" borderId="77" applyNumberFormat="0" applyFill="0" applyAlignment="0" applyProtection="0"/>
    <xf numFmtId="0" fontId="31" fillId="0" borderId="146" applyNumberFormat="0" applyFill="0" applyAlignment="0" applyProtection="0"/>
    <xf numFmtId="0" fontId="25" fillId="13" borderId="125" applyNumberFormat="0" applyAlignment="0" applyProtection="0"/>
    <xf numFmtId="0" fontId="49" fillId="10" borderId="74" applyNumberFormat="0" applyFont="0" applyAlignment="0" applyProtection="0"/>
    <xf numFmtId="0" fontId="16" fillId="24" borderId="73" applyNumberFormat="0" applyAlignment="0" applyProtection="0"/>
    <xf numFmtId="0" fontId="28" fillId="10" borderId="74" applyNumberFormat="0" applyFont="0" applyAlignment="0" applyProtection="0"/>
    <xf numFmtId="0" fontId="31" fillId="0" borderId="72" applyNumberFormat="0" applyFill="0" applyAlignment="0" applyProtection="0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24" fillId="24" borderId="102" applyNumberFormat="0" applyAlignment="0" applyProtection="0"/>
    <xf numFmtId="0" fontId="25" fillId="8" borderId="100" applyNumberFormat="0" applyAlignment="0" applyProtection="0"/>
    <xf numFmtId="0" fontId="31" fillId="0" borderId="103" applyNumberFormat="0" applyFill="0" applyAlignment="0" applyProtection="0"/>
    <xf numFmtId="0" fontId="31" fillId="0" borderId="103" applyNumberFormat="0" applyFill="0" applyAlignment="0" applyProtection="0"/>
    <xf numFmtId="0" fontId="85" fillId="0" borderId="97"/>
    <xf numFmtId="0" fontId="49" fillId="10" borderId="175" applyNumberFormat="0" applyFont="0" applyAlignment="0" applyProtection="0"/>
    <xf numFmtId="0" fontId="25" fillId="13" borderId="109" applyNumberFormat="0" applyAlignment="0" applyProtection="0"/>
    <xf numFmtId="0" fontId="31" fillId="0" borderId="197" applyNumberFormat="0" applyFill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41" fillId="13" borderId="141" applyNumberFormat="0" applyAlignment="0" applyProtection="0"/>
    <xf numFmtId="0" fontId="31" fillId="0" borderId="195" applyNumberFormat="0" applyFill="0" applyAlignment="0" applyProtection="0"/>
    <xf numFmtId="0" fontId="18" fillId="10" borderId="193" applyNumberFormat="0" applyFont="0" applyAlignment="0" applyProtection="0"/>
    <xf numFmtId="0" fontId="8" fillId="10" borderId="166" applyNumberFormat="0" applyFont="0" applyAlignment="0" applyProtection="0"/>
    <xf numFmtId="0" fontId="8" fillId="10" borderId="74" applyNumberFormat="0" applyFont="0" applyAlignment="0" applyProtection="0"/>
    <xf numFmtId="0" fontId="24" fillId="24" borderId="118" applyNumberFormat="0" applyAlignment="0" applyProtection="0"/>
    <xf numFmtId="0" fontId="31" fillId="0" borderId="78" applyNumberFormat="0" applyFill="0" applyAlignment="0" applyProtection="0"/>
    <xf numFmtId="0" fontId="31" fillId="0" borderId="71" applyNumberFormat="0" applyFill="0" applyAlignment="0" applyProtection="0"/>
    <xf numFmtId="0" fontId="48" fillId="24" borderId="73" applyNumberFormat="0" applyAlignment="0" applyProtection="0"/>
    <xf numFmtId="0" fontId="31" fillId="0" borderId="78" applyNumberFormat="0" applyFill="0" applyAlignment="0" applyProtection="0"/>
    <xf numFmtId="0" fontId="25" fillId="13" borderId="73" applyNumberFormat="0" applyAlignment="0" applyProtection="0"/>
    <xf numFmtId="0" fontId="28" fillId="10" borderId="74" applyNumberFormat="0" applyFont="0" applyAlignment="0" applyProtection="0"/>
    <xf numFmtId="0" fontId="31" fillId="0" borderId="72" applyNumberFormat="0" applyFill="0" applyAlignment="0" applyProtection="0"/>
    <xf numFmtId="0" fontId="25" fillId="8" borderId="73" applyNumberFormat="0" applyAlignment="0" applyProtection="0"/>
    <xf numFmtId="0" fontId="28" fillId="0" borderId="80"/>
    <xf numFmtId="0" fontId="48" fillId="24" borderId="73" applyNumberFormat="0" applyAlignment="0" applyProtection="0"/>
    <xf numFmtId="0" fontId="31" fillId="0" borderId="78" applyNumberFormat="0" applyFill="0" applyAlignment="0" applyProtection="0"/>
    <xf numFmtId="0" fontId="29" fillId="24" borderId="76" applyNumberFormat="0" applyAlignment="0" applyProtection="0"/>
    <xf numFmtId="0" fontId="48" fillId="24" borderId="73" applyNumberFormat="0" applyAlignment="0" applyProtection="0"/>
    <xf numFmtId="0" fontId="49" fillId="10" borderId="74" applyNumberFormat="0" applyFont="0" applyAlignment="0" applyProtection="0"/>
    <xf numFmtId="0" fontId="31" fillId="0" borderId="78" applyNumberFormat="0" applyFill="0" applyAlignment="0" applyProtection="0"/>
    <xf numFmtId="0" fontId="28" fillId="10" borderId="74" applyNumberFormat="0" applyFont="0" applyAlignment="0" applyProtection="0"/>
    <xf numFmtId="0" fontId="16" fillId="24" borderId="73" applyNumberFormat="0" applyAlignment="0" applyProtection="0"/>
    <xf numFmtId="0" fontId="28" fillId="10" borderId="74" applyNumberFormat="0" applyFont="0" applyAlignment="0" applyProtection="0"/>
    <xf numFmtId="0" fontId="31" fillId="0" borderId="77" applyNumberFormat="0" applyFill="0" applyAlignment="0" applyProtection="0"/>
    <xf numFmtId="0" fontId="28" fillId="0" borderId="80"/>
    <xf numFmtId="0" fontId="29" fillId="24" borderId="76" applyNumberFormat="0" applyAlignment="0" applyProtection="0"/>
    <xf numFmtId="0" fontId="73" fillId="0" borderId="70" applyBorder="0">
      <alignment horizontal="center" vertical="center" wrapText="1"/>
    </xf>
    <xf numFmtId="0" fontId="48" fillId="24" borderId="73" applyNumberFormat="0" applyAlignment="0" applyProtection="0"/>
    <xf numFmtId="0" fontId="29" fillId="12" borderId="76" applyNumberFormat="0" applyAlignment="0" applyProtection="0"/>
    <xf numFmtId="0" fontId="85" fillId="0" borderId="80"/>
    <xf numFmtId="0" fontId="8" fillId="10" borderId="74" applyNumberFormat="0" applyFont="0" applyAlignment="0" applyProtection="0"/>
    <xf numFmtId="0" fontId="85" fillId="0" borderId="80"/>
    <xf numFmtId="0" fontId="8" fillId="44" borderId="184" applyNumberFormat="0" applyFont="0" applyAlignment="0" applyProtection="0"/>
    <xf numFmtId="0" fontId="18" fillId="10" borderId="175" applyNumberFormat="0" applyFont="0" applyAlignment="0" applyProtection="0"/>
    <xf numFmtId="0" fontId="18" fillId="10" borderId="83" applyNumberFormat="0" applyFont="0" applyAlignment="0" applyProtection="0"/>
    <xf numFmtId="0" fontId="16" fillId="24" borderId="100" applyNumberFormat="0" applyAlignment="0" applyProtection="0"/>
    <xf numFmtId="0" fontId="31" fillId="0" borderId="106" applyNumberFormat="0" applyFill="0" applyAlignment="0" applyProtection="0"/>
    <xf numFmtId="0" fontId="29" fillId="12" borderId="99" applyNumberFormat="0" applyAlignment="0" applyProtection="0"/>
    <xf numFmtId="0" fontId="85" fillId="0" borderId="97"/>
    <xf numFmtId="0" fontId="85" fillId="0" borderId="178"/>
    <xf numFmtId="0" fontId="18" fillId="10" borderId="142" applyNumberFormat="0" applyFont="0" applyAlignment="0" applyProtection="0"/>
    <xf numFmtId="0" fontId="85" fillId="0" borderId="178"/>
    <xf numFmtId="0" fontId="31" fillId="0" borderId="121" applyNumberFormat="0" applyFill="0" applyAlignment="0" applyProtection="0"/>
    <xf numFmtId="0" fontId="8" fillId="10" borderId="166" applyNumberFormat="0" applyFont="0" applyAlignment="0" applyProtection="0"/>
    <xf numFmtId="0" fontId="41" fillId="13" borderId="141" applyNumberFormat="0" applyAlignment="0" applyProtection="0"/>
    <xf numFmtId="0" fontId="25" fillId="8" borderId="165" applyNumberFormat="0" applyAlignment="0" applyProtection="0"/>
    <xf numFmtId="0" fontId="8" fillId="10" borderId="142" applyNumberFormat="0" applyFont="0" applyAlignment="0" applyProtection="0"/>
    <xf numFmtId="0" fontId="16" fillId="24" borderId="192" applyNumberFormat="0" applyAlignment="0" applyProtection="0"/>
    <xf numFmtId="0" fontId="31" fillId="0" borderId="195" applyNumberFormat="0" applyFill="0" applyAlignment="0" applyProtection="0"/>
    <xf numFmtId="0" fontId="41" fillId="13" borderId="116" applyNumberFormat="0" applyAlignment="0" applyProtection="0"/>
    <xf numFmtId="0" fontId="73" fillId="0" borderId="139" applyBorder="0">
      <alignment horizontal="center" vertical="center" wrapText="1"/>
    </xf>
    <xf numFmtId="0" fontId="8" fillId="10" borderId="117" applyNumberFormat="0" applyFont="0" applyAlignment="0" applyProtection="0"/>
    <xf numFmtId="0" fontId="31" fillId="0" borderId="188" applyNumberFormat="0" applyFill="0" applyAlignment="0" applyProtection="0"/>
    <xf numFmtId="0" fontId="31" fillId="0" borderId="164" applyNumberFormat="0" applyFill="0" applyAlignment="0" applyProtection="0"/>
    <xf numFmtId="0" fontId="85" fillId="0" borderId="147"/>
    <xf numFmtId="0" fontId="24" fillId="24" borderId="153" applyNumberFormat="0" applyAlignment="0" applyProtection="0"/>
    <xf numFmtId="0" fontId="29" fillId="24" borderId="115" applyNumberFormat="0" applyAlignment="0" applyProtection="0"/>
    <xf numFmtId="0" fontId="48" fillId="24" borderId="141" applyNumberFormat="0" applyAlignment="0" applyProtection="0"/>
    <xf numFmtId="0" fontId="49" fillId="10" borderId="166" applyNumberFormat="0" applyFont="0" applyAlignment="0" applyProtection="0"/>
    <xf numFmtId="0" fontId="29" fillId="24" borderId="99" applyNumberFormat="0" applyAlignment="0" applyProtection="0"/>
    <xf numFmtId="0" fontId="29" fillId="24" borderId="99" applyNumberFormat="0" applyAlignment="0" applyProtection="0"/>
    <xf numFmtId="0" fontId="73" fillId="0" borderId="107" applyBorder="0">
      <alignment horizontal="center" vertical="center" wrapText="1"/>
    </xf>
    <xf numFmtId="0" fontId="31" fillId="0" borderId="105" applyNumberFormat="0" applyFill="0" applyAlignment="0" applyProtection="0"/>
    <xf numFmtId="0" fontId="32" fillId="24" borderId="100" applyNumberFormat="0" applyAlignment="0" applyProtection="0"/>
    <xf numFmtId="0" fontId="31" fillId="0" borderId="106" applyNumberFormat="0" applyFill="0" applyAlignment="0" applyProtection="0"/>
    <xf numFmtId="0" fontId="25" fillId="13" borderId="141" applyNumberFormat="0" applyAlignment="0" applyProtection="0"/>
    <xf numFmtId="0" fontId="49" fillId="10" borderId="142" applyNumberFormat="0" applyFont="0" applyAlignment="0" applyProtection="0"/>
    <xf numFmtId="0" fontId="31" fillId="0" borderId="163" applyNumberFormat="0" applyFill="0" applyAlignment="0" applyProtection="0"/>
    <xf numFmtId="0" fontId="16" fillId="24" borderId="192" applyNumberFormat="0" applyAlignment="0" applyProtection="0"/>
    <xf numFmtId="0" fontId="28" fillId="10" borderId="175" applyNumberFormat="0" applyFont="0" applyAlignment="0" applyProtection="0"/>
    <xf numFmtId="0" fontId="31" fillId="0" borderId="195" applyNumberFormat="0" applyFill="0" applyAlignment="0" applyProtection="0"/>
    <xf numFmtId="0" fontId="31" fillId="0" borderId="146" applyNumberFormat="0" applyFill="0" applyAlignment="0" applyProtection="0"/>
    <xf numFmtId="0" fontId="25" fillId="8" borderId="192" applyNumberFormat="0" applyAlignment="0" applyProtection="0"/>
    <xf numFmtId="0" fontId="29" fillId="12" borderId="191" applyNumberFormat="0" applyAlignment="0" applyProtection="0"/>
    <xf numFmtId="0" fontId="24" fillId="24" borderId="167" applyNumberFormat="0" applyAlignment="0" applyProtection="0"/>
    <xf numFmtId="0" fontId="31" fillId="0" borderId="120" applyNumberFormat="0" applyFill="0" applyAlignment="0" applyProtection="0"/>
    <xf numFmtId="0" fontId="31" fillId="0" borderId="121" applyNumberFormat="0" applyFill="0" applyAlignment="0" applyProtection="0"/>
    <xf numFmtId="0" fontId="18" fillId="10" borderId="166" applyNumberFormat="0" applyFont="0" applyAlignment="0" applyProtection="0"/>
    <xf numFmtId="0" fontId="48" fillId="24" borderId="132" applyNumberFormat="0" applyAlignment="0" applyProtection="0"/>
    <xf numFmtId="0" fontId="31" fillId="0" borderId="204" applyNumberFormat="0" applyFill="0" applyAlignment="0" applyProtection="0"/>
    <xf numFmtId="0" fontId="31" fillId="0" borderId="170" applyNumberFormat="0" applyFill="0" applyAlignment="0" applyProtection="0"/>
    <xf numFmtId="0" fontId="31" fillId="0" borderId="146" applyNumberFormat="0" applyFill="0" applyAlignment="0" applyProtection="0"/>
    <xf numFmtId="0" fontId="28" fillId="10" borderId="193" applyNumberFormat="0" applyFont="0" applyAlignment="0" applyProtection="0"/>
    <xf numFmtId="0" fontId="49" fillId="10" borderId="175" applyNumberFormat="0" applyFont="0" applyAlignment="0" applyProtection="0"/>
    <xf numFmtId="0" fontId="49" fillId="10" borderId="142" applyNumberFormat="0" applyFont="0" applyAlignment="0" applyProtection="0"/>
    <xf numFmtId="0" fontId="8" fillId="44" borderId="200" applyNumberFormat="0" applyFont="0" applyAlignment="0" applyProtection="0"/>
    <xf numFmtId="0" fontId="41" fillId="13" borderId="192" applyNumberFormat="0" applyAlignment="0" applyProtection="0"/>
    <xf numFmtId="0" fontId="73" fillId="0" borderId="162" applyBorder="0">
      <alignment horizontal="center" vertical="center" wrapText="1"/>
    </xf>
    <xf numFmtId="0" fontId="25" fillId="13" borderId="192" applyNumberFormat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24" fillId="24" borderId="118" applyNumberFormat="0" applyAlignment="0" applyProtection="0"/>
    <xf numFmtId="0" fontId="85" fillId="0" borderId="122"/>
    <xf numFmtId="0" fontId="18" fillId="10" borderId="83" applyNumberFormat="0" applyFont="0" applyAlignment="0" applyProtection="0"/>
    <xf numFmtId="0" fontId="28" fillId="10" borderId="83" applyNumberFormat="0" applyFont="0" applyAlignment="0" applyProtection="0"/>
    <xf numFmtId="0" fontId="29" fillId="24" borderId="89" applyNumberFormat="0" applyAlignment="0" applyProtection="0"/>
    <xf numFmtId="0" fontId="49" fillId="10" borderId="83" applyNumberFormat="0" applyFont="0" applyAlignment="0" applyProtection="0"/>
    <xf numFmtId="0" fontId="31" fillId="0" borderId="90" applyNumberFormat="0" applyFill="0" applyAlignment="0" applyProtection="0"/>
    <xf numFmtId="0" fontId="31" fillId="0" borderId="85" applyNumberFormat="0" applyFill="0" applyAlignment="0" applyProtection="0"/>
    <xf numFmtId="0" fontId="31" fillId="0" borderId="91" applyNumberFormat="0" applyFill="0" applyAlignment="0" applyProtection="0"/>
    <xf numFmtId="0" fontId="8" fillId="10" borderId="83" applyNumberFormat="0" applyFont="0" applyAlignment="0" applyProtection="0"/>
    <xf numFmtId="0" fontId="29" fillId="24" borderId="89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8" fillId="10" borderId="117" applyNumberFormat="0" applyFont="0" applyAlignment="0" applyProtection="0"/>
    <xf numFmtId="0" fontId="28" fillId="10" borderId="101" applyNumberFormat="0" applyFont="0" applyAlignment="0" applyProtection="0"/>
    <xf numFmtId="0" fontId="28" fillId="10" borderId="166" applyNumberFormat="0" applyFont="0" applyAlignment="0" applyProtection="0"/>
    <xf numFmtId="0" fontId="18" fillId="10" borderId="126" applyNumberFormat="0" applyFont="0" applyAlignment="0" applyProtection="0"/>
    <xf numFmtId="0" fontId="28" fillId="0" borderId="122"/>
    <xf numFmtId="0" fontId="28" fillId="10" borderId="117" applyNumberFormat="0" applyFont="0" applyAlignment="0" applyProtection="0"/>
    <xf numFmtId="0" fontId="28" fillId="10" borderId="117" applyNumberFormat="0" applyFont="0" applyAlignment="0" applyProtection="0"/>
    <xf numFmtId="0" fontId="8" fillId="10" borderId="117" applyNumberFormat="0" applyFont="0" applyAlignment="0" applyProtection="0"/>
    <xf numFmtId="0" fontId="48" fillId="12" borderId="165" applyNumberFormat="0" applyAlignment="0" applyProtection="0"/>
    <xf numFmtId="0" fontId="48" fillId="24" borderId="165" applyNumberFormat="0" applyAlignment="0" applyProtection="0"/>
    <xf numFmtId="0" fontId="73" fillId="0" borderId="87" applyBorder="0">
      <alignment horizontal="center" vertical="center" wrapText="1"/>
    </xf>
    <xf numFmtId="0" fontId="41" fillId="13" borderId="165" applyNumberFormat="0" applyAlignment="0" applyProtection="0"/>
    <xf numFmtId="0" fontId="16" fillId="24" borderId="141" applyNumberFormat="0" applyAlignment="0" applyProtection="0"/>
    <xf numFmtId="0" fontId="48" fillId="12" borderId="100" applyNumberFormat="0" applyAlignment="0" applyProtection="0"/>
    <xf numFmtId="0" fontId="28" fillId="0" borderId="189"/>
    <xf numFmtId="0" fontId="8" fillId="10" borderId="175" applyNumberFormat="0" applyFont="0" applyAlignment="0" applyProtection="0"/>
    <xf numFmtId="0" fontId="31" fillId="0" borderId="146" applyNumberFormat="0" applyFill="0" applyAlignment="0" applyProtection="0"/>
    <xf numFmtId="0" fontId="31" fillId="0" borderId="195" applyNumberFormat="0" applyFill="0" applyAlignment="0" applyProtection="0"/>
    <xf numFmtId="0" fontId="73" fillId="0" borderId="199" applyBorder="0">
      <alignment horizontal="center" vertical="center" wrapText="1"/>
    </xf>
    <xf numFmtId="0" fontId="31" fillId="0" borderId="183" applyNumberFormat="0" applyFill="0" applyAlignment="0" applyProtection="0"/>
    <xf numFmtId="0" fontId="16" fillId="24" borderId="192" applyNumberFormat="0" applyAlignment="0" applyProtection="0"/>
    <xf numFmtId="0" fontId="16" fillId="24" borderId="116" applyNumberFormat="0" applyAlignment="0" applyProtection="0"/>
    <xf numFmtId="0" fontId="31" fillId="0" borderId="164" applyNumberFormat="0" applyFill="0" applyAlignment="0" applyProtection="0"/>
    <xf numFmtId="0" fontId="29" fillId="24" borderId="191" applyNumberFormat="0" applyAlignment="0" applyProtection="0"/>
    <xf numFmtId="0" fontId="8" fillId="10" borderId="142" applyNumberFormat="0" applyFont="0" applyAlignment="0" applyProtection="0"/>
    <xf numFmtId="0" fontId="32" fillId="24" borderId="192" applyNumberFormat="0" applyAlignment="0" applyProtection="0"/>
    <xf numFmtId="0" fontId="48" fillId="12" borderId="192" applyNumberFormat="0" applyAlignment="0" applyProtection="0"/>
    <xf numFmtId="0" fontId="8" fillId="10" borderId="101" applyNumberFormat="0" applyFont="0" applyAlignment="0" applyProtection="0"/>
    <xf numFmtId="0" fontId="48" fillId="12" borderId="100" applyNumberFormat="0" applyAlignment="0" applyProtection="0"/>
    <xf numFmtId="0" fontId="29" fillId="24" borderId="168" applyNumberFormat="0" applyAlignment="0" applyProtection="0"/>
    <xf numFmtId="0" fontId="8" fillId="44" borderId="148" applyNumberFormat="0" applyFont="0" applyAlignment="0" applyProtection="0"/>
    <xf numFmtId="0" fontId="31" fillId="0" borderId="183" applyNumberFormat="0" applyFill="0" applyAlignment="0" applyProtection="0"/>
    <xf numFmtId="0" fontId="25" fillId="13" borderId="192" applyNumberFormat="0" applyAlignment="0" applyProtection="0"/>
    <xf numFmtId="0" fontId="28" fillId="0" borderId="172"/>
    <xf numFmtId="0" fontId="31" fillId="0" borderId="161" applyNumberFormat="0" applyFill="0" applyAlignment="0" applyProtection="0"/>
    <xf numFmtId="0" fontId="25" fillId="13" borderId="165" applyNumberFormat="0" applyAlignment="0" applyProtection="0"/>
    <xf numFmtId="0" fontId="32" fillId="24" borderId="116" applyNumberFormat="0" applyAlignment="0" applyProtection="0"/>
    <xf numFmtId="0" fontId="18" fillId="10" borderId="117" applyNumberFormat="0" applyFont="0" applyAlignment="0" applyProtection="0"/>
    <xf numFmtId="0" fontId="48" fillId="12" borderId="165" applyNumberFormat="0" applyAlignment="0" applyProtection="0"/>
    <xf numFmtId="0" fontId="16" fillId="24" borderId="116" applyNumberFormat="0" applyAlignment="0" applyProtection="0"/>
    <xf numFmtId="0" fontId="31" fillId="0" borderId="138" applyNumberFormat="0" applyFill="0" applyAlignment="0" applyProtection="0"/>
    <xf numFmtId="0" fontId="49" fillId="10" borderId="142" applyNumberFormat="0" applyFont="0" applyAlignment="0" applyProtection="0"/>
    <xf numFmtId="0" fontId="25" fillId="13" borderId="141" applyNumberFormat="0" applyAlignment="0" applyProtection="0"/>
    <xf numFmtId="0" fontId="31" fillId="0" borderId="195" applyNumberFormat="0" applyFill="0" applyAlignment="0" applyProtection="0"/>
    <xf numFmtId="0" fontId="16" fillId="24" borderId="165" applyNumberFormat="0" applyAlignment="0" applyProtection="0"/>
    <xf numFmtId="0" fontId="85" fillId="0" borderId="86"/>
    <xf numFmtId="0" fontId="28" fillId="10" borderId="83" applyNumberFormat="0" applyFont="0" applyAlignment="0" applyProtection="0"/>
    <xf numFmtId="0" fontId="31" fillId="0" borderId="91" applyNumberFormat="0" applyFill="0" applyAlignment="0" applyProtection="0"/>
    <xf numFmtId="0" fontId="28" fillId="10" borderId="175" applyNumberFormat="0" applyFont="0" applyAlignment="0" applyProtection="0"/>
    <xf numFmtId="0" fontId="29" fillId="12" borderId="168" applyNumberFormat="0" applyAlignment="0" applyProtection="0"/>
    <xf numFmtId="0" fontId="28" fillId="0" borderId="178"/>
    <xf numFmtId="0" fontId="31" fillId="0" borderId="106" applyNumberFormat="0" applyFill="0" applyAlignment="0" applyProtection="0"/>
    <xf numFmtId="0" fontId="31" fillId="0" borderId="103" applyNumberFormat="0" applyFill="0" applyAlignment="0" applyProtection="0"/>
    <xf numFmtId="0" fontId="25" fillId="13" borderId="141" applyNumberFormat="0" applyAlignment="0" applyProtection="0"/>
    <xf numFmtId="0" fontId="85" fillId="72" borderId="147"/>
    <xf numFmtId="0" fontId="48" fillId="24" borderId="192" applyNumberFormat="0" applyAlignment="0" applyProtection="0"/>
    <xf numFmtId="0" fontId="73" fillId="0" borderId="124" applyBorder="0">
      <alignment horizontal="center" vertical="center" wrapText="1"/>
    </xf>
    <xf numFmtId="0" fontId="48" fillId="24" borderId="116" applyNumberFormat="0" applyAlignment="0" applyProtection="0"/>
    <xf numFmtId="0" fontId="28" fillId="10" borderId="101" applyNumberFormat="0" applyFont="0" applyAlignment="0" applyProtection="0"/>
    <xf numFmtId="0" fontId="31" fillId="0" borderId="146" applyNumberFormat="0" applyFill="0" applyAlignment="0" applyProtection="0"/>
    <xf numFmtId="0" fontId="29" fillId="24" borderId="99" applyNumberFormat="0" applyAlignment="0" applyProtection="0"/>
    <xf numFmtId="0" fontId="31" fillId="0" borderId="98" applyNumberFormat="0" applyFill="0" applyAlignment="0" applyProtection="0"/>
    <xf numFmtId="0" fontId="31" fillId="0" borderId="156" applyNumberFormat="0" applyFill="0" applyAlignment="0" applyProtection="0"/>
    <xf numFmtId="0" fontId="85" fillId="0" borderId="147"/>
    <xf numFmtId="0" fontId="31" fillId="0" borderId="140" applyNumberFormat="0" applyFill="0" applyAlignment="0" applyProtection="0"/>
    <xf numFmtId="0" fontId="29" fillId="24" borderId="144" applyNumberFormat="0" applyAlignment="0" applyProtection="0"/>
    <xf numFmtId="0" fontId="24" fillId="24" borderId="102" applyNumberFormat="0" applyAlignment="0" applyProtection="0"/>
    <xf numFmtId="0" fontId="85" fillId="0" borderId="178"/>
    <xf numFmtId="0" fontId="28" fillId="10" borderId="101" applyNumberFormat="0" applyFont="0" applyAlignment="0" applyProtection="0"/>
    <xf numFmtId="0" fontId="25" fillId="13" borderId="201" applyNumberFormat="0" applyAlignment="0" applyProtection="0"/>
    <xf numFmtId="0" fontId="85" fillId="72" borderId="147"/>
    <xf numFmtId="0" fontId="18" fillId="10" borderId="117" applyNumberFormat="0" applyFont="0" applyAlignment="0" applyProtection="0"/>
    <xf numFmtId="0" fontId="29" fillId="24" borderId="99" applyNumberFormat="0" applyAlignment="0" applyProtection="0"/>
    <xf numFmtId="0" fontId="49" fillId="10" borderId="101" applyNumberFormat="0" applyFont="0" applyAlignment="0" applyProtection="0"/>
    <xf numFmtId="0" fontId="24" fillId="24" borderId="102" applyNumberFormat="0" applyAlignment="0" applyProtection="0"/>
    <xf numFmtId="0" fontId="25" fillId="13" borderId="185" applyNumberFormat="0" applyAlignment="0" applyProtection="0"/>
    <xf numFmtId="0" fontId="28" fillId="0" borderId="147"/>
    <xf numFmtId="0" fontId="31" fillId="0" borderId="145" applyNumberFormat="0" applyFill="0" applyAlignment="0" applyProtection="0"/>
    <xf numFmtId="0" fontId="31" fillId="0" borderId="119" applyNumberFormat="0" applyFill="0" applyAlignment="0" applyProtection="0"/>
    <xf numFmtId="0" fontId="41" fillId="13" borderId="174" applyNumberFormat="0" applyAlignment="0" applyProtection="0"/>
    <xf numFmtId="0" fontId="31" fillId="0" borderId="121" applyNumberFormat="0" applyFill="0" applyAlignment="0" applyProtection="0"/>
    <xf numFmtId="0" fontId="8" fillId="44" borderId="184" applyNumberFormat="0" applyFont="0" applyAlignment="0" applyProtection="0"/>
    <xf numFmtId="0" fontId="41" fillId="13" borderId="174" applyNumberFormat="0" applyAlignment="0" applyProtection="0"/>
    <xf numFmtId="0" fontId="31" fillId="0" borderId="182" applyNumberFormat="0" applyFill="0" applyAlignment="0" applyProtection="0"/>
    <xf numFmtId="0" fontId="31" fillId="0" borderId="72" applyNumberFormat="0" applyFill="0" applyAlignment="0" applyProtection="0"/>
    <xf numFmtId="0" fontId="49" fillId="10" borderId="74" applyNumberFormat="0" applyFont="0" applyAlignment="0" applyProtection="0"/>
    <xf numFmtId="0" fontId="31" fillId="0" borderId="77" applyNumberFormat="0" applyFill="0" applyAlignment="0" applyProtection="0"/>
    <xf numFmtId="0" fontId="16" fillId="24" borderId="73" applyNumberFormat="0" applyAlignment="0" applyProtection="0"/>
    <xf numFmtId="0" fontId="25" fillId="13" borderId="73" applyNumberFormat="0" applyAlignment="0" applyProtection="0"/>
    <xf numFmtId="0" fontId="8" fillId="10" borderId="74" applyNumberFormat="0" applyFont="0" applyAlignment="0" applyProtection="0"/>
    <xf numFmtId="0" fontId="31" fillId="0" borderId="72" applyNumberFormat="0" applyFill="0" applyAlignment="0" applyProtection="0"/>
    <xf numFmtId="0" fontId="31" fillId="0" borderId="170" applyNumberFormat="0" applyFill="0" applyAlignment="0" applyProtection="0"/>
    <xf numFmtId="0" fontId="29" fillId="24" borderId="144" applyNumberFormat="0" applyAlignment="0" applyProtection="0"/>
    <xf numFmtId="0" fontId="41" fillId="13" borderId="141" applyNumberFormat="0" applyAlignment="0" applyProtection="0"/>
    <xf numFmtId="0" fontId="31" fillId="0" borderId="197" applyNumberFormat="0" applyFill="0" applyAlignment="0" applyProtection="0"/>
    <xf numFmtId="0" fontId="24" fillId="24" borderId="194" applyNumberFormat="0" applyAlignment="0" applyProtection="0"/>
    <xf numFmtId="0" fontId="32" fillId="24" borderId="100" applyNumberFormat="0" applyAlignment="0" applyProtection="0"/>
    <xf numFmtId="0" fontId="48" fillId="24" borderId="100" applyNumberFormat="0" applyAlignment="0" applyProtection="0"/>
    <xf numFmtId="0" fontId="31" fillId="0" borderId="98" applyNumberFormat="0" applyFill="0" applyAlignment="0" applyProtection="0"/>
    <xf numFmtId="0" fontId="73" fillId="0" borderId="107" applyBorder="0">
      <alignment horizontal="center" vertical="center" wrapText="1"/>
    </xf>
    <xf numFmtId="0" fontId="48" fillId="24" borderId="100" applyNumberFormat="0" applyAlignment="0" applyProtection="0"/>
    <xf numFmtId="0" fontId="48" fillId="12" borderId="100" applyNumberFormat="0" applyAlignment="0" applyProtection="0"/>
    <xf numFmtId="0" fontId="28" fillId="10" borderId="101" applyNumberFormat="0" applyFont="0" applyAlignment="0" applyProtection="0"/>
    <xf numFmtId="0" fontId="49" fillId="10" borderId="101" applyNumberFormat="0" applyFont="0" applyAlignment="0" applyProtection="0"/>
    <xf numFmtId="0" fontId="49" fillId="10" borderId="101" applyNumberFormat="0" applyFont="0" applyAlignment="0" applyProtection="0"/>
    <xf numFmtId="0" fontId="31" fillId="0" borderId="149" applyNumberFormat="0" applyFill="0" applyAlignment="0" applyProtection="0"/>
    <xf numFmtId="0" fontId="25" fillId="13" borderId="109" applyNumberFormat="0" applyAlignment="0" applyProtection="0"/>
    <xf numFmtId="0" fontId="28" fillId="10" borderId="110" applyNumberFormat="0" applyFont="0" applyAlignment="0" applyProtection="0"/>
    <xf numFmtId="0" fontId="73" fillId="0" borderId="171" applyBorder="0">
      <alignment horizontal="center" vertical="center" wrapText="1"/>
    </xf>
    <xf numFmtId="0" fontId="49" fillId="10" borderId="175" applyNumberFormat="0" applyFont="0" applyAlignment="0" applyProtection="0"/>
    <xf numFmtId="0" fontId="48" fillId="12" borderId="192" applyNumberFormat="0" applyAlignment="0" applyProtection="0"/>
    <xf numFmtId="0" fontId="25" fillId="13" borderId="116" applyNumberFormat="0" applyAlignment="0" applyProtection="0"/>
    <xf numFmtId="0" fontId="24" fillId="24" borderId="160" applyNumberFormat="0" applyAlignment="0" applyProtection="0"/>
    <xf numFmtId="0" fontId="28" fillId="0" borderId="97"/>
    <xf numFmtId="0" fontId="85" fillId="0" borderId="97"/>
    <xf numFmtId="0" fontId="24" fillId="24" borderId="102" applyNumberFormat="0" applyAlignment="0" applyProtection="0"/>
    <xf numFmtId="0" fontId="31" fillId="0" borderId="105" applyNumberFormat="0" applyFill="0" applyAlignment="0" applyProtection="0"/>
    <xf numFmtId="0" fontId="31" fillId="0" borderId="106" applyNumberFormat="0" applyFill="0" applyAlignment="0" applyProtection="0"/>
    <xf numFmtId="0" fontId="28" fillId="10" borderId="202" applyNumberFormat="0" applyFont="0" applyAlignment="0" applyProtection="0"/>
    <xf numFmtId="0" fontId="31" fillId="0" borderId="72" applyNumberFormat="0" applyFill="0" applyAlignment="0" applyProtection="0"/>
    <xf numFmtId="0" fontId="48" fillId="12" borderId="73" applyNumberFormat="0" applyAlignment="0" applyProtection="0"/>
    <xf numFmtId="0" fontId="25" fillId="8" borderId="73" applyNumberFormat="0" applyAlignment="0" applyProtection="0"/>
    <xf numFmtId="0" fontId="31" fillId="0" borderId="78" applyNumberFormat="0" applyFill="0" applyAlignment="0" applyProtection="0"/>
    <xf numFmtId="0" fontId="16" fillId="24" borderId="73" applyNumberFormat="0" applyAlignment="0" applyProtection="0"/>
    <xf numFmtId="0" fontId="18" fillId="10" borderId="74" applyNumberFormat="0" applyFont="0" applyAlignment="0" applyProtection="0"/>
    <xf numFmtId="0" fontId="24" fillId="24" borderId="75" applyNumberFormat="0" applyAlignment="0" applyProtection="0"/>
    <xf numFmtId="0" fontId="8" fillId="10" borderId="74" applyNumberFormat="0" applyFont="0" applyAlignment="0" applyProtection="0"/>
    <xf numFmtId="0" fontId="28" fillId="0" borderId="80"/>
    <xf numFmtId="0" fontId="16" fillId="24" borderId="73" applyNumberFormat="0" applyAlignment="0" applyProtection="0"/>
    <xf numFmtId="0" fontId="49" fillId="10" borderId="74" applyNumberFormat="0" applyFont="0" applyAlignment="0" applyProtection="0"/>
    <xf numFmtId="0" fontId="49" fillId="10" borderId="74" applyNumberFormat="0" applyFont="0" applyAlignment="0" applyProtection="0"/>
    <xf numFmtId="0" fontId="48" fillId="12" borderId="73" applyNumberFormat="0" applyAlignment="0" applyProtection="0"/>
    <xf numFmtId="0" fontId="48" fillId="12" borderId="73" applyNumberFormat="0" applyAlignment="0" applyProtection="0"/>
    <xf numFmtId="0" fontId="8" fillId="44" borderId="81" applyNumberFormat="0" applyFont="0" applyAlignment="0" applyProtection="0"/>
    <xf numFmtId="0" fontId="48" fillId="12" borderId="73" applyNumberFormat="0" applyAlignment="0" applyProtection="0"/>
    <xf numFmtId="0" fontId="31" fillId="0" borderId="78" applyNumberFormat="0" applyFill="0" applyAlignment="0" applyProtection="0"/>
    <xf numFmtId="0" fontId="16" fillId="24" borderId="82" applyNumberFormat="0" applyAlignment="0" applyProtection="0"/>
    <xf numFmtId="0" fontId="48" fillId="12" borderId="116" applyNumberFormat="0" applyAlignment="0" applyProtection="0"/>
    <xf numFmtId="0" fontId="25" fillId="13" borderId="82" applyNumberFormat="0" applyAlignment="0" applyProtection="0"/>
    <xf numFmtId="0" fontId="29" fillId="24" borderId="99" applyNumberFormat="0" applyAlignment="0" applyProtection="0"/>
    <xf numFmtId="0" fontId="28" fillId="0" borderId="86"/>
    <xf numFmtId="0" fontId="28" fillId="10" borderId="83" applyNumberFormat="0" applyFont="0" applyAlignment="0" applyProtection="0"/>
    <xf numFmtId="0" fontId="8" fillId="10" borderId="83" applyNumberFormat="0" applyFont="0" applyAlignment="0" applyProtection="0"/>
    <xf numFmtId="0" fontId="31" fillId="0" borderId="85" applyNumberFormat="0" applyFill="0" applyAlignment="0" applyProtection="0"/>
    <xf numFmtId="0" fontId="8" fillId="10" borderId="142" applyNumberFormat="0" applyFont="0" applyAlignment="0" applyProtection="0"/>
    <xf numFmtId="0" fontId="8" fillId="44" borderId="108" applyNumberFormat="0" applyFont="0" applyAlignment="0" applyProtection="0"/>
    <xf numFmtId="0" fontId="16" fillId="24" borderId="100" applyNumberFormat="0" applyAlignment="0" applyProtection="0"/>
    <xf numFmtId="0" fontId="31" fillId="0" borderId="106" applyNumberFormat="0" applyFill="0" applyAlignment="0" applyProtection="0"/>
    <xf numFmtId="0" fontId="8" fillId="10" borderId="101" applyNumberFormat="0" applyFont="0" applyAlignment="0" applyProtection="0"/>
    <xf numFmtId="0" fontId="49" fillId="10" borderId="101" applyNumberFormat="0" applyFont="0" applyAlignment="0" applyProtection="0"/>
    <xf numFmtId="0" fontId="28" fillId="10" borderId="101" applyNumberFormat="0" applyFont="0" applyAlignment="0" applyProtection="0"/>
    <xf numFmtId="0" fontId="29" fillId="24" borderId="99" applyNumberFormat="0" applyAlignment="0" applyProtection="0"/>
    <xf numFmtId="0" fontId="32" fillId="24" borderId="100" applyNumberFormat="0" applyAlignment="0" applyProtection="0"/>
    <xf numFmtId="0" fontId="29" fillId="12" borderId="99" applyNumberFormat="0" applyAlignment="0" applyProtection="0"/>
    <xf numFmtId="0" fontId="8" fillId="10" borderId="101" applyNumberFormat="0" applyFont="0" applyAlignment="0" applyProtection="0"/>
    <xf numFmtId="0" fontId="16" fillId="24" borderId="141" applyNumberFormat="0" applyAlignment="0" applyProtection="0"/>
    <xf numFmtId="0" fontId="48" fillId="24" borderId="192" applyNumberFormat="0" applyAlignment="0" applyProtection="0"/>
    <xf numFmtId="0" fontId="31" fillId="0" borderId="169" applyNumberFormat="0" applyFill="0" applyAlignment="0" applyProtection="0"/>
    <xf numFmtId="0" fontId="31" fillId="0" borderId="198" applyNumberFormat="0" applyFill="0" applyAlignment="0" applyProtection="0"/>
    <xf numFmtId="0" fontId="16" fillId="24" borderId="158" applyNumberFormat="0" applyAlignment="0" applyProtection="0"/>
    <xf numFmtId="0" fontId="73" fillId="0" borderId="199" applyBorder="0">
      <alignment horizontal="center" vertical="center" wrapText="1"/>
    </xf>
    <xf numFmtId="0" fontId="31" fillId="0" borderId="161" applyNumberFormat="0" applyFill="0" applyAlignment="0" applyProtection="0"/>
    <xf numFmtId="0" fontId="49" fillId="10" borderId="166" applyNumberFormat="0" applyFont="0" applyAlignment="0" applyProtection="0"/>
    <xf numFmtId="0" fontId="31" fillId="0" borderId="121" applyNumberFormat="0" applyFill="0" applyAlignment="0" applyProtection="0"/>
    <xf numFmtId="0" fontId="28" fillId="10" borderId="117" applyNumberFormat="0" applyFont="0" applyAlignment="0" applyProtection="0"/>
    <xf numFmtId="0" fontId="48" fillId="12" borderId="116" applyNumberFormat="0" applyAlignment="0" applyProtection="0"/>
    <xf numFmtId="0" fontId="31" fillId="0" borderId="120" applyNumberFormat="0" applyFill="0" applyAlignment="0" applyProtection="0"/>
    <xf numFmtId="0" fontId="25" fillId="13" borderId="116" applyNumberFormat="0" applyAlignment="0" applyProtection="0"/>
    <xf numFmtId="0" fontId="29" fillId="12" borderId="115" applyNumberFormat="0" applyAlignment="0" applyProtection="0"/>
    <xf numFmtId="0" fontId="29" fillId="12" borderId="168" applyNumberFormat="0" applyAlignment="0" applyProtection="0"/>
    <xf numFmtId="0" fontId="16" fillId="24" borderId="165" applyNumberFormat="0" applyAlignment="0" applyProtection="0"/>
    <xf numFmtId="0" fontId="31" fillId="0" borderId="198" applyNumberFormat="0" applyFill="0" applyAlignment="0" applyProtection="0"/>
    <xf numFmtId="0" fontId="48" fillId="24" borderId="165" applyNumberFormat="0" applyAlignment="0" applyProtection="0"/>
    <xf numFmtId="0" fontId="41" fillId="13" borderId="141" applyNumberFormat="0" applyAlignment="0" applyProtection="0"/>
    <xf numFmtId="0" fontId="28" fillId="10" borderId="142" applyNumberFormat="0" applyFont="0" applyAlignment="0" applyProtection="0"/>
    <xf numFmtId="0" fontId="25" fillId="13" borderId="201" applyNumberFormat="0" applyAlignment="0" applyProtection="0"/>
    <xf numFmtId="0" fontId="28" fillId="10" borderId="193" applyNumberFormat="0" applyFont="0" applyAlignment="0" applyProtection="0"/>
    <xf numFmtId="0" fontId="31" fillId="0" borderId="161" applyNumberFormat="0" applyFill="0" applyAlignment="0" applyProtection="0"/>
    <xf numFmtId="0" fontId="25" fillId="13" borderId="185" applyNumberFormat="0" applyAlignment="0" applyProtection="0"/>
    <xf numFmtId="0" fontId="41" fillId="13" borderId="165" applyNumberFormat="0" applyAlignment="0" applyProtection="0"/>
    <xf numFmtId="0" fontId="31" fillId="0" borderId="145" applyNumberFormat="0" applyFill="0" applyAlignment="0" applyProtection="0"/>
    <xf numFmtId="0" fontId="31" fillId="0" borderId="195" applyNumberFormat="0" applyFill="0" applyAlignment="0" applyProtection="0"/>
    <xf numFmtId="0" fontId="8" fillId="10" borderId="126" applyNumberFormat="0" applyFont="0" applyAlignment="0" applyProtection="0"/>
    <xf numFmtId="0" fontId="31" fillId="0" borderId="156" applyNumberFormat="0" applyFill="0" applyAlignment="0" applyProtection="0"/>
    <xf numFmtId="0" fontId="31" fillId="0" borderId="149" applyNumberFormat="0" applyFill="0" applyAlignment="0" applyProtection="0"/>
    <xf numFmtId="0" fontId="8" fillId="10" borderId="126" applyNumberFormat="0" applyFont="0" applyAlignment="0" applyProtection="0"/>
    <xf numFmtId="0" fontId="24" fillId="24" borderId="134" applyNumberFormat="0" applyAlignment="0" applyProtection="0"/>
    <xf numFmtId="0" fontId="85" fillId="0" borderId="178"/>
    <xf numFmtId="0" fontId="73" fillId="0" borderId="104" applyBorder="0">
      <alignment horizontal="center" vertical="center" wrapText="1"/>
    </xf>
    <xf numFmtId="0" fontId="73" fillId="0" borderId="150" applyBorder="0">
      <alignment horizontal="center" vertical="center" wrapText="1"/>
    </xf>
    <xf numFmtId="0" fontId="29" fillId="12" borderId="144" applyNumberFormat="0" applyAlignment="0" applyProtection="0"/>
    <xf numFmtId="0" fontId="85" fillId="0" borderId="147"/>
    <xf numFmtId="0" fontId="41" fillId="13" borderId="151" applyNumberFormat="0" applyAlignment="0" applyProtection="0"/>
    <xf numFmtId="0" fontId="8" fillId="10" borderId="193" applyNumberFormat="0" applyFont="0" applyAlignment="0" applyProtection="0"/>
    <xf numFmtId="0" fontId="8" fillId="10" borderId="175" applyNumberFormat="0" applyFont="0" applyAlignment="0" applyProtection="0"/>
    <xf numFmtId="0" fontId="28" fillId="0" borderId="172"/>
    <xf numFmtId="0" fontId="48" fillId="24" borderId="116" applyNumberFormat="0" applyAlignment="0" applyProtection="0"/>
    <xf numFmtId="0" fontId="31" fillId="0" borderId="146" applyNumberFormat="0" applyFill="0" applyAlignment="0" applyProtection="0"/>
    <xf numFmtId="0" fontId="49" fillId="10" borderId="193" applyNumberFormat="0" applyFont="0" applyAlignment="0" applyProtection="0"/>
    <xf numFmtId="0" fontId="31" fillId="0" borderId="106" applyNumberFormat="0" applyFill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49" fillId="10" borderId="101" applyNumberFormat="0" applyFont="0" applyAlignment="0" applyProtection="0"/>
    <xf numFmtId="0" fontId="31" fillId="0" borderId="106" applyNumberFormat="0" applyFill="0" applyAlignment="0" applyProtection="0"/>
    <xf numFmtId="0" fontId="24" fillId="24" borderId="102" applyNumberFormat="0" applyAlignment="0" applyProtection="0"/>
    <xf numFmtId="0" fontId="16" fillId="24" borderId="100" applyNumberFormat="0" applyAlignment="0" applyProtection="0"/>
    <xf numFmtId="0" fontId="24" fillId="24" borderId="102" applyNumberFormat="0" applyAlignment="0" applyProtection="0"/>
    <xf numFmtId="0" fontId="28" fillId="10" borderId="101" applyNumberFormat="0" applyFont="0" applyAlignment="0" applyProtection="0"/>
    <xf numFmtId="0" fontId="28" fillId="10" borderId="142" applyNumberFormat="0" applyFont="0" applyAlignment="0" applyProtection="0"/>
    <xf numFmtId="0" fontId="48" fillId="24" borderId="141" applyNumberFormat="0" applyAlignment="0" applyProtection="0"/>
    <xf numFmtId="0" fontId="48" fillId="12" borderId="141" applyNumberFormat="0" applyAlignment="0" applyProtection="0"/>
    <xf numFmtId="0" fontId="48" fillId="24" borderId="151" applyNumberFormat="0" applyAlignment="0" applyProtection="0"/>
    <xf numFmtId="0" fontId="31" fillId="0" borderId="161" applyNumberFormat="0" applyFill="0" applyAlignment="0" applyProtection="0"/>
    <xf numFmtId="0" fontId="8" fillId="10" borderId="175" applyNumberFormat="0" applyFont="0" applyAlignment="0" applyProtection="0"/>
    <xf numFmtId="0" fontId="8" fillId="10" borderId="193" applyNumberFormat="0" applyFont="0" applyAlignment="0" applyProtection="0"/>
    <xf numFmtId="0" fontId="32" fillId="24" borderId="165" applyNumberFormat="0" applyAlignment="0" applyProtection="0"/>
    <xf numFmtId="0" fontId="85" fillId="0" borderId="172"/>
    <xf numFmtId="0" fontId="41" fillId="13" borderId="116" applyNumberFormat="0" applyAlignment="0" applyProtection="0"/>
    <xf numFmtId="0" fontId="48" fillId="24" borderId="116" applyNumberFormat="0" applyAlignment="0" applyProtection="0"/>
    <xf numFmtId="0" fontId="49" fillId="10" borderId="117" applyNumberFormat="0" applyFont="0" applyAlignment="0" applyProtection="0"/>
    <xf numFmtId="0" fontId="25" fillId="8" borderId="116" applyNumberFormat="0" applyAlignment="0" applyProtection="0"/>
    <xf numFmtId="0" fontId="32" fillId="24" borderId="165" applyNumberFormat="0" applyAlignment="0" applyProtection="0"/>
    <xf numFmtId="0" fontId="25" fillId="13" borderId="165" applyNumberFormat="0" applyAlignment="0" applyProtection="0"/>
    <xf numFmtId="0" fontId="31" fillId="0" borderId="163" applyNumberFormat="0" applyFill="0" applyAlignment="0" applyProtection="0"/>
    <xf numFmtId="0" fontId="18" fillId="10" borderId="175" applyNumberFormat="0" applyFont="0" applyAlignment="0" applyProtection="0"/>
    <xf numFmtId="0" fontId="24" fillId="24" borderId="176" applyNumberFormat="0" applyAlignment="0" applyProtection="0"/>
    <xf numFmtId="0" fontId="31" fillId="0" borderId="190" applyNumberFormat="0" applyFill="0" applyAlignment="0" applyProtection="0"/>
    <xf numFmtId="0" fontId="8" fillId="10" borderId="142" applyNumberFormat="0" applyFont="0" applyAlignment="0" applyProtection="0"/>
    <xf numFmtId="0" fontId="16" fillId="24" borderId="141" applyNumberFormat="0" applyAlignment="0" applyProtection="0"/>
    <xf numFmtId="0" fontId="8" fillId="10" borderId="142" applyNumberFormat="0" applyFont="0" applyAlignment="0" applyProtection="0"/>
    <xf numFmtId="0" fontId="31" fillId="0" borderId="149" applyNumberFormat="0" applyFill="0" applyAlignment="0" applyProtection="0"/>
    <xf numFmtId="0" fontId="8" fillId="44" borderId="148" applyNumberFormat="0" applyFont="0" applyAlignment="0" applyProtection="0"/>
    <xf numFmtId="0" fontId="25" fillId="13" borderId="192" applyNumberFormat="0" applyAlignment="0" applyProtection="0"/>
    <xf numFmtId="0" fontId="31" fillId="0" borderId="169" applyNumberFormat="0" applyFill="0" applyAlignment="0" applyProtection="0"/>
    <xf numFmtId="0" fontId="31" fillId="0" borderId="170" applyNumberFormat="0" applyFill="0" applyAlignment="0" applyProtection="0"/>
    <xf numFmtId="0" fontId="28" fillId="10" borderId="202" applyNumberFormat="0" applyFont="0" applyAlignment="0" applyProtection="0"/>
    <xf numFmtId="0" fontId="41" fillId="13" borderId="185" applyNumberFormat="0" applyAlignment="0" applyProtection="0"/>
    <xf numFmtId="0" fontId="28" fillId="10" borderId="193" applyNumberFormat="0" applyFont="0" applyAlignment="0" applyProtection="0"/>
    <xf numFmtId="0" fontId="29" fillId="12" borderId="115" applyNumberFormat="0" applyAlignment="0" applyProtection="0"/>
    <xf numFmtId="0" fontId="31" fillId="0" borderId="88" applyNumberFormat="0" applyFill="0" applyAlignment="0" applyProtection="0"/>
    <xf numFmtId="0" fontId="31" fillId="0" borderId="91" applyNumberFormat="0" applyFill="0" applyAlignment="0" applyProtection="0"/>
    <xf numFmtId="0" fontId="85" fillId="0" borderId="86"/>
    <xf numFmtId="0" fontId="18" fillId="10" borderId="83" applyNumberFormat="0" applyFont="0" applyAlignment="0" applyProtection="0"/>
    <xf numFmtId="0" fontId="29" fillId="24" borderId="89" applyNumberFormat="0" applyAlignment="0" applyProtection="0"/>
    <xf numFmtId="0" fontId="28" fillId="0" borderId="172"/>
    <xf numFmtId="0" fontId="8" fillId="10" borderId="83" applyNumberFormat="0" applyFont="0" applyAlignment="0" applyProtection="0"/>
    <xf numFmtId="0" fontId="31" fillId="0" borderId="90" applyNumberFormat="0" applyFill="0" applyAlignment="0" applyProtection="0"/>
    <xf numFmtId="0" fontId="8" fillId="10" borderId="83" applyNumberFormat="0" applyFont="0" applyAlignment="0" applyProtection="0"/>
    <xf numFmtId="0" fontId="31" fillId="0" borderId="90" applyNumberFormat="0" applyFill="0" applyAlignment="0" applyProtection="0"/>
    <xf numFmtId="0" fontId="31" fillId="0" borderId="91" applyNumberFormat="0" applyFill="0" applyAlignment="0" applyProtection="0"/>
    <xf numFmtId="0" fontId="29" fillId="12" borderId="89" applyNumberFormat="0" applyAlignment="0" applyProtection="0"/>
    <xf numFmtId="0" fontId="29" fillId="24" borderId="89" applyNumberFormat="0" applyAlignment="0" applyProtection="0"/>
    <xf numFmtId="0" fontId="24" fillId="24" borderId="118" applyNumberFormat="0" applyAlignment="0" applyProtection="0"/>
    <xf numFmtId="0" fontId="8" fillId="10" borderId="83" applyNumberFormat="0" applyFont="0" applyAlignment="0" applyProtection="0"/>
    <xf numFmtId="0" fontId="31" fillId="0" borderId="91" applyNumberFormat="0" applyFill="0" applyAlignment="0" applyProtection="0"/>
    <xf numFmtId="0" fontId="29" fillId="24" borderId="89" applyNumberFormat="0" applyAlignment="0" applyProtection="0"/>
    <xf numFmtId="0" fontId="28" fillId="0" borderId="178"/>
    <xf numFmtId="0" fontId="29" fillId="24" borderId="115" applyNumberFormat="0" applyAlignment="0" applyProtection="0"/>
    <xf numFmtId="0" fontId="29" fillId="12" borderId="115" applyNumberFormat="0" applyAlignment="0" applyProtection="0"/>
    <xf numFmtId="0" fontId="85" fillId="72" borderId="122"/>
    <xf numFmtId="0" fontId="25" fillId="13" borderId="116" applyNumberFormat="0" applyAlignment="0" applyProtection="0"/>
    <xf numFmtId="0" fontId="28" fillId="0" borderId="147"/>
    <xf numFmtId="0" fontId="41" fillId="13" borderId="201" applyNumberFormat="0" applyAlignment="0" applyProtection="0"/>
    <xf numFmtId="0" fontId="49" fillId="10" borderId="175" applyNumberFormat="0" applyFont="0" applyAlignment="0" applyProtection="0"/>
    <xf numFmtId="0" fontId="41" fillId="13" borderId="125" applyNumberFormat="0" applyAlignment="0" applyProtection="0"/>
    <xf numFmtId="0" fontId="8" fillId="44" borderId="123" applyNumberFormat="0" applyFont="0" applyAlignment="0" applyProtection="0"/>
    <xf numFmtId="0" fontId="25" fillId="8" borderId="116" applyNumberFormat="0" applyAlignment="0" applyProtection="0"/>
    <xf numFmtId="0" fontId="48" fillId="12" borderId="116" applyNumberFormat="0" applyAlignment="0" applyProtection="0"/>
    <xf numFmtId="0" fontId="31" fillId="0" borderId="119" applyNumberFormat="0" applyFill="0" applyAlignment="0" applyProtection="0"/>
    <xf numFmtId="0" fontId="49" fillId="10" borderId="117" applyNumberFormat="0" applyFont="0" applyAlignment="0" applyProtection="0"/>
    <xf numFmtId="0" fontId="24" fillId="24" borderId="118" applyNumberFormat="0" applyAlignment="0" applyProtection="0"/>
    <xf numFmtId="0" fontId="31" fillId="0" borderId="163" applyNumberFormat="0" applyFill="0" applyAlignment="0" applyProtection="0"/>
    <xf numFmtId="0" fontId="16" fillId="24" borderId="141" applyNumberFormat="0" applyAlignment="0" applyProtection="0"/>
    <xf numFmtId="0" fontId="29" fillId="12" borderId="115" applyNumberFormat="0" applyAlignment="0" applyProtection="0"/>
    <xf numFmtId="0" fontId="25" fillId="13" borderId="116" applyNumberFormat="0" applyAlignment="0" applyProtection="0"/>
    <xf numFmtId="0" fontId="8" fillId="10" borderId="117" applyNumberFormat="0" applyFont="0" applyAlignment="0" applyProtection="0"/>
    <xf numFmtId="0" fontId="8" fillId="10" borderId="117" applyNumberFormat="0" applyFont="0" applyAlignment="0" applyProtection="0"/>
    <xf numFmtId="0" fontId="8" fillId="10" borderId="193" applyNumberFormat="0" applyFont="0" applyAlignment="0" applyProtection="0"/>
    <xf numFmtId="0" fontId="28" fillId="0" borderId="189"/>
    <xf numFmtId="0" fontId="16" fillId="24" borderId="192" applyNumberFormat="0" applyAlignment="0" applyProtection="0"/>
    <xf numFmtId="0" fontId="48" fillId="12" borderId="100" applyNumberFormat="0" applyAlignment="0" applyProtection="0"/>
    <xf numFmtId="0" fontId="28" fillId="10" borderId="166" applyNumberFormat="0" applyFont="0" applyAlignment="0" applyProtection="0"/>
    <xf numFmtId="0" fontId="24" fillId="24" borderId="160" applyNumberFormat="0" applyAlignment="0" applyProtection="0"/>
    <xf numFmtId="0" fontId="25" fillId="8" borderId="141" applyNumberFormat="0" applyAlignment="0" applyProtection="0"/>
    <xf numFmtId="0" fontId="25" fillId="13" borderId="192" applyNumberFormat="0" applyAlignment="0" applyProtection="0"/>
    <xf numFmtId="0" fontId="48" fillId="12" borderId="192" applyNumberFormat="0" applyAlignment="0" applyProtection="0"/>
    <xf numFmtId="0" fontId="25" fillId="13" borderId="116" applyNumberFormat="0" applyAlignment="0" applyProtection="0"/>
    <xf numFmtId="0" fontId="28" fillId="10" borderId="117" applyNumberFormat="0" applyFont="0" applyAlignment="0" applyProtection="0"/>
    <xf numFmtId="0" fontId="28" fillId="10" borderId="175" applyNumberFormat="0" applyFont="0" applyAlignment="0" applyProtection="0"/>
    <xf numFmtId="0" fontId="32" fillId="24" borderId="174" applyNumberFormat="0" applyAlignment="0" applyProtection="0"/>
    <xf numFmtId="0" fontId="48" fillId="12" borderId="165" applyNumberFormat="0" applyAlignment="0" applyProtection="0"/>
    <xf numFmtId="0" fontId="85" fillId="0" borderId="147"/>
    <xf numFmtId="0" fontId="29" fillId="24" borderId="115" applyNumberFormat="0" applyAlignment="0" applyProtection="0"/>
    <xf numFmtId="0" fontId="48" fillId="12" borderId="116" applyNumberFormat="0" applyAlignment="0" applyProtection="0"/>
    <xf numFmtId="0" fontId="8" fillId="10" borderId="142" applyNumberFormat="0" applyFont="0" applyAlignment="0" applyProtection="0"/>
    <xf numFmtId="0" fontId="49" fillId="10" borderId="126" applyNumberFormat="0" applyFont="0" applyAlignment="0" applyProtection="0"/>
    <xf numFmtId="0" fontId="31" fillId="0" borderId="156" applyNumberFormat="0" applyFill="0" applyAlignment="0" applyProtection="0"/>
    <xf numFmtId="0" fontId="8" fillId="44" borderId="148" applyNumberFormat="0" applyFont="0" applyAlignment="0" applyProtection="0"/>
    <xf numFmtId="0" fontId="85" fillId="0" borderId="147"/>
    <xf numFmtId="0" fontId="32" fillId="24" borderId="151" applyNumberFormat="0" applyAlignment="0" applyProtection="0"/>
    <xf numFmtId="0" fontId="31" fillId="0" borderId="190" applyNumberFormat="0" applyFill="0" applyAlignment="0" applyProtection="0"/>
    <xf numFmtId="0" fontId="8" fillId="10" borderId="193" applyNumberFormat="0" applyFont="0" applyAlignment="0" applyProtection="0"/>
    <xf numFmtId="0" fontId="85" fillId="0" borderId="97"/>
    <xf numFmtId="0" fontId="25" fillId="8" borderId="100" applyNumberFormat="0" applyAlignment="0" applyProtection="0"/>
    <xf numFmtId="0" fontId="18" fillId="10" borderId="101" applyNumberFormat="0" applyFont="0" applyAlignment="0" applyProtection="0"/>
    <xf numFmtId="0" fontId="8" fillId="10" borderId="101" applyNumberFormat="0" applyFont="0" applyAlignment="0" applyProtection="0"/>
    <xf numFmtId="0" fontId="31" fillId="0" borderId="103" applyNumberFormat="0" applyFill="0" applyAlignment="0" applyProtection="0"/>
    <xf numFmtId="0" fontId="49" fillId="10" borderId="101" applyNumberFormat="0" applyFont="0" applyAlignment="0" applyProtection="0"/>
    <xf numFmtId="0" fontId="16" fillId="24" borderId="100" applyNumberFormat="0" applyAlignment="0" applyProtection="0"/>
    <xf numFmtId="0" fontId="25" fillId="8" borderId="100" applyNumberFormat="0" applyAlignment="0" applyProtection="0"/>
    <xf numFmtId="0" fontId="48" fillId="12" borderId="100" applyNumberFormat="0" applyAlignment="0" applyProtection="0"/>
    <xf numFmtId="0" fontId="31" fillId="0" borderId="146" applyNumberFormat="0" applyFill="0" applyAlignment="0" applyProtection="0"/>
    <xf numFmtId="0" fontId="8" fillId="10" borderId="193" applyNumberFormat="0" applyFont="0" applyAlignment="0" applyProtection="0"/>
    <xf numFmtId="0" fontId="8" fillId="10" borderId="166" applyNumberFormat="0" applyFont="0" applyAlignment="0" applyProtection="0"/>
    <xf numFmtId="0" fontId="85" fillId="0" borderId="172"/>
    <xf numFmtId="0" fontId="31" fillId="0" borderId="177" applyNumberFormat="0" applyFill="0" applyAlignment="0" applyProtection="0"/>
    <xf numFmtId="0" fontId="85" fillId="72" borderId="172"/>
    <xf numFmtId="0" fontId="48" fillId="24" borderId="141" applyNumberFormat="0" applyAlignment="0" applyProtection="0"/>
    <xf numFmtId="0" fontId="29" fillId="24" borderId="168" applyNumberFormat="0" applyAlignment="0" applyProtection="0"/>
    <xf numFmtId="0" fontId="41" fillId="13" borderId="192" applyNumberFormat="0" applyAlignment="0" applyProtection="0"/>
    <xf numFmtId="0" fontId="28" fillId="10" borderId="193" applyNumberFormat="0" applyFont="0" applyAlignment="0" applyProtection="0"/>
    <xf numFmtId="0" fontId="29" fillId="24" borderId="168" applyNumberFormat="0" applyAlignment="0" applyProtection="0"/>
    <xf numFmtId="0" fontId="28" fillId="0" borderId="122"/>
    <xf numFmtId="0" fontId="24" fillId="24" borderId="118" applyNumberFormat="0" applyAlignment="0" applyProtection="0"/>
    <xf numFmtId="0" fontId="31" fillId="0" borderId="121" applyNumberFormat="0" applyFill="0" applyAlignment="0" applyProtection="0"/>
    <xf numFmtId="0" fontId="73" fillId="0" borderId="162" applyBorder="0">
      <alignment horizontal="center" vertical="center" wrapText="1"/>
    </xf>
    <xf numFmtId="0" fontId="85" fillId="72" borderId="172"/>
    <xf numFmtId="0" fontId="29" fillId="24" borderId="191" applyNumberFormat="0" applyAlignment="0" applyProtection="0"/>
    <xf numFmtId="0" fontId="24" fillId="24" borderId="167" applyNumberFormat="0" applyAlignment="0" applyProtection="0"/>
    <xf numFmtId="0" fontId="31" fillId="0" borderId="164" applyNumberFormat="0" applyFill="0" applyAlignment="0" applyProtection="0"/>
    <xf numFmtId="0" fontId="31" fillId="0" borderId="140" applyNumberFormat="0" applyFill="0" applyAlignment="0" applyProtection="0"/>
    <xf numFmtId="0" fontId="31" fillId="0" borderId="169" applyNumberFormat="0" applyFill="0" applyAlignment="0" applyProtection="0"/>
    <xf numFmtId="0" fontId="25" fillId="13" borderId="192" applyNumberFormat="0" applyAlignment="0" applyProtection="0"/>
    <xf numFmtId="0" fontId="31" fillId="0" borderId="198" applyNumberFormat="0" applyFill="0" applyAlignment="0" applyProtection="0"/>
    <xf numFmtId="0" fontId="48" fillId="12" borderId="141" applyNumberFormat="0" applyAlignment="0" applyProtection="0"/>
    <xf numFmtId="0" fontId="31" fillId="0" borderId="195" applyNumberFormat="0" applyFill="0" applyAlignment="0" applyProtection="0"/>
    <xf numFmtId="0" fontId="48" fillId="24" borderId="116" applyNumberFormat="0" applyAlignment="0" applyProtection="0"/>
    <xf numFmtId="0" fontId="48" fillId="12" borderId="116" applyNumberFormat="0" applyAlignment="0" applyProtection="0"/>
    <xf numFmtId="0" fontId="8" fillId="10" borderId="83" applyNumberFormat="0" applyFont="0" applyAlignment="0" applyProtection="0"/>
    <xf numFmtId="0" fontId="28" fillId="10" borderId="83" applyNumberFormat="0" applyFont="0" applyAlignment="0" applyProtection="0"/>
    <xf numFmtId="0" fontId="31" fillId="0" borderId="88" applyNumberFormat="0" applyFill="0" applyAlignment="0" applyProtection="0"/>
    <xf numFmtId="0" fontId="18" fillId="10" borderId="166" applyNumberFormat="0" applyFont="0" applyAlignment="0" applyProtection="0"/>
    <xf numFmtId="0" fontId="28" fillId="0" borderId="86"/>
    <xf numFmtId="0" fontId="49" fillId="10" borderId="175" applyNumberFormat="0" applyFont="0" applyAlignment="0" applyProtection="0"/>
    <xf numFmtId="0" fontId="31" fillId="0" borderId="183" applyNumberFormat="0" applyFill="0" applyAlignment="0" applyProtection="0"/>
    <xf numFmtId="0" fontId="31" fillId="0" borderId="121" applyNumberFormat="0" applyFill="0" applyAlignment="0" applyProtection="0"/>
    <xf numFmtId="0" fontId="28" fillId="10" borderId="126" applyNumberFormat="0" applyFont="0" applyAlignment="0" applyProtection="0"/>
    <xf numFmtId="0" fontId="28" fillId="0" borderId="122"/>
    <xf numFmtId="0" fontId="24" fillId="24" borderId="60" applyNumberFormat="0" applyAlignment="0" applyProtection="0"/>
    <xf numFmtId="0" fontId="8" fillId="10" borderId="59" applyNumberFormat="0" applyFont="0" applyAlignment="0" applyProtection="0"/>
    <xf numFmtId="0" fontId="8" fillId="10" borderId="59" applyNumberFormat="0" applyFont="0" applyAlignment="0" applyProtection="0"/>
    <xf numFmtId="0" fontId="29" fillId="24" borderId="76" applyNumberFormat="0" applyAlignment="0" applyProtection="0"/>
    <xf numFmtId="0" fontId="29" fillId="24" borderId="89" applyNumberFormat="0" applyAlignment="0" applyProtection="0"/>
    <xf numFmtId="0" fontId="25" fillId="13" borderId="58" applyNumberFormat="0" applyAlignment="0" applyProtection="0"/>
    <xf numFmtId="0" fontId="29" fillId="24" borderId="144" applyNumberFormat="0" applyAlignment="0" applyProtection="0"/>
    <xf numFmtId="0" fontId="32" fillId="24" borderId="141" applyNumberFormat="0" applyAlignment="0" applyProtection="0"/>
    <xf numFmtId="0" fontId="28" fillId="0" borderId="189"/>
    <xf numFmtId="0" fontId="8" fillId="10" borderId="83" applyNumberFormat="0" applyFont="0" applyAlignment="0" applyProtection="0"/>
    <xf numFmtId="0" fontId="8" fillId="10" borderId="83" applyNumberFormat="0" applyFon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25" fillId="8" borderId="192" applyNumberFormat="0" applyAlignment="0" applyProtection="0"/>
    <xf numFmtId="0" fontId="41" fillId="13" borderId="93" applyNumberFormat="0" applyAlignment="0" applyProtection="0"/>
    <xf numFmtId="0" fontId="32" fillId="24" borderId="93" applyNumberFormat="0" applyAlignment="0" applyProtection="0"/>
    <xf numFmtId="0" fontId="41" fillId="13" borderId="116" applyNumberFormat="0" applyAlignment="0" applyProtection="0"/>
    <xf numFmtId="0" fontId="31" fillId="0" borderId="50" applyNumberFormat="0" applyFill="0" applyAlignment="0" applyProtection="0"/>
    <xf numFmtId="0" fontId="31" fillId="0" borderId="53" applyNumberFormat="0" applyFill="0" applyAlignment="0" applyProtection="0"/>
    <xf numFmtId="0" fontId="85" fillId="0" borderId="51"/>
    <xf numFmtId="0" fontId="31" fillId="0" borderId="50" applyNumberFormat="0" applyFill="0" applyAlignment="0" applyProtection="0"/>
    <xf numFmtId="0" fontId="49" fillId="10" borderId="48" applyNumberFormat="0" applyFont="0" applyAlignment="0" applyProtection="0"/>
    <xf numFmtId="0" fontId="49" fillId="10" borderId="48" applyNumberFormat="0" applyFont="0" applyAlignment="0" applyProtection="0"/>
    <xf numFmtId="0" fontId="29" fillId="12" borderId="54" applyNumberFormat="0" applyAlignment="0" applyProtection="0"/>
    <xf numFmtId="0" fontId="28" fillId="10" borderId="48" applyNumberFormat="0" applyFont="0" applyAlignment="0" applyProtection="0"/>
    <xf numFmtId="0" fontId="29" fillId="12" borderId="54" applyNumberFormat="0" applyAlignment="0" applyProtection="0"/>
    <xf numFmtId="0" fontId="31" fillId="0" borderId="121" applyNumberFormat="0" applyFill="0" applyAlignment="0" applyProtection="0"/>
    <xf numFmtId="0" fontId="28" fillId="0" borderId="51"/>
    <xf numFmtId="0" fontId="8" fillId="10" borderId="48" applyNumberFormat="0" applyFont="0" applyAlignment="0" applyProtection="0"/>
    <xf numFmtId="0" fontId="31" fillId="0" borderId="53" applyNumberFormat="0" applyFill="0" applyAlignment="0" applyProtection="0"/>
    <xf numFmtId="0" fontId="18" fillId="10" borderId="48" applyNumberFormat="0" applyFont="0" applyAlignment="0" applyProtection="0"/>
    <xf numFmtId="0" fontId="29" fillId="24" borderId="54" applyNumberFormat="0" applyAlignment="0" applyProtection="0"/>
    <xf numFmtId="0" fontId="31" fillId="0" borderId="56" applyNumberFormat="0" applyFill="0" applyAlignment="0" applyProtection="0"/>
    <xf numFmtId="0" fontId="31" fillId="0" borderId="53" applyNumberFormat="0" applyFill="0" applyAlignment="0" applyProtection="0"/>
    <xf numFmtId="0" fontId="31" fillId="0" borderId="56" applyNumberFormat="0" applyFill="0" applyAlignment="0" applyProtection="0"/>
    <xf numFmtId="0" fontId="28" fillId="0" borderId="51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4" fillId="24" borderId="49" applyNumberFormat="0" applyAlignment="0" applyProtection="0"/>
    <xf numFmtId="0" fontId="28" fillId="10" borderId="48" applyNumberFormat="0" applyFont="0" applyAlignment="0" applyProtection="0"/>
    <xf numFmtId="0" fontId="18" fillId="10" borderId="48" applyNumberFormat="0" applyFont="0" applyAlignment="0" applyProtection="0"/>
    <xf numFmtId="0" fontId="29" fillId="12" borderId="54" applyNumberFormat="0" applyAlignment="0" applyProtection="0"/>
    <xf numFmtId="0" fontId="49" fillId="10" borderId="48" applyNumberFormat="0" applyFont="0" applyAlignment="0" applyProtection="0"/>
    <xf numFmtId="0" fontId="8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8" fillId="10" borderId="48" applyNumberFormat="0" applyFont="0" applyAlignment="0" applyProtection="0"/>
    <xf numFmtId="0" fontId="73" fillId="0" borderId="52" applyBorder="0">
      <alignment horizontal="center" vertical="center" wrapText="1"/>
    </xf>
    <xf numFmtId="0" fontId="31" fillId="0" borderId="50" applyNumberFormat="0" applyFill="0" applyAlignment="0" applyProtection="0"/>
    <xf numFmtId="0" fontId="49" fillId="10" borderId="48" applyNumberFormat="0" applyFont="0" applyAlignment="0" applyProtection="0"/>
    <xf numFmtId="0" fontId="31" fillId="0" borderId="55" applyNumberFormat="0" applyFill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31" fillId="0" borderId="56" applyNumberFormat="0" applyFill="0" applyAlignment="0" applyProtection="0"/>
    <xf numFmtId="0" fontId="24" fillId="24" borderId="49" applyNumberFormat="0" applyAlignment="0" applyProtection="0"/>
    <xf numFmtId="0" fontId="29" fillId="12" borderId="54" applyNumberFormat="0" applyAlignment="0" applyProtection="0"/>
    <xf numFmtId="0" fontId="31" fillId="0" borderId="56" applyNumberFormat="0" applyFill="0" applyAlignment="0" applyProtection="0"/>
    <xf numFmtId="0" fontId="29" fillId="12" borderId="54" applyNumberFormat="0" applyAlignment="0" applyProtection="0"/>
    <xf numFmtId="0" fontId="28" fillId="0" borderId="51"/>
    <xf numFmtId="0" fontId="49" fillId="10" borderId="48" applyNumberFormat="0" applyFon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18" fillId="10" borderId="48" applyNumberFormat="0" applyFont="0" applyAlignment="0" applyProtection="0"/>
    <xf numFmtId="0" fontId="31" fillId="0" borderId="119" applyNumberFormat="0" applyFill="0" applyAlignment="0" applyProtection="0"/>
    <xf numFmtId="0" fontId="31" fillId="0" borderId="53" applyNumberFormat="0" applyFill="0" applyAlignment="0" applyProtection="0"/>
    <xf numFmtId="0" fontId="8" fillId="10" borderId="48" applyNumberFormat="0" applyFont="0" applyAlignment="0" applyProtection="0"/>
    <xf numFmtId="0" fontId="25" fillId="8" borderId="165" applyNumberFormat="0" applyAlignment="0" applyProtection="0"/>
    <xf numFmtId="0" fontId="48" fillId="12" borderId="116" applyNumberFormat="0" applyAlignment="0" applyProtection="0"/>
    <xf numFmtId="0" fontId="31" fillId="0" borderId="56" applyNumberFormat="0" applyFill="0" applyAlignment="0" applyProtection="0"/>
    <xf numFmtId="0" fontId="31" fillId="0" borderId="55" applyNumberFormat="0" applyFill="0" applyAlignment="0" applyProtection="0"/>
    <xf numFmtId="0" fontId="29" fillId="24" borderId="54" applyNumberFormat="0" applyAlignment="0" applyProtection="0"/>
    <xf numFmtId="0" fontId="31" fillId="0" borderId="53" applyNumberFormat="0" applyFill="0" applyAlignment="0" applyProtection="0"/>
    <xf numFmtId="0" fontId="29" fillId="12" borderId="54" applyNumberFormat="0" applyAlignment="0" applyProtection="0"/>
    <xf numFmtId="0" fontId="31" fillId="0" borderId="114" applyNumberFormat="0" applyFill="0" applyAlignment="0" applyProtection="0"/>
    <xf numFmtId="0" fontId="31" fillId="0" borderId="50" applyNumberFormat="0" applyFill="0" applyAlignment="0" applyProtection="0"/>
    <xf numFmtId="0" fontId="31" fillId="0" borderId="98" applyNumberFormat="0" applyFill="0" applyAlignment="0" applyProtection="0"/>
    <xf numFmtId="0" fontId="48" fillId="24" borderId="141" applyNumberFormat="0" applyAlignment="0" applyProtection="0"/>
    <xf numFmtId="0" fontId="31" fillId="0" borderId="137" applyNumberFormat="0" applyFill="0" applyAlignment="0" applyProtection="0"/>
    <xf numFmtId="0" fontId="49" fillId="10" borderId="48" applyNumberFormat="0" applyFont="0" applyAlignment="0" applyProtection="0"/>
    <xf numFmtId="0" fontId="73" fillId="0" borderId="139" applyBorder="0">
      <alignment horizontal="center" vertical="center" wrapText="1"/>
    </xf>
    <xf numFmtId="0" fontId="48" fillId="24" borderId="192" applyNumberFormat="0" applyAlignment="0" applyProtection="0"/>
    <xf numFmtId="0" fontId="73" fillId="0" borderId="196" applyBorder="0">
      <alignment horizontal="center" vertical="center" wrapText="1"/>
    </xf>
    <xf numFmtId="0" fontId="49" fillId="10" borderId="166" applyNumberFormat="0" applyFont="0" applyAlignment="0" applyProtection="0"/>
    <xf numFmtId="0" fontId="31" fillId="0" borderId="146" applyNumberFormat="0" applyFill="0" applyAlignment="0" applyProtection="0"/>
    <xf numFmtId="0" fontId="41" fillId="13" borderId="141" applyNumberFormat="0" applyAlignment="0" applyProtection="0"/>
    <xf numFmtId="0" fontId="31" fillId="0" borderId="161" applyNumberFormat="0" applyFill="0" applyAlignment="0" applyProtection="0"/>
    <xf numFmtId="0" fontId="25" fillId="8" borderId="192" applyNumberFormat="0" applyAlignment="0" applyProtection="0"/>
    <xf numFmtId="0" fontId="31" fillId="0" borderId="170" applyNumberFormat="0" applyFill="0" applyAlignment="0" applyProtection="0"/>
    <xf numFmtId="0" fontId="28" fillId="0" borderId="86"/>
    <xf numFmtId="0" fontId="31" fillId="0" borderId="91" applyNumberFormat="0" applyFill="0" applyAlignment="0" applyProtection="0"/>
    <xf numFmtId="0" fontId="31" fillId="0" borderId="91" applyNumberFormat="0" applyFill="0" applyAlignment="0" applyProtection="0"/>
    <xf numFmtId="0" fontId="8" fillId="10" borderId="83" applyNumberFormat="0" applyFont="0" applyAlignment="0" applyProtection="0"/>
    <xf numFmtId="0" fontId="29" fillId="12" borderId="89" applyNumberFormat="0" applyAlignment="0" applyProtection="0"/>
    <xf numFmtId="0" fontId="49" fillId="10" borderId="83" applyNumberFormat="0" applyFont="0" applyAlignment="0" applyProtection="0"/>
    <xf numFmtId="0" fontId="31" fillId="0" borderId="183" applyNumberFormat="0" applyFill="0" applyAlignment="0" applyProtection="0"/>
    <xf numFmtId="0" fontId="29" fillId="24" borderId="76" applyNumberFormat="0" applyAlignment="0" applyProtection="0"/>
    <xf numFmtId="0" fontId="24" fillId="24" borderId="167" applyNumberFormat="0" applyAlignment="0" applyProtection="0"/>
    <xf numFmtId="0" fontId="24" fillId="24" borderId="194" applyNumberFormat="0" applyAlignment="0" applyProtection="0"/>
    <xf numFmtId="0" fontId="18" fillId="10" borderId="193" applyNumberFormat="0" applyFont="0" applyAlignment="0" applyProtection="0"/>
    <xf numFmtId="0" fontId="28" fillId="10" borderId="193" applyNumberFormat="0" applyFont="0" applyAlignment="0" applyProtection="0"/>
    <xf numFmtId="0" fontId="28" fillId="10" borderId="175" applyNumberFormat="0" applyFont="0" applyAlignment="0" applyProtection="0"/>
    <xf numFmtId="0" fontId="73" fillId="0" borderId="196" applyBorder="0">
      <alignment horizontal="center" vertical="center" wrapText="1"/>
    </xf>
    <xf numFmtId="0" fontId="8" fillId="44" borderId="200" applyNumberFormat="0" applyFont="0" applyAlignment="0" applyProtection="0"/>
    <xf numFmtId="0" fontId="25" fillId="8" borderId="116" applyNumberFormat="0" applyAlignment="0" applyProtection="0"/>
    <xf numFmtId="0" fontId="31" fillId="0" borderId="140" applyNumberFormat="0" applyFill="0" applyAlignment="0" applyProtection="0"/>
    <xf numFmtId="0" fontId="16" fillId="24" borderId="192" applyNumberFormat="0" applyAlignment="0" applyProtection="0"/>
    <xf numFmtId="0" fontId="29" fillId="24" borderId="191" applyNumberFormat="0" applyAlignment="0" applyProtection="0"/>
    <xf numFmtId="0" fontId="31" fillId="0" borderId="183" applyNumberFormat="0" applyFill="0" applyAlignment="0" applyProtection="0"/>
    <xf numFmtId="0" fontId="24" fillId="24" borderId="95" applyNumberFormat="0" applyAlignment="0" applyProtection="0"/>
    <xf numFmtId="0" fontId="28" fillId="10" borderId="94" applyNumberFormat="0" applyFont="0" applyAlignment="0" applyProtection="0"/>
    <xf numFmtId="0" fontId="28" fillId="10" borderId="117" applyNumberFormat="0" applyFont="0" applyAlignment="0" applyProtection="0"/>
    <xf numFmtId="0" fontId="41" fillId="13" borderId="93" applyNumberFormat="0" applyAlignment="0" applyProtection="0"/>
    <xf numFmtId="0" fontId="25" fillId="13" borderId="93" applyNumberFormat="0" applyAlignment="0" applyProtection="0"/>
    <xf numFmtId="0" fontId="48" fillId="24" borderId="174" applyNumberFormat="0" applyAlignment="0" applyProtection="0"/>
    <xf numFmtId="0" fontId="29" fillId="24" borderId="115" applyNumberFormat="0" applyAlignment="0" applyProtection="0"/>
    <xf numFmtId="0" fontId="16" fillId="24" borderId="93" applyNumberFormat="0" applyAlignment="0" applyProtection="0"/>
    <xf numFmtId="0" fontId="49" fillId="10" borderId="117" applyNumberFormat="0" applyFont="0" applyAlignment="0" applyProtection="0"/>
    <xf numFmtId="0" fontId="25" fillId="13" borderId="132" applyNumberFormat="0" applyAlignment="0" applyProtection="0"/>
    <xf numFmtId="0" fontId="29" fillId="12" borderId="89" applyNumberFormat="0" applyAlignment="0" applyProtection="0"/>
    <xf numFmtId="0" fontId="85" fillId="0" borderId="86"/>
    <xf numFmtId="0" fontId="28" fillId="0" borderId="86"/>
    <xf numFmtId="0" fontId="49" fillId="10" borderId="83" applyNumberFormat="0" applyFont="0" applyAlignment="0" applyProtection="0"/>
    <xf numFmtId="0" fontId="49" fillId="10" borderId="83" applyNumberFormat="0" applyFont="0" applyAlignment="0" applyProtection="0"/>
    <xf numFmtId="0" fontId="16" fillId="24" borderId="165" applyNumberFormat="0" applyAlignment="0" applyProtection="0"/>
    <xf numFmtId="0" fontId="28" fillId="0" borderId="86"/>
    <xf numFmtId="0" fontId="31" fillId="0" borderId="114" applyNumberFormat="0" applyFill="0" applyAlignment="0" applyProtection="0"/>
    <xf numFmtId="0" fontId="73" fillId="0" borderId="87" applyBorder="0">
      <alignment horizontal="center" vertical="center" wrapText="1"/>
    </xf>
    <xf numFmtId="0" fontId="8" fillId="10" borderId="83" applyNumberFormat="0" applyFont="0" applyAlignment="0" applyProtection="0"/>
    <xf numFmtId="0" fontId="31" fillId="0" borderId="85" applyNumberFormat="0" applyFill="0" applyAlignment="0" applyProtection="0"/>
    <xf numFmtId="0" fontId="18" fillId="10" borderId="117" applyNumberFormat="0" applyFont="0" applyAlignment="0" applyProtection="0"/>
    <xf numFmtId="0" fontId="73" fillId="0" borderId="171" applyBorder="0">
      <alignment horizontal="center" vertical="center" wrapText="1"/>
    </xf>
    <xf numFmtId="0" fontId="41" fillId="13" borderId="100" applyNumberFormat="0" applyAlignment="0" applyProtection="0"/>
    <xf numFmtId="0" fontId="31" fillId="0" borderId="164" applyNumberFormat="0" applyFill="0" applyAlignment="0" applyProtection="0"/>
    <xf numFmtId="0" fontId="28" fillId="10" borderId="166" applyNumberFormat="0" applyFont="0" applyAlignment="0" applyProtection="0"/>
    <xf numFmtId="0" fontId="85" fillId="0" borderId="189"/>
    <xf numFmtId="0" fontId="8" fillId="10" borderId="193" applyNumberFormat="0" applyFont="0" applyAlignment="0" applyProtection="0"/>
    <xf numFmtId="0" fontId="31" fillId="0" borderId="156" applyNumberFormat="0" applyFill="0" applyAlignment="0" applyProtection="0"/>
    <xf numFmtId="0" fontId="8" fillId="10" borderId="117" applyNumberFormat="0" applyFont="0" applyAlignment="0" applyProtection="0"/>
    <xf numFmtId="0" fontId="31" fillId="0" borderId="146" applyNumberFormat="0" applyFill="0" applyAlignment="0" applyProtection="0"/>
    <xf numFmtId="0" fontId="48" fillId="24" borderId="165" applyNumberFormat="0" applyAlignment="0" applyProtection="0"/>
    <xf numFmtId="0" fontId="41" fillId="13" borderId="116" applyNumberFormat="0" applyAlignment="0" applyProtection="0"/>
    <xf numFmtId="0" fontId="28" fillId="10" borderId="117" applyNumberFormat="0" applyFont="0" applyAlignment="0" applyProtection="0"/>
    <xf numFmtId="0" fontId="25" fillId="13" borderId="192" applyNumberFormat="0" applyAlignment="0" applyProtection="0"/>
    <xf numFmtId="0" fontId="29" fillId="24" borderId="168" applyNumberFormat="0" applyAlignment="0" applyProtection="0"/>
    <xf numFmtId="0" fontId="31" fillId="0" borderId="56" applyNumberFormat="0" applyFill="0" applyAlignment="0" applyProtection="0"/>
    <xf numFmtId="0" fontId="31" fillId="0" borderId="56" applyNumberFormat="0" applyFill="0" applyAlignment="0" applyProtection="0"/>
    <xf numFmtId="0" fontId="29" fillId="24" borderId="54" applyNumberFormat="0" applyAlignment="0" applyProtection="0"/>
    <xf numFmtId="0" fontId="8" fillId="10" borderId="48" applyNumberFormat="0" applyFont="0" applyAlignment="0" applyProtection="0"/>
    <xf numFmtId="0" fontId="28" fillId="10" borderId="48" applyNumberFormat="0" applyFont="0" applyAlignment="0" applyProtection="0"/>
    <xf numFmtId="0" fontId="31" fillId="0" borderId="85" applyNumberFormat="0" applyFill="0" applyAlignment="0" applyProtection="0"/>
    <xf numFmtId="0" fontId="28" fillId="10" borderId="159" applyNumberFormat="0" applyFont="0" applyAlignment="0" applyProtection="0"/>
    <xf numFmtId="0" fontId="41" fillId="13" borderId="100" applyNumberFormat="0" applyAlignment="0" applyProtection="0"/>
    <xf numFmtId="0" fontId="29" fillId="24" borderId="54" applyNumberFormat="0" applyAlignment="0" applyProtection="0"/>
    <xf numFmtId="0" fontId="29" fillId="24" borderId="54" applyNumberFormat="0" applyAlignment="0" applyProtection="0"/>
    <xf numFmtId="0" fontId="31" fillId="0" borderId="98" applyNumberFormat="0" applyFill="0" applyAlignment="0" applyProtection="0"/>
    <xf numFmtId="0" fontId="8" fillId="10" borderId="175" applyNumberFormat="0" applyFont="0" applyAlignment="0" applyProtection="0"/>
    <xf numFmtId="0" fontId="28" fillId="10" borderId="159" applyNumberFormat="0" applyFont="0" applyAlignment="0" applyProtection="0"/>
    <xf numFmtId="0" fontId="25" fillId="13" borderId="141" applyNumberFormat="0" applyAlignment="0" applyProtection="0"/>
    <xf numFmtId="0" fontId="29" fillId="24" borderId="144" applyNumberFormat="0" applyAlignment="0" applyProtection="0"/>
    <xf numFmtId="0" fontId="85" fillId="72" borderId="80"/>
    <xf numFmtId="0" fontId="49" fillId="10" borderId="101" applyNumberFormat="0" applyFont="0" applyAlignment="0" applyProtection="0"/>
    <xf numFmtId="0" fontId="8" fillId="10" borderId="175" applyNumberFormat="0" applyFont="0" applyAlignment="0" applyProtection="0"/>
    <xf numFmtId="0" fontId="28" fillId="0" borderId="80"/>
    <xf numFmtId="0" fontId="48" fillId="24" borderId="73" applyNumberFormat="0" applyAlignment="0" applyProtection="0"/>
    <xf numFmtId="0" fontId="29" fillId="12" borderId="76" applyNumberFormat="0" applyAlignment="0" applyProtection="0"/>
    <xf numFmtId="0" fontId="31" fillId="0" borderId="72" applyNumberFormat="0" applyFill="0" applyAlignment="0" applyProtection="0"/>
    <xf numFmtId="0" fontId="31" fillId="0" borderId="72" applyNumberFormat="0" applyFill="0" applyAlignment="0" applyProtection="0"/>
    <xf numFmtId="0" fontId="73" fillId="0" borderId="79" applyBorder="0">
      <alignment horizontal="center" vertical="center" wrapText="1"/>
    </xf>
    <xf numFmtId="0" fontId="8" fillId="44" borderId="92" applyNumberFormat="0" applyFont="0" applyAlignment="0" applyProtection="0"/>
    <xf numFmtId="0" fontId="25" fillId="8" borderId="116" applyNumberFormat="0" applyAlignment="0" applyProtection="0"/>
    <xf numFmtId="0" fontId="32" fillId="24" borderId="116" applyNumberFormat="0" applyAlignment="0" applyProtection="0"/>
    <xf numFmtId="0" fontId="31" fillId="0" borderId="121" applyNumberFormat="0" applyFill="0" applyAlignment="0" applyProtection="0"/>
    <xf numFmtId="0" fontId="31" fillId="0" borderId="146" applyNumberFormat="0" applyFill="0" applyAlignment="0" applyProtection="0"/>
    <xf numFmtId="0" fontId="28" fillId="0" borderId="178"/>
    <xf numFmtId="0" fontId="16" fillId="24" borderId="116" applyNumberFormat="0" applyAlignment="0" applyProtection="0"/>
    <xf numFmtId="0" fontId="16" fillId="24" borderId="116" applyNumberFormat="0" applyAlignment="0" applyProtection="0"/>
    <xf numFmtId="0" fontId="16" fillId="24" borderId="100" applyNumberFormat="0" applyAlignment="0" applyProtection="0"/>
    <xf numFmtId="0" fontId="8" fillId="10" borderId="142" applyNumberFormat="0" applyFont="0" applyAlignment="0" applyProtection="0"/>
    <xf numFmtId="0" fontId="18" fillId="10" borderId="101" applyNumberFormat="0" applyFont="0" applyAlignment="0" applyProtection="0"/>
    <xf numFmtId="0" fontId="31" fillId="0" borderId="156" applyNumberFormat="0" applyFill="0" applyAlignment="0" applyProtection="0"/>
    <xf numFmtId="0" fontId="49" fillId="10" borderId="166" applyNumberFormat="0" applyFont="0" applyAlignment="0" applyProtection="0"/>
    <xf numFmtId="0" fontId="29" fillId="24" borderId="191" applyNumberFormat="0" applyAlignment="0" applyProtection="0"/>
    <xf numFmtId="0" fontId="24" fillId="24" borderId="118" applyNumberFormat="0" applyAlignment="0" applyProtection="0"/>
    <xf numFmtId="0" fontId="16" fillId="24" borderId="192" applyNumberFormat="0" applyAlignment="0" applyProtection="0"/>
    <xf numFmtId="0" fontId="31" fillId="0" borderId="88" applyNumberFormat="0" applyFill="0" applyAlignment="0" applyProtection="0"/>
    <xf numFmtId="0" fontId="29" fillId="24" borderId="89" applyNumberFormat="0" applyAlignment="0" applyProtection="0"/>
    <xf numFmtId="0" fontId="28" fillId="10" borderId="83" applyNumberFormat="0" applyFont="0" applyAlignment="0" applyProtection="0"/>
    <xf numFmtId="0" fontId="29" fillId="24" borderId="115" applyNumberFormat="0" applyAlignment="0" applyProtection="0"/>
    <xf numFmtId="0" fontId="49" fillId="10" borderId="166" applyNumberFormat="0" applyFont="0" applyAlignment="0" applyProtection="0"/>
    <xf numFmtId="0" fontId="41" fillId="13" borderId="125" applyNumberFormat="0" applyAlignment="0" applyProtection="0"/>
    <xf numFmtId="0" fontId="85" fillId="0" borderId="122"/>
    <xf numFmtId="0" fontId="31" fillId="0" borderId="88" applyNumberFormat="0" applyFill="0" applyAlignment="0" applyProtection="0"/>
    <xf numFmtId="0" fontId="29" fillId="24" borderId="89" applyNumberFormat="0" applyAlignment="0" applyProtection="0"/>
    <xf numFmtId="0" fontId="48" fillId="12" borderId="141" applyNumberFormat="0" applyAlignment="0" applyProtection="0"/>
    <xf numFmtId="0" fontId="25" fillId="8" borderId="141" applyNumberFormat="0" applyAlignment="0" applyProtection="0"/>
    <xf numFmtId="0" fontId="29" fillId="24" borderId="131" applyNumberFormat="0" applyAlignment="0" applyProtection="0"/>
    <xf numFmtId="0" fontId="31" fillId="0" borderId="98" applyNumberFormat="0" applyFill="0" applyAlignment="0" applyProtection="0"/>
    <xf numFmtId="0" fontId="25" fillId="8" borderId="116" applyNumberFormat="0" applyAlignment="0" applyProtection="0"/>
    <xf numFmtId="0" fontId="25" fillId="8" borderId="73" applyNumberFormat="0" applyAlignment="0" applyProtection="0"/>
    <xf numFmtId="0" fontId="31" fillId="0" borderId="91" applyNumberFormat="0" applyFill="0" applyAlignment="0" applyProtection="0"/>
    <xf numFmtId="0" fontId="85" fillId="0" borderId="172"/>
    <xf numFmtId="0" fontId="48" fillId="12" borderId="73" applyNumberFormat="0" applyAlignment="0" applyProtection="0"/>
    <xf numFmtId="0" fontId="28" fillId="10" borderId="186" applyNumberFormat="0" applyFont="0" applyAlignment="0" applyProtection="0"/>
    <xf numFmtId="0" fontId="31" fillId="0" borderId="114" applyNumberFormat="0" applyFill="0" applyAlignment="0" applyProtection="0"/>
    <xf numFmtId="0" fontId="8" fillId="10" borderId="110" applyNumberFormat="0" applyFont="0" applyAlignment="0" applyProtection="0"/>
    <xf numFmtId="0" fontId="29" fillId="24" borderId="144" applyNumberFormat="0" applyAlignment="0" applyProtection="0"/>
    <xf numFmtId="0" fontId="31" fillId="0" borderId="103" applyNumberFormat="0" applyFill="0" applyAlignment="0" applyProtection="0"/>
    <xf numFmtId="0" fontId="25" fillId="13" borderId="100" applyNumberFormat="0" applyAlignment="0" applyProtection="0"/>
    <xf numFmtId="0" fontId="7" fillId="0" borderId="69">
      <alignment horizontal="center"/>
    </xf>
    <xf numFmtId="0" fontId="29" fillId="12" borderId="99" applyNumberFormat="0" applyAlignment="0" applyProtection="0"/>
    <xf numFmtId="0" fontId="18" fillId="10" borderId="74" applyNumberFormat="0" applyFont="0" applyAlignment="0" applyProtection="0"/>
    <xf numFmtId="0" fontId="31" fillId="0" borderId="156" applyNumberFormat="0" applyFill="0" applyAlignment="0" applyProtection="0"/>
    <xf numFmtId="0" fontId="25" fillId="13" borderId="141" applyNumberFormat="0" applyAlignment="0" applyProtection="0"/>
    <xf numFmtId="0" fontId="29" fillId="24" borderId="76" applyNumberFormat="0" applyAlignment="0" applyProtection="0"/>
    <xf numFmtId="0" fontId="31" fillId="0" borderId="72" applyNumberFormat="0" applyFill="0" applyAlignment="0" applyProtection="0"/>
    <xf numFmtId="0" fontId="29" fillId="12" borderId="168" applyNumberFormat="0" applyAlignment="0" applyProtection="0"/>
    <xf numFmtId="0" fontId="28" fillId="0" borderId="178"/>
    <xf numFmtId="0" fontId="31" fillId="0" borderId="195" applyNumberFormat="0" applyFill="0" applyAlignment="0" applyProtection="0"/>
    <xf numFmtId="0" fontId="31" fillId="0" borderId="183" applyNumberFormat="0" applyFill="0" applyAlignment="0" applyProtection="0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32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24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48" fillId="12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16" fillId="24" borderId="47" applyNumberFormat="0" applyAlignment="0" applyProtection="0"/>
    <xf numFmtId="0" fontId="31" fillId="0" borderId="120" applyNumberFormat="0" applyFill="0" applyAlignment="0" applyProtection="0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8" fillId="0" borderId="51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41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13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25" fillId="8" borderId="47" applyNumberFormat="0" applyAlignment="0" applyProtection="0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85" fillId="72" borderId="51"/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73" fillId="0" borderId="52" applyBorder="0">
      <alignment horizontal="center" vertical="center" wrapText="1"/>
    </xf>
    <xf numFmtId="0" fontId="28" fillId="10" borderId="117" applyNumberFormat="0" applyFont="0" applyAlignment="0" applyProtection="0"/>
    <xf numFmtId="0" fontId="31" fillId="0" borderId="163" applyNumberFormat="0" applyFill="0" applyAlignment="0" applyProtection="0"/>
    <xf numFmtId="0" fontId="41" fillId="13" borderId="201" applyNumberFormat="0" applyAlignment="0" applyProtection="0"/>
    <xf numFmtId="0" fontId="18" fillId="10" borderId="175" applyNumberFormat="0" applyFont="0" applyAlignment="0" applyProtection="0"/>
    <xf numFmtId="0" fontId="25" fillId="13" borderId="165" applyNumberFormat="0" applyAlignment="0" applyProtection="0"/>
    <xf numFmtId="0" fontId="31" fillId="0" borderId="197" applyNumberFormat="0" applyFill="0" applyAlignment="0" applyProtection="0"/>
    <xf numFmtId="0" fontId="29" fillId="24" borderId="89" applyNumberFormat="0" applyAlignment="0" applyProtection="0"/>
    <xf numFmtId="0" fontId="29" fillId="12" borderId="89" applyNumberFormat="0" applyAlignment="0" applyProtection="0"/>
    <xf numFmtId="0" fontId="49" fillId="10" borderId="48" applyNumberFormat="0" applyFont="0" applyAlignment="0" applyProtection="0"/>
    <xf numFmtId="0" fontId="48" fillId="12" borderId="47" applyNumberFormat="0" applyAlignment="0" applyProtection="0"/>
    <xf numFmtId="0" fontId="25" fillId="8" borderId="47" applyNumberFormat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24" fillId="24" borderId="49" applyNumberFormat="0" applyAlignment="0" applyProtection="0"/>
    <xf numFmtId="0" fontId="8" fillId="10" borderId="48" applyNumberFormat="0" applyFont="0" applyAlignment="0" applyProtection="0"/>
    <xf numFmtId="0" fontId="41" fillId="13" borderId="47" applyNumberFormat="0" applyAlignment="0" applyProtection="0"/>
    <xf numFmtId="0" fontId="48" fillId="12" borderId="47" applyNumberFormat="0" applyAlignment="0" applyProtection="0"/>
    <xf numFmtId="0" fontId="48" fillId="24" borderId="47" applyNumberFormat="0" applyAlignment="0" applyProtection="0"/>
    <xf numFmtId="0" fontId="31" fillId="0" borderId="53" applyNumberFormat="0" applyFill="0" applyAlignment="0" applyProtection="0"/>
    <xf numFmtId="0" fontId="48" fillId="24" borderId="47" applyNumberFormat="0" applyAlignment="0" applyProtection="0"/>
    <xf numFmtId="0" fontId="49" fillId="10" borderId="48" applyNumberFormat="0" applyFont="0" applyAlignment="0" applyProtection="0"/>
    <xf numFmtId="0" fontId="29" fillId="12" borderId="54" applyNumberFormat="0" applyAlignment="0" applyProtection="0"/>
    <xf numFmtId="0" fontId="8" fillId="10" borderId="48" applyNumberFormat="0" applyFont="0" applyAlignment="0" applyProtection="0"/>
    <xf numFmtId="0" fontId="8" fillId="10" borderId="48" applyNumberFormat="0" applyFont="0" applyAlignment="0" applyProtection="0"/>
    <xf numFmtId="0" fontId="49" fillId="10" borderId="48" applyNumberFormat="0" applyFont="0" applyAlignment="0" applyProtection="0"/>
    <xf numFmtId="0" fontId="31" fillId="0" borderId="50" applyNumberFormat="0" applyFill="0" applyAlignment="0" applyProtection="0"/>
    <xf numFmtId="0" fontId="31" fillId="0" borderId="53" applyNumberFormat="0" applyFill="0" applyAlignment="0" applyProtection="0"/>
    <xf numFmtId="0" fontId="31" fillId="0" borderId="50" applyNumberFormat="0" applyFill="0" applyAlignment="0" applyProtection="0"/>
    <xf numFmtId="0" fontId="31" fillId="0" borderId="53" applyNumberFormat="0" applyFill="0" applyAlignment="0" applyProtection="0"/>
    <xf numFmtId="0" fontId="49" fillId="10" borderId="117" applyNumberFormat="0" applyFon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32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24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48" fillId="12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16" fillId="24" borderId="58" applyNumberFormat="0" applyAlignment="0" applyProtection="0"/>
    <xf numFmtId="0" fontId="31" fillId="0" borderId="88" applyNumberFormat="0" applyFill="0" applyAlignment="0" applyProtection="0"/>
    <xf numFmtId="0" fontId="8" fillId="10" borderId="94" applyNumberFormat="0" applyFont="0" applyAlignment="0" applyProtection="0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8" fillId="0" borderId="62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41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13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25" fillId="8" borderId="58" applyNumberFormat="0" applyAlignment="0" applyProtection="0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85" fillId="72" borderId="62"/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73" fillId="0" borderId="46" applyBorder="0">
      <alignment horizontal="center" vertical="center" wrapText="1"/>
    </xf>
    <xf numFmtId="0" fontId="48" fillId="24" borderId="165" applyNumberFormat="0" applyAlignment="0" applyProtection="0"/>
    <xf numFmtId="0" fontId="32" fillId="24" borderId="165" applyNumberFormat="0" applyAlignment="0" applyProtection="0"/>
    <xf numFmtId="0" fontId="8" fillId="10" borderId="166" applyNumberFormat="0" applyFont="0" applyAlignment="0" applyProtection="0"/>
    <xf numFmtId="0" fontId="16" fillId="24" borderId="174" applyNumberFormat="0" applyAlignment="0" applyProtection="0"/>
    <xf numFmtId="0" fontId="28" fillId="10" borderId="175" applyNumberFormat="0" applyFont="0" applyAlignment="0" applyProtection="0"/>
    <xf numFmtId="0" fontId="31" fillId="0" borderId="106" applyNumberFormat="0" applyFill="0" applyAlignment="0" applyProtection="0"/>
    <xf numFmtId="0" fontId="41" fillId="13" borderId="100" applyNumberFormat="0" applyAlignment="0" applyProtection="0"/>
    <xf numFmtId="0" fontId="41" fillId="13" borderId="100" applyNumberFormat="0" applyAlignment="0" applyProtection="0"/>
    <xf numFmtId="0" fontId="73" fillId="0" borderId="136" applyBorder="0">
      <alignment horizontal="center" vertical="center" wrapText="1"/>
    </xf>
    <xf numFmtId="0" fontId="49" fillId="10" borderId="66" applyNumberFormat="0" applyFont="0" applyAlignment="0" applyProtection="0"/>
    <xf numFmtId="0" fontId="48" fillId="12" borderId="65" applyNumberFormat="0" applyAlignment="0" applyProtection="0"/>
    <xf numFmtId="0" fontId="25" fillId="8" borderId="65" applyNumberFormat="0" applyAlignment="0" applyProtection="0"/>
    <xf numFmtId="0" fontId="31" fillId="0" borderId="63" applyNumberFormat="0" applyFill="0" applyAlignment="0" applyProtection="0"/>
    <xf numFmtId="0" fontId="31" fillId="0" borderId="68" applyNumberFormat="0" applyFill="0" applyAlignment="0" applyProtection="0"/>
    <xf numFmtId="0" fontId="24" fillId="24" borderId="67" applyNumberFormat="0" applyAlignment="0" applyProtection="0"/>
    <xf numFmtId="0" fontId="8" fillId="10" borderId="66" applyNumberFormat="0" applyFont="0" applyAlignment="0" applyProtection="0"/>
    <xf numFmtId="0" fontId="41" fillId="13" borderId="65" applyNumberFormat="0" applyAlignment="0" applyProtection="0"/>
    <xf numFmtId="0" fontId="48" fillId="12" borderId="65" applyNumberFormat="0" applyAlignment="0" applyProtection="0"/>
    <xf numFmtId="0" fontId="48" fillId="24" borderId="65" applyNumberFormat="0" applyAlignment="0" applyProtection="0"/>
    <xf numFmtId="0" fontId="31" fillId="0" borderId="63" applyNumberFormat="0" applyFill="0" applyAlignment="0" applyProtection="0"/>
    <xf numFmtId="0" fontId="48" fillId="24" borderId="65" applyNumberFormat="0" applyAlignment="0" applyProtection="0"/>
    <xf numFmtId="0" fontId="49" fillId="10" borderId="66" applyNumberFormat="0" applyFont="0" applyAlignment="0" applyProtection="0"/>
    <xf numFmtId="0" fontId="29" fillId="12" borderId="64" applyNumberFormat="0" applyAlignment="0" applyProtection="0"/>
    <xf numFmtId="0" fontId="8" fillId="10" borderId="66" applyNumberFormat="0" applyFont="0" applyAlignment="0" applyProtection="0"/>
    <xf numFmtId="0" fontId="8" fillId="10" borderId="59" applyNumberFormat="0" applyFont="0" applyAlignment="0" applyProtection="0"/>
    <xf numFmtId="0" fontId="49" fillId="10" borderId="59" applyNumberFormat="0" applyFont="0" applyAlignment="0" applyProtection="0"/>
    <xf numFmtId="0" fontId="31" fillId="0" borderId="61" applyNumberFormat="0" applyFill="0" applyAlignment="0" applyProtection="0"/>
    <xf numFmtId="0" fontId="31" fillId="0" borderId="63" applyNumberFormat="0" applyFill="0" applyAlignment="0" applyProtection="0"/>
    <xf numFmtId="0" fontId="31" fillId="0" borderId="68" applyNumberFormat="0" applyFill="0" applyAlignment="0" applyProtection="0"/>
    <xf numFmtId="0" fontId="31" fillId="0" borderId="63" applyNumberFormat="0" applyFill="0" applyAlignment="0" applyProtection="0"/>
    <xf numFmtId="0" fontId="48" fillId="24" borderId="165" applyNumberFormat="0" applyAlignment="0" applyProtection="0"/>
    <xf numFmtId="0" fontId="49" fillId="10" borderId="193" applyNumberFormat="0" applyFont="0" applyAlignment="0" applyProtection="0"/>
    <xf numFmtId="0" fontId="31" fillId="0" borderId="161" applyNumberFormat="0" applyFill="0" applyAlignment="0" applyProtection="0"/>
    <xf numFmtId="0" fontId="8" fillId="10" borderId="142" applyNumberFormat="0" applyFont="0" applyAlignment="0" applyProtection="0"/>
    <xf numFmtId="0" fontId="48" fillId="12" borderId="100" applyNumberFormat="0" applyAlignment="0" applyProtection="0"/>
    <xf numFmtId="0" fontId="24" fillId="24" borderId="118" applyNumberFormat="0" applyAlignment="0" applyProtection="0"/>
    <xf numFmtId="0" fontId="31" fillId="0" borderId="156" applyNumberFormat="0" applyFill="0" applyAlignment="0" applyProtection="0"/>
    <xf numFmtId="0" fontId="24" fillId="24" borderId="153" applyNumberFormat="0" applyAlignment="0" applyProtection="0"/>
    <xf numFmtId="0" fontId="18" fillId="10" borderId="101" applyNumberFormat="0" applyFont="0" applyAlignment="0" applyProtection="0"/>
    <xf numFmtId="0" fontId="49" fillId="10" borderId="101" applyNumberFormat="0" applyFont="0" applyAlignment="0" applyProtection="0"/>
    <xf numFmtId="0" fontId="28" fillId="10" borderId="166" applyNumberFormat="0" applyFont="0" applyAlignment="0" applyProtection="0"/>
    <xf numFmtId="0" fontId="28" fillId="10" borderId="117" applyNumberFormat="0" applyFont="0" applyAlignment="0" applyProtection="0"/>
    <xf numFmtId="0" fontId="18" fillId="10" borderId="117" applyNumberFormat="0" applyFont="0" applyAlignment="0" applyProtection="0"/>
    <xf numFmtId="0" fontId="31" fillId="0" borderId="146" applyNumberFormat="0" applyFill="0" applyAlignment="0" applyProtection="0"/>
    <xf numFmtId="0" fontId="48" fillId="12" borderId="132" applyNumberFormat="0" applyAlignment="0" applyProtection="0"/>
    <xf numFmtId="0" fontId="29" fillId="24" borderId="168" applyNumberFormat="0" applyAlignment="0" applyProtection="0"/>
    <xf numFmtId="0" fontId="32" fillId="24" borderId="185" applyNumberFormat="0" applyAlignment="0" applyProtection="0"/>
    <xf numFmtId="0" fontId="25" fillId="8" borderId="165" applyNumberFormat="0" applyAlignment="0" applyProtection="0"/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32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24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48" fillId="12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16" fillId="24" borderId="82" applyNumberFormat="0" applyAlignment="0" applyProtection="0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28" fillId="0" borderId="86"/>
    <xf numFmtId="0" fontId="8" fillId="10" borderId="166" applyNumberFormat="0" applyFon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41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13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25" fillId="8" borderId="82" applyNumberFormat="0" applyAlignment="0" applyProtection="0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85" fillId="72" borderId="86"/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73" fillId="0" borderId="87" applyBorder="0">
      <alignment horizontal="center" vertical="center" wrapText="1"/>
    </xf>
    <xf numFmtId="0" fontId="29" fillId="12" borderId="168" applyNumberFormat="0" applyAlignment="0" applyProtection="0"/>
    <xf numFmtId="0" fontId="25" fillId="8" borderId="165" applyNumberFormat="0" applyAlignment="0" applyProtection="0"/>
    <xf numFmtId="0" fontId="31" fillId="0" borderId="182" applyNumberFormat="0" applyFill="0" applyAlignment="0" applyProtection="0"/>
    <xf numFmtId="0" fontId="31" fillId="0" borderId="183" applyNumberFormat="0" applyFill="0" applyAlignment="0" applyProtection="0"/>
    <xf numFmtId="0" fontId="25" fillId="8" borderId="116" applyNumberFormat="0" applyAlignment="0" applyProtection="0"/>
    <xf numFmtId="0" fontId="29" fillId="24" borderId="115" applyNumberFormat="0" applyAlignment="0" applyProtection="0"/>
    <xf numFmtId="0" fontId="28" fillId="0" borderId="178"/>
    <xf numFmtId="0" fontId="49" fillId="10" borderId="83" applyNumberFormat="0" applyFont="0" applyAlignment="0" applyProtection="0"/>
    <xf numFmtId="0" fontId="48" fillId="12" borderId="82" applyNumberFormat="0" applyAlignment="0" applyProtection="0"/>
    <xf numFmtId="0" fontId="25" fillId="8" borderId="82" applyNumberFormat="0" applyAlignment="0" applyProtection="0"/>
    <xf numFmtId="0" fontId="31" fillId="0" borderId="88" applyNumberFormat="0" applyFill="0" applyAlignment="0" applyProtection="0"/>
    <xf numFmtId="0" fontId="31" fillId="0" borderId="85" applyNumberFormat="0" applyFill="0" applyAlignment="0" applyProtection="0"/>
    <xf numFmtId="0" fontId="24" fillId="24" borderId="84" applyNumberFormat="0" applyAlignment="0" applyProtection="0"/>
    <xf numFmtId="0" fontId="8" fillId="10" borderId="83" applyNumberFormat="0" applyFont="0" applyAlignment="0" applyProtection="0"/>
    <xf numFmtId="0" fontId="41" fillId="13" borderId="82" applyNumberFormat="0" applyAlignment="0" applyProtection="0"/>
    <xf numFmtId="0" fontId="48" fillId="12" borderId="82" applyNumberFormat="0" applyAlignment="0" applyProtection="0"/>
    <xf numFmtId="0" fontId="48" fillId="24" borderId="82" applyNumberFormat="0" applyAlignment="0" applyProtection="0"/>
    <xf numFmtId="0" fontId="31" fillId="0" borderId="88" applyNumberFormat="0" applyFill="0" applyAlignment="0" applyProtection="0"/>
    <xf numFmtId="0" fontId="48" fillId="24" borderId="82" applyNumberFormat="0" applyAlignment="0" applyProtection="0"/>
    <xf numFmtId="0" fontId="49" fillId="10" borderId="83" applyNumberFormat="0" applyFont="0" applyAlignment="0" applyProtection="0"/>
    <xf numFmtId="0" fontId="29" fillId="12" borderId="89" applyNumberFormat="0" applyAlignment="0" applyProtection="0"/>
    <xf numFmtId="0" fontId="8" fillId="10" borderId="83" applyNumberFormat="0" applyFont="0" applyAlignment="0" applyProtection="0"/>
    <xf numFmtId="0" fontId="8" fillId="10" borderId="83" applyNumberFormat="0" applyFont="0" applyAlignment="0" applyProtection="0"/>
    <xf numFmtId="0" fontId="49" fillId="10" borderId="83" applyNumberFormat="0" applyFont="0" applyAlignment="0" applyProtection="0"/>
    <xf numFmtId="0" fontId="31" fillId="0" borderId="85" applyNumberFormat="0" applyFill="0" applyAlignment="0" applyProtection="0"/>
    <xf numFmtId="0" fontId="31" fillId="0" borderId="88" applyNumberFormat="0" applyFill="0" applyAlignment="0" applyProtection="0"/>
    <xf numFmtId="0" fontId="31" fillId="0" borderId="85" applyNumberFormat="0" applyFill="0" applyAlignment="0" applyProtection="0"/>
    <xf numFmtId="0" fontId="31" fillId="0" borderId="88" applyNumberFormat="0" applyFill="0" applyAlignment="0" applyProtection="0"/>
    <xf numFmtId="0" fontId="49" fillId="10" borderId="175" applyNumberFormat="0" applyFont="0" applyAlignment="0" applyProtection="0"/>
    <xf numFmtId="0" fontId="16" fillId="24" borderId="132" applyNumberFormat="0" applyAlignment="0" applyProtection="0"/>
    <xf numFmtId="0" fontId="28" fillId="0" borderId="189"/>
    <xf numFmtId="0" fontId="31" fillId="0" borderId="198" applyNumberFormat="0" applyFill="0" applyAlignment="0" applyProtection="0"/>
    <xf numFmtId="0" fontId="31" fillId="0" borderId="169" applyNumberFormat="0" applyFill="0" applyAlignment="0" applyProtection="0"/>
    <xf numFmtId="0" fontId="41" fillId="13" borderId="192" applyNumberFormat="0" applyAlignment="0" applyProtection="0"/>
    <xf numFmtId="0" fontId="28" fillId="0" borderId="147"/>
    <xf numFmtId="0" fontId="85" fillId="0" borderId="147"/>
    <xf numFmtId="0" fontId="31" fillId="0" borderId="183" applyNumberFormat="0" applyFill="0" applyAlignment="0" applyProtection="0"/>
    <xf numFmtId="0" fontId="16" fillId="24" borderId="100" applyNumberFormat="0" applyAlignment="0" applyProtection="0"/>
    <xf numFmtId="0" fontId="41" fillId="13" borderId="185" applyNumberFormat="0" applyAlignment="0" applyProtection="0"/>
    <xf numFmtId="0" fontId="8" fillId="10" borderId="175" applyNumberFormat="0" applyFont="0" applyAlignment="0" applyProtection="0"/>
    <xf numFmtId="0" fontId="29" fillId="24" borderId="144" applyNumberFormat="0" applyAlignment="0" applyProtection="0"/>
    <xf numFmtId="0" fontId="18" fillId="10" borderId="193" applyNumberFormat="0" applyFont="0" applyAlignment="0" applyProtection="0"/>
    <xf numFmtId="0" fontId="28" fillId="10" borderId="175" applyNumberFormat="0" applyFont="0" applyAlignment="0" applyProtection="0"/>
    <xf numFmtId="0" fontId="25" fillId="8" borderId="132" applyNumberFormat="0" applyAlignment="0" applyProtection="0"/>
    <xf numFmtId="0" fontId="49" fillId="10" borderId="175" applyNumberFormat="0" applyFont="0" applyAlignment="0" applyProtection="0"/>
    <xf numFmtId="0" fontId="48" fillId="12" borderId="192" applyNumberFormat="0" applyAlignment="0" applyProtection="0"/>
    <xf numFmtId="0" fontId="31" fillId="0" borderId="169" applyNumberFormat="0" applyFill="0" applyAlignment="0" applyProtection="0"/>
    <xf numFmtId="0" fontId="28" fillId="0" borderId="122"/>
    <xf numFmtId="0" fontId="31" fillId="0" borderId="195" applyNumberFormat="0" applyFill="0" applyAlignment="0" applyProtection="0"/>
    <xf numFmtId="0" fontId="48" fillId="24" borderId="165" applyNumberFormat="0" applyAlignment="0" applyProtection="0"/>
    <xf numFmtId="0" fontId="8" fillId="10" borderId="186" applyNumberFormat="0" applyFont="0" applyAlignment="0" applyProtection="0"/>
    <xf numFmtId="0" fontId="8" fillId="10" borderId="186" applyNumberFormat="0" applyFont="0" applyAlignment="0" applyProtection="0"/>
    <xf numFmtId="0" fontId="31" fillId="0" borderId="135" applyNumberFormat="0" applyFill="0" applyAlignment="0" applyProtection="0"/>
    <xf numFmtId="0" fontId="31" fillId="0" borderId="121" applyNumberFormat="0" applyFill="0" applyAlignment="0" applyProtection="0"/>
    <xf numFmtId="0" fontId="31" fillId="0" borderId="146" applyNumberFormat="0" applyFill="0" applyAlignment="0" applyProtection="0"/>
    <xf numFmtId="0" fontId="25" fillId="13" borderId="158" applyNumberFormat="0" applyAlignment="0" applyProtection="0"/>
    <xf numFmtId="0" fontId="25" fillId="13" borderId="165" applyNumberFormat="0" applyAlignment="0" applyProtection="0"/>
    <xf numFmtId="0" fontId="31" fillId="0" borderId="170" applyNumberFormat="0" applyFill="0" applyAlignment="0" applyProtection="0"/>
    <xf numFmtId="0" fontId="49" fillId="10" borderId="166" applyNumberFormat="0" applyFont="0" applyAlignment="0" applyProtection="0"/>
    <xf numFmtId="0" fontId="48" fillId="12" borderId="141" applyNumberFormat="0" applyAlignment="0" applyProtection="0"/>
    <xf numFmtId="0" fontId="31" fillId="0" borderId="119" applyNumberFormat="0" applyFill="0" applyAlignment="0" applyProtection="0"/>
    <xf numFmtId="0" fontId="29" fillId="24" borderId="115" applyNumberFormat="0" applyAlignment="0" applyProtection="0"/>
    <xf numFmtId="0" fontId="8" fillId="10" borderId="166" applyNumberFormat="0" applyFont="0" applyAlignment="0" applyProtection="0"/>
    <xf numFmtId="0" fontId="41" fillId="13" borderId="132" applyNumberFormat="0" applyAlignment="0" applyProtection="0"/>
    <xf numFmtId="0" fontId="28" fillId="10" borderId="133" applyNumberFormat="0" applyFont="0" applyAlignment="0" applyProtection="0"/>
    <xf numFmtId="0" fontId="73" fillId="0" borderId="104" applyBorder="0">
      <alignment horizontal="center" vertical="center" wrapText="1"/>
    </xf>
    <xf numFmtId="0" fontId="25" fillId="13" borderId="141" applyNumberFormat="0" applyAlignment="0" applyProtection="0"/>
    <xf numFmtId="0" fontId="25" fillId="8" borderId="116" applyNumberFormat="0" applyAlignment="0" applyProtection="0"/>
    <xf numFmtId="0" fontId="31" fillId="0" borderId="119" applyNumberFormat="0" applyFill="0" applyAlignment="0" applyProtection="0"/>
    <xf numFmtId="0" fontId="48" fillId="12" borderId="116" applyNumberFormat="0" applyAlignment="0" applyProtection="0"/>
    <xf numFmtId="0" fontId="41" fillId="13" borderId="165" applyNumberFormat="0" applyAlignment="0" applyProtection="0"/>
    <xf numFmtId="0" fontId="18" fillId="10" borderId="175" applyNumberFormat="0" applyFont="0" applyAlignment="0" applyProtection="0"/>
    <xf numFmtId="0" fontId="25" fillId="13" borderId="100" applyNumberFormat="0" applyAlignment="0" applyProtection="0"/>
    <xf numFmtId="0" fontId="29" fillId="24" borderId="144" applyNumberFormat="0" applyAlignment="0" applyProtection="0"/>
    <xf numFmtId="0" fontId="73" fillId="0" borderId="139" applyBorder="0">
      <alignment horizontal="center" vertical="center" wrapText="1"/>
    </xf>
    <xf numFmtId="0" fontId="25" fillId="13" borderId="116" applyNumberFormat="0" applyAlignment="0" applyProtection="0"/>
    <xf numFmtId="0" fontId="28" fillId="10" borderId="117" applyNumberFormat="0" applyFont="0" applyAlignment="0" applyProtection="0"/>
    <xf numFmtId="0" fontId="28" fillId="10" borderId="117" applyNumberFormat="0" applyFont="0" applyAlignment="0" applyProtection="0"/>
    <xf numFmtId="0" fontId="29" fillId="24" borderId="115" applyNumberFormat="0" applyAlignment="0" applyProtection="0"/>
    <xf numFmtId="0" fontId="31" fillId="0" borderId="121" applyNumberFormat="0" applyFill="0" applyAlignment="0" applyProtection="0"/>
    <xf numFmtId="0" fontId="49" fillId="10" borderId="193" applyNumberFormat="0" applyFont="0" applyAlignment="0" applyProtection="0"/>
    <xf numFmtId="0" fontId="16" fillId="24" borderId="201" applyNumberFormat="0" applyAlignment="0" applyProtection="0"/>
    <xf numFmtId="0" fontId="31" fillId="0" borderId="170" applyNumberFormat="0" applyFill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32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24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48" fillId="12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16" fillId="24" borderId="93" applyNumberFormat="0" applyAlignment="0" applyProtection="0"/>
    <xf numFmtId="0" fontId="85" fillId="0" borderId="122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8" fillId="0" borderId="97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41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13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25" fillId="8" borderId="93" applyNumberFormat="0" applyAlignment="0" applyProtection="0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85" fillId="72" borderId="97"/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73" fillId="0" borderId="79" applyBorder="0">
      <alignment horizontal="center" vertical="center" wrapText="1"/>
    </xf>
    <xf numFmtId="0" fontId="31" fillId="0" borderId="190" applyNumberFormat="0" applyFill="0" applyAlignment="0" applyProtection="0"/>
    <xf numFmtId="0" fontId="31" fillId="0" borderId="198" applyNumberFormat="0" applyFill="0" applyAlignment="0" applyProtection="0"/>
    <xf numFmtId="0" fontId="29" fillId="24" borderId="191" applyNumberFormat="0" applyAlignment="0" applyProtection="0"/>
    <xf numFmtId="0" fontId="28" fillId="10" borderId="193" applyNumberFormat="0" applyFont="0" applyAlignment="0" applyProtection="0"/>
    <xf numFmtId="0" fontId="24" fillId="24" borderId="203" applyNumberFormat="0" applyAlignment="0" applyProtection="0"/>
    <xf numFmtId="0" fontId="29" fillId="24" borderId="144" applyNumberFormat="0" applyAlignment="0" applyProtection="0"/>
    <xf numFmtId="0" fontId="31" fillId="0" borderId="149" applyNumberFormat="0" applyFill="0" applyAlignment="0" applyProtection="0"/>
    <xf numFmtId="0" fontId="31" fillId="0" borderId="149" applyNumberFormat="0" applyFill="0" applyAlignment="0" applyProtection="0"/>
    <xf numFmtId="0" fontId="18" fillId="10" borderId="186" applyNumberFormat="0" applyFont="0" applyAlignment="0" applyProtection="0"/>
    <xf numFmtId="0" fontId="49" fillId="10" borderId="101" applyNumberFormat="0" applyFont="0" applyAlignment="0" applyProtection="0"/>
    <xf numFmtId="0" fontId="48" fillId="12" borderId="100" applyNumberFormat="0" applyAlignment="0" applyProtection="0"/>
    <xf numFmtId="0" fontId="25" fillId="8" borderId="100" applyNumberFormat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24" fillId="24" borderId="102" applyNumberFormat="0" applyAlignment="0" applyProtection="0"/>
    <xf numFmtId="0" fontId="8" fillId="10" borderId="101" applyNumberFormat="0" applyFont="0" applyAlignment="0" applyProtection="0"/>
    <xf numFmtId="0" fontId="41" fillId="13" borderId="100" applyNumberFormat="0" applyAlignment="0" applyProtection="0"/>
    <xf numFmtId="0" fontId="48" fillId="12" borderId="100" applyNumberFormat="0" applyAlignment="0" applyProtection="0"/>
    <xf numFmtId="0" fontId="48" fillId="24" borderId="100" applyNumberFormat="0" applyAlignment="0" applyProtection="0"/>
    <xf numFmtId="0" fontId="31" fillId="0" borderId="98" applyNumberFormat="0" applyFill="0" applyAlignment="0" applyProtection="0"/>
    <xf numFmtId="0" fontId="48" fillId="24" borderId="100" applyNumberFormat="0" applyAlignment="0" applyProtection="0"/>
    <xf numFmtId="0" fontId="49" fillId="10" borderId="101" applyNumberFormat="0" applyFont="0" applyAlignment="0" applyProtection="0"/>
    <xf numFmtId="0" fontId="29" fillId="12" borderId="99" applyNumberFormat="0" applyAlignment="0" applyProtection="0"/>
    <xf numFmtId="0" fontId="8" fillId="10" borderId="101" applyNumberFormat="0" applyFont="0" applyAlignment="0" applyProtection="0"/>
    <xf numFmtId="0" fontId="8" fillId="10" borderId="94" applyNumberFormat="0" applyFont="0" applyAlignment="0" applyProtection="0"/>
    <xf numFmtId="0" fontId="49" fillId="10" borderId="94" applyNumberFormat="0" applyFont="0" applyAlignment="0" applyProtection="0"/>
    <xf numFmtId="0" fontId="31" fillId="0" borderId="96" applyNumberFormat="0" applyFill="0" applyAlignment="0" applyProtection="0"/>
    <xf numFmtId="0" fontId="31" fillId="0" borderId="98" applyNumberFormat="0" applyFill="0" applyAlignment="0" applyProtection="0"/>
    <xf numFmtId="0" fontId="31" fillId="0" borderId="103" applyNumberFormat="0" applyFill="0" applyAlignment="0" applyProtection="0"/>
    <xf numFmtId="0" fontId="31" fillId="0" borderId="98" applyNumberFormat="0" applyFill="0" applyAlignment="0" applyProtection="0"/>
    <xf numFmtId="0" fontId="25" fillId="13" borderId="192" applyNumberFormat="0" applyAlignment="0" applyProtection="0"/>
    <xf numFmtId="0" fontId="31" fillId="0" borderId="138" applyNumberFormat="0" applyFill="0" applyAlignment="0" applyProtection="0"/>
    <xf numFmtId="0" fontId="24" fillId="24" borderId="194" applyNumberFormat="0" applyAlignment="0" applyProtection="0"/>
    <xf numFmtId="0" fontId="48" fillId="12" borderId="165" applyNumberFormat="0" applyAlignment="0" applyProtection="0"/>
    <xf numFmtId="0" fontId="31" fillId="0" borderId="183" applyNumberFormat="0" applyFill="0" applyAlignment="0" applyProtection="0"/>
    <xf numFmtId="0" fontId="31" fillId="0" borderId="182" applyNumberFormat="0" applyFill="0" applyAlignment="0" applyProtection="0"/>
    <xf numFmtId="0" fontId="31" fillId="0" borderId="135" applyNumberFormat="0" applyFill="0" applyAlignment="0" applyProtection="0"/>
    <xf numFmtId="0" fontId="29" fillId="24" borderId="144" applyNumberFormat="0" applyAlignment="0" applyProtection="0"/>
    <xf numFmtId="0" fontId="24" fillId="24" borderId="160" applyNumberFormat="0" applyAlignment="0" applyProtection="0"/>
    <xf numFmtId="0" fontId="73" fillId="0" borderId="107" applyBorder="0">
      <alignment horizontal="center" vertical="center" wrapText="1"/>
    </xf>
    <xf numFmtId="0" fontId="28" fillId="10" borderId="152" applyNumberFormat="0" applyFont="0" applyAlignment="0" applyProtection="0"/>
    <xf numFmtId="0" fontId="48" fillId="12" borderId="192" applyNumberFormat="0" applyAlignment="0" applyProtection="0"/>
    <xf numFmtId="0" fontId="25" fillId="13" borderId="116" applyNumberFormat="0" applyAlignment="0" applyProtection="0"/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32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24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48" fillId="12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16" fillId="24" borderId="109" applyNumberFormat="0" applyAlignment="0" applyProtection="0"/>
    <xf numFmtId="0" fontId="49" fillId="10" borderId="152" applyNumberFormat="0" applyFont="0" applyAlignment="0" applyProtection="0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8" fillId="0" borderId="113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41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13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25" fillId="8" borderId="109" applyNumberFormat="0" applyAlignment="0" applyProtection="0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85" fillId="72" borderId="113"/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73" fillId="0" borderId="107" applyBorder="0">
      <alignment horizontal="center" vertical="center" wrapText="1"/>
    </xf>
    <xf numFmtId="0" fontId="25" fillId="8" borderId="192" applyNumberFormat="0" applyAlignment="0" applyProtection="0"/>
    <xf numFmtId="0" fontId="48" fillId="24" borderId="192" applyNumberFormat="0" applyAlignment="0" applyProtection="0"/>
    <xf numFmtId="0" fontId="8" fillId="10" borderId="193" applyNumberFormat="0" applyFont="0" applyAlignment="0" applyProtection="0"/>
    <xf numFmtId="0" fontId="25" fillId="13" borderId="192" applyNumberFormat="0" applyAlignment="0" applyProtection="0"/>
    <xf numFmtId="0" fontId="25" fillId="8" borderId="192" applyNumberFormat="0" applyAlignment="0" applyProtection="0"/>
    <xf numFmtId="0" fontId="31" fillId="0" borderId="197" applyNumberFormat="0" applyFill="0" applyAlignment="0" applyProtection="0"/>
    <xf numFmtId="0" fontId="8" fillId="10" borderId="193" applyNumberFormat="0" applyFont="0" applyAlignment="0" applyProtection="0"/>
    <xf numFmtId="0" fontId="31" fillId="0" borderId="170" applyNumberFormat="0" applyFill="0" applyAlignment="0" applyProtection="0"/>
    <xf numFmtId="0" fontId="28" fillId="10" borderId="175" applyNumberFormat="0" applyFont="0" applyAlignment="0" applyProtection="0"/>
    <xf numFmtId="0" fontId="28" fillId="10" borderId="193" applyNumberFormat="0" applyFont="0" applyAlignment="0" applyProtection="0"/>
    <xf numFmtId="0" fontId="48" fillId="12" borderId="165" applyNumberFormat="0" applyAlignment="0" applyProtection="0"/>
    <xf numFmtId="0" fontId="8" fillId="10" borderId="159" applyNumberFormat="0" applyFont="0" applyAlignment="0" applyProtection="0"/>
    <xf numFmtId="0" fontId="49" fillId="10" borderId="117" applyNumberFormat="0" applyFont="0" applyAlignment="0" applyProtection="0"/>
    <xf numFmtId="0" fontId="48" fillId="12" borderId="116" applyNumberFormat="0" applyAlignment="0" applyProtection="0"/>
    <xf numFmtId="0" fontId="25" fillId="8" borderId="116" applyNumberFormat="0" applyAlignment="0" applyProtection="0"/>
    <xf numFmtId="0" fontId="31" fillId="0" borderId="114" applyNumberFormat="0" applyFill="0" applyAlignment="0" applyProtection="0"/>
    <xf numFmtId="0" fontId="31" fillId="0" borderId="119" applyNumberFormat="0" applyFill="0" applyAlignment="0" applyProtection="0"/>
    <xf numFmtId="0" fontId="24" fillId="24" borderId="118" applyNumberFormat="0" applyAlignment="0" applyProtection="0"/>
    <xf numFmtId="0" fontId="8" fillId="10" borderId="117" applyNumberFormat="0" applyFont="0" applyAlignment="0" applyProtection="0"/>
    <xf numFmtId="0" fontId="41" fillId="13" borderId="116" applyNumberFormat="0" applyAlignment="0" applyProtection="0"/>
    <xf numFmtId="0" fontId="48" fillId="12" borderId="116" applyNumberFormat="0" applyAlignment="0" applyProtection="0"/>
    <xf numFmtId="0" fontId="48" fillId="24" borderId="116" applyNumberFormat="0" applyAlignment="0" applyProtection="0"/>
    <xf numFmtId="0" fontId="31" fillId="0" borderId="114" applyNumberFormat="0" applyFill="0" applyAlignment="0" applyProtection="0"/>
    <xf numFmtId="0" fontId="48" fillId="24" borderId="116" applyNumberFormat="0" applyAlignment="0" applyProtection="0"/>
    <xf numFmtId="0" fontId="49" fillId="10" borderId="117" applyNumberFormat="0" applyFont="0" applyAlignment="0" applyProtection="0"/>
    <xf numFmtId="0" fontId="29" fillId="12" borderId="115" applyNumberFormat="0" applyAlignment="0" applyProtection="0"/>
    <xf numFmtId="0" fontId="8" fillId="10" borderId="117" applyNumberFormat="0" applyFont="0" applyAlignment="0" applyProtection="0"/>
    <xf numFmtId="0" fontId="8" fillId="10" borderId="110" applyNumberFormat="0" applyFont="0" applyAlignment="0" applyProtection="0"/>
    <xf numFmtId="0" fontId="49" fillId="10" borderId="110" applyNumberFormat="0" applyFont="0" applyAlignment="0" applyProtection="0"/>
    <xf numFmtId="0" fontId="31" fillId="0" borderId="112" applyNumberFormat="0" applyFill="0" applyAlignment="0" applyProtection="0"/>
    <xf numFmtId="0" fontId="31" fillId="0" borderId="114" applyNumberFormat="0" applyFill="0" applyAlignment="0" applyProtection="0"/>
    <xf numFmtId="0" fontId="31" fillId="0" borderId="119" applyNumberFormat="0" applyFill="0" applyAlignment="0" applyProtection="0"/>
    <xf numFmtId="0" fontId="31" fillId="0" borderId="114" applyNumberFormat="0" applyFill="0" applyAlignment="0" applyProtection="0"/>
    <xf numFmtId="0" fontId="24" fillId="24" borderId="194" applyNumberFormat="0" applyAlignment="0" applyProtection="0"/>
    <xf numFmtId="0" fontId="31" fillId="0" borderId="156" applyNumberFormat="0" applyFill="0" applyAlignment="0" applyProtection="0"/>
    <xf numFmtId="0" fontId="16" fillId="24" borderId="132" applyNumberFormat="0" applyAlignment="0" applyProtection="0"/>
    <xf numFmtId="0" fontId="73" fillId="0" borderId="199" applyBorder="0">
      <alignment horizontal="center" vertical="center" wrapText="1"/>
    </xf>
    <xf numFmtId="0" fontId="16" fillId="24" borderId="192" applyNumberFormat="0" applyAlignment="0" applyProtection="0"/>
    <xf numFmtId="0" fontId="25" fillId="13" borderId="192" applyNumberFormat="0" applyAlignment="0" applyProtection="0"/>
    <xf numFmtId="0" fontId="28" fillId="0" borderId="172"/>
    <xf numFmtId="0" fontId="48" fillId="12" borderId="192" applyNumberFormat="0" applyAlignment="0" applyProtection="0"/>
    <xf numFmtId="0" fontId="31" fillId="0" borderId="198" applyNumberFormat="0" applyFill="0" applyAlignment="0" applyProtection="0"/>
    <xf numFmtId="0" fontId="24" fillId="24" borderId="160" applyNumberFormat="0" applyAlignment="0" applyProtection="0"/>
    <xf numFmtId="0" fontId="31" fillId="0" borderId="183" applyNumberFormat="0" applyFill="0" applyAlignment="0" applyProtection="0"/>
    <xf numFmtId="0" fontId="31" fillId="0" borderId="164" applyNumberFormat="0" applyFill="0" applyAlignment="0" applyProtection="0"/>
    <xf numFmtId="0" fontId="28" fillId="10" borderId="193" applyNumberFormat="0" applyFont="0" applyAlignment="0" applyProtection="0"/>
    <xf numFmtId="0" fontId="8" fillId="10" borderId="202" applyNumberFormat="0" applyFont="0" applyAlignment="0" applyProtection="0"/>
    <xf numFmtId="0" fontId="31" fillId="0" borderId="156" applyNumberFormat="0" applyFill="0" applyAlignment="0" applyProtection="0"/>
    <xf numFmtId="0" fontId="48" fillId="12" borderId="192" applyNumberFormat="0" applyAlignment="0" applyProtection="0"/>
    <xf numFmtId="0" fontId="31" fillId="0" borderId="169" applyNumberFormat="0" applyFill="0" applyAlignment="0" applyProtection="0"/>
    <xf numFmtId="0" fontId="49" fillId="10" borderId="202" applyNumberFormat="0" applyFont="0" applyAlignment="0" applyProtection="0"/>
    <xf numFmtId="0" fontId="24" fillId="24" borderId="203" applyNumberFormat="0" applyAlignment="0" applyProtection="0"/>
    <xf numFmtId="0" fontId="29" fillId="24" borderId="168" applyNumberFormat="0" applyAlignment="0" applyProtection="0"/>
    <xf numFmtId="0" fontId="49" fillId="10" borderId="175" applyNumberFormat="0" applyFont="0" applyAlignment="0" applyProtection="0"/>
    <xf numFmtId="0" fontId="73" fillId="0" borderId="136" applyBorder="0">
      <alignment horizontal="center" vertical="center" wrapText="1"/>
    </xf>
    <xf numFmtId="0" fontId="25" fillId="13" borderId="174" applyNumberFormat="0" applyAlignment="0" applyProtection="0"/>
    <xf numFmtId="0" fontId="31" fillId="0" borderId="183" applyNumberFormat="0" applyFill="0" applyAlignment="0" applyProtection="0"/>
    <xf numFmtId="0" fontId="73" fillId="0" borderId="171" applyBorder="0">
      <alignment horizontal="center" vertical="center" wrapText="1"/>
    </xf>
    <xf numFmtId="0" fontId="28" fillId="10" borderId="166" applyNumberFormat="0" applyFont="0" applyAlignment="0" applyProtection="0"/>
    <xf numFmtId="0" fontId="25" fillId="13" borderId="132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32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24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48" fillId="12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16" fillId="24" borderId="125" applyNumberFormat="0" applyAlignment="0" applyProtection="0"/>
    <xf numFmtId="0" fontId="49" fillId="10" borderId="166" applyNumberFormat="0" applyFont="0" applyAlignment="0" applyProtection="0"/>
    <xf numFmtId="0" fontId="48" fillId="12" borderId="165" applyNumberFormat="0" applyAlignment="0" applyProtection="0"/>
    <xf numFmtId="0" fontId="49" fillId="10" borderId="175" applyNumberFormat="0" applyFont="0" applyAlignment="0" applyProtection="0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8" fillId="0" borderId="129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41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13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25" fillId="8" borderId="125" applyNumberFormat="0" applyAlignment="0" applyProtection="0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85" fillId="72" borderId="129"/>
    <xf numFmtId="0" fontId="48" fillId="12" borderId="165" applyNumberFormat="0" applyAlignment="0" applyProtection="0"/>
    <xf numFmtId="0" fontId="41" fillId="13" borderId="165" applyNumberFormat="0" applyAlignment="0" applyProtection="0"/>
    <xf numFmtId="0" fontId="8" fillId="10" borderId="166" applyNumberFormat="0" applyFont="0" applyAlignment="0" applyProtection="0"/>
    <xf numFmtId="0" fontId="8" fillId="10" borderId="166" applyNumberFormat="0" applyFont="0" applyAlignment="0" applyProtection="0"/>
    <xf numFmtId="0" fontId="49" fillId="10" borderId="166" applyNumberFormat="0" applyFont="0" applyAlignment="0" applyProtection="0"/>
    <xf numFmtId="0" fontId="29" fillId="12" borderId="168" applyNumberFormat="0" applyAlignment="0" applyProtection="0"/>
    <xf numFmtId="0" fontId="31" fillId="0" borderId="170" applyNumberFormat="0" applyFill="0" applyAlignment="0" applyProtection="0"/>
    <xf numFmtId="0" fontId="16" fillId="24" borderId="201" applyNumberFormat="0" applyAlignment="0" applyProtection="0"/>
    <xf numFmtId="0" fontId="73" fillId="0" borderId="171" applyBorder="0">
      <alignment horizontal="center" vertical="center" wrapText="1"/>
    </xf>
    <xf numFmtId="0" fontId="32" fillId="24" borderId="165" applyNumberFormat="0" applyAlignment="0" applyProtection="0"/>
    <xf numFmtId="0" fontId="16" fillId="24" borderId="165" applyNumberFormat="0" applyAlignment="0" applyProtection="0"/>
    <xf numFmtId="0" fontId="25" fillId="13" borderId="165" applyNumberFormat="0" applyAlignment="0" applyProtection="0"/>
    <xf numFmtId="0" fontId="8" fillId="10" borderId="166" applyNumberFormat="0" applyFont="0" applyAlignment="0" applyProtection="0"/>
    <xf numFmtId="0" fontId="24" fillId="24" borderId="167" applyNumberFormat="0" applyAlignment="0" applyProtection="0"/>
    <xf numFmtId="0" fontId="29" fillId="24" borderId="168" applyNumberFormat="0" applyAlignment="0" applyProtection="0"/>
    <xf numFmtId="0" fontId="29" fillId="24" borderId="168" applyNumberFormat="0" applyAlignment="0" applyProtection="0"/>
    <xf numFmtId="0" fontId="31" fillId="0" borderId="163" applyNumberFormat="0" applyFill="0" applyAlignment="0" applyProtection="0"/>
    <xf numFmtId="0" fontId="31" fillId="0" borderId="164" applyNumberFormat="0" applyFill="0" applyAlignment="0" applyProtection="0"/>
    <xf numFmtId="0" fontId="48" fillId="24" borderId="192" applyNumberFormat="0" applyAlignment="0" applyProtection="0"/>
    <xf numFmtId="0" fontId="73" fillId="0" borderId="199" applyBorder="0">
      <alignment horizontal="center" vertical="center" wrapText="1"/>
    </xf>
    <xf numFmtId="0" fontId="31" fillId="0" borderId="197" applyNumberFormat="0" applyFill="0" applyAlignment="0" applyProtection="0"/>
    <xf numFmtId="0" fontId="49" fillId="10" borderId="133" applyNumberFormat="0" applyFont="0" applyAlignment="0" applyProtection="0"/>
    <xf numFmtId="0" fontId="48" fillId="12" borderId="132" applyNumberFormat="0" applyAlignment="0" applyProtection="0"/>
    <xf numFmtId="0" fontId="25" fillId="8" borderId="132" applyNumberFormat="0" applyAlignment="0" applyProtection="0"/>
    <xf numFmtId="0" fontId="31" fillId="0" borderId="130" applyNumberFormat="0" applyFill="0" applyAlignment="0" applyProtection="0"/>
    <xf numFmtId="0" fontId="31" fillId="0" borderId="135" applyNumberFormat="0" applyFill="0" applyAlignment="0" applyProtection="0"/>
    <xf numFmtId="0" fontId="24" fillId="24" borderId="134" applyNumberFormat="0" applyAlignment="0" applyProtection="0"/>
    <xf numFmtId="0" fontId="8" fillId="10" borderId="133" applyNumberFormat="0" applyFont="0" applyAlignment="0" applyProtection="0"/>
    <xf numFmtId="0" fontId="41" fillId="13" borderId="132" applyNumberFormat="0" applyAlignment="0" applyProtection="0"/>
    <xf numFmtId="0" fontId="48" fillId="12" borderId="132" applyNumberFormat="0" applyAlignment="0" applyProtection="0"/>
    <xf numFmtId="0" fontId="48" fillId="24" borderId="132" applyNumberFormat="0" applyAlignment="0" applyProtection="0"/>
    <xf numFmtId="0" fontId="31" fillId="0" borderId="130" applyNumberFormat="0" applyFill="0" applyAlignment="0" applyProtection="0"/>
    <xf numFmtId="0" fontId="48" fillId="24" borderId="132" applyNumberFormat="0" applyAlignment="0" applyProtection="0"/>
    <xf numFmtId="0" fontId="49" fillId="10" borderId="133" applyNumberFormat="0" applyFont="0" applyAlignment="0" applyProtection="0"/>
    <xf numFmtId="0" fontId="29" fillId="12" borderId="131" applyNumberFormat="0" applyAlignment="0" applyProtection="0"/>
    <xf numFmtId="0" fontId="8" fillId="10" borderId="133" applyNumberFormat="0" applyFont="0" applyAlignment="0" applyProtection="0"/>
    <xf numFmtId="0" fontId="8" fillId="10" borderId="126" applyNumberFormat="0" applyFont="0" applyAlignment="0" applyProtection="0"/>
    <xf numFmtId="0" fontId="49" fillId="10" borderId="126" applyNumberFormat="0" applyFont="0" applyAlignment="0" applyProtection="0"/>
    <xf numFmtId="0" fontId="31" fillId="0" borderId="128" applyNumberFormat="0" applyFill="0" applyAlignment="0" applyProtection="0"/>
    <xf numFmtId="0" fontId="31" fillId="0" borderId="130" applyNumberFormat="0" applyFill="0" applyAlignment="0" applyProtection="0"/>
    <xf numFmtId="0" fontId="31" fillId="0" borderId="135" applyNumberFormat="0" applyFill="0" applyAlignment="0" applyProtection="0"/>
    <xf numFmtId="0" fontId="31" fillId="0" borderId="130" applyNumberFormat="0" applyFill="0" applyAlignment="0" applyProtection="0"/>
    <xf numFmtId="0" fontId="28" fillId="10" borderId="193" applyNumberFormat="0" applyFont="0" applyAlignment="0" applyProtection="0"/>
    <xf numFmtId="0" fontId="85" fillId="0" borderId="178"/>
    <xf numFmtId="0" fontId="73" fillId="0" borderId="199" applyBorder="0">
      <alignment horizontal="center" vertical="center" wrapText="1"/>
    </xf>
    <xf numFmtId="0" fontId="24" fillId="24" borderId="194" applyNumberFormat="0" applyAlignment="0" applyProtection="0"/>
    <xf numFmtId="0" fontId="24" fillId="24" borderId="194" applyNumberFormat="0" applyAlignment="0" applyProtection="0"/>
    <xf numFmtId="0" fontId="31" fillId="0" borderId="156" applyNumberFormat="0" applyFill="0" applyAlignment="0" applyProtection="0"/>
    <xf numFmtId="0" fontId="31" fillId="0" borderId="183" applyNumberFormat="0" applyFill="0" applyAlignment="0" applyProtection="0"/>
    <xf numFmtId="0" fontId="25" fillId="13" borderId="192" applyNumberFormat="0" applyAlignment="0" applyProtection="0"/>
    <xf numFmtId="0" fontId="73" fillId="0" borderId="162" applyBorder="0">
      <alignment horizontal="center" vertical="center" wrapText="1"/>
    </xf>
    <xf numFmtId="0" fontId="24" fillId="24" borderId="187" applyNumberFormat="0" applyAlignment="0" applyProtection="0"/>
    <xf numFmtId="0" fontId="25" fillId="13" borderId="158" applyNumberFormat="0" applyAlignment="0" applyProtection="0"/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32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24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48" fillId="12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16" fillId="24" borderId="151" applyNumberFormat="0" applyAlignment="0" applyProtection="0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8" fillId="0" borderId="155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41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13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25" fillId="8" borderId="151" applyNumberFormat="0" applyAlignment="0" applyProtection="0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85" fillId="72" borderId="155"/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73" fillId="0" borderId="139" applyBorder="0">
      <alignment horizontal="center" vertical="center" wrapText="1"/>
    </xf>
    <xf numFmtId="0" fontId="85" fillId="0" borderId="189"/>
    <xf numFmtId="0" fontId="85" fillId="0" borderId="189"/>
    <xf numFmtId="0" fontId="49" fillId="10" borderId="159" applyNumberFormat="0" applyFont="0" applyAlignment="0" applyProtection="0"/>
    <xf numFmtId="0" fontId="48" fillId="12" borderId="158" applyNumberFormat="0" applyAlignment="0" applyProtection="0"/>
    <xf numFmtId="0" fontId="25" fillId="8" borderId="158" applyNumberFormat="0" applyAlignment="0" applyProtection="0"/>
    <xf numFmtId="0" fontId="31" fillId="0" borderId="156" applyNumberFormat="0" applyFill="0" applyAlignment="0" applyProtection="0"/>
    <xf numFmtId="0" fontId="31" fillId="0" borderId="161" applyNumberFormat="0" applyFill="0" applyAlignment="0" applyProtection="0"/>
    <xf numFmtId="0" fontId="24" fillId="24" borderId="160" applyNumberFormat="0" applyAlignment="0" applyProtection="0"/>
    <xf numFmtId="0" fontId="8" fillId="10" borderId="159" applyNumberFormat="0" applyFont="0" applyAlignment="0" applyProtection="0"/>
    <xf numFmtId="0" fontId="41" fillId="13" borderId="158" applyNumberFormat="0" applyAlignment="0" applyProtection="0"/>
    <xf numFmtId="0" fontId="48" fillId="12" borderId="158" applyNumberFormat="0" applyAlignment="0" applyProtection="0"/>
    <xf numFmtId="0" fontId="48" fillId="24" borderId="158" applyNumberFormat="0" applyAlignment="0" applyProtection="0"/>
    <xf numFmtId="0" fontId="31" fillId="0" borderId="156" applyNumberFormat="0" applyFill="0" applyAlignment="0" applyProtection="0"/>
    <xf numFmtId="0" fontId="48" fillId="24" borderId="158" applyNumberFormat="0" applyAlignment="0" applyProtection="0"/>
    <xf numFmtId="0" fontId="49" fillId="10" borderId="159" applyNumberFormat="0" applyFont="0" applyAlignment="0" applyProtection="0"/>
    <xf numFmtId="0" fontId="29" fillId="12" borderId="157" applyNumberFormat="0" applyAlignment="0" applyProtection="0"/>
    <xf numFmtId="0" fontId="8" fillId="10" borderId="159" applyNumberFormat="0" applyFont="0" applyAlignment="0" applyProtection="0"/>
    <xf numFmtId="0" fontId="8" fillId="10" borderId="152" applyNumberFormat="0" applyFont="0" applyAlignment="0" applyProtection="0"/>
    <xf numFmtId="0" fontId="49" fillId="10" borderId="152" applyNumberFormat="0" applyFont="0" applyAlignment="0" applyProtection="0"/>
    <xf numFmtId="0" fontId="31" fillId="0" borderId="154" applyNumberFormat="0" applyFill="0" applyAlignment="0" applyProtection="0"/>
    <xf numFmtId="0" fontId="31" fillId="0" borderId="156" applyNumberFormat="0" applyFill="0" applyAlignment="0" applyProtection="0"/>
    <xf numFmtId="0" fontId="31" fillId="0" borderId="161" applyNumberFormat="0" applyFill="0" applyAlignment="0" applyProtection="0"/>
    <xf numFmtId="0" fontId="31" fillId="0" borderId="156" applyNumberFormat="0" applyFill="0" applyAlignment="0" applyProtection="0"/>
    <xf numFmtId="0" fontId="48" fillId="24" borderId="192" applyNumberFormat="0" applyAlignment="0" applyProtection="0"/>
    <xf numFmtId="0" fontId="31" fillId="0" borderId="195" applyNumberFormat="0" applyFill="0" applyAlignment="0" applyProtection="0"/>
    <xf numFmtId="0" fontId="29" fillId="24" borderId="191" applyNumberFormat="0" applyAlignment="0" applyProtection="0"/>
    <xf numFmtId="0" fontId="73" fillId="0" borderId="124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32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24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48" fillId="12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16" fillId="24" borderId="174" applyNumberFormat="0" applyAlignment="0" applyProtection="0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8" fillId="0" borderId="178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41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13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25" fillId="8" borderId="174" applyNumberFormat="0" applyAlignment="0" applyProtection="0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85" fillId="72" borderId="178"/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73" fillId="0" borderId="179" applyBorder="0">
      <alignment horizontal="center" vertical="center" wrapText="1"/>
    </xf>
    <xf numFmtId="0" fontId="49" fillId="10" borderId="175" applyNumberFormat="0" applyFont="0" applyAlignment="0" applyProtection="0"/>
    <xf numFmtId="0" fontId="48" fillId="12" borderId="174" applyNumberFormat="0" applyAlignment="0" applyProtection="0"/>
    <xf numFmtId="0" fontId="25" fillId="8" borderId="174" applyNumberFormat="0" applyAlignment="0" applyProtection="0"/>
    <xf numFmtId="0" fontId="31" fillId="0" borderId="180" applyNumberFormat="0" applyFill="0" applyAlignment="0" applyProtection="0"/>
    <xf numFmtId="0" fontId="31" fillId="0" borderId="177" applyNumberFormat="0" applyFill="0" applyAlignment="0" applyProtection="0"/>
    <xf numFmtId="0" fontId="24" fillId="24" borderId="176" applyNumberFormat="0" applyAlignment="0" applyProtection="0"/>
    <xf numFmtId="0" fontId="8" fillId="10" borderId="175" applyNumberFormat="0" applyFont="0" applyAlignment="0" applyProtection="0"/>
    <xf numFmtId="0" fontId="41" fillId="13" borderId="174" applyNumberFormat="0" applyAlignment="0" applyProtection="0"/>
    <xf numFmtId="0" fontId="48" fillId="12" borderId="174" applyNumberFormat="0" applyAlignment="0" applyProtection="0"/>
    <xf numFmtId="0" fontId="48" fillId="24" borderId="174" applyNumberFormat="0" applyAlignment="0" applyProtection="0"/>
    <xf numFmtId="0" fontId="31" fillId="0" borderId="180" applyNumberFormat="0" applyFill="0" applyAlignment="0" applyProtection="0"/>
    <xf numFmtId="0" fontId="48" fillId="24" borderId="174" applyNumberFormat="0" applyAlignment="0" applyProtection="0"/>
    <xf numFmtId="0" fontId="49" fillId="10" borderId="175" applyNumberFormat="0" applyFont="0" applyAlignment="0" applyProtection="0"/>
    <xf numFmtId="0" fontId="29" fillId="12" borderId="181" applyNumberFormat="0" applyAlignment="0" applyProtection="0"/>
    <xf numFmtId="0" fontId="8" fillId="10" borderId="175" applyNumberFormat="0" applyFont="0" applyAlignment="0" applyProtection="0"/>
    <xf numFmtId="0" fontId="8" fillId="10" borderId="175" applyNumberFormat="0" applyFont="0" applyAlignment="0" applyProtection="0"/>
    <xf numFmtId="0" fontId="49" fillId="10" borderId="175" applyNumberFormat="0" applyFont="0" applyAlignment="0" applyProtection="0"/>
    <xf numFmtId="0" fontId="31" fillId="0" borderId="177" applyNumberFormat="0" applyFill="0" applyAlignment="0" applyProtection="0"/>
    <xf numFmtId="0" fontId="31" fillId="0" borderId="180" applyNumberFormat="0" applyFill="0" applyAlignment="0" applyProtection="0"/>
    <xf numFmtId="0" fontId="31" fillId="0" borderId="177" applyNumberFormat="0" applyFill="0" applyAlignment="0" applyProtection="0"/>
    <xf numFmtId="0" fontId="31" fillId="0" borderId="180" applyNumberFormat="0" applyFill="0" applyAlignment="0" applyProtection="0"/>
    <xf numFmtId="0" fontId="16" fillId="24" borderId="192" applyNumberFormat="0" applyAlignment="0" applyProtection="0"/>
    <xf numFmtId="0" fontId="73" fillId="0" borderId="196" applyBorder="0">
      <alignment horizontal="center" vertical="center" wrapText="1"/>
    </xf>
    <xf numFmtId="0" fontId="25" fillId="13" borderId="192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32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24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48" fillId="12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16" fillId="24" borderId="185" applyNumberFormat="0" applyAlignment="0" applyProtection="0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8" fillId="0" borderId="189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41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13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25" fillId="8" borderId="185" applyNumberFormat="0" applyAlignment="0" applyProtection="0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85" fillId="72" borderId="189"/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73" fillId="0" borderId="171" applyBorder="0">
      <alignment horizontal="center" vertical="center" wrapText="1"/>
    </xf>
    <xf numFmtId="0" fontId="49" fillId="10" borderId="193" applyNumberFormat="0" applyFont="0" applyAlignment="0" applyProtection="0"/>
    <xf numFmtId="0" fontId="48" fillId="12" borderId="192" applyNumberFormat="0" applyAlignment="0" applyProtection="0"/>
    <xf numFmtId="0" fontId="25" fillId="8" borderId="192" applyNumberFormat="0" applyAlignment="0" applyProtection="0"/>
    <xf numFmtId="0" fontId="31" fillId="0" borderId="190" applyNumberFormat="0" applyFill="0" applyAlignment="0" applyProtection="0"/>
    <xf numFmtId="0" fontId="31" fillId="0" borderId="195" applyNumberFormat="0" applyFill="0" applyAlignment="0" applyProtection="0"/>
    <xf numFmtId="0" fontId="24" fillId="24" borderId="194" applyNumberFormat="0" applyAlignment="0" applyProtection="0"/>
    <xf numFmtId="0" fontId="8" fillId="10" borderId="193" applyNumberFormat="0" applyFont="0" applyAlignment="0" applyProtection="0"/>
    <xf numFmtId="0" fontId="41" fillId="13" borderId="192" applyNumberFormat="0" applyAlignment="0" applyProtection="0"/>
    <xf numFmtId="0" fontId="48" fillId="12" borderId="192" applyNumberFormat="0" applyAlignment="0" applyProtection="0"/>
    <xf numFmtId="0" fontId="48" fillId="24" borderId="192" applyNumberFormat="0" applyAlignment="0" applyProtection="0"/>
    <xf numFmtId="0" fontId="31" fillId="0" borderId="190" applyNumberFormat="0" applyFill="0" applyAlignment="0" applyProtection="0"/>
    <xf numFmtId="0" fontId="48" fillId="24" borderId="192" applyNumberFormat="0" applyAlignment="0" applyProtection="0"/>
    <xf numFmtId="0" fontId="49" fillId="10" borderId="193" applyNumberFormat="0" applyFont="0" applyAlignment="0" applyProtection="0"/>
    <xf numFmtId="0" fontId="29" fillId="12" borderId="191" applyNumberFormat="0" applyAlignment="0" applyProtection="0"/>
    <xf numFmtId="0" fontId="8" fillId="10" borderId="193" applyNumberFormat="0" applyFont="0" applyAlignment="0" applyProtection="0"/>
    <xf numFmtId="0" fontId="8" fillId="10" borderId="186" applyNumberFormat="0" applyFont="0" applyAlignment="0" applyProtection="0"/>
    <xf numFmtId="0" fontId="49" fillId="10" borderId="186" applyNumberFormat="0" applyFont="0" applyAlignment="0" applyProtection="0"/>
    <xf numFmtId="0" fontId="31" fillId="0" borderId="188" applyNumberFormat="0" applyFill="0" applyAlignment="0" applyProtection="0"/>
    <xf numFmtId="0" fontId="31" fillId="0" borderId="190" applyNumberFormat="0" applyFill="0" applyAlignment="0" applyProtection="0"/>
    <xf numFmtId="0" fontId="31" fillId="0" borderId="195" applyNumberFormat="0" applyFill="0" applyAlignment="0" applyProtection="0"/>
    <xf numFmtId="0" fontId="31" fillId="0" borderId="190" applyNumberFormat="0" applyFill="0" applyAlignment="0" applyProtection="0"/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32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24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48" fillId="12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16" fillId="24" borderId="201" applyNumberFormat="0" applyAlignment="0" applyProtection="0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8" fillId="0" borderId="205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41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13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25" fillId="8" borderId="201" applyNumberFormat="0" applyAlignment="0" applyProtection="0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85" fillId="72" borderId="205"/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73" fillId="0" borderId="199" applyBorder="0">
      <alignment horizontal="center" vertical="center" wrapText="1"/>
    </xf>
    <xf numFmtId="0" fontId="49" fillId="10" borderId="209" applyNumberFormat="0" applyFon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31" fillId="0" borderId="206" applyNumberFormat="0" applyFill="0" applyAlignment="0" applyProtection="0"/>
    <xf numFmtId="0" fontId="31" fillId="0" borderId="211" applyNumberFormat="0" applyFill="0" applyAlignment="0" applyProtection="0"/>
    <xf numFmtId="0" fontId="24" fillId="24" borderId="210" applyNumberFormat="0" applyAlignment="0" applyProtection="0"/>
    <xf numFmtId="0" fontId="8" fillId="10" borderId="209" applyNumberFormat="0" applyFont="0" applyAlignment="0" applyProtection="0"/>
    <xf numFmtId="0" fontId="41" fillId="13" borderId="208" applyNumberFormat="0" applyAlignment="0" applyProtection="0"/>
    <xf numFmtId="0" fontId="48" fillId="12" borderId="208" applyNumberFormat="0" applyAlignment="0" applyProtection="0"/>
    <xf numFmtId="0" fontId="48" fillId="24" borderId="208" applyNumberFormat="0" applyAlignment="0" applyProtection="0"/>
    <xf numFmtId="0" fontId="31" fillId="0" borderId="206" applyNumberFormat="0" applyFill="0" applyAlignment="0" applyProtection="0"/>
    <xf numFmtId="0" fontId="48" fillId="24" borderId="208" applyNumberFormat="0" applyAlignment="0" applyProtection="0"/>
    <xf numFmtId="0" fontId="49" fillId="10" borderId="209" applyNumberFormat="0" applyFont="0" applyAlignment="0" applyProtection="0"/>
    <xf numFmtId="0" fontId="29" fillId="12" borderId="207" applyNumberFormat="0" applyAlignment="0" applyProtection="0"/>
    <xf numFmtId="0" fontId="8" fillId="10" borderId="209" applyNumberFormat="0" applyFont="0" applyAlignment="0" applyProtection="0"/>
    <xf numFmtId="0" fontId="8" fillId="10" borderId="202" applyNumberFormat="0" applyFont="0" applyAlignment="0" applyProtection="0"/>
    <xf numFmtId="0" fontId="49" fillId="10" borderId="202" applyNumberFormat="0" applyFont="0" applyAlignment="0" applyProtection="0"/>
    <xf numFmtId="0" fontId="31" fillId="0" borderId="204" applyNumberFormat="0" applyFill="0" applyAlignment="0" applyProtection="0"/>
    <xf numFmtId="0" fontId="31" fillId="0" borderId="206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8" fillId="10" borderId="267" applyNumberFormat="0" applyFont="0" applyAlignment="0" applyProtection="0"/>
    <xf numFmtId="0" fontId="48" fillId="12" borderId="266" applyNumberFormat="0" applyAlignment="0" applyProtection="0"/>
    <xf numFmtId="0" fontId="28" fillId="0" borderId="296"/>
    <xf numFmtId="0" fontId="73" fillId="0" borderId="240" applyBorder="0">
      <alignment horizontal="center" vertical="center" wrapText="1"/>
    </xf>
    <xf numFmtId="0" fontId="85" fillId="0" borderId="232"/>
    <xf numFmtId="0" fontId="32" fillId="24" borderId="235" applyNumberFormat="0" applyAlignment="0" applyProtection="0"/>
    <xf numFmtId="0" fontId="31" fillId="0" borderId="239" applyNumberFormat="0" applyFill="0" applyAlignment="0" applyProtection="0"/>
    <xf numFmtId="0" fontId="49" fillId="10" borderId="236" applyNumberFormat="0" applyFont="0" applyAlignment="0" applyProtection="0"/>
    <xf numFmtId="0" fontId="73" fillId="0" borderId="240" applyBorder="0">
      <alignment horizontal="center" vertical="center" wrapText="1"/>
    </xf>
    <xf numFmtId="0" fontId="48" fillId="24" borderId="235" applyNumberFormat="0" applyAlignment="0" applyProtection="0"/>
    <xf numFmtId="0" fontId="28" fillId="10" borderId="236" applyNumberFormat="0" applyFont="0" applyAlignment="0" applyProtection="0"/>
    <xf numFmtId="0" fontId="49" fillId="10" borderId="236" applyNumberFormat="0" applyFont="0" applyAlignment="0" applyProtection="0"/>
    <xf numFmtId="0" fontId="49" fillId="10" borderId="236" applyNumberFormat="0" applyFont="0" applyAlignment="0" applyProtection="0"/>
    <xf numFmtId="0" fontId="85" fillId="0" borderId="232"/>
    <xf numFmtId="0" fontId="49" fillId="10" borderId="236" applyNumberFormat="0" applyFont="0" applyAlignment="0" applyProtection="0"/>
    <xf numFmtId="0" fontId="49" fillId="10" borderId="242" applyNumberFormat="0" applyFont="0" applyAlignment="0" applyProtection="0"/>
    <xf numFmtId="0" fontId="28" fillId="10" borderId="267" applyNumberFormat="0" applyFont="0" applyAlignment="0" applyProtection="0"/>
    <xf numFmtId="0" fontId="8" fillId="44" borderId="297" applyNumberFormat="0" applyFont="0" applyAlignment="0" applyProtection="0"/>
    <xf numFmtId="0" fontId="24" fillId="24" borderId="261" applyNumberFormat="0" applyAlignment="0" applyProtection="0"/>
    <xf numFmtId="0" fontId="8" fillId="10" borderId="267" applyNumberFormat="0" applyFont="0" applyAlignment="0" applyProtection="0"/>
    <xf numFmtId="0" fontId="29" fillId="12" borderId="248" applyNumberFormat="0" applyAlignment="0" applyProtection="0"/>
    <xf numFmtId="0" fontId="25" fillId="8" borderId="266" applyNumberFormat="0" applyAlignment="0" applyProtection="0"/>
    <xf numFmtId="0" fontId="29" fillId="24" borderId="269" applyNumberFormat="0" applyAlignment="0" applyProtection="0"/>
    <xf numFmtId="0" fontId="31" fillId="0" borderId="225" applyNumberFormat="0" applyFill="0" applyAlignment="0" applyProtection="0"/>
    <xf numFmtId="0" fontId="8" fillId="10" borderId="220" applyNumberFormat="0" applyFont="0" applyAlignment="0" applyProtection="0"/>
    <xf numFmtId="0" fontId="31" fillId="0" borderId="217" applyNumberFormat="0" applyFill="0" applyAlignment="0" applyProtection="0"/>
    <xf numFmtId="0" fontId="24" fillId="24" borderId="221" applyNumberFormat="0" applyAlignment="0" applyProtection="0"/>
    <xf numFmtId="0" fontId="8" fillId="10" borderId="220" applyNumberFormat="0" applyFont="0" applyAlignment="0" applyProtection="0"/>
    <xf numFmtId="0" fontId="48" fillId="24" borderId="219" applyNumberFormat="0" applyAlignment="0" applyProtection="0"/>
    <xf numFmtId="0" fontId="29" fillId="24" borderId="218" applyNumberFormat="0" applyAlignment="0" applyProtection="0"/>
    <xf numFmtId="0" fontId="85" fillId="0" borderId="245"/>
    <xf numFmtId="0" fontId="8" fillId="10" borderId="242" applyNumberFormat="0" applyFont="0" applyAlignment="0" applyProtection="0"/>
    <xf numFmtId="0" fontId="28" fillId="10" borderId="299" applyNumberFormat="0" applyFont="0" applyAlignment="0" applyProtection="0"/>
    <xf numFmtId="0" fontId="28" fillId="10" borderId="242" applyNumberFormat="0" applyFont="0" applyAlignment="0" applyProtection="0"/>
    <xf numFmtId="0" fontId="8" fillId="10" borderId="290" applyNumberFormat="0" applyFont="0" applyAlignment="0" applyProtection="0"/>
    <xf numFmtId="0" fontId="31" fillId="0" borderId="247" applyNumberFormat="0" applyFill="0" applyAlignment="0" applyProtection="0"/>
    <xf numFmtId="0" fontId="31" fillId="0" borderId="247" applyNumberFormat="0" applyFill="0" applyAlignment="0" applyProtection="0"/>
    <xf numFmtId="0" fontId="48" fillId="12" borderId="266" applyNumberFormat="0" applyAlignment="0" applyProtection="0"/>
    <xf numFmtId="0" fontId="29" fillId="24" borderId="258" applyNumberFormat="0" applyAlignment="0" applyProtection="0"/>
    <xf numFmtId="0" fontId="16" fillId="24" borderId="235" applyNumberFormat="0" applyAlignment="0" applyProtection="0"/>
    <xf numFmtId="0" fontId="73" fillId="0" borderId="286" applyBorder="0">
      <alignment horizontal="center" vertical="center" wrapText="1"/>
    </xf>
    <xf numFmtId="0" fontId="28" fillId="10" borderId="236" applyNumberFormat="0" applyFont="0" applyAlignment="0" applyProtection="0"/>
    <xf numFmtId="0" fontId="48" fillId="12" borderId="235" applyNumberFormat="0" applyAlignment="0" applyProtection="0"/>
    <xf numFmtId="0" fontId="29" fillId="12" borderId="218" applyNumberFormat="0" applyAlignment="0" applyProtection="0"/>
    <xf numFmtId="0" fontId="8" fillId="10" borderId="242" applyNumberFormat="0" applyFont="0" applyAlignment="0" applyProtection="0"/>
    <xf numFmtId="0" fontId="16" fillId="24" borderId="266" applyNumberFormat="0" applyAlignment="0" applyProtection="0"/>
    <xf numFmtId="0" fontId="31" fillId="0" borderId="311" applyNumberFormat="0" applyFill="0" applyAlignment="0" applyProtection="0"/>
    <xf numFmtId="0" fontId="25" fillId="8" borderId="235" applyNumberFormat="0" applyAlignment="0" applyProtection="0"/>
    <xf numFmtId="0" fontId="49" fillId="10" borderId="236" applyNumberFormat="0" applyFont="0" applyAlignment="0" applyProtection="0"/>
    <xf numFmtId="0" fontId="24" fillId="24" borderId="268" applyNumberFormat="0" applyAlignment="0" applyProtection="0"/>
    <xf numFmtId="0" fontId="29" fillId="12" borderId="248" applyNumberFormat="0" applyAlignment="0" applyProtection="0"/>
    <xf numFmtId="0" fontId="31" fillId="0" borderId="247" applyNumberFormat="0" applyFill="0" applyAlignment="0" applyProtection="0"/>
    <xf numFmtId="0" fontId="31" fillId="0" borderId="217" applyNumberFormat="0" applyFill="0" applyAlignment="0" applyProtection="0"/>
    <xf numFmtId="0" fontId="8" fillId="10" borderId="267" applyNumberFormat="0" applyFont="0" applyAlignment="0" applyProtection="0"/>
    <xf numFmtId="0" fontId="8" fillId="10" borderId="242" applyNumberFormat="0" applyFont="0" applyAlignment="0" applyProtection="0"/>
    <xf numFmtId="0" fontId="73" fillId="0" borderId="226" applyBorder="0">
      <alignment horizontal="center" vertical="center" wrapText="1"/>
    </xf>
    <xf numFmtId="0" fontId="24" fillId="24" borderId="291" applyNumberFormat="0" applyAlignment="0" applyProtection="0"/>
    <xf numFmtId="0" fontId="28" fillId="0" borderId="232"/>
    <xf numFmtId="0" fontId="85" fillId="72" borderId="296"/>
    <xf numFmtId="0" fontId="31" fillId="0" borderId="239" applyNumberFormat="0" applyFill="0" applyAlignment="0" applyProtection="0"/>
    <xf numFmtId="0" fontId="48" fillId="24" borderId="289" applyNumberFormat="0" applyAlignment="0" applyProtection="0"/>
    <xf numFmtId="0" fontId="25" fillId="8" borderId="235" applyNumberFormat="0" applyAlignment="0" applyProtection="0"/>
    <xf numFmtId="0" fontId="25" fillId="13" borderId="235" applyNumberFormat="0" applyAlignment="0" applyProtection="0"/>
    <xf numFmtId="0" fontId="25" fillId="13" borderId="235" applyNumberFormat="0" applyAlignment="0" applyProtection="0"/>
    <xf numFmtId="0" fontId="28" fillId="10" borderId="236" applyNumberFormat="0" applyFont="0" applyAlignment="0" applyProtection="0"/>
    <xf numFmtId="0" fontId="25" fillId="8" borderId="289" applyNumberFormat="0" applyAlignment="0" applyProtection="0"/>
    <xf numFmtId="0" fontId="16" fillId="24" borderId="235" applyNumberFormat="0" applyAlignment="0" applyProtection="0"/>
    <xf numFmtId="0" fontId="31" fillId="0" borderId="317" applyNumberFormat="0" applyFill="0" applyAlignment="0" applyProtection="0"/>
    <xf numFmtId="0" fontId="49" fillId="10" borderId="267" applyNumberFormat="0" applyFont="0" applyAlignment="0" applyProtection="0"/>
    <xf numFmtId="0" fontId="29" fillId="24" borderId="269" applyNumberFormat="0" applyAlignment="0" applyProtection="0"/>
    <xf numFmtId="0" fontId="85" fillId="72" borderId="273"/>
    <xf numFmtId="0" fontId="31" fillId="0" borderId="271" applyNumberFormat="0" applyFill="0" applyAlignment="0" applyProtection="0"/>
    <xf numFmtId="0" fontId="49" fillId="10" borderId="267" applyNumberFormat="0" applyFont="0" applyAlignment="0" applyProtection="0"/>
    <xf numFmtId="0" fontId="25" fillId="13" borderId="275" applyNumberFormat="0" applyAlignment="0" applyProtection="0"/>
    <xf numFmtId="0" fontId="18" fillId="10" borderId="242" applyNumberFormat="0" applyFont="0" applyAlignment="0" applyProtection="0"/>
    <xf numFmtId="0" fontId="8" fillId="10" borderId="290" applyNumberFormat="0" applyFont="0" applyAlignment="0" applyProtection="0"/>
    <xf numFmtId="0" fontId="8" fillId="10" borderId="322" applyNumberFormat="0" applyFont="0" applyAlignment="0" applyProtection="0"/>
    <xf numFmtId="0" fontId="8" fillId="10" borderId="236" applyNumberFormat="0" applyFont="0" applyAlignment="0" applyProtection="0"/>
    <xf numFmtId="0" fontId="25" fillId="13" borderId="305" applyNumberFormat="0" applyAlignment="0" applyProtection="0"/>
    <xf numFmtId="0" fontId="48" fillId="12" borderId="235" applyNumberFormat="0" applyAlignment="0" applyProtection="0"/>
    <xf numFmtId="0" fontId="49" fillId="10" borderId="236" applyNumberFormat="0" applyFont="0" applyAlignment="0" applyProtection="0"/>
    <xf numFmtId="0" fontId="31" fillId="0" borderId="238" applyNumberFormat="0" applyFill="0" applyAlignment="0" applyProtection="0"/>
    <xf numFmtId="0" fontId="28" fillId="10" borderId="236" applyNumberFormat="0" applyFont="0" applyAlignment="0" applyProtection="0"/>
    <xf numFmtId="0" fontId="28" fillId="10" borderId="236" applyNumberFormat="0" applyFont="0" applyAlignment="0" applyProtection="0"/>
    <xf numFmtId="0" fontId="85" fillId="0" borderId="319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73" fillId="0" borderId="263" applyBorder="0">
      <alignment horizontal="center" vertical="center" wrapText="1"/>
    </xf>
    <xf numFmtId="0" fontId="28" fillId="0" borderId="273"/>
    <xf numFmtId="0" fontId="49" fillId="10" borderId="236" applyNumberFormat="0" applyFont="0" applyAlignment="0" applyProtection="0"/>
    <xf numFmtId="0" fontId="85" fillId="0" borderId="232"/>
    <xf numFmtId="0" fontId="31" fillId="0" borderId="239" applyNumberFormat="0" applyFill="0" applyAlignment="0" applyProtection="0"/>
    <xf numFmtId="0" fontId="8" fillId="10" borderId="236" applyNumberFormat="0" applyFont="0" applyAlignment="0" applyProtection="0"/>
    <xf numFmtId="0" fontId="29" fillId="12" borderId="315" applyNumberFormat="0" applyAlignment="0" applyProtection="0"/>
    <xf numFmtId="0" fontId="49" fillId="10" borderId="236" applyNumberFormat="0" applyFont="0" applyAlignment="0" applyProtection="0"/>
    <xf numFmtId="0" fontId="48" fillId="24" borderId="235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28" fillId="0" borderId="232"/>
    <xf numFmtId="0" fontId="73" fillId="0" borderId="240" applyBorder="0">
      <alignment horizontal="center" vertical="center" wrapText="1"/>
    </xf>
    <xf numFmtId="0" fontId="8" fillId="10" borderId="276" applyNumberFormat="0" applyFont="0" applyAlignment="0" applyProtection="0"/>
    <xf numFmtId="0" fontId="24" fillId="24" borderId="268" applyNumberFormat="0" applyAlignment="0" applyProtection="0"/>
    <xf numFmtId="0" fontId="85" fillId="0" borderId="319"/>
    <xf numFmtId="0" fontId="25" fillId="8" borderId="312" applyNumberFormat="0" applyAlignment="0" applyProtection="0"/>
    <xf numFmtId="0" fontId="49" fillId="10" borderId="242" applyNumberFormat="0" applyFont="0" applyAlignment="0" applyProtection="0"/>
    <xf numFmtId="0" fontId="73" fillId="0" borderId="295" applyBorder="0">
      <alignment horizontal="center" vertical="center" wrapText="1"/>
    </xf>
    <xf numFmtId="0" fontId="49" fillId="10" borderId="290" applyNumberFormat="0" applyFont="0" applyAlignment="0" applyProtection="0"/>
    <xf numFmtId="0" fontId="29" fillId="24" borderId="292" applyNumberFormat="0" applyAlignment="0" applyProtection="0"/>
    <xf numFmtId="0" fontId="8" fillId="10" borderId="242" applyNumberFormat="0" applyFon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73" fillId="0" borderId="199" applyBorder="0">
      <alignment horizontal="center" vertical="center" wrapText="1"/>
    </xf>
    <xf numFmtId="0" fontId="31" fillId="0" borderId="270" applyNumberFormat="0" applyFill="0" applyAlignment="0" applyProtection="0"/>
    <xf numFmtId="0" fontId="31" fillId="0" borderId="265" applyNumberFormat="0" applyFill="0" applyAlignment="0" applyProtection="0"/>
    <xf numFmtId="0" fontId="41" fillId="13" borderId="266" applyNumberFormat="0" applyAlignment="0" applyProtection="0"/>
    <xf numFmtId="0" fontId="8" fillId="10" borderId="267" applyNumberFormat="0" applyFont="0" applyAlignment="0" applyProtection="0"/>
    <xf numFmtId="0" fontId="16" fillId="24" borderId="266" applyNumberFormat="0" applyAlignment="0" applyProtection="0"/>
    <xf numFmtId="0" fontId="25" fillId="13" borderId="289" applyNumberFormat="0" applyAlignment="0" applyProtection="0"/>
    <xf numFmtId="0" fontId="28" fillId="0" borderId="232"/>
    <xf numFmtId="0" fontId="31" fillId="0" borderId="239" applyNumberFormat="0" applyFill="0" applyAlignment="0" applyProtection="0"/>
    <xf numFmtId="0" fontId="48" fillId="12" borderId="312" applyNumberFormat="0" applyAlignment="0" applyProtection="0"/>
    <xf numFmtId="0" fontId="32" fillId="24" borderId="321" applyNumberFormat="0" applyAlignment="0" applyProtection="0"/>
    <xf numFmtId="0" fontId="18" fillId="10" borderId="322" applyNumberFormat="0" applyFont="0" applyAlignment="0" applyProtection="0"/>
    <xf numFmtId="0" fontId="49" fillId="10" borderId="322" applyNumberFormat="0" applyFont="0" applyAlignment="0" applyProtection="0"/>
    <xf numFmtId="0" fontId="18" fillId="10" borderId="276" applyNumberFormat="0" applyFont="0" applyAlignment="0" applyProtection="0"/>
    <xf numFmtId="0" fontId="31" fillId="0" borderId="311" applyNumberFormat="0" applyFill="0" applyAlignment="0" applyProtection="0"/>
    <xf numFmtId="0" fontId="16" fillId="24" borderId="312" applyNumberFormat="0" applyAlignment="0" applyProtection="0"/>
    <xf numFmtId="0" fontId="31" fillId="0" borderId="270" applyNumberFormat="0" applyFill="0" applyAlignment="0" applyProtection="0"/>
    <xf numFmtId="0" fontId="8" fillId="10" borderId="267" applyNumberFormat="0" applyFont="0" applyAlignment="0" applyProtection="0"/>
    <xf numFmtId="0" fontId="48" fillId="24" borderId="312" applyNumberFormat="0" applyAlignment="0" applyProtection="0"/>
    <xf numFmtId="0" fontId="48" fillId="24" borderId="266" applyNumberFormat="0" applyAlignment="0" applyProtection="0"/>
    <xf numFmtId="0" fontId="28" fillId="10" borderId="276" applyNumberFormat="0" applyFont="0" applyAlignment="0" applyProtection="0"/>
    <xf numFmtId="0" fontId="25" fillId="8" borderId="312" applyNumberFormat="0" applyAlignment="0" applyProtection="0"/>
    <xf numFmtId="0" fontId="31" fillId="0" borderId="250" applyNumberFormat="0" applyFill="0" applyAlignment="0" applyProtection="0"/>
    <xf numFmtId="0" fontId="29" fillId="24" borderId="248" applyNumberFormat="0" applyAlignment="0" applyProtection="0"/>
    <xf numFmtId="0" fontId="49" fillId="10" borderId="242" applyNumberFormat="0" applyFont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8" fillId="10" borderId="242" applyNumberFormat="0" applyFont="0" applyAlignment="0" applyProtection="0"/>
    <xf numFmtId="0" fontId="28" fillId="10" borderId="283" applyNumberFormat="0" applyFont="0" applyAlignment="0" applyProtection="0"/>
    <xf numFmtId="0" fontId="24" fillId="24" borderId="314" applyNumberFormat="0" applyAlignment="0" applyProtection="0"/>
    <xf numFmtId="0" fontId="32" fillId="24" borderId="289" applyNumberFormat="0" applyAlignment="0" applyProtection="0"/>
    <xf numFmtId="0" fontId="8" fillId="10" borderId="267" applyNumberFormat="0" applyFont="0" applyAlignment="0" applyProtection="0"/>
    <xf numFmtId="0" fontId="25" fillId="13" borderId="219" applyNumberFormat="0" applyAlignment="0" applyProtection="0"/>
    <xf numFmtId="0" fontId="31" fillId="0" borderId="217" applyNumberFormat="0" applyFill="0" applyAlignment="0" applyProtection="0"/>
    <xf numFmtId="0" fontId="73" fillId="0" borderId="223" applyBorder="0">
      <alignment horizontal="center" vertical="center" wrapText="1"/>
    </xf>
    <xf numFmtId="0" fontId="25" fillId="8" borderId="219" applyNumberFormat="0" applyAlignment="0" applyProtection="0"/>
    <xf numFmtId="0" fontId="25" fillId="13" borderId="219" applyNumberFormat="0" applyAlignment="0" applyProtection="0"/>
    <xf numFmtId="0" fontId="49" fillId="10" borderId="220" applyNumberFormat="0" applyFont="0" applyAlignment="0" applyProtection="0"/>
    <xf numFmtId="0" fontId="73" fillId="0" borderId="223" applyBorder="0">
      <alignment horizontal="center" vertical="center" wrapText="1"/>
    </xf>
    <xf numFmtId="0" fontId="31" fillId="0" borderId="222" applyNumberFormat="0" applyFill="0" applyAlignment="0" applyProtection="0"/>
    <xf numFmtId="0" fontId="31" fillId="0" borderId="222" applyNumberFormat="0" applyFill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25" fillId="8" borderId="219" applyNumberFormat="0" applyAlignment="0" applyProtection="0"/>
    <xf numFmtId="0" fontId="41" fillId="13" borderId="219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28" fillId="0" borderId="273"/>
    <xf numFmtId="0" fontId="85" fillId="72" borderId="319"/>
    <xf numFmtId="0" fontId="24" fillId="24" borderId="254" applyNumberFormat="0" applyAlignment="0" applyProtection="0"/>
    <xf numFmtId="0" fontId="31" fillId="0" borderId="244" applyNumberFormat="0" applyFill="0" applyAlignment="0" applyProtection="0"/>
    <xf numFmtId="0" fontId="31" fillId="0" borderId="250" applyNumberFormat="0" applyFill="0" applyAlignment="0" applyProtection="0"/>
    <xf numFmtId="0" fontId="49" fillId="10" borderId="242" applyNumberFormat="0" applyFont="0" applyAlignment="0" applyProtection="0"/>
    <xf numFmtId="0" fontId="24" fillId="24" borderId="221" applyNumberFormat="0" applyAlignment="0" applyProtection="0"/>
    <xf numFmtId="0" fontId="49" fillId="10" borderId="220" applyNumberFormat="0" applyFont="0" applyAlignment="0" applyProtection="0"/>
    <xf numFmtId="0" fontId="48" fillId="24" borderId="219" applyNumberFormat="0" applyAlignment="0" applyProtection="0"/>
    <xf numFmtId="0" fontId="48" fillId="24" borderId="219" applyNumberFormat="0" applyAlignment="0" applyProtection="0"/>
    <xf numFmtId="0" fontId="32" fillId="24" borderId="266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9" fillId="24" borderId="248" applyNumberForma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73" fillId="0" borderId="223" applyBorder="0">
      <alignment horizontal="center" vertical="center" wrapText="1"/>
    </xf>
    <xf numFmtId="0" fontId="29" fillId="24" borderId="248" applyNumberFormat="0" applyAlignment="0" applyProtection="0"/>
    <xf numFmtId="0" fontId="24" fillId="24" borderId="243" applyNumberFormat="0" applyAlignment="0" applyProtection="0"/>
    <xf numFmtId="0" fontId="31" fillId="0" borderId="244" applyNumberFormat="0" applyFill="0" applyAlignment="0" applyProtection="0"/>
    <xf numFmtId="0" fontId="31" fillId="0" borderId="316" applyNumberFormat="0" applyFill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8" fillId="12" borderId="312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29" fillId="12" borderId="207" applyNumberFormat="0" applyAlignment="0" applyProtection="0"/>
    <xf numFmtId="0" fontId="49" fillId="10" borderId="267" applyNumberFormat="0" applyFon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4" fillId="24" borderId="237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8" fillId="10" borderId="290" applyNumberFormat="0" applyFont="0" applyAlignment="0" applyProtection="0"/>
    <xf numFmtId="0" fontId="29" fillId="12" borderId="269" applyNumberFormat="0" applyAlignment="0" applyProtection="0"/>
    <xf numFmtId="0" fontId="29" fillId="24" borderId="304" applyNumberFormat="0" applyAlignment="0" applyProtection="0"/>
    <xf numFmtId="0" fontId="29" fillId="12" borderId="269" applyNumberFormat="0" applyAlignment="0" applyProtection="0"/>
    <xf numFmtId="0" fontId="85" fillId="0" borderId="273"/>
    <xf numFmtId="0" fontId="25" fillId="13" borderId="235" applyNumberFormat="0" applyAlignment="0" applyProtection="0"/>
    <xf numFmtId="0" fontId="48" fillId="24" borderId="208" applyNumberFormat="0" applyAlignment="0" applyProtection="0"/>
    <xf numFmtId="0" fontId="25" fillId="8" borderId="235" applyNumberFormat="0" applyAlignment="0" applyProtection="0"/>
    <xf numFmtId="0" fontId="41" fillId="13" borderId="235" applyNumberFormat="0" applyAlignment="0" applyProtection="0"/>
    <xf numFmtId="0" fontId="25" fillId="13" borderId="235" applyNumberFormat="0" applyAlignment="0" applyProtection="0"/>
    <xf numFmtId="0" fontId="28" fillId="10" borderId="236" applyNumberFormat="0" applyFont="0" applyAlignment="0" applyProtection="0"/>
    <xf numFmtId="0" fontId="32" fillId="24" borderId="235" applyNumberFormat="0" applyAlignment="0" applyProtection="0"/>
    <xf numFmtId="0" fontId="48" fillId="24" borderId="235" applyNumberFormat="0" applyAlignment="0" applyProtection="0"/>
    <xf numFmtId="0" fontId="48" fillId="12" borderId="235" applyNumberFormat="0" applyAlignment="0" applyProtection="0"/>
    <xf numFmtId="0" fontId="28" fillId="0" borderId="232"/>
    <xf numFmtId="0" fontId="85" fillId="0" borderId="232"/>
    <xf numFmtId="0" fontId="48" fillId="12" borderId="235" applyNumberFormat="0" applyAlignment="0" applyProtection="0"/>
    <xf numFmtId="0" fontId="41" fillId="13" borderId="289" applyNumberFormat="0" applyAlignment="0" applyProtection="0"/>
    <xf numFmtId="0" fontId="16" fillId="24" borderId="312" applyNumberFormat="0" applyAlignment="0" applyProtection="0"/>
    <xf numFmtId="0" fontId="31" fillId="0" borderId="317" applyNumberFormat="0" applyFill="0" applyAlignment="0" applyProtection="0"/>
    <xf numFmtId="0" fontId="73" fillId="0" borderId="318" applyBorder="0">
      <alignment horizontal="center" vertical="center" wrapText="1"/>
    </xf>
    <xf numFmtId="0" fontId="29" fillId="24" borderId="248" applyNumberFormat="0" applyAlignment="0" applyProtection="0"/>
    <xf numFmtId="0" fontId="49" fillId="10" borderId="242" applyNumberFormat="0" applyFont="0" applyAlignment="0" applyProtection="0"/>
    <xf numFmtId="0" fontId="8" fillId="44" borderId="274" applyNumberFormat="0" applyFont="0" applyAlignment="0" applyProtection="0"/>
    <xf numFmtId="0" fontId="29" fillId="24" borderId="315" applyNumberFormat="0" applyAlignment="0" applyProtection="0"/>
    <xf numFmtId="0" fontId="18" fillId="10" borderId="242" applyNumberFormat="0" applyFont="0" applyAlignment="0" applyProtection="0"/>
    <xf numFmtId="0" fontId="48" fillId="12" borderId="235" applyNumberFormat="0" applyAlignment="0" applyProtection="0"/>
    <xf numFmtId="0" fontId="48" fillId="24" borderId="289" applyNumberFormat="0" applyAlignment="0" applyProtection="0"/>
    <xf numFmtId="0" fontId="28" fillId="10" borderId="236" applyNumberFormat="0" applyFont="0" applyAlignment="0" applyProtection="0"/>
    <xf numFmtId="0" fontId="8" fillId="10" borderId="236" applyNumberFormat="0" applyFont="0" applyAlignment="0" applyProtection="0"/>
    <xf numFmtId="0" fontId="31" fillId="0" borderId="239" applyNumberFormat="0" applyFill="0" applyAlignment="0" applyProtection="0"/>
    <xf numFmtId="0" fontId="29" fillId="24" borderId="281" applyNumberFormat="0" applyAlignment="0" applyProtection="0"/>
    <xf numFmtId="0" fontId="49" fillId="10" borderId="236" applyNumberFormat="0" applyFont="0" applyAlignment="0" applyProtection="0"/>
    <xf numFmtId="0" fontId="31" fillId="0" borderId="239" applyNumberFormat="0" applyFill="0" applyAlignment="0" applyProtection="0"/>
    <xf numFmtId="0" fontId="29" fillId="24" borderId="292" applyNumberFormat="0" applyAlignment="0" applyProtection="0"/>
    <xf numFmtId="0" fontId="48" fillId="24" borderId="235" applyNumberFormat="0" applyAlignment="0" applyProtection="0"/>
    <xf numFmtId="0" fontId="49" fillId="10" borderId="236" applyNumberFormat="0" applyFon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28" fillId="10" borderId="236" applyNumberFormat="0" applyFont="0" applyAlignment="0" applyProtection="0"/>
    <xf numFmtId="0" fontId="31" fillId="0" borderId="239" applyNumberFormat="0" applyFill="0" applyAlignment="0" applyProtection="0"/>
    <xf numFmtId="0" fontId="73" fillId="0" borderId="240" applyBorder="0">
      <alignment horizontal="center" vertical="center" wrapText="1"/>
    </xf>
    <xf numFmtId="0" fontId="16" fillId="24" borderId="235" applyNumberFormat="0" applyAlignment="0" applyProtection="0"/>
    <xf numFmtId="0" fontId="25" fillId="13" borderId="235" applyNumberForma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28" fillId="10" borderId="236" applyNumberFormat="0" applyFont="0" applyAlignment="0" applyProtection="0"/>
    <xf numFmtId="0" fontId="8" fillId="10" borderId="236" applyNumberFormat="0" applyFont="0" applyAlignment="0" applyProtection="0"/>
    <xf numFmtId="0" fontId="28" fillId="10" borderId="236" applyNumberFormat="0" applyFont="0" applyAlignment="0" applyProtection="0"/>
    <xf numFmtId="0" fontId="85" fillId="0" borderId="232"/>
    <xf numFmtId="0" fontId="31" fillId="0" borderId="288" applyNumberFormat="0" applyFill="0" applyAlignment="0" applyProtection="0"/>
    <xf numFmtId="0" fontId="18" fillId="10" borderId="236" applyNumberFormat="0" applyFont="0" applyAlignment="0" applyProtection="0"/>
    <xf numFmtId="0" fontId="25" fillId="13" borderId="235" applyNumberFormat="0" applyAlignment="0" applyProtection="0"/>
    <xf numFmtId="0" fontId="41" fillId="13" borderId="235" applyNumberFormat="0" applyAlignment="0" applyProtection="0"/>
    <xf numFmtId="0" fontId="73" fillId="0" borderId="240" applyBorder="0">
      <alignment horizontal="center" vertical="center" wrapText="1"/>
    </xf>
    <xf numFmtId="0" fontId="8" fillId="10" borderId="236" applyNumberFormat="0" applyFont="0" applyAlignment="0" applyProtection="0"/>
    <xf numFmtId="0" fontId="41" fillId="13" borderId="235" applyNumberFormat="0" applyAlignment="0" applyProtection="0"/>
    <xf numFmtId="0" fontId="48" fillId="12" borderId="235" applyNumberFormat="0" applyAlignment="0" applyProtection="0"/>
    <xf numFmtId="0" fontId="48" fillId="12" borderId="235" applyNumberFormat="0" applyAlignment="0" applyProtection="0"/>
    <xf numFmtId="0" fontId="48" fillId="24" borderId="235" applyNumberFormat="0" applyAlignment="0" applyProtection="0"/>
    <xf numFmtId="0" fontId="28" fillId="0" borderId="232"/>
    <xf numFmtId="0" fontId="48" fillId="12" borderId="235" applyNumberFormat="0" applyAlignment="0" applyProtection="0"/>
    <xf numFmtId="0" fontId="28" fillId="10" borderId="236" applyNumberFormat="0" applyFont="0" applyAlignment="0" applyProtection="0"/>
    <xf numFmtId="0" fontId="48" fillId="24" borderId="235" applyNumberFormat="0" applyAlignment="0" applyProtection="0"/>
    <xf numFmtId="0" fontId="31" fillId="0" borderId="239" applyNumberFormat="0" applyFill="0" applyAlignment="0" applyProtection="0"/>
    <xf numFmtId="0" fontId="25" fillId="13" borderId="235" applyNumberFormat="0" applyAlignment="0" applyProtection="0"/>
    <xf numFmtId="0" fontId="16" fillId="24" borderId="235" applyNumberFormat="0" applyAlignment="0" applyProtection="0"/>
    <xf numFmtId="0" fontId="28" fillId="0" borderId="232"/>
    <xf numFmtId="0" fontId="28" fillId="0" borderId="232"/>
    <xf numFmtId="0" fontId="85" fillId="0" borderId="232"/>
    <xf numFmtId="0" fontId="85" fillId="0" borderId="232"/>
    <xf numFmtId="0" fontId="48" fillId="12" borderId="235" applyNumberFormat="0" applyAlignment="0" applyProtection="0"/>
    <xf numFmtId="0" fontId="25" fillId="8" borderId="235" applyNumberFormat="0" applyAlignment="0" applyProtection="0"/>
    <xf numFmtId="0" fontId="48" fillId="12" borderId="235" applyNumberFormat="0" applyAlignment="0" applyProtection="0"/>
    <xf numFmtId="0" fontId="8" fillId="10" borderId="236" applyNumberFormat="0" applyFont="0" applyAlignment="0" applyProtection="0"/>
    <xf numFmtId="0" fontId="28" fillId="0" borderId="232"/>
    <xf numFmtId="0" fontId="85" fillId="0" borderId="232"/>
    <xf numFmtId="0" fontId="48" fillId="12" borderId="235" applyNumberFormat="0" applyAlignment="0" applyProtection="0"/>
    <xf numFmtId="0" fontId="25" fillId="8" borderId="235" applyNumberFormat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25" fillId="13" borderId="266" applyNumberFormat="0" applyAlignment="0" applyProtection="0"/>
    <xf numFmtId="0" fontId="8" fillId="10" borderId="267" applyNumberFormat="0" applyFont="0" applyAlignment="0" applyProtection="0"/>
    <xf numFmtId="0" fontId="48" fillId="24" borderId="266" applyNumberFormat="0" applyAlignment="0" applyProtection="0"/>
    <xf numFmtId="0" fontId="73" fillId="0" borderId="272" applyBorder="0">
      <alignment horizontal="center" vertical="center" wrapText="1"/>
    </xf>
    <xf numFmtId="0" fontId="32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28" fillId="0" borderId="273"/>
    <xf numFmtId="0" fontId="16" fillId="24" borderId="266" applyNumberFormat="0" applyAlignment="0" applyProtection="0"/>
    <xf numFmtId="0" fontId="28" fillId="0" borderId="273"/>
    <xf numFmtId="0" fontId="41" fillId="13" borderId="241" applyNumberFormat="0" applyAlignment="0" applyProtection="0"/>
    <xf numFmtId="0" fontId="41" fillId="13" borderId="241" applyNumberFormat="0" applyAlignment="0" applyProtection="0"/>
    <xf numFmtId="0" fontId="25" fillId="13" borderId="241" applyNumberFormat="0" applyAlignment="0" applyProtection="0"/>
    <xf numFmtId="0" fontId="28" fillId="0" borderId="296"/>
    <xf numFmtId="0" fontId="18" fillId="10" borderId="242" applyNumberFormat="0" applyFont="0" applyAlignment="0" applyProtection="0"/>
    <xf numFmtId="0" fontId="28" fillId="10" borderId="242" applyNumberFormat="0" applyFont="0" applyAlignment="0" applyProtection="0"/>
    <xf numFmtId="0" fontId="8" fillId="10" borderId="242" applyNumberFormat="0" applyFont="0" applyAlignment="0" applyProtection="0"/>
    <xf numFmtId="0" fontId="8" fillId="10" borderId="242" applyNumberFormat="0" applyFont="0" applyAlignment="0" applyProtection="0"/>
    <xf numFmtId="0" fontId="29" fillId="12" borderId="292" applyNumberFormat="0" applyAlignment="0" applyProtection="0"/>
    <xf numFmtId="0" fontId="31" fillId="0" borderId="244" applyNumberFormat="0" applyFill="0" applyAlignment="0" applyProtection="0"/>
    <xf numFmtId="0" fontId="85" fillId="0" borderId="319"/>
    <xf numFmtId="0" fontId="48" fillId="24" borderId="312" applyNumberFormat="0" applyAlignment="0" applyProtection="0"/>
    <xf numFmtId="0" fontId="48" fillId="12" borderId="312" applyNumberFormat="0" applyAlignment="0" applyProtection="0"/>
    <xf numFmtId="0" fontId="28" fillId="0" borderId="319"/>
    <xf numFmtId="0" fontId="31" fillId="0" borderId="316" applyNumberFormat="0" applyFill="0" applyAlignment="0" applyProtection="0"/>
    <xf numFmtId="0" fontId="24" fillId="24" borderId="243" applyNumberFormat="0" applyAlignment="0" applyProtection="0"/>
    <xf numFmtId="0" fontId="28" fillId="10" borderId="313" applyNumberFormat="0" applyFont="0" applyAlignment="0" applyProtection="0"/>
    <xf numFmtId="0" fontId="48" fillId="12" borderId="266" applyNumberFormat="0" applyAlignment="0" applyProtection="0"/>
    <xf numFmtId="0" fontId="28" fillId="10" borderId="313" applyNumberFormat="0" applyFont="0" applyAlignment="0" applyProtection="0"/>
    <xf numFmtId="0" fontId="8" fillId="44" borderId="274" applyNumberFormat="0" applyFont="0" applyAlignment="0" applyProtection="0"/>
    <xf numFmtId="0" fontId="49" fillId="10" borderId="276" applyNumberFormat="0" applyFont="0" applyAlignment="0" applyProtection="0"/>
    <xf numFmtId="0" fontId="8" fillId="44" borderId="320" applyNumberFormat="0" applyFont="0" applyAlignment="0" applyProtection="0"/>
    <xf numFmtId="0" fontId="31" fillId="0" borderId="311" applyNumberFormat="0" applyFill="0" applyAlignment="0" applyProtection="0"/>
    <xf numFmtId="0" fontId="24" fillId="24" borderId="314" applyNumberFormat="0" applyAlignment="0" applyProtection="0"/>
    <xf numFmtId="0" fontId="8" fillId="10" borderId="313" applyNumberFormat="0" applyFont="0" applyAlignment="0" applyProtection="0"/>
    <xf numFmtId="0" fontId="8" fillId="44" borderId="320" applyNumberFormat="0" applyFont="0" applyAlignment="0" applyProtection="0"/>
    <xf numFmtId="0" fontId="31" fillId="0" borderId="310" applyNumberFormat="0" applyFill="0" applyAlignment="0" applyProtection="0"/>
    <xf numFmtId="0" fontId="16" fillId="24" borderId="312" applyNumberFormat="0" applyAlignment="0" applyProtection="0"/>
    <xf numFmtId="0" fontId="25" fillId="8" borderId="312" applyNumberFormat="0" applyAlignment="0" applyProtection="0"/>
    <xf numFmtId="0" fontId="16" fillId="24" borderId="252" applyNumberFormat="0" applyAlignment="0" applyProtection="0"/>
    <xf numFmtId="0" fontId="28" fillId="10" borderId="242" applyNumberFormat="0" applyFont="0" applyAlignment="0" applyProtection="0"/>
    <xf numFmtId="0" fontId="31" fillId="0" borderId="249" applyNumberFormat="0" applyFill="0" applyAlignment="0" applyProtection="0"/>
    <xf numFmtId="0" fontId="85" fillId="0" borderId="245"/>
    <xf numFmtId="0" fontId="29" fillId="24" borderId="292" applyNumberFormat="0" applyAlignment="0" applyProtection="0"/>
    <xf numFmtId="0" fontId="8" fillId="10" borderId="242" applyNumberFormat="0" applyFont="0" applyAlignment="0" applyProtection="0"/>
    <xf numFmtId="0" fontId="31" fillId="0" borderId="316" applyNumberFormat="0" applyFill="0" applyAlignment="0" applyProtection="0"/>
    <xf numFmtId="0" fontId="31" fillId="0" borderId="222" applyNumberFormat="0" applyFill="0" applyAlignment="0" applyProtection="0"/>
    <xf numFmtId="0" fontId="25" fillId="8" borderId="219" applyNumberFormat="0" applyAlignment="0" applyProtection="0"/>
    <xf numFmtId="0" fontId="41" fillId="13" borderId="219" applyNumberFormat="0" applyAlignment="0" applyProtection="0"/>
    <xf numFmtId="0" fontId="31" fillId="0" borderId="249" applyNumberFormat="0" applyFill="0" applyAlignment="0" applyProtection="0"/>
    <xf numFmtId="0" fontId="48" fillId="12" borderId="219" applyNumberFormat="0" applyAlignment="0" applyProtection="0"/>
    <xf numFmtId="0" fontId="41" fillId="13" borderId="275" applyNumberFormat="0" applyAlignment="0" applyProtection="0"/>
    <xf numFmtId="0" fontId="25" fillId="13" borderId="235" applyNumberFormat="0" applyAlignment="0" applyProtection="0"/>
    <xf numFmtId="0" fontId="29" fillId="24" borderId="218" applyNumberFormat="0" applyAlignment="0" applyProtection="0"/>
    <xf numFmtId="0" fontId="28" fillId="10" borderId="220" applyNumberFormat="0" applyFont="0" applyAlignment="0" applyProtection="0"/>
    <xf numFmtId="0" fontId="8" fillId="10" borderId="242" applyNumberFormat="0" applyFont="0" applyAlignment="0" applyProtection="0"/>
    <xf numFmtId="0" fontId="18" fillId="10" borderId="236" applyNumberFormat="0" applyFont="0" applyAlignment="0" applyProtection="0"/>
    <xf numFmtId="0" fontId="48" fillId="24" borderId="235" applyNumberFormat="0" applyAlignment="0" applyProtection="0"/>
    <xf numFmtId="0" fontId="16" fillId="24" borderId="266" applyNumberFormat="0" applyAlignment="0" applyProtection="0"/>
    <xf numFmtId="0" fontId="25" fillId="13" borderId="266" applyNumberFormat="0" applyAlignment="0" applyProtection="0"/>
    <xf numFmtId="0" fontId="8" fillId="44" borderId="274" applyNumberFormat="0" applyFont="0" applyAlignment="0" applyProtection="0"/>
    <xf numFmtId="0" fontId="85" fillId="72" borderId="273"/>
    <xf numFmtId="0" fontId="28" fillId="0" borderId="232"/>
    <xf numFmtId="0" fontId="48" fillId="12" borderId="235" applyNumberFormat="0" applyAlignment="0" applyProtection="0"/>
    <xf numFmtId="0" fontId="48" fillId="24" borderId="235" applyNumberFormat="0" applyAlignment="0" applyProtection="0"/>
    <xf numFmtId="0" fontId="8" fillId="10" borderId="236" applyNumberFormat="0" applyFont="0" applyAlignment="0" applyProtection="0"/>
    <xf numFmtId="0" fontId="25" fillId="8" borderId="235" applyNumberFormat="0" applyAlignment="0" applyProtection="0"/>
    <xf numFmtId="0" fontId="48" fillId="24" borderId="235" applyNumberFormat="0" applyAlignment="0" applyProtection="0"/>
    <xf numFmtId="0" fontId="32" fillId="24" borderId="235" applyNumberFormat="0" applyAlignment="0" applyProtection="0"/>
    <xf numFmtId="0" fontId="8" fillId="10" borderId="236" applyNumberFormat="0" applyFont="0" applyAlignment="0" applyProtection="0"/>
    <xf numFmtId="0" fontId="8" fillId="10" borderId="236" applyNumberFormat="0" applyFont="0" applyAlignment="0" applyProtection="0"/>
    <xf numFmtId="0" fontId="49" fillId="10" borderId="236" applyNumberFormat="0" applyFont="0" applyAlignment="0" applyProtection="0"/>
    <xf numFmtId="0" fontId="48" fillId="12" borderId="266" applyNumberFormat="0" applyAlignment="0" applyProtection="0"/>
    <xf numFmtId="0" fontId="25" fillId="13" borderId="312" applyNumberFormat="0" applyAlignment="0" applyProtection="0"/>
    <xf numFmtId="0" fontId="25" fillId="8" borderId="312" applyNumberFormat="0" applyAlignment="0" applyProtection="0"/>
    <xf numFmtId="0" fontId="73" fillId="0" borderId="318" applyBorder="0">
      <alignment horizontal="center" vertical="center" wrapText="1"/>
    </xf>
    <xf numFmtId="0" fontId="48" fillId="24" borderId="312" applyNumberFormat="0" applyAlignment="0" applyProtection="0"/>
    <xf numFmtId="0" fontId="25" fillId="13" borderId="312" applyNumberFormat="0" applyAlignment="0" applyProtection="0"/>
    <xf numFmtId="0" fontId="28" fillId="0" borderId="319"/>
    <xf numFmtId="0" fontId="31" fillId="0" borderId="288" applyNumberFormat="0" applyFill="0" applyAlignment="0" applyProtection="0"/>
    <xf numFmtId="0" fontId="16" fillId="24" borderId="289" applyNumberForma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31" fillId="0" borderId="250" applyNumberFormat="0" applyFill="0" applyAlignment="0" applyProtection="0"/>
    <xf numFmtId="0" fontId="31" fillId="0" borderId="294" applyNumberFormat="0" applyFill="0" applyAlignment="0" applyProtection="0"/>
    <xf numFmtId="0" fontId="25" fillId="8" borderId="289" applyNumberFormat="0" applyAlignment="0" applyProtection="0"/>
    <xf numFmtId="0" fontId="25" fillId="13" borderId="298" applyNumberFormat="0" applyAlignment="0" applyProtection="0"/>
    <xf numFmtId="0" fontId="48" fillId="24" borderId="266" applyNumberFormat="0" applyAlignment="0" applyProtection="0"/>
    <xf numFmtId="0" fontId="31" fillId="0" borderId="271" applyNumberFormat="0" applyFill="0" applyAlignment="0" applyProtection="0"/>
    <xf numFmtId="0" fontId="31" fillId="0" borderId="311" applyNumberFormat="0" applyFill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29" fillId="12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48" fillId="24" borderId="289" applyNumberFormat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29" fillId="12" borderId="207" applyNumberForma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41" fillId="13" borderId="289" applyNumberFormat="0" applyAlignment="0" applyProtection="0"/>
    <xf numFmtId="0" fontId="48" fillId="24" borderId="208" applyNumberForma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16" fillId="24" borderId="235" applyNumberFormat="0" applyAlignment="0" applyProtection="0"/>
    <xf numFmtId="0" fontId="48" fillId="24" borderId="208" applyNumberFormat="0" applyAlignment="0" applyProtection="0"/>
    <xf numFmtId="0" fontId="49" fillId="10" borderId="209" applyNumberFormat="0" applyFont="0" applyAlignment="0" applyProtection="0"/>
    <xf numFmtId="0" fontId="29" fillId="12" borderId="207" applyNumberFormat="0" applyAlignment="0" applyProtection="0"/>
    <xf numFmtId="0" fontId="32" fillId="24" borderId="208" applyNumberFormat="0" applyAlignment="0" applyProtection="0"/>
    <xf numFmtId="0" fontId="48" fillId="12" borderId="208" applyNumberFormat="0" applyAlignment="0" applyProtection="0"/>
    <xf numFmtId="0" fontId="24" fillId="24" borderId="210" applyNumberFormat="0" applyAlignment="0" applyProtection="0"/>
    <xf numFmtId="0" fontId="8" fillId="10" borderId="209" applyNumberFormat="0" applyFont="0" applyAlignment="0" applyProtection="0"/>
    <xf numFmtId="0" fontId="29" fillId="24" borderId="207" applyNumberFormat="0" applyAlignment="0" applyProtection="0"/>
    <xf numFmtId="0" fontId="48" fillId="12" borderId="312" applyNumberFormat="0" applyAlignment="0" applyProtection="0"/>
    <xf numFmtId="0" fontId="25" fillId="13" borderId="275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48" fillId="24" borderId="208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49" fillId="10" borderId="209" applyNumberFormat="0" applyFont="0" applyAlignment="0" applyProtection="0"/>
    <xf numFmtId="0" fontId="8" fillId="10" borderId="209" applyNumberFormat="0" applyFont="0" applyAlignment="0" applyProtection="0"/>
    <xf numFmtId="0" fontId="48" fillId="24" borderId="208" applyNumberFormat="0" applyAlignment="0" applyProtection="0"/>
    <xf numFmtId="0" fontId="29" fillId="24" borderId="207" applyNumberFormat="0" applyAlignment="0" applyProtection="0"/>
    <xf numFmtId="0" fontId="8" fillId="10" borderId="209" applyNumberFormat="0" applyFont="0" applyAlignment="0" applyProtection="0"/>
    <xf numFmtId="0" fontId="25" fillId="13" borderId="208" applyNumberFormat="0" applyAlignment="0" applyProtection="0"/>
    <xf numFmtId="0" fontId="16" fillId="24" borderId="208" applyNumberFormat="0" applyAlignment="0" applyProtection="0"/>
    <xf numFmtId="0" fontId="31" fillId="0" borderId="311" applyNumberFormat="0" applyFill="0" applyAlignment="0" applyProtection="0"/>
    <xf numFmtId="0" fontId="31" fillId="0" borderId="206" applyNumberFormat="0" applyFill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1" fillId="13" borderId="208" applyNumberFormat="0" applyAlignment="0" applyProtection="0"/>
    <xf numFmtId="0" fontId="25" fillId="8" borderId="208" applyNumberFormat="0" applyAlignment="0" applyProtection="0"/>
    <xf numFmtId="0" fontId="8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4" fillId="24" borderId="210" applyNumberFormat="0" applyAlignment="0" applyProtection="0"/>
    <xf numFmtId="0" fontId="29" fillId="12" borderId="207" applyNumberFormat="0" applyAlignment="0" applyProtection="0"/>
    <xf numFmtId="0" fontId="31" fillId="0" borderId="211" applyNumberFormat="0" applyFill="0" applyAlignment="0" applyProtection="0"/>
    <xf numFmtId="0" fontId="31" fillId="0" borderId="211" applyNumberFormat="0" applyFill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32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41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31" fillId="0" borderId="288" applyNumberFormat="0" applyFill="0" applyAlignment="0" applyProtection="0"/>
    <xf numFmtId="0" fontId="48" fillId="24" borderId="208" applyNumberFormat="0" applyAlignment="0" applyProtection="0"/>
    <xf numFmtId="0" fontId="16" fillId="24" borderId="208" applyNumberFormat="0" applyAlignment="0" applyProtection="0"/>
    <xf numFmtId="0" fontId="16" fillId="24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25" fillId="13" borderId="208" applyNumberFormat="0" applyAlignment="0" applyProtection="0"/>
    <xf numFmtId="0" fontId="18" fillId="10" borderId="209" applyNumberFormat="0" applyFont="0" applyAlignment="0" applyProtection="0"/>
    <xf numFmtId="0" fontId="28" fillId="10" borderId="209" applyNumberFormat="0" applyFont="0" applyAlignment="0" applyProtection="0"/>
    <xf numFmtId="0" fontId="28" fillId="10" borderId="209" applyNumberFormat="0" applyFont="0" applyAlignment="0" applyProtection="0"/>
    <xf numFmtId="0" fontId="8" fillId="10" borderId="209" applyNumberFormat="0" applyFont="0" applyAlignment="0" applyProtection="0"/>
    <xf numFmtId="0" fontId="28" fillId="10" borderId="209" applyNumberFormat="0" applyFont="0" applyAlignment="0" applyProtection="0"/>
    <xf numFmtId="0" fontId="24" fillId="24" borderId="210" applyNumberForma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41" fillId="13" borderId="235" applyNumberFormat="0" applyAlignment="0" applyProtection="0"/>
    <xf numFmtId="0" fontId="24" fillId="24" borderId="210" applyNumberFormat="0" applyAlignment="0" applyProtection="0"/>
    <xf numFmtId="0" fontId="31" fillId="0" borderId="211" applyNumberFormat="0" applyFill="0" applyAlignment="0" applyProtection="0"/>
    <xf numFmtId="0" fontId="8" fillId="44" borderId="251" applyNumberFormat="0" applyFont="0" applyAlignment="0" applyProtection="0"/>
    <xf numFmtId="0" fontId="28" fillId="0" borderId="205"/>
    <xf numFmtId="0" fontId="85" fillId="0" borderId="205"/>
    <xf numFmtId="0" fontId="25" fillId="8" borderId="208" applyNumberFormat="0" applyAlignment="0" applyProtection="0"/>
    <xf numFmtId="0" fontId="28" fillId="10" borderId="267" applyNumberFormat="0" applyFont="0" applyAlignment="0" applyProtection="0"/>
    <xf numFmtId="0" fontId="31" fillId="0" borderId="206" applyNumberFormat="0" applyFill="0" applyAlignment="0" applyProtection="0"/>
    <xf numFmtId="0" fontId="25" fillId="13" borderId="235" applyNumberFormat="0" applyAlignment="0" applyProtection="0"/>
    <xf numFmtId="0" fontId="8" fillId="10" borderId="236" applyNumberFormat="0" applyFont="0" applyAlignment="0" applyProtection="0"/>
    <xf numFmtId="0" fontId="49" fillId="10" borderId="242" applyNumberFormat="0" applyFont="0" applyAlignment="0" applyProtection="0"/>
    <xf numFmtId="0" fontId="29" fillId="24" borderId="207" applyNumberFormat="0" applyAlignment="0" applyProtection="0"/>
    <xf numFmtId="0" fontId="29" fillId="24" borderId="207" applyNumberFormat="0" applyAlignment="0" applyProtection="0"/>
    <xf numFmtId="0" fontId="28" fillId="10" borderId="209" applyNumberFormat="0" applyFont="0" applyAlignment="0" applyProtection="0"/>
    <xf numFmtId="0" fontId="18" fillId="10" borderId="209" applyNumberFormat="0" applyFont="0" applyAlignment="0" applyProtection="0"/>
    <xf numFmtId="0" fontId="25" fillId="13" borderId="208" applyNumberFormat="0" applyAlignment="0" applyProtection="0"/>
    <xf numFmtId="0" fontId="41" fillId="13" borderId="208" applyNumberFormat="0" applyAlignment="0" applyProtection="0"/>
    <xf numFmtId="0" fontId="32" fillId="24" borderId="208" applyNumberFormat="0" applyAlignment="0" applyProtection="0"/>
    <xf numFmtId="0" fontId="25" fillId="8" borderId="289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8" fillId="10" borderId="209" applyNumberFormat="0" applyFont="0" applyAlignment="0" applyProtection="0"/>
    <xf numFmtId="0" fontId="25" fillId="8" borderId="208" applyNumberFormat="0" applyAlignment="0" applyProtection="0"/>
    <xf numFmtId="0" fontId="41" fillId="13" borderId="208" applyNumberFormat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48" fillId="24" borderId="208" applyNumberFormat="0" applyAlignment="0" applyProtection="0"/>
    <xf numFmtId="0" fontId="48" fillId="24" borderId="208" applyNumberFormat="0" applyAlignment="0" applyProtection="0"/>
    <xf numFmtId="0" fontId="28" fillId="0" borderId="205"/>
    <xf numFmtId="0" fontId="31" fillId="0" borderId="211" applyNumberFormat="0" applyFill="0" applyAlignment="0" applyProtection="0"/>
    <xf numFmtId="0" fontId="48" fillId="12" borderId="208" applyNumberFormat="0" applyAlignment="0" applyProtection="0"/>
    <xf numFmtId="0" fontId="48" fillId="12" borderId="208" applyNumberFormat="0" applyAlignment="0" applyProtection="0"/>
    <xf numFmtId="0" fontId="31" fillId="0" borderId="206" applyNumberFormat="0" applyFill="0" applyAlignment="0" applyProtection="0"/>
    <xf numFmtId="0" fontId="29" fillId="12" borderId="207" applyNumberFormat="0" applyAlignment="0" applyProtection="0"/>
    <xf numFmtId="0" fontId="28" fillId="10" borderId="209" applyNumberFormat="0" applyFont="0" applyAlignment="0" applyProtection="0"/>
    <xf numFmtId="0" fontId="16" fillId="24" borderId="208" applyNumberFormat="0" applyAlignment="0" applyProtection="0"/>
    <xf numFmtId="0" fontId="48" fillId="24" borderId="208" applyNumberFormat="0" applyAlignment="0" applyProtection="0"/>
    <xf numFmtId="0" fontId="28" fillId="10" borderId="209" applyNumberFormat="0" applyFont="0" applyAlignment="0" applyProtection="0"/>
    <xf numFmtId="0" fontId="25" fillId="13" borderId="208" applyNumberFormat="0" applyAlignment="0" applyProtection="0"/>
    <xf numFmtId="0" fontId="16" fillId="24" borderId="208" applyNumberFormat="0" applyAlignment="0" applyProtection="0"/>
    <xf numFmtId="0" fontId="29" fillId="12" borderId="207" applyNumberFormat="0" applyAlignment="0" applyProtection="0"/>
    <xf numFmtId="0" fontId="31" fillId="0" borderId="211" applyNumberFormat="0" applyFill="0" applyAlignment="0" applyProtection="0"/>
    <xf numFmtId="0" fontId="49" fillId="10" borderId="209" applyNumberFormat="0" applyFon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49" fillId="10" borderId="209" applyNumberFormat="0" applyFont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48" fillId="12" borderId="208" applyNumberFormat="0" applyAlignment="0" applyProtection="0"/>
    <xf numFmtId="0" fontId="8" fillId="10" borderId="209" applyNumberFormat="0" applyFont="0" applyAlignment="0" applyProtection="0"/>
    <xf numFmtId="0" fontId="49" fillId="10" borderId="209" applyNumberFormat="0" applyFont="0" applyAlignment="0" applyProtection="0"/>
    <xf numFmtId="0" fontId="28" fillId="0" borderId="205"/>
    <xf numFmtId="0" fontId="28" fillId="0" borderId="205"/>
    <xf numFmtId="0" fontId="31" fillId="0" borderId="211" applyNumberFormat="0" applyFill="0" applyAlignment="0" applyProtection="0"/>
    <xf numFmtId="0" fontId="85" fillId="0" borderId="205"/>
    <xf numFmtId="0" fontId="85" fillId="0" borderId="205"/>
    <xf numFmtId="0" fontId="48" fillId="12" borderId="208" applyNumberFormat="0" applyAlignment="0" applyProtection="0"/>
    <xf numFmtId="0" fontId="48" fillId="12" borderId="208" applyNumberFormat="0" applyAlignment="0" applyProtection="0"/>
    <xf numFmtId="0" fontId="25" fillId="8" borderId="208" applyNumberFormat="0" applyAlignment="0" applyProtection="0"/>
    <xf numFmtId="0" fontId="29" fillId="12" borderId="207" applyNumberFormat="0" applyAlignment="0" applyProtection="0"/>
    <xf numFmtId="0" fontId="31" fillId="0" borderId="206" applyNumberFormat="0" applyFill="0" applyAlignment="0" applyProtection="0"/>
    <xf numFmtId="0" fontId="31" fillId="0" borderId="206" applyNumberFormat="0" applyFill="0" applyAlignment="0" applyProtection="0"/>
    <xf numFmtId="0" fontId="48" fillId="12" borderId="235" applyNumberFormat="0" applyAlignment="0" applyProtection="0"/>
    <xf numFmtId="0" fontId="31" fillId="0" borderId="239" applyNumberFormat="0" applyFill="0" applyAlignment="0" applyProtection="0"/>
    <xf numFmtId="0" fontId="48" fillId="12" borderId="235" applyNumberFormat="0" applyAlignment="0" applyProtection="0"/>
    <xf numFmtId="0" fontId="16" fillId="24" borderId="235" applyNumberFormat="0" applyAlignment="0" applyProtection="0"/>
    <xf numFmtId="0" fontId="48" fillId="12" borderId="289" applyNumberFormat="0" applyAlignment="0" applyProtection="0"/>
    <xf numFmtId="0" fontId="25" fillId="8" borderId="235" applyNumberFormat="0" applyAlignment="0" applyProtection="0"/>
    <xf numFmtId="0" fontId="73" fillId="0" borderId="286" applyBorder="0">
      <alignment horizontal="center" vertical="center" wrapText="1"/>
    </xf>
    <xf numFmtId="0" fontId="48" fillId="12" borderId="289" applyNumberFormat="0" applyAlignment="0" applyProtection="0"/>
    <xf numFmtId="0" fontId="41" fillId="13" borderId="312" applyNumberFormat="0" applyAlignment="0" applyProtection="0"/>
    <xf numFmtId="0" fontId="31" fillId="0" borderId="265" applyNumberFormat="0" applyFill="0" applyAlignment="0" applyProtection="0"/>
    <xf numFmtId="0" fontId="31" fillId="0" borderId="244" applyNumberFormat="0" applyFill="0" applyAlignment="0" applyProtection="0"/>
    <xf numFmtId="0" fontId="31" fillId="0" borderId="250" applyNumberFormat="0" applyFill="0" applyAlignment="0" applyProtection="0"/>
    <xf numFmtId="0" fontId="32" fillId="24" borderId="212" applyNumberFormat="0" applyAlignment="0" applyProtection="0"/>
    <xf numFmtId="0" fontId="16" fillId="24" borderId="212" applyNumberFormat="0" applyAlignment="0" applyProtection="0"/>
    <xf numFmtId="0" fontId="48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25" fillId="13" borderId="235" applyNumberFormat="0" applyAlignment="0" applyProtection="0"/>
    <xf numFmtId="0" fontId="48" fillId="24" borderId="312" applyNumberFormat="0" applyAlignment="0" applyProtection="0"/>
    <xf numFmtId="0" fontId="25" fillId="13" borderId="266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29" fillId="12" borderId="248" applyNumberFormat="0" applyAlignment="0" applyProtection="0"/>
    <xf numFmtId="0" fontId="31" fillId="0" borderId="217" applyNumberFormat="0" applyFill="0" applyAlignment="0" applyProtection="0"/>
    <xf numFmtId="0" fontId="85" fillId="0" borderId="216"/>
    <xf numFmtId="0" fontId="18" fillId="10" borderId="213" applyNumberFormat="0" applyFont="0" applyAlignment="0" applyProtection="0"/>
    <xf numFmtId="0" fontId="28" fillId="10" borderId="213" applyNumberFormat="0" applyFont="0" applyAlignment="0" applyProtection="0"/>
    <xf numFmtId="0" fontId="8" fillId="10" borderId="213" applyNumberFormat="0" applyFont="0" applyAlignment="0" applyProtection="0"/>
    <xf numFmtId="0" fontId="28" fillId="10" borderId="213" applyNumberFormat="0" applyFont="0" applyAlignment="0" applyProtection="0"/>
    <xf numFmtId="0" fontId="8" fillId="10" borderId="213" applyNumberFormat="0" applyFont="0" applyAlignment="0" applyProtection="0"/>
    <xf numFmtId="0" fontId="49" fillId="10" borderId="213" applyNumberFormat="0" applyFont="0" applyAlignment="0" applyProtection="0"/>
    <xf numFmtId="0" fontId="28" fillId="10" borderId="213" applyNumberFormat="0" applyFont="0" applyAlignment="0" applyProtection="0"/>
    <xf numFmtId="0" fontId="24" fillId="24" borderId="214" applyNumberFormat="0" applyAlignment="0" applyProtection="0"/>
    <xf numFmtId="0" fontId="24" fillId="24" borderId="214" applyNumberFormat="0" applyAlignment="0" applyProtection="0"/>
    <xf numFmtId="0" fontId="31" fillId="0" borderId="215" applyNumberFormat="0" applyFill="0" applyAlignment="0" applyProtection="0"/>
    <xf numFmtId="0" fontId="85" fillId="0" borderId="319"/>
    <xf numFmtId="0" fontId="29" fillId="12" borderId="269" applyNumberFormat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24" fillId="24" borderId="268" applyNumberFormat="0" applyAlignment="0" applyProtection="0"/>
    <xf numFmtId="0" fontId="25" fillId="13" borderId="266" applyNumberFormat="0" applyAlignment="0" applyProtection="0"/>
    <xf numFmtId="0" fontId="28" fillId="0" borderId="273"/>
    <xf numFmtId="0" fontId="49" fillId="10" borderId="267" applyNumberFormat="0" applyFont="0" applyAlignment="0" applyProtection="0"/>
    <xf numFmtId="0" fontId="31" fillId="0" borderId="264" applyNumberFormat="0" applyFill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31" fillId="0" borderId="264" applyNumberFormat="0" applyFill="0" applyAlignment="0" applyProtection="0"/>
    <xf numFmtId="0" fontId="31" fillId="0" borderId="265" applyNumberFormat="0" applyFill="0" applyAlignment="0" applyProtection="0"/>
    <xf numFmtId="0" fontId="48" fillId="12" borderId="266" applyNumberFormat="0" applyAlignment="0" applyProtection="0"/>
    <xf numFmtId="0" fontId="24" fillId="24" borderId="268" applyNumberFormat="0" applyAlignment="0" applyProtection="0"/>
    <xf numFmtId="0" fontId="31" fillId="0" borderId="271" applyNumberFormat="0" applyFill="0" applyAlignment="0" applyProtection="0"/>
    <xf numFmtId="0" fontId="18" fillId="10" borderId="267" applyNumberFormat="0" applyFont="0" applyAlignment="0" applyProtection="0"/>
    <xf numFmtId="0" fontId="16" fillId="24" borderId="266" applyNumberFormat="0" applyAlignment="0" applyProtection="0"/>
    <xf numFmtId="0" fontId="25" fillId="13" borderId="266" applyNumberFormat="0" applyAlignment="0" applyProtection="0"/>
    <xf numFmtId="0" fontId="25" fillId="8" borderId="266" applyNumberFormat="0" applyAlignment="0" applyProtection="0"/>
    <xf numFmtId="0" fontId="31" fillId="0" borderId="271" applyNumberFormat="0" applyFill="0" applyAlignment="0" applyProtection="0"/>
    <xf numFmtId="0" fontId="48" fillId="24" borderId="266" applyNumberFormat="0" applyAlignment="0" applyProtection="0"/>
    <xf numFmtId="0" fontId="28" fillId="10" borderId="267" applyNumberFormat="0" applyFont="0" applyAlignment="0" applyProtection="0"/>
    <xf numFmtId="0" fontId="28" fillId="10" borderId="267" applyNumberFormat="0" applyFont="0" applyAlignment="0" applyProtection="0"/>
    <xf numFmtId="0" fontId="49" fillId="10" borderId="267" applyNumberFormat="0" applyFont="0" applyAlignment="0" applyProtection="0"/>
    <xf numFmtId="0" fontId="48" fillId="12" borderId="266" applyNumberFormat="0" applyAlignment="0" applyProtection="0"/>
    <xf numFmtId="0" fontId="48" fillId="12" borderId="266" applyNumberFormat="0" applyAlignment="0" applyProtection="0"/>
    <xf numFmtId="0" fontId="85" fillId="0" borderId="273"/>
    <xf numFmtId="0" fontId="31" fillId="0" borderId="317" applyNumberFormat="0" applyFill="0" applyAlignment="0" applyProtection="0"/>
    <xf numFmtId="0" fontId="49" fillId="10" borderId="313" applyNumberFormat="0" applyFont="0" applyAlignment="0" applyProtection="0"/>
    <xf numFmtId="0" fontId="32" fillId="24" borderId="312" applyNumberFormat="0" applyAlignment="0" applyProtection="0"/>
    <xf numFmtId="0" fontId="85" fillId="0" borderId="319"/>
    <xf numFmtId="0" fontId="16" fillId="24" borderId="321" applyNumberFormat="0" applyAlignment="0" applyProtection="0"/>
    <xf numFmtId="0" fontId="49" fillId="10" borderId="290" applyNumberFormat="0" applyFont="0" applyAlignment="0" applyProtection="0"/>
    <xf numFmtId="0" fontId="29" fillId="24" borderId="292" applyNumberFormat="0" applyAlignment="0" applyProtection="0"/>
    <xf numFmtId="0" fontId="8" fillId="10" borderId="242" applyNumberFormat="0" applyFont="0" applyAlignment="0" applyProtection="0"/>
    <xf numFmtId="0" fontId="31" fillId="0" borderId="250" applyNumberFormat="0" applyFill="0" applyAlignment="0" applyProtection="0"/>
    <xf numFmtId="0" fontId="29" fillId="24" borderId="248" applyNumberFormat="0" applyAlignment="0" applyProtection="0"/>
    <xf numFmtId="0" fontId="29" fillId="24" borderId="248" applyNumberFormat="0" applyAlignment="0" applyProtection="0"/>
    <xf numFmtId="0" fontId="29" fillId="24" borderId="315" applyNumberFormat="0" applyAlignment="0" applyProtection="0"/>
    <xf numFmtId="0" fontId="48" fillId="24" borderId="266" applyNumberFormat="0" applyAlignment="0" applyProtection="0"/>
    <xf numFmtId="0" fontId="85" fillId="0" borderId="319"/>
    <xf numFmtId="0" fontId="32" fillId="24" borderId="266" applyNumberFormat="0" applyAlignment="0" applyProtection="0"/>
    <xf numFmtId="0" fontId="73" fillId="0" borderId="272" applyBorder="0">
      <alignment horizontal="center" vertical="center" wrapText="1"/>
    </xf>
    <xf numFmtId="0" fontId="48" fillId="24" borderId="312" applyNumberFormat="0" applyAlignment="0" applyProtection="0"/>
    <xf numFmtId="0" fontId="28" fillId="10" borderId="267" applyNumberFormat="0" applyFont="0" applyAlignment="0" applyProtection="0"/>
    <xf numFmtId="0" fontId="48" fillId="24" borderId="241" applyNumberFormat="0" applyAlignment="0" applyProtection="0"/>
    <xf numFmtId="0" fontId="16" fillId="24" borderId="241" applyNumberFormat="0" applyAlignment="0" applyProtection="0"/>
    <xf numFmtId="0" fontId="16" fillId="24" borderId="266" applyNumberFormat="0" applyAlignment="0" applyProtection="0"/>
    <xf numFmtId="0" fontId="8" fillId="10" borderId="290" applyNumberFormat="0" applyFon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49" fillId="10" borderId="242" applyNumberFormat="0" applyFont="0" applyAlignment="0" applyProtection="0"/>
    <xf numFmtId="0" fontId="24" fillId="24" borderId="243" applyNumberFormat="0" applyAlignment="0" applyProtection="0"/>
    <xf numFmtId="0" fontId="31" fillId="0" borderId="311" applyNumberFormat="0" applyFill="0" applyAlignment="0" applyProtection="0"/>
    <xf numFmtId="0" fontId="29" fillId="24" borderId="315" applyNumberFormat="0" applyAlignment="0" applyProtection="0"/>
    <xf numFmtId="0" fontId="31" fillId="0" borderId="310" applyNumberFormat="0" applyFill="0" applyAlignment="0" applyProtection="0"/>
    <xf numFmtId="0" fontId="28" fillId="0" borderId="273"/>
    <xf numFmtId="0" fontId="32" fillId="24" borderId="275" applyNumberFormat="0" applyAlignment="0" applyProtection="0"/>
    <xf numFmtId="0" fontId="85" fillId="72" borderId="319"/>
    <xf numFmtId="0" fontId="31" fillId="0" borderId="310" applyNumberFormat="0" applyFill="0" applyAlignment="0" applyProtection="0"/>
    <xf numFmtId="0" fontId="29" fillId="12" borderId="315" applyNumberFormat="0" applyAlignment="0" applyProtection="0"/>
    <xf numFmtId="0" fontId="31" fillId="0" borderId="311" applyNumberFormat="0" applyFill="0" applyAlignment="0" applyProtection="0"/>
    <xf numFmtId="0" fontId="28" fillId="10" borderId="313" applyNumberFormat="0" applyFont="0" applyAlignment="0" applyProtection="0"/>
    <xf numFmtId="0" fontId="28" fillId="10" borderId="290" applyNumberFormat="0" applyFont="0" applyAlignment="0" applyProtection="0"/>
    <xf numFmtId="0" fontId="31" fillId="0" borderId="293" applyNumberFormat="0" applyFill="0" applyAlignment="0" applyProtection="0"/>
    <xf numFmtId="0" fontId="31" fillId="0" borderId="288" applyNumberFormat="0" applyFill="0" applyAlignment="0" applyProtection="0"/>
    <xf numFmtId="0" fontId="31" fillId="0" borderId="311" applyNumberFormat="0" applyFill="0" applyAlignment="0" applyProtection="0"/>
    <xf numFmtId="0" fontId="41" fillId="13" borderId="305" applyNumberFormat="0" applyAlignment="0" applyProtection="0"/>
    <xf numFmtId="0" fontId="29" fillId="12" borderId="292" applyNumberFormat="0" applyAlignment="0" applyProtection="0"/>
    <xf numFmtId="0" fontId="31" fillId="0" borderId="294" applyNumberFormat="0" applyFill="0" applyAlignment="0" applyProtection="0"/>
    <xf numFmtId="0" fontId="31" fillId="0" borderId="288" applyNumberFormat="0" applyFill="0" applyAlignment="0" applyProtection="0"/>
    <xf numFmtId="0" fontId="31" fillId="0" borderId="311" applyNumberFormat="0" applyFill="0" applyAlignment="0" applyProtection="0"/>
    <xf numFmtId="0" fontId="16" fillId="24" borderId="259" applyNumberFormat="0" applyAlignment="0" applyProtection="0"/>
    <xf numFmtId="0" fontId="31" fillId="0" borderId="270" applyNumberFormat="0" applyFill="0" applyAlignment="0" applyProtection="0"/>
    <xf numFmtId="0" fontId="31" fillId="0" borderId="264" applyNumberFormat="0" applyFill="0" applyAlignment="0" applyProtection="0"/>
    <xf numFmtId="0" fontId="29" fillId="24" borderId="304" applyNumberFormat="0" applyAlignment="0" applyProtection="0"/>
    <xf numFmtId="0" fontId="8" fillId="10" borderId="313" applyNumberFormat="0" applyFont="0" applyAlignment="0" applyProtection="0"/>
    <xf numFmtId="0" fontId="41" fillId="13" borderId="289" applyNumberFormat="0" applyAlignment="0" applyProtection="0"/>
    <xf numFmtId="0" fontId="85" fillId="0" borderId="273"/>
    <xf numFmtId="0" fontId="24" fillId="24" borderId="268" applyNumberFormat="0" applyAlignment="0" applyProtection="0"/>
    <xf numFmtId="0" fontId="25" fillId="8" borderId="266" applyNumberFormat="0" applyAlignment="0" applyProtection="0"/>
    <xf numFmtId="0" fontId="25" fillId="13" borderId="275" applyNumberFormat="0" applyAlignment="0" applyProtection="0"/>
    <xf numFmtId="0" fontId="31" fillId="0" borderId="278" applyNumberFormat="0" applyFill="0" applyAlignment="0" applyProtection="0"/>
    <xf numFmtId="0" fontId="18" fillId="10" borderId="313" applyNumberFormat="0" applyFont="0" applyAlignment="0" applyProtection="0"/>
    <xf numFmtId="0" fontId="31" fillId="0" borderId="317" applyNumberFormat="0" applyFill="0" applyAlignment="0" applyProtection="0"/>
    <xf numFmtId="0" fontId="28" fillId="10" borderId="313" applyNumberFormat="0" applyFont="0" applyAlignment="0" applyProtection="0"/>
    <xf numFmtId="0" fontId="8" fillId="10" borderId="313" applyNumberFormat="0" applyFont="0" applyAlignment="0" applyProtection="0"/>
    <xf numFmtId="0" fontId="28" fillId="0" borderId="296"/>
    <xf numFmtId="0" fontId="28" fillId="0" borderId="296"/>
    <xf numFmtId="0" fontId="31" fillId="0" borderId="294" applyNumberFormat="0" applyFill="0" applyAlignment="0" applyProtection="0"/>
    <xf numFmtId="0" fontId="41" fillId="13" borderId="289" applyNumberFormat="0" applyAlignment="0" applyProtection="0"/>
    <xf numFmtId="0" fontId="31" fillId="0" borderId="288" applyNumberFormat="0" applyFill="0" applyAlignment="0" applyProtection="0"/>
    <xf numFmtId="0" fontId="16" fillId="24" borderId="289" applyNumberFormat="0" applyAlignment="0" applyProtection="0"/>
    <xf numFmtId="0" fontId="48" fillId="24" borderId="289" applyNumberFormat="0" applyAlignment="0" applyProtection="0"/>
    <xf numFmtId="0" fontId="31" fillId="0" borderId="310" applyNumberFormat="0" applyFill="0" applyAlignment="0" applyProtection="0"/>
    <xf numFmtId="0" fontId="32" fillId="24" borderId="312" applyNumberFormat="0" applyAlignment="0" applyProtection="0"/>
    <xf numFmtId="0" fontId="49" fillId="10" borderId="313" applyNumberFormat="0" applyFont="0" applyAlignment="0" applyProtection="0"/>
    <xf numFmtId="0" fontId="16" fillId="24" borderId="289" applyNumberFormat="0" applyAlignment="0" applyProtection="0"/>
    <xf numFmtId="0" fontId="16" fillId="24" borderId="252" applyNumberFormat="0" applyAlignment="0" applyProtection="0"/>
    <xf numFmtId="0" fontId="32" fillId="24" borderId="252" applyNumberFormat="0" applyAlignment="0" applyProtection="0"/>
    <xf numFmtId="0" fontId="31" fillId="0" borderId="247" applyNumberFormat="0" applyFill="0" applyAlignment="0" applyProtection="0"/>
    <xf numFmtId="0" fontId="28" fillId="0" borderId="245"/>
    <xf numFmtId="0" fontId="29" fillId="12" borderId="248" applyNumberFormat="0" applyAlignment="0" applyProtection="0"/>
    <xf numFmtId="0" fontId="28" fillId="0" borderId="245"/>
    <xf numFmtId="0" fontId="49" fillId="10" borderId="242" applyNumberFormat="0" applyFont="0" applyAlignment="0" applyProtection="0"/>
    <xf numFmtId="0" fontId="28" fillId="10" borderId="242" applyNumberFormat="0" applyFont="0" applyAlignment="0" applyProtection="0"/>
    <xf numFmtId="0" fontId="31" fillId="0" borderId="247" applyNumberFormat="0" applyFill="0" applyAlignment="0" applyProtection="0"/>
    <xf numFmtId="0" fontId="24" fillId="24" borderId="243" applyNumberFormat="0" applyAlignment="0" applyProtection="0"/>
    <xf numFmtId="0" fontId="29" fillId="24" borderId="248" applyNumberFormat="0" applyAlignment="0" applyProtection="0"/>
    <xf numFmtId="0" fontId="8" fillId="10" borderId="242" applyNumberFormat="0" applyFont="0" applyAlignment="0" applyProtection="0"/>
    <xf numFmtId="0" fontId="8" fillId="10" borderId="242" applyNumberFormat="0" applyFont="0" applyAlignment="0" applyProtection="0"/>
    <xf numFmtId="0" fontId="31" fillId="0" borderId="244" applyNumberFormat="0" applyFill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31" fillId="0" borderId="247" applyNumberFormat="0" applyFill="0" applyAlignment="0" applyProtection="0"/>
    <xf numFmtId="0" fontId="31" fillId="0" borderId="250" applyNumberFormat="0" applyFill="0" applyAlignment="0" applyProtection="0"/>
    <xf numFmtId="0" fontId="18" fillId="10" borderId="242" applyNumberFormat="0" applyFont="0" applyAlignment="0" applyProtection="0"/>
    <xf numFmtId="0" fontId="24" fillId="24" borderId="243" applyNumberFormat="0" applyAlignment="0" applyProtection="0"/>
    <xf numFmtId="0" fontId="8" fillId="10" borderId="242" applyNumberFormat="0" applyFont="0" applyAlignment="0" applyProtection="0"/>
    <xf numFmtId="0" fontId="29" fillId="24" borderId="248" applyNumberFormat="0" applyAlignment="0" applyProtection="0"/>
    <xf numFmtId="0" fontId="85" fillId="0" borderId="245"/>
    <xf numFmtId="0" fontId="28" fillId="0" borderId="245"/>
    <xf numFmtId="0" fontId="31" fillId="0" borderId="316" applyNumberFormat="0" applyFill="0" applyAlignment="0" applyProtection="0"/>
    <xf numFmtId="0" fontId="28" fillId="10" borderId="267" applyNumberFormat="0" applyFont="0" applyAlignment="0" applyProtection="0"/>
    <xf numFmtId="0" fontId="16" fillId="24" borderId="321" applyNumberFormat="0" applyAlignment="0" applyProtection="0"/>
    <xf numFmtId="0" fontId="25" fillId="8" borderId="289" applyNumberFormat="0" applyAlignment="0" applyProtection="0"/>
    <xf numFmtId="0" fontId="8" fillId="44" borderId="297" applyNumberFormat="0" applyFont="0" applyAlignment="0" applyProtection="0"/>
    <xf numFmtId="0" fontId="48" fillId="12" borderId="289" applyNumberFormat="0" applyAlignment="0" applyProtection="0"/>
    <xf numFmtId="0" fontId="28" fillId="10" borderId="290" applyNumberFormat="0" applyFont="0" applyAlignment="0" applyProtection="0"/>
    <xf numFmtId="0" fontId="49" fillId="10" borderId="290" applyNumberFormat="0" applyFont="0" applyAlignment="0" applyProtection="0"/>
    <xf numFmtId="0" fontId="31" fillId="0" borderId="287" applyNumberFormat="0" applyFill="0" applyAlignment="0" applyProtection="0"/>
    <xf numFmtId="0" fontId="31" fillId="0" borderId="250" applyNumberFormat="0" applyFill="0" applyAlignment="0" applyProtection="0"/>
    <xf numFmtId="0" fontId="49" fillId="10" borderId="267" applyNumberFormat="0" applyFont="0" applyAlignment="0" applyProtection="0"/>
    <xf numFmtId="0" fontId="85" fillId="0" borderId="273"/>
    <xf numFmtId="0" fontId="29" fillId="24" borderId="315" applyNumberFormat="0" applyAlignment="0" applyProtection="0"/>
    <xf numFmtId="0" fontId="48" fillId="12" borderId="289" applyNumberFormat="0" applyAlignment="0" applyProtection="0"/>
    <xf numFmtId="0" fontId="28" fillId="0" borderId="296"/>
    <xf numFmtId="0" fontId="8" fillId="10" borderId="290" applyNumberFormat="0" applyFont="0" applyAlignment="0" applyProtection="0"/>
    <xf numFmtId="0" fontId="73" fillId="0" borderId="246" applyBorder="0">
      <alignment horizontal="center" vertical="center" wrapText="1"/>
    </xf>
    <xf numFmtId="0" fontId="16" fillId="24" borderId="282" applyNumberFormat="0" applyAlignment="0" applyProtection="0"/>
    <xf numFmtId="0" fontId="48" fillId="12" borderId="266" applyNumberFormat="0" applyAlignment="0" applyProtection="0"/>
    <xf numFmtId="0" fontId="48" fillId="12" borderId="312" applyNumberFormat="0" applyAlignment="0" applyProtection="0"/>
    <xf numFmtId="0" fontId="73" fillId="0" borderId="309" applyBorder="0">
      <alignment horizontal="center" vertical="center" wrapText="1"/>
    </xf>
    <xf numFmtId="0" fontId="24" fillId="24" borderId="323" applyNumberFormat="0" applyAlignment="0" applyProtection="0"/>
    <xf numFmtId="0" fontId="24" fillId="24" borderId="314" applyNumberFormat="0" applyAlignment="0" applyProtection="0"/>
    <xf numFmtId="0" fontId="29" fillId="24" borderId="315" applyNumberFormat="0" applyAlignment="0" applyProtection="0"/>
    <xf numFmtId="0" fontId="25" fillId="13" borderId="312" applyNumberFormat="0" applyAlignment="0" applyProtection="0"/>
    <xf numFmtId="0" fontId="28" fillId="0" borderId="296"/>
    <xf numFmtId="0" fontId="16" fillId="24" borderId="289" applyNumberFormat="0" applyAlignment="0" applyProtection="0"/>
    <xf numFmtId="0" fontId="25" fillId="13" borderId="289" applyNumberFormat="0" applyAlignment="0" applyProtection="0"/>
    <xf numFmtId="0" fontId="24" fillId="24" borderId="314" applyNumberFormat="0" applyAlignment="0" applyProtection="0"/>
    <xf numFmtId="0" fontId="16" fillId="24" borderId="289" applyNumberFormat="0" applyAlignment="0" applyProtection="0"/>
    <xf numFmtId="0" fontId="28" fillId="10" borderId="313" applyNumberFormat="0" applyFont="0" applyAlignment="0" applyProtection="0"/>
    <xf numFmtId="0" fontId="28" fillId="10" borderId="313" applyNumberFormat="0" applyFont="0" applyAlignment="0" applyProtection="0"/>
    <xf numFmtId="0" fontId="73" fillId="0" borderId="263" applyBorder="0">
      <alignment horizontal="center" vertical="center" wrapText="1"/>
    </xf>
    <xf numFmtId="0" fontId="16" fillId="24" borderId="266" applyNumberFormat="0" applyAlignment="0" applyProtection="0"/>
    <xf numFmtId="0" fontId="28" fillId="0" borderId="319"/>
    <xf numFmtId="0" fontId="29" fillId="24" borderId="269" applyNumberFormat="0" applyAlignment="0" applyProtection="0"/>
    <xf numFmtId="0" fontId="29" fillId="12" borderId="269" applyNumberFormat="0" applyAlignment="0" applyProtection="0"/>
    <xf numFmtId="0" fontId="31" fillId="0" borderId="293" applyNumberFormat="0" applyFill="0" applyAlignment="0" applyProtection="0"/>
    <xf numFmtId="0" fontId="28" fillId="10" borderId="276" applyNumberFormat="0" applyFont="0" applyAlignment="0" applyProtection="0"/>
    <xf numFmtId="0" fontId="16" fillId="24" borderId="312" applyNumberFormat="0" applyAlignment="0" applyProtection="0"/>
    <xf numFmtId="0" fontId="16" fillId="24" borderId="305" applyNumberFormat="0" applyAlignment="0" applyProtection="0"/>
    <xf numFmtId="0" fontId="49" fillId="10" borderId="313" applyNumberFormat="0" applyFont="0" applyAlignment="0" applyProtection="0"/>
    <xf numFmtId="0" fontId="25" fillId="13" borderId="312" applyNumberFormat="0" applyAlignment="0" applyProtection="0"/>
    <xf numFmtId="0" fontId="18" fillId="10" borderId="290" applyNumberFormat="0" applyFont="0" applyAlignment="0" applyProtection="0"/>
    <xf numFmtId="0" fontId="85" fillId="0" borderId="296"/>
    <xf numFmtId="0" fontId="32" fillId="24" borderId="282" applyNumberFormat="0" applyAlignment="0" applyProtection="0"/>
    <xf numFmtId="0" fontId="8" fillId="10" borderId="313" applyNumberFormat="0" applyFont="0" applyAlignment="0" applyProtection="0"/>
    <xf numFmtId="0" fontId="28" fillId="10" borderId="253" applyNumberFormat="0" applyFont="0" applyAlignment="0" applyProtection="0"/>
    <xf numFmtId="0" fontId="25" fillId="13" borderId="252" applyNumberFormat="0" applyAlignment="0" applyProtection="0"/>
    <xf numFmtId="0" fontId="85" fillId="0" borderId="245"/>
    <xf numFmtId="0" fontId="49" fillId="10" borderId="242" applyNumberFormat="0" applyFont="0" applyAlignment="0" applyProtection="0"/>
    <xf numFmtId="0" fontId="31" fillId="0" borderId="249" applyNumberFormat="0" applyFill="0" applyAlignment="0" applyProtection="0"/>
    <xf numFmtId="0" fontId="28" fillId="10" borderId="242" applyNumberFormat="0" applyFont="0" applyAlignment="0" applyProtection="0"/>
    <xf numFmtId="0" fontId="29" fillId="24" borderId="248" applyNumberFormat="0" applyAlignment="0" applyProtection="0"/>
    <xf numFmtId="0" fontId="49" fillId="10" borderId="242" applyNumberFormat="0" applyFont="0" applyAlignment="0" applyProtection="0"/>
    <xf numFmtId="0" fontId="31" fillId="0" borderId="250" applyNumberFormat="0" applyFill="0" applyAlignment="0" applyProtection="0"/>
    <xf numFmtId="0" fontId="29" fillId="12" borderId="248" applyNumberFormat="0" applyAlignment="0" applyProtection="0"/>
    <xf numFmtId="0" fontId="29" fillId="24" borderId="248" applyNumberFormat="0" applyAlignment="0" applyProtection="0"/>
    <xf numFmtId="0" fontId="28" fillId="10" borderId="242" applyNumberFormat="0" applyFont="0" applyAlignment="0" applyProtection="0"/>
    <xf numFmtId="0" fontId="49" fillId="10" borderId="242" applyNumberFormat="0" applyFont="0" applyAlignment="0" applyProtection="0"/>
    <xf numFmtId="0" fontId="24" fillId="24" borderId="291" applyNumberFormat="0" applyAlignment="0" applyProtection="0"/>
    <xf numFmtId="0" fontId="29" fillId="12" borderId="315" applyNumberFormat="0" applyAlignment="0" applyProtection="0"/>
    <xf numFmtId="0" fontId="28" fillId="10" borderId="260" applyNumberFormat="0" applyFont="0" applyAlignment="0" applyProtection="0"/>
    <xf numFmtId="0" fontId="28" fillId="10" borderId="260" applyNumberFormat="0" applyFont="0" applyAlignment="0" applyProtection="0"/>
    <xf numFmtId="0" fontId="41" fillId="13" borderId="252" applyNumberFormat="0" applyAlignment="0" applyProtection="0"/>
    <xf numFmtId="0" fontId="31" fillId="0" borderId="250" applyNumberFormat="0" applyFill="0" applyAlignment="0" applyProtection="0"/>
    <xf numFmtId="0" fontId="28" fillId="0" borderId="296"/>
    <xf numFmtId="0" fontId="31" fillId="0" borderId="311" applyNumberFormat="0" applyFill="0" applyAlignment="0" applyProtection="0"/>
    <xf numFmtId="0" fontId="8" fillId="10" borderId="267" applyNumberFormat="0" applyFont="0" applyAlignment="0" applyProtection="0"/>
    <xf numFmtId="0" fontId="16" fillId="24" borderId="266" applyNumberFormat="0" applyAlignment="0" applyProtection="0"/>
    <xf numFmtId="0" fontId="31" fillId="0" borderId="265" applyNumberFormat="0" applyFill="0" applyAlignment="0" applyProtection="0"/>
    <xf numFmtId="0" fontId="28" fillId="10" borderId="267" applyNumberFormat="0" applyFont="0" applyAlignment="0" applyProtection="0"/>
    <xf numFmtId="0" fontId="41" fillId="13" borderId="266" applyNumberFormat="0" applyAlignment="0" applyProtection="0"/>
    <xf numFmtId="0" fontId="31" fillId="0" borderId="271" applyNumberFormat="0" applyFill="0" applyAlignment="0" applyProtection="0"/>
    <xf numFmtId="0" fontId="73" fillId="0" borderId="272" applyBorder="0">
      <alignment horizontal="center" vertical="center" wrapText="1"/>
    </xf>
    <xf numFmtId="0" fontId="32" fillId="24" borderId="235" applyNumberFormat="0" applyAlignment="0" applyProtection="0"/>
    <xf numFmtId="0" fontId="16" fillId="24" borderId="235" applyNumberFormat="0" applyAlignment="0" applyProtection="0"/>
    <xf numFmtId="0" fontId="31" fillId="0" borderId="271" applyNumberFormat="0" applyFill="0" applyAlignment="0" applyProtection="0"/>
    <xf numFmtId="0" fontId="31" fillId="0" borderId="265" applyNumberFormat="0" applyFill="0" applyAlignment="0" applyProtection="0"/>
    <xf numFmtId="0" fontId="25" fillId="8" borderId="266" applyNumberFormat="0" applyAlignment="0" applyProtection="0"/>
    <xf numFmtId="0" fontId="31" fillId="0" borderId="271" applyNumberFormat="0" applyFill="0" applyAlignment="0" applyProtection="0"/>
    <xf numFmtId="0" fontId="29" fillId="24" borderId="269" applyNumberFormat="0" applyAlignment="0" applyProtection="0"/>
    <xf numFmtId="0" fontId="28" fillId="10" borderId="267" applyNumberFormat="0" applyFont="0" applyAlignment="0" applyProtection="0"/>
    <xf numFmtId="0" fontId="16" fillId="24" borderId="266" applyNumberFormat="0" applyAlignment="0" applyProtection="0"/>
    <xf numFmtId="0" fontId="31" fillId="0" borderId="287" applyNumberFormat="0" applyFill="0" applyAlignment="0" applyProtection="0"/>
    <xf numFmtId="0" fontId="48" fillId="12" borderId="312" applyNumberFormat="0" applyAlignment="0" applyProtection="0"/>
    <xf numFmtId="0" fontId="48" fillId="24" borderId="312" applyNumberFormat="0" applyAlignment="0" applyProtection="0"/>
    <xf numFmtId="0" fontId="29" fillId="24" borderId="269" applyNumberFormat="0" applyAlignment="0" applyProtection="0"/>
    <xf numFmtId="0" fontId="31" fillId="0" borderId="264" applyNumberFormat="0" applyFill="0" applyAlignment="0" applyProtection="0"/>
    <xf numFmtId="0" fontId="31" fillId="0" borderId="270" applyNumberFormat="0" applyFill="0" applyAlignment="0" applyProtection="0"/>
    <xf numFmtId="0" fontId="29" fillId="12" borderId="269" applyNumberFormat="0" applyAlignment="0" applyProtection="0"/>
    <xf numFmtId="0" fontId="25" fillId="13" borderId="266" applyNumberFormat="0" applyAlignment="0" applyProtection="0"/>
    <xf numFmtId="0" fontId="31" fillId="0" borderId="317" applyNumberFormat="0" applyFill="0" applyAlignment="0" applyProtection="0"/>
    <xf numFmtId="0" fontId="28" fillId="10" borderId="322" applyNumberFormat="0" applyFont="0" applyAlignment="0" applyProtection="0"/>
    <xf numFmtId="0" fontId="85" fillId="0" borderId="273"/>
    <xf numFmtId="0" fontId="29" fillId="24" borderId="269" applyNumberFormat="0" applyAlignment="0" applyProtection="0"/>
    <xf numFmtId="0" fontId="31" fillId="0" borderId="265" applyNumberFormat="0" applyFill="0" applyAlignment="0" applyProtection="0"/>
    <xf numFmtId="0" fontId="48" fillId="24" borderId="266" applyNumberFormat="0" applyAlignment="0" applyProtection="0"/>
    <xf numFmtId="0" fontId="8" fillId="10" borderId="267" applyNumberFormat="0" applyFont="0" applyAlignment="0" applyProtection="0"/>
    <xf numFmtId="0" fontId="31" fillId="0" borderId="270" applyNumberFormat="0" applyFill="0" applyAlignment="0" applyProtection="0"/>
    <xf numFmtId="0" fontId="31" fillId="0" borderId="271" applyNumberFormat="0" applyFill="0" applyAlignment="0" applyProtection="0"/>
    <xf numFmtId="0" fontId="18" fillId="10" borderId="267" applyNumberFormat="0" applyFont="0" applyAlignment="0" applyProtection="0"/>
    <xf numFmtId="0" fontId="28" fillId="10" borderId="267" applyNumberFormat="0" applyFont="0" applyAlignment="0" applyProtection="0"/>
    <xf numFmtId="0" fontId="48" fillId="24" borderId="266" applyNumberFormat="0" applyAlignment="0" applyProtection="0"/>
    <xf numFmtId="0" fontId="48" fillId="12" borderId="266" applyNumberFormat="0" applyAlignment="0" applyProtection="0"/>
    <xf numFmtId="0" fontId="16" fillId="24" borderId="266" applyNumberFormat="0" applyAlignment="0" applyProtection="0"/>
    <xf numFmtId="0" fontId="73" fillId="0" borderId="272" applyBorder="0">
      <alignment horizontal="center" vertical="center" wrapText="1"/>
    </xf>
    <xf numFmtId="0" fontId="31" fillId="0" borderId="270" applyNumberFormat="0" applyFill="0" applyAlignment="0" applyProtection="0"/>
    <xf numFmtId="0" fontId="31" fillId="0" borderId="270" applyNumberFormat="0" applyFill="0" applyAlignment="0" applyProtection="0"/>
    <xf numFmtId="0" fontId="49" fillId="10" borderId="267" applyNumberFormat="0" applyFont="0" applyAlignment="0" applyProtection="0"/>
    <xf numFmtId="0" fontId="8" fillId="10" borderId="267" applyNumberFormat="0" applyFont="0" applyAlignment="0" applyProtection="0"/>
    <xf numFmtId="0" fontId="31" fillId="0" borderId="264" applyNumberFormat="0" applyFill="0" applyAlignment="0" applyProtection="0"/>
    <xf numFmtId="0" fontId="48" fillId="24" borderId="266" applyNumberFormat="0" applyAlignment="0" applyProtection="0"/>
    <xf numFmtId="0" fontId="25" fillId="8" borderId="266" applyNumberFormat="0" applyAlignment="0" applyProtection="0"/>
    <xf numFmtId="0" fontId="49" fillId="10" borderId="267" applyNumberFormat="0" applyFont="0" applyAlignment="0" applyProtection="0"/>
    <xf numFmtId="0" fontId="31" fillId="0" borderId="270" applyNumberFormat="0" applyFill="0" applyAlignment="0" applyProtection="0"/>
    <xf numFmtId="0" fontId="32" fillId="24" borderId="266" applyNumberFormat="0" applyAlignment="0" applyProtection="0"/>
    <xf numFmtId="0" fontId="16" fillId="24" borderId="266" applyNumberFormat="0" applyAlignment="0" applyProtection="0"/>
    <xf numFmtId="0" fontId="28" fillId="10" borderId="267" applyNumberFormat="0" applyFont="0" applyAlignment="0" applyProtection="0"/>
    <xf numFmtId="0" fontId="8" fillId="10" borderId="267" applyNumberFormat="0" applyFont="0" applyAlignment="0" applyProtection="0"/>
    <xf numFmtId="0" fontId="29" fillId="24" borderId="269" applyNumberFormat="0" applyAlignment="0" applyProtection="0"/>
    <xf numFmtId="0" fontId="25" fillId="13" borderId="266" applyNumberFormat="0" applyAlignment="0" applyProtection="0"/>
    <xf numFmtId="0" fontId="18" fillId="10" borderId="267" applyNumberFormat="0" applyFont="0" applyAlignment="0" applyProtection="0"/>
    <xf numFmtId="0" fontId="24" fillId="24" borderId="268" applyNumberFormat="0" applyAlignment="0" applyProtection="0"/>
    <xf numFmtId="0" fontId="28" fillId="0" borderId="273"/>
    <xf numFmtId="0" fontId="73" fillId="0" borderId="263" applyBorder="0">
      <alignment horizontal="center" vertical="center" wrapText="1"/>
    </xf>
    <xf numFmtId="0" fontId="48" fillId="12" borderId="266" applyNumberFormat="0" applyAlignment="0" applyProtection="0"/>
    <xf numFmtId="0" fontId="48" fillId="24" borderId="266" applyNumberFormat="0" applyAlignment="0" applyProtection="0"/>
    <xf numFmtId="0" fontId="31" fillId="0" borderId="270" applyNumberFormat="0" applyFill="0" applyAlignment="0" applyProtection="0"/>
    <xf numFmtId="0" fontId="31" fillId="0" borderId="264" applyNumberFormat="0" applyFill="0" applyAlignment="0" applyProtection="0"/>
    <xf numFmtId="0" fontId="16" fillId="24" borderId="266" applyNumberFormat="0" applyAlignment="0" applyProtection="0"/>
    <xf numFmtId="0" fontId="31" fillId="0" borderId="270" applyNumberFormat="0" applyFill="0" applyAlignment="0" applyProtection="0"/>
    <xf numFmtId="0" fontId="8" fillId="44" borderId="274" applyNumberFormat="0" applyFont="0" applyAlignment="0" applyProtection="0"/>
    <xf numFmtId="0" fontId="85" fillId="0" borderId="273"/>
    <xf numFmtId="0" fontId="29" fillId="12" borderId="269" applyNumberFormat="0" applyAlignment="0" applyProtection="0"/>
    <xf numFmtId="0" fontId="49" fillId="10" borderId="267" applyNumberFormat="0" applyFont="0" applyAlignment="0" applyProtection="0"/>
    <xf numFmtId="0" fontId="28" fillId="0" borderId="273"/>
    <xf numFmtId="0" fontId="48" fillId="12" borderId="266" applyNumberFormat="0" applyAlignment="0" applyProtection="0"/>
    <xf numFmtId="0" fontId="31" fillId="0" borderId="271" applyNumberFormat="0" applyFill="0" applyAlignment="0" applyProtection="0"/>
    <xf numFmtId="0" fontId="31" fillId="0" borderId="316" applyNumberFormat="0" applyFill="0" applyAlignment="0" applyProtection="0"/>
    <xf numFmtId="0" fontId="31" fillId="0" borderId="310" applyNumberFormat="0" applyFill="0" applyAlignment="0" applyProtection="0"/>
    <xf numFmtId="0" fontId="16" fillId="24" borderId="312" applyNumberFormat="0" applyAlignment="0" applyProtection="0"/>
    <xf numFmtId="0" fontId="29" fillId="24" borderId="315" applyNumberFormat="0" applyAlignment="0" applyProtection="0"/>
    <xf numFmtId="0" fontId="48" fillId="12" borderId="312" applyNumberFormat="0" applyAlignment="0" applyProtection="0"/>
    <xf numFmtId="0" fontId="29" fillId="12" borderId="315" applyNumberFormat="0" applyAlignment="0" applyProtection="0"/>
    <xf numFmtId="0" fontId="25" fillId="13" borderId="321" applyNumberFormat="0" applyAlignment="0" applyProtection="0"/>
    <xf numFmtId="0" fontId="29" fillId="24" borderId="248" applyNumberFormat="0" applyAlignment="0" applyProtection="0"/>
    <xf numFmtId="0" fontId="31" fillId="0" borderId="288" applyNumberFormat="0" applyFill="0" applyAlignment="0" applyProtection="0"/>
    <xf numFmtId="0" fontId="25" fillId="13" borderId="312" applyNumberFormat="0" applyAlignment="0" applyProtection="0"/>
    <xf numFmtId="0" fontId="31" fillId="0" borderId="265" applyNumberFormat="0" applyFill="0" applyAlignment="0" applyProtection="0"/>
    <xf numFmtId="0" fontId="31" fillId="0" borderId="317" applyNumberFormat="0" applyFill="0" applyAlignment="0" applyProtection="0"/>
    <xf numFmtId="0" fontId="8" fillId="10" borderId="236" applyNumberFormat="0" applyFont="0" applyAlignment="0" applyProtection="0"/>
    <xf numFmtId="0" fontId="49" fillId="10" borderId="236" applyNumberFormat="0" applyFont="0" applyAlignment="0" applyProtection="0"/>
    <xf numFmtId="0" fontId="8" fillId="44" borderId="320" applyNumberFormat="0" applyFont="0" applyAlignment="0" applyProtection="0"/>
    <xf numFmtId="0" fontId="48" fillId="12" borderId="235" applyNumberFormat="0" applyAlignment="0" applyProtection="0"/>
    <xf numFmtId="0" fontId="48" fillId="24" borderId="235" applyNumberFormat="0" applyAlignment="0" applyProtection="0"/>
    <xf numFmtId="0" fontId="48" fillId="24" borderId="235" applyNumberFormat="0" applyAlignment="0" applyProtection="0"/>
    <xf numFmtId="0" fontId="8" fillId="10" borderId="236" applyNumberFormat="0" applyFont="0" applyAlignment="0" applyProtection="0"/>
    <xf numFmtId="0" fontId="8" fillId="10" borderId="236" applyNumberFormat="0" applyFont="0" applyAlignment="0" applyProtection="0"/>
    <xf numFmtId="0" fontId="16" fillId="24" borderId="235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8" fillId="10" borderId="236" applyNumberFormat="0" applyFont="0" applyAlignment="0" applyProtection="0"/>
    <xf numFmtId="0" fontId="49" fillId="10" borderId="290" applyNumberFormat="0" applyFont="0" applyAlignment="0" applyProtection="0"/>
    <xf numFmtId="0" fontId="85" fillId="0" borderId="232"/>
    <xf numFmtId="0" fontId="29" fillId="24" borderId="292" applyNumberFormat="0" applyAlignment="0" applyProtection="0"/>
    <xf numFmtId="0" fontId="25" fillId="8" borderId="235" applyNumberFormat="0" applyAlignment="0" applyProtection="0"/>
    <xf numFmtId="0" fontId="24" fillId="24" borderId="291" applyNumberFormat="0" applyAlignment="0" applyProtection="0"/>
    <xf numFmtId="0" fontId="8" fillId="10" borderId="236" applyNumberFormat="0" applyFont="0" applyAlignment="0" applyProtection="0"/>
    <xf numFmtId="0" fontId="48" fillId="12" borderId="235" applyNumberFormat="0" applyAlignment="0" applyProtection="0"/>
    <xf numFmtId="0" fontId="8" fillId="10" borderId="236" applyNumberFormat="0" applyFont="0" applyAlignment="0" applyProtection="0"/>
    <xf numFmtId="0" fontId="16" fillId="24" borderId="235" applyNumberFormat="0" applyAlignment="0" applyProtection="0"/>
    <xf numFmtId="0" fontId="28" fillId="10" borderId="242" applyNumberFormat="0" applyFont="0" applyAlignment="0" applyProtection="0"/>
    <xf numFmtId="0" fontId="73" fillId="0" borderId="309" applyBorder="0">
      <alignment horizontal="center" vertical="center" wrapText="1"/>
    </xf>
    <xf numFmtId="0" fontId="28" fillId="10" borderId="313" applyNumberFormat="0" applyFont="0" applyAlignment="0" applyProtection="0"/>
    <xf numFmtId="0" fontId="8" fillId="10" borderId="267" applyNumberFormat="0" applyFont="0" applyAlignment="0" applyProtection="0"/>
    <xf numFmtId="0" fontId="48" fillId="12" borderId="266" applyNumberFormat="0" applyAlignment="0" applyProtection="0"/>
    <xf numFmtId="0" fontId="31" fillId="0" borderId="271" applyNumberFormat="0" applyFill="0" applyAlignment="0" applyProtection="0"/>
    <xf numFmtId="0" fontId="48" fillId="24" borderId="275" applyNumberFormat="0" applyAlignment="0" applyProtection="0"/>
    <xf numFmtId="0" fontId="41" fillId="13" borderId="275" applyNumberFormat="0" applyAlignment="0" applyProtection="0"/>
    <xf numFmtId="0" fontId="73" fillId="0" borderId="318" applyBorder="0">
      <alignment horizontal="center" vertical="center" wrapText="1"/>
    </xf>
    <xf numFmtId="0" fontId="8" fillId="10" borderId="313" applyNumberFormat="0" applyFont="0" applyAlignment="0" applyProtection="0"/>
    <xf numFmtId="0" fontId="31" fillId="0" borderId="311" applyNumberFormat="0" applyFill="0" applyAlignment="0" applyProtection="0"/>
    <xf numFmtId="0" fontId="48" fillId="12" borderId="312" applyNumberFormat="0" applyAlignment="0" applyProtection="0"/>
    <xf numFmtId="0" fontId="25" fillId="8" borderId="312" applyNumberFormat="0" applyAlignment="0" applyProtection="0"/>
    <xf numFmtId="0" fontId="18" fillId="10" borderId="313" applyNumberFormat="0" applyFont="0" applyAlignment="0" applyProtection="0"/>
    <xf numFmtId="0" fontId="28" fillId="10" borderId="313" applyNumberFormat="0" applyFont="0" applyAlignment="0" applyProtection="0"/>
    <xf numFmtId="0" fontId="31" fillId="0" borderId="288" applyNumberFormat="0" applyFill="0" applyAlignment="0" applyProtection="0"/>
    <xf numFmtId="0" fontId="29" fillId="24" borderId="292" applyNumberFormat="0" applyAlignment="0" applyProtection="0"/>
    <xf numFmtId="0" fontId="28" fillId="10" borderId="290" applyNumberFormat="0" applyFont="0" applyAlignment="0" applyProtection="0"/>
    <xf numFmtId="0" fontId="25" fillId="13" borderId="289" applyNumberFormat="0" applyAlignment="0" applyProtection="0"/>
    <xf numFmtId="0" fontId="48" fillId="12" borderId="289" applyNumberFormat="0" applyAlignment="0" applyProtection="0"/>
    <xf numFmtId="0" fontId="31" fillId="0" borderId="294" applyNumberFormat="0" applyFill="0" applyAlignment="0" applyProtection="0"/>
    <xf numFmtId="0" fontId="29" fillId="24" borderId="292" applyNumberFormat="0" applyAlignment="0" applyProtection="0"/>
    <xf numFmtId="0" fontId="16" fillId="24" borderId="289" applyNumberFormat="0" applyAlignment="0" applyProtection="0"/>
    <xf numFmtId="0" fontId="29" fillId="24" borderId="292" applyNumberFormat="0" applyAlignment="0" applyProtection="0"/>
    <xf numFmtId="0" fontId="29" fillId="12" borderId="292" applyNumberFormat="0" applyAlignment="0" applyProtection="0"/>
    <xf numFmtId="0" fontId="49" fillId="10" borderId="290" applyNumberFormat="0" applyFont="0" applyAlignment="0" applyProtection="0"/>
    <xf numFmtId="0" fontId="31" fillId="0" borderId="288" applyNumberFormat="0" applyFill="0" applyAlignment="0" applyProtection="0"/>
    <xf numFmtId="0" fontId="28" fillId="10" borderId="290" applyNumberFormat="0" applyFont="0" applyAlignment="0" applyProtection="0"/>
    <xf numFmtId="0" fontId="31" fillId="0" borderId="293" applyNumberFormat="0" applyFill="0" applyAlignment="0" applyProtection="0"/>
    <xf numFmtId="0" fontId="8" fillId="10" borderId="306" applyNumberFormat="0" applyFont="0" applyAlignment="0" applyProtection="0"/>
    <xf numFmtId="0" fontId="8" fillId="10" borderId="290" applyNumberFormat="0" applyFont="0" applyAlignment="0" applyProtection="0"/>
    <xf numFmtId="0" fontId="18" fillId="10" borderId="306" applyNumberFormat="0" applyFont="0" applyAlignment="0" applyProtection="0"/>
    <xf numFmtId="0" fontId="25" fillId="13" borderId="312" applyNumberFormat="0" applyAlignment="0" applyProtection="0"/>
    <xf numFmtId="0" fontId="32" fillId="24" borderId="259" applyNumberFormat="0" applyAlignment="0" applyProtection="0"/>
    <xf numFmtId="0" fontId="28" fillId="10" borderId="306" applyNumberFormat="0" applyFont="0" applyAlignment="0" applyProtection="0"/>
    <xf numFmtId="0" fontId="25" fillId="8" borderId="312" applyNumberFormat="0" applyAlignment="0" applyProtection="0"/>
    <xf numFmtId="0" fontId="31" fillId="0" borderId="311" applyNumberFormat="0" applyFill="0" applyAlignment="0" applyProtection="0"/>
    <xf numFmtId="0" fontId="24" fillId="24" borderId="314" applyNumberFormat="0" applyAlignment="0" applyProtection="0"/>
    <xf numFmtId="0" fontId="31" fillId="0" borderId="316" applyNumberFormat="0" applyFill="0" applyAlignment="0" applyProtection="0"/>
    <xf numFmtId="0" fontId="25" fillId="13" borderId="321" applyNumberFormat="0" applyAlignment="0" applyProtection="0"/>
    <xf numFmtId="0" fontId="24" fillId="24" borderId="323" applyNumberFormat="0" applyAlignment="0" applyProtection="0"/>
    <xf numFmtId="0" fontId="48" fillId="24" borderId="312" applyNumberFormat="0" applyAlignment="0" applyProtection="0"/>
    <xf numFmtId="0" fontId="31" fillId="0" borderId="311" applyNumberFormat="0" applyFill="0" applyAlignment="0" applyProtection="0"/>
    <xf numFmtId="0" fontId="31" fillId="0" borderId="270" applyNumberFormat="0" applyFill="0" applyAlignment="0" applyProtection="0"/>
    <xf numFmtId="0" fontId="31" fillId="0" borderId="264" applyNumberFormat="0" applyFill="0" applyAlignment="0" applyProtection="0"/>
    <xf numFmtId="0" fontId="31" fillId="0" borderId="311" applyNumberFormat="0" applyFill="0" applyAlignment="0" applyProtection="0"/>
    <xf numFmtId="0" fontId="16" fillId="24" borderId="312" applyNumberFormat="0" applyAlignment="0" applyProtection="0"/>
    <xf numFmtId="0" fontId="8" fillId="10" borderId="313" applyNumberFormat="0" applyFont="0" applyAlignment="0" applyProtection="0"/>
    <xf numFmtId="0" fontId="18" fillId="10" borderId="313" applyNumberFormat="0" applyFont="0" applyAlignment="0" applyProtection="0"/>
    <xf numFmtId="0" fontId="8" fillId="44" borderId="320" applyNumberFormat="0" applyFont="0" applyAlignment="0" applyProtection="0"/>
    <xf numFmtId="0" fontId="73" fillId="0" borderId="318" applyBorder="0">
      <alignment horizontal="center" vertical="center" wrapText="1"/>
    </xf>
    <xf numFmtId="0" fontId="41" fillId="13" borderId="321" applyNumberFormat="0" applyAlignment="0" applyProtection="0"/>
    <xf numFmtId="0" fontId="85" fillId="0" borderId="296"/>
    <xf numFmtId="0" fontId="28" fillId="10" borderId="290" applyNumberFormat="0" applyFont="0" applyAlignment="0" applyProtection="0"/>
    <xf numFmtId="0" fontId="18" fillId="10" borderId="290" applyNumberFormat="0" applyFont="0" applyAlignment="0" applyProtection="0"/>
    <xf numFmtId="0" fontId="41" fillId="13" borderId="289" applyNumberFormat="0" applyAlignment="0" applyProtection="0"/>
    <xf numFmtId="0" fontId="31" fillId="0" borderId="293" applyNumberFormat="0" applyFill="0" applyAlignment="0" applyProtection="0"/>
    <xf numFmtId="0" fontId="29" fillId="24" borderId="292" applyNumberFormat="0" applyAlignment="0" applyProtection="0"/>
    <xf numFmtId="0" fontId="41" fillId="13" borderId="289" applyNumberFormat="0" applyAlignment="0" applyProtection="0"/>
    <xf numFmtId="0" fontId="31" fillId="0" borderId="288" applyNumberFormat="0" applyFill="0" applyAlignment="0" applyProtection="0"/>
    <xf numFmtId="0" fontId="48" fillId="12" borderId="289" applyNumberFormat="0" applyAlignment="0" applyProtection="0"/>
    <xf numFmtId="0" fontId="18" fillId="10" borderId="290" applyNumberFormat="0" applyFont="0" applyAlignment="0" applyProtection="0"/>
    <xf numFmtId="0" fontId="31" fillId="0" borderId="293" applyNumberFormat="0" applyFill="0" applyAlignment="0" applyProtection="0"/>
    <xf numFmtId="0" fontId="31" fillId="0" borderId="288" applyNumberFormat="0" applyFill="0" applyAlignment="0" applyProtection="0"/>
    <xf numFmtId="0" fontId="48" fillId="12" borderId="289" applyNumberFormat="0" applyAlignment="0" applyProtection="0"/>
    <xf numFmtId="0" fontId="8" fillId="10" borderId="290" applyNumberFormat="0" applyFont="0" applyAlignment="0" applyProtection="0"/>
    <xf numFmtId="0" fontId="25" fillId="13" borderId="312" applyNumberFormat="0" applyAlignment="0" applyProtection="0"/>
    <xf numFmtId="0" fontId="73" fillId="0" borderId="286" applyBorder="0">
      <alignment horizontal="center" vertical="center" wrapText="1"/>
    </xf>
    <xf numFmtId="0" fontId="48" fillId="12" borderId="312" applyNumberFormat="0" applyAlignment="0" applyProtection="0"/>
    <xf numFmtId="0" fontId="48" fillId="12" borderId="312" applyNumberFormat="0" applyAlignment="0" applyProtection="0"/>
    <xf numFmtId="0" fontId="25" fillId="13" borderId="312" applyNumberFormat="0" applyAlignment="0" applyProtection="0"/>
    <xf numFmtId="0" fontId="31" fillId="0" borderId="310" applyNumberFormat="0" applyFill="0" applyAlignment="0" applyProtection="0"/>
    <xf numFmtId="0" fontId="29" fillId="12" borderId="315" applyNumberFormat="0" applyAlignment="0" applyProtection="0"/>
    <xf numFmtId="0" fontId="8" fillId="10" borderId="313" applyNumberFormat="0" applyFont="0" applyAlignment="0" applyProtection="0"/>
    <xf numFmtId="0" fontId="73" fillId="0" borderId="318" applyBorder="0">
      <alignment horizontal="center" vertical="center" wrapText="1"/>
    </xf>
    <xf numFmtId="0" fontId="48" fillId="24" borderId="289" applyNumberFormat="0" applyAlignment="0" applyProtection="0"/>
    <xf numFmtId="0" fontId="48" fillId="12" borderId="289" applyNumberFormat="0" applyAlignment="0" applyProtection="0"/>
    <xf numFmtId="0" fontId="29" fillId="12" borderId="292" applyNumberFormat="0" applyAlignment="0" applyProtection="0"/>
    <xf numFmtId="0" fontId="8" fillId="44" borderId="251" applyNumberFormat="0" applyFont="0" applyAlignment="0" applyProtection="0"/>
    <xf numFmtId="0" fontId="85" fillId="0" borderId="245"/>
    <xf numFmtId="0" fontId="28" fillId="0" borderId="245"/>
    <xf numFmtId="0" fontId="49" fillId="10" borderId="242" applyNumberFormat="0" applyFont="0" applyAlignment="0" applyProtection="0"/>
    <xf numFmtId="0" fontId="29" fillId="12" borderId="248" applyNumberFormat="0" applyAlignment="0" applyProtection="0"/>
    <xf numFmtId="0" fontId="28" fillId="0" borderId="245"/>
    <xf numFmtId="0" fontId="49" fillId="10" borderId="290" applyNumberFormat="0" applyFont="0" applyAlignment="0" applyProtection="0"/>
    <xf numFmtId="0" fontId="28" fillId="10" borderId="242" applyNumberFormat="0" applyFont="0" applyAlignment="0" applyProtection="0"/>
    <xf numFmtId="0" fontId="29" fillId="24" borderId="248" applyNumberFormat="0" applyAlignment="0" applyProtection="0"/>
    <xf numFmtId="0" fontId="31" fillId="0" borderId="247" applyNumberFormat="0" applyFill="0" applyAlignment="0" applyProtection="0"/>
    <xf numFmtId="0" fontId="85" fillId="0" borderId="245"/>
    <xf numFmtId="0" fontId="28" fillId="0" borderId="245"/>
    <xf numFmtId="0" fontId="31" fillId="0" borderId="250" applyNumberFormat="0" applyFill="0" applyAlignment="0" applyProtection="0"/>
    <xf numFmtId="0" fontId="8" fillId="10" borderId="242" applyNumberFormat="0" applyFont="0" applyAlignment="0" applyProtection="0"/>
    <xf numFmtId="0" fontId="31" fillId="0" borderId="244" applyNumberFormat="0" applyFill="0" applyAlignment="0" applyProtection="0"/>
    <xf numFmtId="0" fontId="49" fillId="10" borderId="242" applyNumberFormat="0" applyFont="0" applyAlignment="0" applyProtection="0"/>
    <xf numFmtId="0" fontId="29" fillId="24" borderId="248" applyNumberFormat="0" applyAlignment="0" applyProtection="0"/>
    <xf numFmtId="0" fontId="31" fillId="0" borderId="288" applyNumberFormat="0" applyFill="0" applyAlignment="0" applyProtection="0"/>
    <xf numFmtId="0" fontId="28" fillId="0" borderId="245"/>
    <xf numFmtId="0" fontId="48" fillId="24" borderId="289" applyNumberFormat="0" applyAlignment="0" applyProtection="0"/>
    <xf numFmtId="0" fontId="25" fillId="13" borderId="282" applyNumberFormat="0" applyAlignment="0" applyProtection="0"/>
    <xf numFmtId="0" fontId="28" fillId="10" borderId="267" applyNumberFormat="0" applyFont="0" applyAlignment="0" applyProtection="0"/>
    <xf numFmtId="0" fontId="41" fillId="13" borderId="312" applyNumberFormat="0" applyAlignment="0" applyProtection="0"/>
    <xf numFmtId="0" fontId="24" fillId="24" borderId="300" applyNumberFormat="0" applyAlignment="0" applyProtection="0"/>
    <xf numFmtId="0" fontId="31" fillId="0" borderId="294" applyNumberFormat="0" applyFill="0" applyAlignment="0" applyProtection="0"/>
    <xf numFmtId="0" fontId="85" fillId="0" borderId="296"/>
    <xf numFmtId="0" fontId="8" fillId="44" borderId="297" applyNumberFormat="0" applyFont="0" applyAlignment="0" applyProtection="0"/>
    <xf numFmtId="0" fontId="29" fillId="12" borderId="292" applyNumberFormat="0" applyAlignment="0" applyProtection="0"/>
    <xf numFmtId="0" fontId="29" fillId="12" borderId="292" applyNumberFormat="0" applyAlignment="0" applyProtection="0"/>
    <xf numFmtId="0" fontId="31" fillId="0" borderId="294" applyNumberFormat="0" applyFill="0" applyAlignment="0" applyProtection="0"/>
    <xf numFmtId="0" fontId="48" fillId="24" borderId="289" applyNumberFormat="0" applyAlignment="0" applyProtection="0"/>
    <xf numFmtId="0" fontId="8" fillId="10" borderId="290" applyNumberFormat="0" applyFont="0" applyAlignment="0" applyProtection="0"/>
    <xf numFmtId="0" fontId="41" fillId="13" borderId="289" applyNumberFormat="0" applyAlignment="0" applyProtection="0"/>
    <xf numFmtId="0" fontId="8" fillId="10" borderId="290" applyNumberFormat="0" applyFont="0" applyAlignment="0" applyProtection="0"/>
    <xf numFmtId="0" fontId="25" fillId="13" borderId="289" applyNumberFormat="0" applyAlignment="0" applyProtection="0"/>
    <xf numFmtId="0" fontId="31" fillId="0" borderId="294" applyNumberFormat="0" applyFill="0" applyAlignment="0" applyProtection="0"/>
    <xf numFmtId="0" fontId="31" fillId="0" borderId="294" applyNumberFormat="0" applyFill="0" applyAlignment="0" applyProtection="0"/>
    <xf numFmtId="0" fontId="28" fillId="0" borderId="273"/>
    <xf numFmtId="0" fontId="31" fillId="0" borderId="265" applyNumberFormat="0" applyFill="0" applyAlignment="0" applyProtection="0"/>
    <xf numFmtId="0" fontId="24" fillId="24" borderId="268" applyNumberFormat="0" applyAlignment="0" applyProtection="0"/>
    <xf numFmtId="0" fontId="31" fillId="0" borderId="265" applyNumberFormat="0" applyFill="0" applyAlignment="0" applyProtection="0"/>
    <xf numFmtId="0" fontId="73" fillId="0" borderId="309" applyBorder="0">
      <alignment horizontal="center" vertical="center" wrapText="1"/>
    </xf>
    <xf numFmtId="0" fontId="85" fillId="0" borderId="296"/>
    <xf numFmtId="0" fontId="8" fillId="10" borderId="313" applyNumberFormat="0" applyFon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85" fillId="0" borderId="296"/>
    <xf numFmtId="0" fontId="16" fillId="24" borderId="289" applyNumberFormat="0" applyAlignment="0" applyProtection="0"/>
    <xf numFmtId="0" fontId="16" fillId="24" borderId="289" applyNumberFormat="0" applyAlignment="0" applyProtection="0"/>
    <xf numFmtId="0" fontId="25" fillId="8" borderId="289" applyNumberFormat="0" applyAlignment="0" applyProtection="0"/>
    <xf numFmtId="0" fontId="28" fillId="10" borderId="283" applyNumberFormat="0" applyFont="0" applyAlignment="0" applyProtection="0"/>
    <xf numFmtId="0" fontId="24" fillId="24" borderId="314" applyNumberFormat="0" applyAlignment="0" applyProtection="0"/>
    <xf numFmtId="0" fontId="16" fillId="24" borderId="298" applyNumberFormat="0" applyAlignment="0" applyProtection="0"/>
    <xf numFmtId="0" fontId="25" fillId="13" borderId="312" applyNumberFormat="0" applyAlignment="0" applyProtection="0"/>
    <xf numFmtId="0" fontId="18" fillId="10" borderId="267" applyNumberFormat="0" applyFont="0" applyAlignment="0" applyProtection="0"/>
    <xf numFmtId="0" fontId="29" fillId="24" borderId="269" applyNumberFormat="0" applyAlignment="0" applyProtection="0"/>
    <xf numFmtId="0" fontId="29" fillId="24" borderId="315" applyNumberFormat="0" applyAlignment="0" applyProtection="0"/>
    <xf numFmtId="0" fontId="41" fillId="13" borderId="321" applyNumberFormat="0" applyAlignment="0" applyProtection="0"/>
    <xf numFmtId="0" fontId="85" fillId="72" borderId="296"/>
    <xf numFmtId="0" fontId="25" fillId="8" borderId="289" applyNumberFormat="0" applyAlignment="0" applyProtection="0"/>
    <xf numFmtId="0" fontId="85" fillId="72" borderId="296"/>
    <xf numFmtId="0" fontId="31" fillId="0" borderId="288" applyNumberFormat="0" applyFill="0" applyAlignment="0" applyProtection="0"/>
    <xf numFmtId="0" fontId="16" fillId="24" borderId="312" applyNumberFormat="0" applyAlignment="0" applyProtection="0"/>
    <xf numFmtId="0" fontId="49" fillId="10" borderId="313" applyNumberFormat="0" applyFont="0" applyAlignment="0" applyProtection="0"/>
    <xf numFmtId="0" fontId="31" fillId="0" borderId="316" applyNumberFormat="0" applyFill="0" applyAlignment="0" applyProtection="0"/>
    <xf numFmtId="0" fontId="28" fillId="0" borderId="319"/>
    <xf numFmtId="0" fontId="31" fillId="0" borderId="317" applyNumberFormat="0" applyFill="0" applyAlignment="0" applyProtection="0"/>
    <xf numFmtId="0" fontId="48" fillId="12" borderId="289" applyNumberFormat="0" applyAlignment="0" applyProtection="0"/>
    <xf numFmtId="0" fontId="85" fillId="0" borderId="296"/>
    <xf numFmtId="0" fontId="48" fillId="12" borderId="289" applyNumberFormat="0" applyAlignment="0" applyProtection="0"/>
    <xf numFmtId="0" fontId="49" fillId="10" borderId="313" applyNumberFormat="0" applyFont="0" applyAlignment="0" applyProtection="0"/>
    <xf numFmtId="0" fontId="48" fillId="12" borderId="312" applyNumberFormat="0" applyAlignment="0" applyProtection="0"/>
    <xf numFmtId="0" fontId="41" fillId="13" borderId="312" applyNumberFormat="0" applyAlignment="0" applyProtection="0"/>
    <xf numFmtId="0" fontId="16" fillId="24" borderId="259" applyNumberFormat="0" applyAlignment="0" applyProtection="0"/>
    <xf numFmtId="0" fontId="31" fillId="0" borderId="271" applyNumberFormat="0" applyFill="0" applyAlignment="0" applyProtection="0"/>
    <xf numFmtId="0" fontId="16" fillId="24" borderId="312" applyNumberFormat="0" applyAlignment="0" applyProtection="0"/>
    <xf numFmtId="0" fontId="16" fillId="24" borderId="312" applyNumberFormat="0" applyAlignment="0" applyProtection="0"/>
    <xf numFmtId="0" fontId="48" fillId="24" borderId="312" applyNumberFormat="0" applyAlignment="0" applyProtection="0"/>
    <xf numFmtId="0" fontId="31" fillId="0" borderId="316" applyNumberFormat="0" applyFill="0" applyAlignment="0" applyProtection="0"/>
    <xf numFmtId="0" fontId="48" fillId="24" borderId="321" applyNumberFormat="0" applyAlignment="0" applyProtection="0"/>
    <xf numFmtId="0" fontId="25" fillId="13" borderId="321" applyNumberFormat="0" applyAlignment="0" applyProtection="0"/>
    <xf numFmtId="0" fontId="48" fillId="24" borderId="289" applyNumberFormat="0" applyAlignment="0" applyProtection="0"/>
    <xf numFmtId="0" fontId="28" fillId="0" borderId="319"/>
    <xf numFmtId="0" fontId="28" fillId="10" borderId="276" applyNumberFormat="0" applyFont="0" applyAlignment="0" applyProtection="0"/>
    <xf numFmtId="0" fontId="24" fillId="24" borderId="314" applyNumberFormat="0" applyAlignment="0" applyProtection="0"/>
    <xf numFmtId="0" fontId="48" fillId="12" borderId="312" applyNumberFormat="0" applyAlignment="0" applyProtection="0"/>
    <xf numFmtId="0" fontId="73" fillId="0" borderId="309" applyBorder="0">
      <alignment horizontal="center" vertical="center" wrapText="1"/>
    </xf>
    <xf numFmtId="0" fontId="48" fillId="12" borderId="312" applyNumberFormat="0" applyAlignment="0" applyProtection="0"/>
    <xf numFmtId="0" fontId="29" fillId="24" borderId="315" applyNumberFormat="0" applyAlignment="0" applyProtection="0"/>
    <xf numFmtId="0" fontId="49" fillId="10" borderId="313" applyNumberFormat="0" applyFont="0" applyAlignment="0" applyProtection="0"/>
    <xf numFmtId="0" fontId="31" fillId="0" borderId="310" applyNumberFormat="0" applyFill="0" applyAlignment="0" applyProtection="0"/>
    <xf numFmtId="0" fontId="25" fillId="13" borderId="312" applyNumberFormat="0" applyAlignment="0" applyProtection="0"/>
    <xf numFmtId="0" fontId="8" fillId="44" borderId="297" applyNumberFormat="0" applyFont="0" applyAlignment="0" applyProtection="0"/>
    <xf numFmtId="0" fontId="24" fillId="24" borderId="291" applyNumberFormat="0" applyAlignment="0" applyProtection="0"/>
    <xf numFmtId="0" fontId="8" fillId="10" borderId="290" applyNumberFormat="0" applyFont="0" applyAlignment="0" applyProtection="0"/>
    <xf numFmtId="0" fontId="31" fillId="0" borderId="288" applyNumberFormat="0" applyFill="0" applyAlignment="0" applyProtection="0"/>
    <xf numFmtId="0" fontId="24" fillId="24" borderId="291" applyNumberFormat="0" applyAlignment="0" applyProtection="0"/>
    <xf numFmtId="0" fontId="16" fillId="24" borderId="289" applyNumberFormat="0" applyAlignment="0" applyProtection="0"/>
    <xf numFmtId="0" fontId="31" fillId="0" borderId="293" applyNumberFormat="0" applyFill="0" applyAlignment="0" applyProtection="0"/>
    <xf numFmtId="0" fontId="28" fillId="10" borderId="313" applyNumberFormat="0" applyFont="0" applyAlignment="0" applyProtection="0"/>
    <xf numFmtId="0" fontId="48" fillId="12" borderId="312" applyNumberFormat="0" applyAlignment="0" applyProtection="0"/>
    <xf numFmtId="0" fontId="49" fillId="10" borderId="253" applyNumberFormat="0" applyFont="0" applyAlignment="0" applyProtection="0"/>
    <xf numFmtId="0" fontId="25" fillId="13" borderId="252" applyNumberFormat="0" applyAlignment="0" applyProtection="0"/>
    <xf numFmtId="0" fontId="48" fillId="24" borderId="252" applyNumberFormat="0" applyAlignment="0" applyProtection="0"/>
    <xf numFmtId="0" fontId="29" fillId="12" borderId="248" applyNumberFormat="0" applyAlignment="0" applyProtection="0"/>
    <xf numFmtId="0" fontId="8" fillId="10" borderId="242" applyNumberFormat="0" applyFont="0" applyAlignment="0" applyProtection="0"/>
    <xf numFmtId="0" fontId="31" fillId="0" borderId="247" applyNumberFormat="0" applyFill="0" applyAlignment="0" applyProtection="0"/>
    <xf numFmtId="0" fontId="8" fillId="10" borderId="242" applyNumberFormat="0" applyFont="0" applyAlignment="0" applyProtection="0"/>
    <xf numFmtId="0" fontId="31" fillId="0" borderId="247" applyNumberFormat="0" applyFill="0" applyAlignment="0" applyProtection="0"/>
    <xf numFmtId="0" fontId="31" fillId="0" borderId="294" applyNumberFormat="0" applyFill="0" applyAlignment="0" applyProtection="0"/>
    <xf numFmtId="0" fontId="18" fillId="10" borderId="242" applyNumberFormat="0" applyFont="0" applyAlignment="0" applyProtection="0"/>
    <xf numFmtId="0" fontId="31" fillId="0" borderId="250" applyNumberFormat="0" applyFill="0" applyAlignment="0" applyProtection="0"/>
    <xf numFmtId="0" fontId="31" fillId="0" borderId="250" applyNumberFormat="0" applyFill="0" applyAlignment="0" applyProtection="0"/>
    <xf numFmtId="0" fontId="28" fillId="10" borderId="242" applyNumberFormat="0" applyFont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8" fillId="10" borderId="242" applyNumberFormat="0" applyFont="0" applyAlignment="0" applyProtection="0"/>
    <xf numFmtId="0" fontId="49" fillId="10" borderId="242" applyNumberFormat="0" applyFont="0" applyAlignment="0" applyProtection="0"/>
    <xf numFmtId="0" fontId="31" fillId="0" borderId="250" applyNumberFormat="0" applyFill="0" applyAlignment="0" applyProtection="0"/>
    <xf numFmtId="0" fontId="24" fillId="24" borderId="291" applyNumberFormat="0" applyAlignment="0" applyProtection="0"/>
    <xf numFmtId="0" fontId="29" fillId="12" borderId="248" applyNumberFormat="0" applyAlignment="0" applyProtection="0"/>
    <xf numFmtId="0" fontId="29" fillId="24" borderId="248" applyNumberFormat="0" applyAlignment="0" applyProtection="0"/>
    <xf numFmtId="0" fontId="49" fillId="10" borderId="290" applyNumberFormat="0" applyFont="0" applyAlignment="0" applyProtection="0"/>
    <xf numFmtId="0" fontId="8" fillId="10" borderId="290" applyNumberFormat="0" applyFont="0" applyAlignment="0" applyProtection="0"/>
    <xf numFmtId="0" fontId="29" fillId="12" borderId="292" applyNumberFormat="0" applyAlignment="0" applyProtection="0"/>
    <xf numFmtId="0" fontId="29" fillId="24" borderId="269" applyNumberFormat="0" applyAlignment="0" applyProtection="0"/>
    <xf numFmtId="0" fontId="31" fillId="0" borderId="231" applyNumberFormat="0" applyFill="0" applyAlignment="0" applyProtection="0"/>
    <xf numFmtId="0" fontId="31" fillId="0" borderId="265" applyNumberFormat="0" applyFill="0" applyAlignment="0" applyProtection="0"/>
    <xf numFmtId="0" fontId="24" fillId="24" borderId="230" applyNumberFormat="0" applyAlignment="0" applyProtection="0"/>
    <xf numFmtId="0" fontId="49" fillId="10" borderId="229" applyNumberFormat="0" applyFont="0" applyAlignment="0" applyProtection="0"/>
    <xf numFmtId="0" fontId="8" fillId="10" borderId="229" applyNumberFormat="0" applyFont="0" applyAlignment="0" applyProtection="0"/>
    <xf numFmtId="0" fontId="8" fillId="10" borderId="229" applyNumberFormat="0" applyFont="0" applyAlignment="0" applyProtection="0"/>
    <xf numFmtId="0" fontId="28" fillId="10" borderId="229" applyNumberFormat="0" applyFont="0" applyAlignment="0" applyProtection="0"/>
    <xf numFmtId="0" fontId="16" fillId="24" borderId="275" applyNumberFormat="0" applyAlignment="0" applyProtection="0"/>
    <xf numFmtId="0" fontId="41" fillId="13" borderId="266" applyNumberFormat="0" applyAlignment="0" applyProtection="0"/>
    <xf numFmtId="0" fontId="16" fillId="24" borderId="289" applyNumberFormat="0" applyAlignment="0" applyProtection="0"/>
    <xf numFmtId="0" fontId="31" fillId="0" borderId="317" applyNumberFormat="0" applyFill="0" applyAlignment="0" applyProtection="0"/>
    <xf numFmtId="0" fontId="25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25" fillId="13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32" fillId="24" borderId="228" applyNumberFormat="0" applyAlignment="0" applyProtection="0"/>
    <xf numFmtId="0" fontId="31" fillId="0" borderId="287" applyNumberFormat="0" applyFill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31" fillId="0" borderId="222" applyNumberFormat="0" applyFill="0" applyAlignment="0" applyProtection="0"/>
    <xf numFmtId="0" fontId="28" fillId="0" borderId="216"/>
    <xf numFmtId="0" fontId="8" fillId="44" borderId="227" applyNumberFormat="0" applyFont="0" applyAlignment="0" applyProtection="0"/>
    <xf numFmtId="0" fontId="8" fillId="10" borderId="220" applyNumberFormat="0" applyFont="0" applyAlignment="0" applyProtection="0"/>
    <xf numFmtId="0" fontId="48" fillId="12" borderId="219" applyNumberFormat="0" applyAlignment="0" applyProtection="0"/>
    <xf numFmtId="0" fontId="31" fillId="0" borderId="217" applyNumberFormat="0" applyFill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85" fillId="0" borderId="216"/>
    <xf numFmtId="0" fontId="28" fillId="0" borderId="216"/>
    <xf numFmtId="0" fontId="49" fillId="10" borderId="220" applyNumberFormat="0" applyFont="0" applyAlignment="0" applyProtection="0"/>
    <xf numFmtId="0" fontId="8" fillId="44" borderId="227" applyNumberFormat="0" applyFont="0" applyAlignment="0" applyProtection="0"/>
    <xf numFmtId="0" fontId="8" fillId="10" borderId="220" applyNumberFormat="0" applyFont="0" applyAlignment="0" applyProtection="0"/>
    <xf numFmtId="0" fontId="49" fillId="10" borderId="220" applyNumberFormat="0" applyFont="0" applyAlignment="0" applyProtection="0"/>
    <xf numFmtId="0" fontId="29" fillId="12" borderId="218" applyNumberFormat="0" applyAlignment="0" applyProtection="0"/>
    <xf numFmtId="0" fontId="28" fillId="10" borderId="220" applyNumberFormat="0" applyFont="0" applyAlignment="0" applyProtection="0"/>
    <xf numFmtId="0" fontId="31" fillId="0" borderId="224" applyNumberFormat="0" applyFill="0" applyAlignment="0" applyProtection="0"/>
    <xf numFmtId="0" fontId="48" fillId="24" borderId="219" applyNumberFormat="0" applyAlignment="0" applyProtection="0"/>
    <xf numFmtId="0" fontId="28" fillId="10" borderId="220" applyNumberFormat="0" applyFont="0" applyAlignment="0" applyProtection="0"/>
    <xf numFmtId="0" fontId="29" fillId="12" borderId="218" applyNumberFormat="0" applyAlignment="0" applyProtection="0"/>
    <xf numFmtId="0" fontId="48" fillId="12" borderId="219" applyNumberFormat="0" applyAlignment="0" applyProtection="0"/>
    <xf numFmtId="0" fontId="31" fillId="0" borderId="222" applyNumberFormat="0" applyFill="0" applyAlignment="0" applyProtection="0"/>
    <xf numFmtId="0" fontId="28" fillId="0" borderId="216"/>
    <xf numFmtId="0" fontId="48" fillId="24" borderId="219" applyNumberFormat="0" applyAlignment="0" applyProtection="0"/>
    <xf numFmtId="0" fontId="48" fillId="24" borderId="219" applyNumberFormat="0" applyAlignment="0" applyProtection="0"/>
    <xf numFmtId="0" fontId="48" fillId="12" borderId="219" applyNumberFormat="0" applyAlignment="0" applyProtection="0"/>
    <xf numFmtId="0" fontId="25" fillId="8" borderId="219" applyNumberFormat="0" applyAlignment="0" applyProtection="0"/>
    <xf numFmtId="0" fontId="8" fillId="10" borderId="220" applyNumberFormat="0" applyFont="0" applyAlignment="0" applyProtection="0"/>
    <xf numFmtId="0" fontId="31" fillId="0" borderId="217" applyNumberFormat="0" applyFill="0" applyAlignment="0" applyProtection="0"/>
    <xf numFmtId="0" fontId="73" fillId="0" borderId="226" applyBorder="0">
      <alignment horizontal="center" vertical="center" wrapText="1"/>
    </xf>
    <xf numFmtId="0" fontId="32" fillId="24" borderId="219" applyNumberFormat="0" applyAlignment="0" applyProtection="0"/>
    <xf numFmtId="0" fontId="25" fillId="13" borderId="219" applyNumberFormat="0" applyAlignment="0" applyProtection="0"/>
    <xf numFmtId="0" fontId="18" fillId="10" borderId="220" applyNumberFormat="0" applyFont="0" applyAlignment="0" applyProtection="0"/>
    <xf numFmtId="0" fontId="28" fillId="10" borderId="220" applyNumberFormat="0" applyFont="0" applyAlignment="0" applyProtection="0"/>
    <xf numFmtId="0" fontId="29" fillId="24" borderId="218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28" fillId="0" borderId="216"/>
    <xf numFmtId="0" fontId="8" fillId="44" borderId="227" applyNumberFormat="0" applyFont="0" applyAlignment="0" applyProtection="0"/>
    <xf numFmtId="0" fontId="31" fillId="0" borderId="222" applyNumberFormat="0" applyFill="0" applyAlignment="0" applyProtection="0"/>
    <xf numFmtId="0" fontId="29" fillId="24" borderId="218" applyNumberFormat="0" applyAlignment="0" applyProtection="0"/>
    <xf numFmtId="0" fontId="28" fillId="10" borderId="220" applyNumberFormat="0" applyFont="0" applyAlignment="0" applyProtection="0"/>
    <xf numFmtId="0" fontId="8" fillId="10" borderId="220" applyNumberFormat="0" applyFont="0" applyAlignment="0" applyProtection="0"/>
    <xf numFmtId="0" fontId="28" fillId="10" borderId="220" applyNumberFormat="0" applyFont="0" applyAlignment="0" applyProtection="0"/>
    <xf numFmtId="0" fontId="18" fillId="10" borderId="220" applyNumberFormat="0" applyFont="0" applyAlignment="0" applyProtection="0"/>
    <xf numFmtId="0" fontId="25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73" fillId="0" borderId="226" applyBorder="0">
      <alignment horizontal="center" vertical="center" wrapText="1"/>
    </xf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9" fillId="24" borderId="218" applyNumberFormat="0" applyAlignment="0" applyProtection="0"/>
    <xf numFmtId="0" fontId="28" fillId="10" borderId="220" applyNumberFormat="0" applyFont="0" applyAlignment="0" applyProtection="0"/>
    <xf numFmtId="0" fontId="8" fillId="10" borderId="220" applyNumberFormat="0" applyFont="0" applyAlignment="0" applyProtection="0"/>
    <xf numFmtId="0" fontId="28" fillId="10" borderId="220" applyNumberFormat="0" applyFon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31" fillId="0" borderId="222" applyNumberFormat="0" applyFill="0" applyAlignment="0" applyProtection="0"/>
    <xf numFmtId="0" fontId="24" fillId="24" borderId="221" applyNumberFormat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25" fillId="8" borderId="219" applyNumberFormat="0" applyAlignment="0" applyProtection="0"/>
    <xf numFmtId="0" fontId="41" fillId="13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16" fillId="24" borderId="219" applyNumberFormat="0" applyAlignment="0" applyProtection="0"/>
    <xf numFmtId="0" fontId="25" fillId="13" borderId="219" applyNumberFormat="0" applyAlignment="0" applyProtection="0"/>
    <xf numFmtId="0" fontId="29" fillId="24" borderId="218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44" applyNumberFormat="0" applyFill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48" fillId="12" borderId="219" applyNumberFormat="0" applyAlignment="0" applyProtection="0"/>
    <xf numFmtId="0" fontId="29" fillId="12" borderId="218" applyNumberFormat="0" applyAlignment="0" applyProtection="0"/>
    <xf numFmtId="0" fontId="49" fillId="10" borderId="220" applyNumberFormat="0" applyFont="0" applyAlignment="0" applyProtection="0"/>
    <xf numFmtId="0" fontId="48" fillId="24" borderId="219" applyNumberFormat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85" fillId="0" borderId="216"/>
    <xf numFmtId="0" fontId="28" fillId="0" borderId="216"/>
    <xf numFmtId="0" fontId="8" fillId="44" borderId="227" applyNumberFormat="0" applyFont="0" applyAlignment="0" applyProtection="0"/>
    <xf numFmtId="0" fontId="49" fillId="10" borderId="220" applyNumberFormat="0" applyFont="0" applyAlignment="0" applyProtection="0"/>
    <xf numFmtId="0" fontId="29" fillId="12" borderId="248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18" fillId="10" borderId="220" applyNumberFormat="0" applyFon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31" fillId="0" borderId="217" applyNumberFormat="0" applyFill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29" fillId="12" borderId="218" applyNumberFormat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8" fillId="10" borderId="220" applyNumberFormat="0" applyFont="0" applyAlignment="0" applyProtection="0"/>
    <xf numFmtId="0" fontId="41" fillId="13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9" fillId="24" borderId="218" applyNumberFormat="0" applyAlignment="0" applyProtection="0"/>
    <xf numFmtId="0" fontId="73" fillId="0" borderId="226" applyBorder="0">
      <alignment horizontal="center" vertical="center" wrapText="1"/>
    </xf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85" fillId="0" borderId="216"/>
    <xf numFmtId="0" fontId="28" fillId="0" borderId="216"/>
    <xf numFmtId="0" fontId="32" fillId="24" borderId="266" applyNumberFormat="0" applyAlignment="0" applyProtection="0"/>
    <xf numFmtId="0" fontId="31" fillId="0" borderId="271" applyNumberFormat="0" applyFill="0" applyAlignment="0" applyProtection="0"/>
    <xf numFmtId="0" fontId="49" fillId="10" borderId="220" applyNumberFormat="0" applyFont="0" applyAlignment="0" applyProtection="0"/>
    <xf numFmtId="0" fontId="31" fillId="0" borderId="310" applyNumberFormat="0" applyFill="0" applyAlignment="0" applyProtection="0"/>
    <xf numFmtId="0" fontId="85" fillId="72" borderId="319"/>
    <xf numFmtId="0" fontId="31" fillId="0" borderId="311" applyNumberFormat="0" applyFill="0" applyAlignment="0" applyProtection="0"/>
    <xf numFmtId="0" fontId="8" fillId="10" borderId="313" applyNumberFormat="0" applyFont="0" applyAlignment="0" applyProtection="0"/>
    <xf numFmtId="0" fontId="24" fillId="24" borderId="291" applyNumberFormat="0" applyAlignment="0" applyProtection="0"/>
    <xf numFmtId="0" fontId="25" fillId="13" borderId="305" applyNumberFormat="0" applyAlignment="0" applyProtection="0"/>
    <xf numFmtId="0" fontId="73" fillId="0" borderId="246" applyBorder="0">
      <alignment horizontal="center" vertical="center" wrapText="1"/>
    </xf>
    <xf numFmtId="0" fontId="85" fillId="0" borderId="245"/>
    <xf numFmtId="0" fontId="28" fillId="0" borderId="245"/>
    <xf numFmtId="0" fontId="24" fillId="24" borderId="243" applyNumberFormat="0" applyAlignment="0" applyProtection="0"/>
    <xf numFmtId="0" fontId="48" fillId="24" borderId="235" applyNumberFormat="0" applyAlignment="0" applyProtection="0"/>
    <xf numFmtId="0" fontId="25" fillId="13" borderId="235" applyNumberFormat="0" applyAlignment="0" applyProtection="0"/>
    <xf numFmtId="0" fontId="16" fillId="24" borderId="259" applyNumberFormat="0" applyAlignment="0" applyProtection="0"/>
    <xf numFmtId="0" fontId="8" fillId="10" borderId="290" applyNumberFormat="0" applyFont="0" applyAlignment="0" applyProtection="0"/>
    <xf numFmtId="0" fontId="31" fillId="0" borderId="316" applyNumberFormat="0" applyFill="0" applyAlignment="0" applyProtection="0"/>
    <xf numFmtId="0" fontId="8" fillId="10" borderId="313" applyNumberFormat="0" applyFont="0" applyAlignment="0" applyProtection="0"/>
    <xf numFmtId="0" fontId="28" fillId="10" borderId="313" applyNumberFormat="0" applyFont="0" applyAlignment="0" applyProtection="0"/>
    <xf numFmtId="0" fontId="25" fillId="13" borderId="266" applyNumberFormat="0" applyAlignment="0" applyProtection="0"/>
    <xf numFmtId="0" fontId="48" fillId="24" borderId="312" applyNumberFormat="0" applyAlignment="0" applyProtection="0"/>
    <xf numFmtId="0" fontId="31" fillId="0" borderId="287" applyNumberFormat="0" applyFill="0" applyAlignment="0" applyProtection="0"/>
    <xf numFmtId="0" fontId="29" fillId="24" borderId="292" applyNumberFormat="0" applyAlignment="0" applyProtection="0"/>
    <xf numFmtId="0" fontId="32" fillId="24" borderId="289" applyNumberFormat="0" applyAlignment="0" applyProtection="0"/>
    <xf numFmtId="0" fontId="18" fillId="10" borderId="313" applyNumberFormat="0" applyFont="0" applyAlignment="0" applyProtection="0"/>
    <xf numFmtId="0" fontId="31" fillId="0" borderId="255" applyNumberFormat="0" applyFill="0" applyAlignment="0" applyProtection="0"/>
    <xf numFmtId="0" fontId="28" fillId="10" borderId="253" applyNumberFormat="0" applyFont="0" applyAlignment="0" applyProtection="0"/>
    <xf numFmtId="0" fontId="8" fillId="10" borderId="253" applyNumberFormat="0" applyFont="0" applyAlignment="0" applyProtection="0"/>
    <xf numFmtId="0" fontId="8" fillId="10" borderId="253" applyNumberFormat="0" applyFont="0" applyAlignment="0" applyProtection="0"/>
    <xf numFmtId="0" fontId="18" fillId="10" borderId="253" applyNumberFormat="0" applyFont="0" applyAlignment="0" applyProtection="0"/>
    <xf numFmtId="0" fontId="48" fillId="24" borderId="312" applyNumberFormat="0" applyAlignment="0" applyProtection="0"/>
    <xf numFmtId="0" fontId="41" fillId="13" borderId="252" applyNumberFormat="0" applyAlignment="0" applyProtection="0"/>
    <xf numFmtId="0" fontId="24" fillId="24" borderId="291" applyNumberFormat="0" applyAlignment="0" applyProtection="0"/>
    <xf numFmtId="0" fontId="29" fillId="24" borderId="292" applyNumberFormat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31" fillId="0" borderId="287" applyNumberFormat="0" applyFill="0" applyAlignment="0" applyProtection="0"/>
    <xf numFmtId="0" fontId="28" fillId="10" borderId="242" applyNumberFormat="0" applyFont="0" applyAlignment="0" applyProtection="0"/>
    <xf numFmtId="0" fontId="31" fillId="0" borderId="250" applyNumberFormat="0" applyFill="0" applyAlignment="0" applyProtection="0"/>
    <xf numFmtId="0" fontId="24" fillId="24" borderId="243" applyNumberFormat="0" applyAlignment="0" applyProtection="0"/>
    <xf numFmtId="0" fontId="73" fillId="0" borderId="246" applyBorder="0">
      <alignment horizontal="center" vertical="center" wrapText="1"/>
    </xf>
    <xf numFmtId="0" fontId="49" fillId="10" borderId="242" applyNumberFormat="0" applyFont="0" applyAlignment="0" applyProtection="0"/>
    <xf numFmtId="0" fontId="29" fillId="24" borderId="248" applyNumberFormat="0" applyAlignment="0" applyProtection="0"/>
    <xf numFmtId="0" fontId="8" fillId="10" borderId="299" applyNumberFormat="0" applyFont="0" applyAlignment="0" applyProtection="0"/>
    <xf numFmtId="0" fontId="31" fillId="0" borderId="250" applyNumberFormat="0" applyFill="0" applyAlignment="0" applyProtection="0"/>
    <xf numFmtId="0" fontId="31" fillId="0" borderId="310" applyNumberFormat="0" applyFill="0" applyAlignment="0" applyProtection="0"/>
    <xf numFmtId="0" fontId="31" fillId="0" borderId="288" applyNumberFormat="0" applyFill="0" applyAlignment="0" applyProtection="0"/>
    <xf numFmtId="0" fontId="31" fillId="0" borderId="294" applyNumberFormat="0" applyFill="0" applyAlignment="0" applyProtection="0"/>
    <xf numFmtId="0" fontId="31" fillId="0" borderId="317" applyNumberFormat="0" applyFill="0" applyAlignment="0" applyProtection="0"/>
    <xf numFmtId="0" fontId="48" fillId="24" borderId="219" applyNumberFormat="0" applyAlignment="0" applyProtection="0"/>
    <xf numFmtId="0" fontId="31" fillId="0" borderId="294" applyNumberFormat="0" applyFill="0" applyAlignment="0" applyProtection="0"/>
    <xf numFmtId="0" fontId="28" fillId="10" borderId="242" applyNumberFormat="0" applyFon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73" fillId="0" borderId="226" applyBorder="0">
      <alignment horizontal="center" vertical="center" wrapText="1"/>
    </xf>
    <xf numFmtId="0" fontId="25" fillId="13" borderId="219" applyNumberFormat="0" applyAlignment="0" applyProtection="0"/>
    <xf numFmtId="0" fontId="25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31" fillId="0" borderId="217" applyNumberFormat="0" applyFill="0" applyAlignment="0" applyProtection="0"/>
    <xf numFmtId="0" fontId="8" fillId="10" borderId="220" applyNumberFormat="0" applyFon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49" fillId="10" borderId="313" applyNumberFormat="0" applyFont="0" applyAlignment="0" applyProtection="0"/>
    <xf numFmtId="0" fontId="25" fillId="13" borderId="266" applyNumberFormat="0" applyAlignment="0" applyProtection="0"/>
    <xf numFmtId="0" fontId="25" fillId="8" borderId="266" applyNumberFormat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8" fillId="10" borderId="220" applyNumberFormat="0" applyFont="0" applyAlignment="0" applyProtection="0"/>
    <xf numFmtId="0" fontId="28" fillId="10" borderId="306" applyNumberFormat="0" applyFont="0" applyAlignment="0" applyProtection="0"/>
    <xf numFmtId="0" fontId="85" fillId="72" borderId="273"/>
    <xf numFmtId="0" fontId="85" fillId="0" borderId="273"/>
    <xf numFmtId="0" fontId="31" fillId="0" borderId="317" applyNumberFormat="0" applyFill="0" applyAlignment="0" applyProtection="0"/>
    <xf numFmtId="0" fontId="29" fillId="24" borderId="315" applyNumberFormat="0" applyAlignment="0" applyProtection="0"/>
    <xf numFmtId="0" fontId="16" fillId="24" borderId="312" applyNumberFormat="0" applyAlignment="0" applyProtection="0"/>
    <xf numFmtId="0" fontId="8" fillId="10" borderId="276" applyNumberFormat="0" applyFont="0" applyAlignment="0" applyProtection="0"/>
    <xf numFmtId="0" fontId="29" fillId="12" borderId="315" applyNumberFormat="0" applyAlignment="0" applyProtection="0"/>
    <xf numFmtId="0" fontId="8" fillId="10" borderId="313" applyNumberFormat="0" applyFont="0" applyAlignment="0" applyProtection="0"/>
    <xf numFmtId="0" fontId="31" fillId="0" borderId="316" applyNumberFormat="0" applyFill="0" applyAlignment="0" applyProtection="0"/>
    <xf numFmtId="0" fontId="31" fillId="0" borderId="311" applyNumberFormat="0" applyFill="0" applyAlignment="0" applyProtection="0"/>
    <xf numFmtId="0" fontId="31" fillId="0" borderId="311" applyNumberFormat="0" applyFill="0" applyAlignment="0" applyProtection="0"/>
    <xf numFmtId="0" fontId="29" fillId="24" borderId="292" applyNumberFormat="0" applyAlignment="0" applyProtection="0"/>
    <xf numFmtId="0" fontId="8" fillId="10" borderId="290" applyNumberFormat="0" applyFont="0" applyAlignment="0" applyProtection="0"/>
    <xf numFmtId="0" fontId="29" fillId="12" borderId="292" applyNumberForma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24" fillId="24" borderId="243" applyNumberFormat="0" applyAlignment="0" applyProtection="0"/>
    <xf numFmtId="0" fontId="28" fillId="10" borderId="242" applyNumberFormat="0" applyFont="0" applyAlignment="0" applyProtection="0"/>
    <xf numFmtId="0" fontId="31" fillId="0" borderId="264" applyNumberFormat="0" applyFill="0" applyAlignment="0" applyProtection="0"/>
    <xf numFmtId="0" fontId="85" fillId="0" borderId="273"/>
    <xf numFmtId="0" fontId="32" fillId="24" borderId="266" applyNumberFormat="0" applyAlignment="0" applyProtection="0"/>
    <xf numFmtId="0" fontId="73" fillId="0" borderId="295" applyBorder="0">
      <alignment horizontal="center" vertical="center" wrapText="1"/>
    </xf>
    <xf numFmtId="0" fontId="49" fillId="10" borderId="313" applyNumberFormat="0" applyFont="0" applyAlignment="0" applyProtection="0"/>
    <xf numFmtId="0" fontId="31" fillId="0" borderId="294" applyNumberFormat="0" applyFill="0" applyAlignment="0" applyProtection="0"/>
    <xf numFmtId="0" fontId="49" fillId="10" borderId="290" applyNumberFormat="0" applyFont="0" applyAlignment="0" applyProtection="0"/>
    <xf numFmtId="0" fontId="24" fillId="24" borderId="307" applyNumberFormat="0" applyAlignment="0" applyProtection="0"/>
    <xf numFmtId="0" fontId="31" fillId="0" borderId="249" applyNumberFormat="0" applyFill="0" applyAlignment="0" applyProtection="0"/>
    <xf numFmtId="0" fontId="8" fillId="10" borderId="290" applyNumberFormat="0" applyFont="0" applyAlignment="0" applyProtection="0"/>
    <xf numFmtId="0" fontId="48" fillId="24" borderId="28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28" fillId="10" borderId="299" applyNumberFormat="0" applyFont="0" applyAlignment="0" applyProtection="0"/>
    <xf numFmtId="0" fontId="16" fillId="24" borderId="289" applyNumberFormat="0" applyAlignment="0" applyProtection="0"/>
    <xf numFmtId="0" fontId="31" fillId="0" borderId="287" applyNumberFormat="0" applyFill="0" applyAlignment="0" applyProtection="0"/>
    <xf numFmtId="0" fontId="73" fillId="0" borderId="295" applyBorder="0">
      <alignment horizontal="center" vertical="center" wrapText="1"/>
    </xf>
    <xf numFmtId="0" fontId="18" fillId="10" borderId="290" applyNumberFormat="0" applyFont="0" applyAlignment="0" applyProtection="0"/>
    <xf numFmtId="0" fontId="8" fillId="10" borderId="290" applyNumberFormat="0" applyFont="0" applyAlignment="0" applyProtection="0"/>
    <xf numFmtId="0" fontId="29" fillId="24" borderId="248" applyNumberFormat="0" applyAlignment="0" applyProtection="0"/>
    <xf numFmtId="0" fontId="31" fillId="0" borderId="244" applyNumberFormat="0" applyFill="0" applyAlignment="0" applyProtection="0"/>
    <xf numFmtId="0" fontId="24" fillId="24" borderId="314" applyNumberFormat="0" applyAlignment="0" applyProtection="0"/>
    <xf numFmtId="0" fontId="31" fillId="0" borderId="250" applyNumberFormat="0" applyFill="0" applyAlignment="0" applyProtection="0"/>
    <xf numFmtId="0" fontId="31" fillId="0" borderId="294" applyNumberFormat="0" applyFill="0" applyAlignment="0" applyProtection="0"/>
    <xf numFmtId="0" fontId="25" fillId="13" borderId="289" applyNumberFormat="0" applyAlignment="0" applyProtection="0"/>
    <xf numFmtId="0" fontId="31" fillId="0" borderId="294" applyNumberFormat="0" applyFill="0" applyAlignment="0" applyProtection="0"/>
    <xf numFmtId="0" fontId="49" fillId="10" borderId="313" applyNumberFormat="0" applyFont="0" applyAlignment="0" applyProtection="0"/>
    <xf numFmtId="0" fontId="28" fillId="10" borderId="313" applyNumberFormat="0" applyFont="0" applyAlignment="0" applyProtection="0"/>
    <xf numFmtId="0" fontId="28" fillId="0" borderId="232"/>
    <xf numFmtId="0" fontId="18" fillId="10" borderId="260" applyNumberFormat="0" applyFont="0" applyAlignment="0" applyProtection="0"/>
    <xf numFmtId="0" fontId="41" fillId="13" borderId="266" applyNumberFormat="0" applyAlignment="0" applyProtection="0"/>
    <xf numFmtId="0" fontId="8" fillId="44" borderId="251" applyNumberFormat="0" applyFont="0" applyAlignment="0" applyProtection="0"/>
    <xf numFmtId="0" fontId="31" fillId="0" borderId="317" applyNumberFormat="0" applyFill="0" applyAlignment="0" applyProtection="0"/>
    <xf numFmtId="0" fontId="24" fillId="24" borderId="300" applyNumberFormat="0" applyAlignment="0" applyProtection="0"/>
    <xf numFmtId="0" fontId="31" fillId="0" borderId="288" applyNumberFormat="0" applyFill="0" applyAlignment="0" applyProtection="0"/>
    <xf numFmtId="0" fontId="31" fillId="0" borderId="293" applyNumberFormat="0" applyFill="0" applyAlignment="0" applyProtection="0"/>
    <xf numFmtId="0" fontId="48" fillId="12" borderId="289" applyNumberFormat="0" applyAlignment="0" applyProtection="0"/>
    <xf numFmtId="0" fontId="24" fillId="24" borderId="243" applyNumberFormat="0" applyAlignment="0" applyProtection="0"/>
    <xf numFmtId="0" fontId="31" fillId="0" borderId="265" applyNumberFormat="0" applyFill="0" applyAlignment="0" applyProtection="0"/>
    <xf numFmtId="0" fontId="31" fillId="0" borderId="250" applyNumberFormat="0" applyFill="0" applyAlignment="0" applyProtection="0"/>
    <xf numFmtId="0" fontId="31" fillId="0" borderId="293" applyNumberFormat="0" applyFill="0" applyAlignment="0" applyProtection="0"/>
    <xf numFmtId="0" fontId="8" fillId="10" borderId="299" applyNumberFormat="0" applyFont="0" applyAlignment="0" applyProtection="0"/>
    <xf numFmtId="0" fontId="31" fillId="0" borderId="249" applyNumberFormat="0" applyFill="0" applyAlignment="0" applyProtection="0"/>
    <xf numFmtId="0" fontId="48" fillId="24" borderId="266" applyNumberFormat="0" applyAlignment="0" applyProtection="0"/>
    <xf numFmtId="0" fontId="29" fillId="24" borderId="269" applyNumberFormat="0" applyAlignment="0" applyProtection="0"/>
    <xf numFmtId="0" fontId="29" fillId="24" borderId="269" applyNumberFormat="0" applyAlignment="0" applyProtection="0"/>
    <xf numFmtId="0" fontId="48" fillId="24" borderId="312" applyNumberFormat="0" applyAlignment="0" applyProtection="0"/>
    <xf numFmtId="0" fontId="85" fillId="0" borderId="319"/>
    <xf numFmtId="0" fontId="41" fillId="13" borderId="312" applyNumberFormat="0" applyAlignment="0" applyProtection="0"/>
    <xf numFmtId="0" fontId="16" fillId="24" borderId="235" applyNumberFormat="0" applyAlignment="0" applyProtection="0"/>
    <xf numFmtId="0" fontId="31" fillId="0" borderId="271" applyNumberFormat="0" applyFill="0" applyAlignment="0" applyProtection="0"/>
    <xf numFmtId="0" fontId="73" fillId="0" borderId="263" applyBorder="0">
      <alignment horizontal="center" vertical="center" wrapText="1"/>
    </xf>
    <xf numFmtId="0" fontId="31" fillId="0" borderId="265" applyNumberFormat="0" applyFill="0" applyAlignment="0" applyProtection="0"/>
    <xf numFmtId="0" fontId="29" fillId="24" borderId="269" applyNumberFormat="0" applyAlignment="0" applyProtection="0"/>
    <xf numFmtId="0" fontId="18" fillId="10" borderId="267" applyNumberFormat="0" applyFont="0" applyAlignment="0" applyProtection="0"/>
    <xf numFmtId="0" fontId="48" fillId="12" borderId="235" applyNumberFormat="0" applyAlignment="0" applyProtection="0"/>
    <xf numFmtId="0" fontId="31" fillId="0" borderId="265" applyNumberFormat="0" applyFill="0" applyAlignment="0" applyProtection="0"/>
    <xf numFmtId="0" fontId="49" fillId="10" borderId="236" applyNumberFormat="0" applyFont="0" applyAlignment="0" applyProtection="0"/>
    <xf numFmtId="0" fontId="28" fillId="10" borderId="236" applyNumberFormat="0" applyFont="0" applyAlignment="0" applyProtection="0"/>
    <xf numFmtId="0" fontId="8" fillId="10" borderId="236" applyNumberFormat="0" applyFont="0" applyAlignment="0" applyProtection="0"/>
    <xf numFmtId="0" fontId="31" fillId="0" borderId="265" applyNumberFormat="0" applyFill="0" applyAlignment="0" applyProtection="0"/>
    <xf numFmtId="0" fontId="28" fillId="0" borderId="319"/>
    <xf numFmtId="0" fontId="24" fillId="24" borderId="277" applyNumberFormat="0" applyAlignment="0" applyProtection="0"/>
    <xf numFmtId="0" fontId="48" fillId="24" borderId="312" applyNumberFormat="0" applyAlignment="0" applyProtection="0"/>
    <xf numFmtId="0" fontId="48" fillId="12" borderId="312" applyNumberFormat="0" applyAlignment="0" applyProtection="0"/>
    <xf numFmtId="0" fontId="48" fillId="12" borderId="266" applyNumberFormat="0" applyAlignment="0" applyProtection="0"/>
    <xf numFmtId="0" fontId="41" fillId="13" borderId="266" applyNumberFormat="0" applyAlignment="0" applyProtection="0"/>
    <xf numFmtId="0" fontId="8" fillId="10" borderId="267" applyNumberFormat="0" applyFont="0" applyAlignment="0" applyProtection="0"/>
    <xf numFmtId="0" fontId="29" fillId="12" borderId="269" applyNumberFormat="0" applyAlignment="0" applyProtection="0"/>
    <xf numFmtId="0" fontId="31" fillId="0" borderId="264" applyNumberFormat="0" applyFill="0" applyAlignment="0" applyProtection="0"/>
    <xf numFmtId="0" fontId="49" fillId="10" borderId="267" applyNumberFormat="0" applyFont="0" applyAlignment="0" applyProtection="0"/>
    <xf numFmtId="0" fontId="8" fillId="10" borderId="267" applyNumberFormat="0" applyFont="0" applyAlignment="0" applyProtection="0"/>
    <xf numFmtId="0" fontId="25" fillId="13" borderId="266" applyNumberFormat="0" applyAlignment="0" applyProtection="0"/>
    <xf numFmtId="0" fontId="24" fillId="24" borderId="268" applyNumberFormat="0" applyAlignment="0" applyProtection="0"/>
    <xf numFmtId="0" fontId="8" fillId="10" borderId="267" applyNumberFormat="0" applyFont="0" applyAlignment="0" applyProtection="0"/>
    <xf numFmtId="0" fontId="25" fillId="8" borderId="266" applyNumberFormat="0" applyAlignment="0" applyProtection="0"/>
    <xf numFmtId="0" fontId="48" fillId="12" borderId="266" applyNumberFormat="0" applyAlignment="0" applyProtection="0"/>
    <xf numFmtId="0" fontId="49" fillId="10" borderId="267" applyNumberFormat="0" applyFont="0" applyAlignment="0" applyProtection="0"/>
    <xf numFmtId="0" fontId="8" fillId="44" borderId="274" applyNumberFormat="0" applyFont="0" applyAlignment="0" applyProtection="0"/>
    <xf numFmtId="0" fontId="29" fillId="24" borderId="315" applyNumberFormat="0" applyAlignment="0" applyProtection="0"/>
    <xf numFmtId="0" fontId="31" fillId="0" borderId="311" applyNumberFormat="0" applyFill="0" applyAlignment="0" applyProtection="0"/>
    <xf numFmtId="0" fontId="49" fillId="10" borderId="290" applyNumberFormat="0" applyFont="0" applyAlignment="0" applyProtection="0"/>
    <xf numFmtId="0" fontId="8" fillId="10" borderId="313" applyNumberFormat="0" applyFont="0" applyAlignment="0" applyProtection="0"/>
    <xf numFmtId="0" fontId="28" fillId="10" borderId="242" applyNumberFormat="0" applyFont="0" applyAlignment="0" applyProtection="0"/>
    <xf numFmtId="0" fontId="48" fillId="24" borderId="312" applyNumberFormat="0" applyAlignment="0" applyProtection="0"/>
    <xf numFmtId="0" fontId="25" fillId="13" borderId="289" applyNumberFormat="0" applyAlignment="0" applyProtection="0"/>
    <xf numFmtId="0" fontId="25" fillId="8" borderId="312" applyNumberFormat="0" applyAlignment="0" applyProtection="0"/>
    <xf numFmtId="0" fontId="8" fillId="10" borderId="267" applyNumberFormat="0" applyFont="0" applyAlignment="0" applyProtection="0"/>
    <xf numFmtId="0" fontId="8" fillId="10" borderId="313" applyNumberFormat="0" applyFont="0" applyAlignment="0" applyProtection="0"/>
    <xf numFmtId="0" fontId="41" fillId="13" borderId="312" applyNumberFormat="0" applyAlignment="0" applyProtection="0"/>
    <xf numFmtId="0" fontId="85" fillId="0" borderId="296"/>
    <xf numFmtId="0" fontId="48" fillId="24" borderId="289" applyNumberFormat="0" applyAlignment="0" applyProtection="0"/>
    <xf numFmtId="0" fontId="28" fillId="10" borderId="290" applyNumberFormat="0" applyFont="0" applyAlignment="0" applyProtection="0"/>
    <xf numFmtId="0" fontId="16" fillId="24" borderId="282" applyNumberFormat="0" applyAlignment="0" applyProtection="0"/>
    <xf numFmtId="0" fontId="49" fillId="10" borderId="290" applyNumberFormat="0" applyFont="0" applyAlignment="0" applyProtection="0"/>
    <xf numFmtId="0" fontId="49" fillId="10" borderId="290" applyNumberFormat="0" applyFont="0" applyAlignment="0" applyProtection="0"/>
    <xf numFmtId="0" fontId="25" fillId="13" borderId="266" applyNumberFormat="0" applyAlignment="0" applyProtection="0"/>
    <xf numFmtId="0" fontId="28" fillId="0" borderId="319"/>
    <xf numFmtId="0" fontId="16" fillId="24" borderId="321" applyNumberFormat="0" applyAlignment="0" applyProtection="0"/>
    <xf numFmtId="0" fontId="28" fillId="10" borderId="322" applyNumberFormat="0" applyFont="0" applyAlignment="0" applyProtection="0"/>
    <xf numFmtId="0" fontId="29" fillId="24" borderId="281" applyNumberFormat="0" applyAlignment="0" applyProtection="0"/>
    <xf numFmtId="0" fontId="29" fillId="12" borderId="315" applyNumberFormat="0" applyAlignment="0" applyProtection="0"/>
    <xf numFmtId="0" fontId="31" fillId="0" borderId="311" applyNumberFormat="0" applyFill="0" applyAlignment="0" applyProtection="0"/>
    <xf numFmtId="0" fontId="28" fillId="10" borderId="313" applyNumberFormat="0" applyFont="0" applyAlignment="0" applyProtection="0"/>
    <xf numFmtId="0" fontId="31" fillId="0" borderId="288" applyNumberFormat="0" applyFill="0" applyAlignment="0" applyProtection="0"/>
    <xf numFmtId="0" fontId="31" fillId="0" borderId="293" applyNumberFormat="0" applyFill="0" applyAlignment="0" applyProtection="0"/>
    <xf numFmtId="0" fontId="31" fillId="0" borderId="293" applyNumberFormat="0" applyFill="0" applyAlignment="0" applyProtection="0"/>
    <xf numFmtId="0" fontId="16" fillId="24" borderId="282" applyNumberFormat="0" applyAlignment="0" applyProtection="0"/>
    <xf numFmtId="0" fontId="31" fillId="0" borderId="311" applyNumberFormat="0" applyFill="0" applyAlignment="0" applyProtection="0"/>
    <xf numFmtId="0" fontId="25" fillId="13" borderId="312" applyNumberFormat="0" applyAlignment="0" applyProtection="0"/>
    <xf numFmtId="0" fontId="29" fillId="12" borderId="292" applyNumberFormat="0" applyAlignment="0" applyProtection="0"/>
    <xf numFmtId="0" fontId="31" fillId="0" borderId="288" applyNumberFormat="0" applyFill="0" applyAlignment="0" applyProtection="0"/>
    <xf numFmtId="0" fontId="49" fillId="10" borderId="242" applyNumberFormat="0" applyFont="0" applyAlignment="0" applyProtection="0"/>
    <xf numFmtId="0" fontId="85" fillId="0" borderId="245"/>
    <xf numFmtId="0" fontId="16" fillId="24" borderId="289" applyNumberFormat="0" applyAlignment="0" applyProtection="0"/>
    <xf numFmtId="0" fontId="31" fillId="0" borderId="250" applyNumberFormat="0" applyFill="0" applyAlignment="0" applyProtection="0"/>
    <xf numFmtId="0" fontId="8" fillId="10" borderId="290" applyNumberFormat="0" applyFont="0" applyAlignment="0" applyProtection="0"/>
    <xf numFmtId="0" fontId="31" fillId="0" borderId="244" applyNumberFormat="0" applyFill="0" applyAlignment="0" applyProtection="0"/>
    <xf numFmtId="0" fontId="8" fillId="10" borderId="242" applyNumberFormat="0" applyFont="0" applyAlignment="0" applyProtection="0"/>
    <xf numFmtId="0" fontId="24" fillId="24" borderId="243" applyNumberFormat="0" applyAlignment="0" applyProtection="0"/>
    <xf numFmtId="0" fontId="31" fillId="0" borderId="247" applyNumberFormat="0" applyFill="0" applyAlignment="0" applyProtection="0"/>
    <xf numFmtId="0" fontId="41" fillId="13" borderId="312" applyNumberFormat="0" applyAlignment="0" applyProtection="0"/>
    <xf numFmtId="0" fontId="18" fillId="10" borderId="299" applyNumberFormat="0" applyFont="0" applyAlignment="0" applyProtection="0"/>
    <xf numFmtId="0" fontId="16" fillId="24" borderId="298" applyNumberFormat="0" applyAlignment="0" applyProtection="0"/>
    <xf numFmtId="0" fontId="28" fillId="0" borderId="296"/>
    <xf numFmtId="0" fontId="25" fillId="13" borderId="289" applyNumberFormat="0" applyAlignment="0" applyProtection="0"/>
    <xf numFmtId="0" fontId="31" fillId="0" borderId="294" applyNumberFormat="0" applyFill="0" applyAlignment="0" applyProtection="0"/>
    <xf numFmtId="0" fontId="8" fillId="44" borderId="297" applyNumberFormat="0" applyFont="0" applyAlignment="0" applyProtection="0"/>
    <xf numFmtId="0" fontId="28" fillId="0" borderId="273"/>
    <xf numFmtId="0" fontId="29" fillId="24" borderId="281" applyNumberFormat="0" applyAlignment="0" applyProtection="0"/>
    <xf numFmtId="0" fontId="25" fillId="8" borderId="289" applyNumberFormat="0" applyAlignment="0" applyProtection="0"/>
    <xf numFmtId="0" fontId="48" fillId="12" borderId="289" applyNumberFormat="0" applyAlignment="0" applyProtection="0"/>
    <xf numFmtId="0" fontId="29" fillId="12" borderId="292" applyNumberFormat="0" applyAlignment="0" applyProtection="0"/>
    <xf numFmtId="0" fontId="25" fillId="13" borderId="312" applyNumberFormat="0" applyAlignment="0" applyProtection="0"/>
    <xf numFmtId="0" fontId="31" fillId="0" borderId="265" applyNumberFormat="0" applyFill="0" applyAlignment="0" applyProtection="0"/>
    <xf numFmtId="0" fontId="28" fillId="0" borderId="273"/>
    <xf numFmtId="0" fontId="48" fillId="12" borderId="312" applyNumberFormat="0" applyAlignment="0" applyProtection="0"/>
    <xf numFmtId="0" fontId="31" fillId="0" borderId="316" applyNumberFormat="0" applyFill="0" applyAlignment="0" applyProtection="0"/>
    <xf numFmtId="0" fontId="85" fillId="0" borderId="319"/>
    <xf numFmtId="0" fontId="16" fillId="24" borderId="289" applyNumberFormat="0" applyAlignment="0" applyProtection="0"/>
    <xf numFmtId="0" fontId="41" fillId="13" borderId="289" applyNumberFormat="0" applyAlignment="0" applyProtection="0"/>
    <xf numFmtId="0" fontId="16" fillId="24" borderId="312" applyNumberFormat="0" applyAlignment="0" applyProtection="0"/>
    <xf numFmtId="0" fontId="49" fillId="10" borderId="267" applyNumberFormat="0" applyFont="0" applyAlignment="0" applyProtection="0"/>
    <xf numFmtId="0" fontId="31" fillId="0" borderId="265" applyNumberFormat="0" applyFill="0" applyAlignment="0" applyProtection="0"/>
    <xf numFmtId="0" fontId="31" fillId="0" borderId="311" applyNumberFormat="0" applyFill="0" applyAlignment="0" applyProtection="0"/>
    <xf numFmtId="0" fontId="28" fillId="0" borderId="319"/>
    <xf numFmtId="0" fontId="48" fillId="12" borderId="266" applyNumberFormat="0" applyAlignment="0" applyProtection="0"/>
    <xf numFmtId="0" fontId="48" fillId="24" borderId="312" applyNumberFormat="0" applyAlignment="0" applyProtection="0"/>
    <xf numFmtId="0" fontId="49" fillId="10" borderId="313" applyNumberFormat="0" applyFont="0" applyAlignment="0" applyProtection="0"/>
    <xf numFmtId="0" fontId="49" fillId="10" borderId="313" applyNumberFormat="0" applyFont="0" applyAlignment="0" applyProtection="0"/>
    <xf numFmtId="0" fontId="73" fillId="0" borderId="286" applyBorder="0">
      <alignment horizontal="center" vertical="center" wrapText="1"/>
    </xf>
    <xf numFmtId="0" fontId="31" fillId="0" borderId="288" applyNumberFormat="0" applyFill="0" applyAlignment="0" applyProtection="0"/>
    <xf numFmtId="0" fontId="49" fillId="10" borderId="313" applyNumberFormat="0" applyFont="0" applyAlignment="0" applyProtection="0"/>
    <xf numFmtId="0" fontId="24" fillId="24" borderId="254" applyNumberFormat="0" applyAlignment="0" applyProtection="0"/>
    <xf numFmtId="0" fontId="31" fillId="0" borderId="287" applyNumberFormat="0" applyFill="0" applyAlignment="0" applyProtection="0"/>
    <xf numFmtId="0" fontId="85" fillId="0" borderId="245"/>
    <xf numFmtId="0" fontId="31" fillId="0" borderId="244" applyNumberFormat="0" applyFill="0" applyAlignment="0" applyProtection="0"/>
    <xf numFmtId="0" fontId="18" fillId="10" borderId="242" applyNumberFormat="0" applyFont="0" applyAlignment="0" applyProtection="0"/>
    <xf numFmtId="0" fontId="32" fillId="24" borderId="289" applyNumberFormat="0" applyAlignment="0" applyProtection="0"/>
    <xf numFmtId="0" fontId="31" fillId="0" borderId="250" applyNumberFormat="0" applyFill="0" applyAlignment="0" applyProtection="0"/>
    <xf numFmtId="0" fontId="28" fillId="0" borderId="245"/>
    <xf numFmtId="0" fontId="31" fillId="0" borderId="250" applyNumberFormat="0" applyFill="0" applyAlignment="0" applyProtection="0"/>
    <xf numFmtId="0" fontId="28" fillId="10" borderId="290" applyNumberFormat="0" applyFont="0" applyAlignment="0" applyProtection="0"/>
    <xf numFmtId="0" fontId="41" fillId="13" borderId="259" applyNumberFormat="0" applyAlignment="0" applyProtection="0"/>
    <xf numFmtId="0" fontId="29" fillId="24" borderId="258" applyNumberFormat="0" applyAlignment="0" applyProtection="0"/>
    <xf numFmtId="0" fontId="31" fillId="0" borderId="293" applyNumberFormat="0" applyFill="0" applyAlignment="0" applyProtection="0"/>
    <xf numFmtId="0" fontId="31" fillId="0" borderId="247" applyNumberFormat="0" applyFill="0" applyAlignment="0" applyProtection="0"/>
    <xf numFmtId="0" fontId="31" fillId="0" borderId="265" applyNumberFormat="0" applyFill="0" applyAlignment="0" applyProtection="0"/>
    <xf numFmtId="0" fontId="28" fillId="10" borderId="260" applyNumberFormat="0" applyFont="0" applyAlignment="0" applyProtection="0"/>
    <xf numFmtId="0" fontId="85" fillId="0" borderId="273"/>
    <xf numFmtId="0" fontId="31" fillId="0" borderId="271" applyNumberFormat="0" applyFill="0" applyAlignment="0" applyProtection="0"/>
    <xf numFmtId="0" fontId="8" fillId="10" borderId="267" applyNumberFormat="0" applyFont="0" applyAlignment="0" applyProtection="0"/>
    <xf numFmtId="0" fontId="16" fillId="24" borderId="235" applyNumberFormat="0" applyAlignment="0" applyProtection="0"/>
    <xf numFmtId="0" fontId="85" fillId="72" borderId="273"/>
    <xf numFmtId="0" fontId="24" fillId="24" borderId="268" applyNumberFormat="0" applyAlignment="0" applyProtection="0"/>
    <xf numFmtId="0" fontId="31" fillId="0" borderId="265" applyNumberFormat="0" applyFill="0" applyAlignment="0" applyProtection="0"/>
    <xf numFmtId="0" fontId="28" fillId="0" borderId="296"/>
    <xf numFmtId="0" fontId="28" fillId="0" borderId="273"/>
    <xf numFmtId="0" fontId="29" fillId="24" borderId="292" applyNumberFormat="0" applyAlignment="0" applyProtection="0"/>
    <xf numFmtId="0" fontId="29" fillId="12" borderId="315" applyNumberFormat="0" applyAlignment="0" applyProtection="0"/>
    <xf numFmtId="0" fontId="29" fillId="24" borderId="269" applyNumberFormat="0" applyAlignment="0" applyProtection="0"/>
    <xf numFmtId="0" fontId="48" fillId="12" borderId="266" applyNumberFormat="0" applyAlignment="0" applyProtection="0"/>
    <xf numFmtId="0" fontId="8" fillId="10" borderId="267" applyNumberFormat="0" applyFont="0" applyAlignment="0" applyProtection="0"/>
    <xf numFmtId="0" fontId="25" fillId="13" borderId="266" applyNumberFormat="0" applyAlignment="0" applyProtection="0"/>
    <xf numFmtId="0" fontId="29" fillId="24" borderId="269" applyNumberFormat="0" applyAlignment="0" applyProtection="0"/>
    <xf numFmtId="0" fontId="8" fillId="10" borderId="267" applyNumberFormat="0" applyFont="0" applyAlignment="0" applyProtection="0"/>
    <xf numFmtId="0" fontId="31" fillId="0" borderId="271" applyNumberFormat="0" applyFill="0" applyAlignment="0" applyProtection="0"/>
    <xf numFmtId="0" fontId="31" fillId="0" borderId="265" applyNumberFormat="0" applyFill="0" applyAlignment="0" applyProtection="0"/>
    <xf numFmtId="0" fontId="31" fillId="0" borderId="265" applyNumberFormat="0" applyFill="0" applyAlignment="0" applyProtection="0"/>
    <xf numFmtId="0" fontId="48" fillId="24" borderId="266" applyNumberFormat="0" applyAlignment="0" applyProtection="0"/>
    <xf numFmtId="0" fontId="31" fillId="0" borderId="271" applyNumberFormat="0" applyFill="0" applyAlignment="0" applyProtection="0"/>
    <xf numFmtId="0" fontId="41" fillId="13" borderId="266" applyNumberFormat="0" applyAlignment="0" applyProtection="0"/>
    <xf numFmtId="0" fontId="31" fillId="0" borderId="270" applyNumberFormat="0" applyFill="0" applyAlignment="0" applyProtection="0"/>
    <xf numFmtId="0" fontId="16" fillId="24" borderId="266" applyNumberFormat="0" applyAlignment="0" applyProtection="0"/>
    <xf numFmtId="0" fontId="25" fillId="13" borderId="266" applyNumberFormat="0" applyAlignment="0" applyProtection="0"/>
    <xf numFmtId="0" fontId="29" fillId="24" borderId="269" applyNumberFormat="0" applyAlignment="0" applyProtection="0"/>
    <xf numFmtId="0" fontId="28" fillId="10" borderId="267" applyNumberFormat="0" applyFont="0" applyAlignment="0" applyProtection="0"/>
    <xf numFmtId="0" fontId="29" fillId="24" borderId="269" applyNumberFormat="0" applyAlignment="0" applyProtection="0"/>
    <xf numFmtId="0" fontId="8" fillId="10" borderId="267" applyNumberFormat="0" applyFont="0" applyAlignment="0" applyProtection="0"/>
    <xf numFmtId="0" fontId="28" fillId="0" borderId="273"/>
    <xf numFmtId="0" fontId="31" fillId="0" borderId="271" applyNumberFormat="0" applyFill="0" applyAlignment="0" applyProtection="0"/>
    <xf numFmtId="0" fontId="49" fillId="10" borderId="267" applyNumberFormat="0" applyFont="0" applyAlignment="0" applyProtection="0"/>
    <xf numFmtId="0" fontId="48" fillId="12" borderId="266" applyNumberFormat="0" applyAlignment="0" applyProtection="0"/>
    <xf numFmtId="0" fontId="31" fillId="0" borderId="271" applyNumberFormat="0" applyFill="0" applyAlignment="0" applyProtection="0"/>
    <xf numFmtId="0" fontId="31" fillId="0" borderId="270" applyNumberFormat="0" applyFill="0" applyAlignment="0" applyProtection="0"/>
    <xf numFmtId="0" fontId="49" fillId="10" borderId="313" applyNumberFormat="0" applyFont="0" applyAlignment="0" applyProtection="0"/>
    <xf numFmtId="0" fontId="31" fillId="0" borderId="316" applyNumberFormat="0" applyFill="0" applyAlignment="0" applyProtection="0"/>
    <xf numFmtId="0" fontId="31" fillId="0" borderId="317" applyNumberFormat="0" applyFill="0" applyAlignment="0" applyProtection="0"/>
    <xf numFmtId="0" fontId="25" fillId="13" borderId="289" applyNumberFormat="0" applyAlignment="0" applyProtection="0"/>
    <xf numFmtId="0" fontId="31" fillId="0" borderId="293" applyNumberFormat="0" applyFill="0" applyAlignment="0" applyProtection="0"/>
    <xf numFmtId="0" fontId="8" fillId="10" borderId="242" applyNumberFormat="0" applyFont="0" applyAlignment="0" applyProtection="0"/>
    <xf numFmtId="0" fontId="25" fillId="13" borderId="259" applyNumberFormat="0" applyAlignment="0" applyProtection="0"/>
    <xf numFmtId="0" fontId="48" fillId="12" borderId="312" applyNumberFormat="0" applyAlignment="0" applyProtection="0"/>
    <xf numFmtId="0" fontId="41" fillId="13" borderId="312" applyNumberFormat="0" applyAlignment="0" applyProtection="0"/>
    <xf numFmtId="0" fontId="31" fillId="0" borderId="238" applyNumberFormat="0" applyFill="0" applyAlignment="0" applyProtection="0"/>
    <xf numFmtId="0" fontId="85" fillId="0" borderId="232"/>
    <xf numFmtId="0" fontId="25" fillId="8" borderId="235" applyNumberFormat="0" applyAlignment="0" applyProtection="0"/>
    <xf numFmtId="0" fontId="73" fillId="0" borderId="240" applyBorder="0">
      <alignment horizontal="center" vertical="center" wrapText="1"/>
    </xf>
    <xf numFmtId="0" fontId="41" fillId="13" borderId="235" applyNumberFormat="0" applyAlignment="0" applyProtection="0"/>
    <xf numFmtId="0" fontId="49" fillId="10" borderId="236" applyNumberFormat="0" applyFont="0" applyAlignment="0" applyProtection="0"/>
    <xf numFmtId="0" fontId="48" fillId="24" borderId="289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48" fillId="12" borderId="235" applyNumberFormat="0" applyAlignment="0" applyProtection="0"/>
    <xf numFmtId="0" fontId="16" fillId="24" borderId="235" applyNumberFormat="0" applyAlignment="0" applyProtection="0"/>
    <xf numFmtId="0" fontId="41" fillId="13" borderId="235" applyNumberFormat="0" applyAlignment="0" applyProtection="0"/>
    <xf numFmtId="0" fontId="8" fillId="10" borderId="236" applyNumberFormat="0" applyFont="0" applyAlignment="0" applyProtection="0"/>
    <xf numFmtId="0" fontId="48" fillId="24" borderId="235" applyNumberFormat="0" applyAlignment="0" applyProtection="0"/>
    <xf numFmtId="0" fontId="16" fillId="24" borderId="235" applyNumberFormat="0" applyAlignment="0" applyProtection="0"/>
    <xf numFmtId="0" fontId="41" fillId="13" borderId="235" applyNumberFormat="0" applyAlignment="0" applyProtection="0"/>
    <xf numFmtId="0" fontId="8" fillId="10" borderId="236" applyNumberFormat="0" applyFont="0" applyAlignment="0" applyProtection="0"/>
    <xf numFmtId="0" fontId="85" fillId="72" borderId="296"/>
    <xf numFmtId="0" fontId="32" fillId="24" borderId="235" applyNumberFormat="0" applyAlignment="0" applyProtection="0"/>
    <xf numFmtId="0" fontId="41" fillId="13" borderId="235" applyNumberFormat="0" applyAlignment="0" applyProtection="0"/>
    <xf numFmtId="0" fontId="28" fillId="10" borderId="236" applyNumberFormat="0" applyFont="0" applyAlignment="0" applyProtection="0"/>
    <xf numFmtId="0" fontId="24" fillId="24" borderId="243" applyNumberFormat="0" applyAlignment="0" applyProtection="0"/>
    <xf numFmtId="0" fontId="31" fillId="0" borderId="317" applyNumberFormat="0" applyFill="0" applyAlignment="0" applyProtection="0"/>
    <xf numFmtId="0" fontId="31" fillId="0" borderId="317" applyNumberFormat="0" applyFill="0" applyAlignment="0" applyProtection="0"/>
    <xf numFmtId="0" fontId="31" fillId="0" borderId="271" applyNumberFormat="0" applyFill="0" applyAlignment="0" applyProtection="0"/>
    <xf numFmtId="0" fontId="73" fillId="0" borderId="309" applyBorder="0">
      <alignment horizontal="center" vertical="center" wrapText="1"/>
    </xf>
    <xf numFmtId="0" fontId="18" fillId="10" borderId="313" applyNumberFormat="0" applyFont="0" applyAlignment="0" applyProtection="0"/>
    <xf numFmtId="0" fontId="8" fillId="10" borderId="313" applyNumberFormat="0" applyFont="0" applyAlignment="0" applyProtection="0"/>
    <xf numFmtId="0" fontId="28" fillId="0" borderId="296"/>
    <xf numFmtId="0" fontId="16" fillId="24" borderId="289" applyNumberFormat="0" applyAlignment="0" applyProtection="0"/>
    <xf numFmtId="0" fontId="31" fillId="0" borderId="288" applyNumberFormat="0" applyFill="0" applyAlignment="0" applyProtection="0"/>
    <xf numFmtId="0" fontId="31" fillId="0" borderId="288" applyNumberFormat="0" applyFill="0" applyAlignment="0" applyProtection="0"/>
    <xf numFmtId="0" fontId="31" fillId="0" borderId="294" applyNumberFormat="0" applyFill="0" applyAlignment="0" applyProtection="0"/>
    <xf numFmtId="0" fontId="29" fillId="24" borderId="292" applyNumberFormat="0" applyAlignment="0" applyProtection="0"/>
    <xf numFmtId="0" fontId="49" fillId="10" borderId="290" applyNumberFormat="0" applyFont="0" applyAlignment="0" applyProtection="0"/>
    <xf numFmtId="0" fontId="28" fillId="10" borderId="313" applyNumberFormat="0" applyFont="0" applyAlignment="0" applyProtection="0"/>
    <xf numFmtId="0" fontId="28" fillId="10" borderId="290" applyNumberFormat="0" applyFont="0" applyAlignment="0" applyProtection="0"/>
    <xf numFmtId="0" fontId="25" fillId="8" borderId="312" applyNumberFormat="0" applyAlignment="0" applyProtection="0"/>
    <xf numFmtId="0" fontId="31" fillId="0" borderId="317" applyNumberFormat="0" applyFill="0" applyAlignment="0" applyProtection="0"/>
    <xf numFmtId="0" fontId="8" fillId="10" borderId="313" applyNumberFormat="0" applyFont="0" applyAlignment="0" applyProtection="0"/>
    <xf numFmtId="0" fontId="31" fillId="0" borderId="317" applyNumberFormat="0" applyFill="0" applyAlignment="0" applyProtection="0"/>
    <xf numFmtId="0" fontId="85" fillId="0" borderId="319"/>
    <xf numFmtId="0" fontId="28" fillId="10" borderId="322" applyNumberFormat="0" applyFont="0" applyAlignment="0" applyProtection="0"/>
    <xf numFmtId="0" fontId="31" fillId="0" borderId="288" applyNumberFormat="0" applyFill="0" applyAlignment="0" applyProtection="0"/>
    <xf numFmtId="0" fontId="29" fillId="24" borderId="315" applyNumberFormat="0" applyAlignment="0" applyProtection="0"/>
    <xf numFmtId="0" fontId="31" fillId="0" borderId="271" applyNumberFormat="0" applyFill="0" applyAlignment="0" applyProtection="0"/>
    <xf numFmtId="0" fontId="25" fillId="8" borderId="312" applyNumberFormat="0" applyAlignment="0" applyProtection="0"/>
    <xf numFmtId="0" fontId="28" fillId="0" borderId="319"/>
    <xf numFmtId="0" fontId="31" fillId="0" borderId="316" applyNumberFormat="0" applyFill="0" applyAlignment="0" applyProtection="0"/>
    <xf numFmtId="0" fontId="29" fillId="24" borderId="315" applyNumberFormat="0" applyAlignment="0" applyProtection="0"/>
    <xf numFmtId="0" fontId="28" fillId="0" borderId="319"/>
    <xf numFmtId="0" fontId="73" fillId="0" borderId="286" applyBorder="0">
      <alignment horizontal="center" vertical="center" wrapText="1"/>
    </xf>
    <xf numFmtId="0" fontId="31" fillId="0" borderId="287" applyNumberFormat="0" applyFill="0" applyAlignment="0" applyProtection="0"/>
    <xf numFmtId="0" fontId="48" fillId="24" borderId="289" applyNumberFormat="0" applyAlignment="0" applyProtection="0"/>
    <xf numFmtId="0" fontId="49" fillId="10" borderId="290" applyNumberFormat="0" applyFont="0" applyAlignment="0" applyProtection="0"/>
    <xf numFmtId="0" fontId="29" fillId="24" borderId="292" applyNumberFormat="0" applyAlignment="0" applyProtection="0"/>
    <xf numFmtId="0" fontId="8" fillId="10" borderId="290" applyNumberFormat="0" applyFont="0" applyAlignment="0" applyProtection="0"/>
    <xf numFmtId="0" fontId="25" fillId="8" borderId="289" applyNumberFormat="0" applyAlignment="0" applyProtection="0"/>
    <xf numFmtId="0" fontId="41" fillId="13" borderId="282" applyNumberFormat="0" applyAlignment="0" applyProtection="0"/>
    <xf numFmtId="0" fontId="16" fillId="24" borderId="305" applyNumberFormat="0" applyAlignment="0" applyProtection="0"/>
    <xf numFmtId="0" fontId="29" fillId="24" borderId="315" applyNumberFormat="0" applyAlignment="0" applyProtection="0"/>
    <xf numFmtId="0" fontId="31" fillId="0" borderId="311" applyNumberFormat="0" applyFill="0" applyAlignment="0" applyProtection="0"/>
    <xf numFmtId="0" fontId="31" fillId="0" borderId="311" applyNumberFormat="0" applyFill="0" applyAlignment="0" applyProtection="0"/>
    <xf numFmtId="0" fontId="32" fillId="24" borderId="312" applyNumberFormat="0" applyAlignment="0" applyProtection="0"/>
    <xf numFmtId="0" fontId="16" fillId="24" borderId="252" applyNumberFormat="0" applyAlignment="0" applyProtection="0"/>
    <xf numFmtId="0" fontId="8" fillId="44" borderId="251" applyNumberFormat="0" applyFont="0" applyAlignment="0" applyProtection="0"/>
    <xf numFmtId="0" fontId="31" fillId="0" borderId="247" applyNumberFormat="0" applyFill="0" applyAlignment="0" applyProtection="0"/>
    <xf numFmtId="0" fontId="29" fillId="24" borderId="248" applyNumberFormat="0" applyAlignment="0" applyProtection="0"/>
    <xf numFmtId="0" fontId="31" fillId="0" borderId="249" applyNumberFormat="0" applyFill="0" applyAlignment="0" applyProtection="0"/>
    <xf numFmtId="0" fontId="28" fillId="10" borderId="242" applyNumberFormat="0" applyFont="0" applyAlignment="0" applyProtection="0"/>
    <xf numFmtId="0" fontId="31" fillId="0" borderId="247" applyNumberFormat="0" applyFill="0" applyAlignment="0" applyProtection="0"/>
    <xf numFmtId="0" fontId="31" fillId="0" borderId="250" applyNumberFormat="0" applyFill="0" applyAlignment="0" applyProtection="0"/>
    <xf numFmtId="0" fontId="31" fillId="0" borderId="244" applyNumberFormat="0" applyFill="0" applyAlignment="0" applyProtection="0"/>
    <xf numFmtId="0" fontId="29" fillId="24" borderId="248" applyNumberFormat="0" applyAlignment="0" applyProtection="0"/>
    <xf numFmtId="0" fontId="31" fillId="0" borderId="247" applyNumberFormat="0" applyFill="0" applyAlignment="0" applyProtection="0"/>
    <xf numFmtId="0" fontId="31" fillId="0" borderId="250" applyNumberFormat="0" applyFill="0" applyAlignment="0" applyProtection="0"/>
    <xf numFmtId="0" fontId="29" fillId="12" borderId="248" applyNumberFormat="0" applyAlignment="0" applyProtection="0"/>
    <xf numFmtId="0" fontId="8" fillId="10" borderId="313" applyNumberFormat="0" applyFont="0" applyAlignment="0" applyProtection="0"/>
    <xf numFmtId="0" fontId="8" fillId="44" borderId="251" applyNumberFormat="0" applyFont="0" applyAlignment="0" applyProtection="0"/>
    <xf numFmtId="0" fontId="25" fillId="8" borderId="312" applyNumberFormat="0" applyAlignment="0" applyProtection="0"/>
    <xf numFmtId="0" fontId="31" fillId="0" borderId="301" applyNumberFormat="0" applyFill="0" applyAlignment="0" applyProtection="0"/>
    <xf numFmtId="0" fontId="28" fillId="10" borderId="299" applyNumberFormat="0" applyFont="0" applyAlignment="0" applyProtection="0"/>
    <xf numFmtId="0" fontId="16" fillId="24" borderId="298" applyNumberFormat="0" applyAlignment="0" applyProtection="0"/>
    <xf numFmtId="0" fontId="48" fillId="12" borderId="289" applyNumberFormat="0" applyAlignment="0" applyProtection="0"/>
    <xf numFmtId="0" fontId="48" fillId="12" borderId="289" applyNumberFormat="0" applyAlignment="0" applyProtection="0"/>
    <xf numFmtId="0" fontId="28" fillId="10" borderId="290" applyNumberFormat="0" applyFont="0" applyAlignment="0" applyProtection="0"/>
    <xf numFmtId="0" fontId="28" fillId="0" borderId="296"/>
    <xf numFmtId="0" fontId="25" fillId="13" borderId="289" applyNumberFormat="0" applyAlignment="0" applyProtection="0"/>
    <xf numFmtId="0" fontId="25" fillId="13" borderId="289" applyNumberFormat="0" applyAlignment="0" applyProtection="0"/>
    <xf numFmtId="0" fontId="25" fillId="13" borderId="289" applyNumberFormat="0" applyAlignment="0" applyProtection="0"/>
    <xf numFmtId="0" fontId="31" fillId="0" borderId="270" applyNumberFormat="0" applyFill="0" applyAlignment="0" applyProtection="0"/>
    <xf numFmtId="0" fontId="31" fillId="0" borderId="288" applyNumberFormat="0" applyFill="0" applyAlignment="0" applyProtection="0"/>
    <xf numFmtId="0" fontId="18" fillId="10" borderId="290" applyNumberFormat="0" applyFont="0" applyAlignment="0" applyProtection="0"/>
    <xf numFmtId="0" fontId="24" fillId="24" borderId="284" applyNumberFormat="0" applyAlignment="0" applyProtection="0"/>
    <xf numFmtId="0" fontId="16" fillId="24" borderId="312" applyNumberFormat="0" applyAlignment="0" applyProtection="0"/>
    <xf numFmtId="0" fontId="48" fillId="24" borderId="298" applyNumberFormat="0" applyAlignment="0" applyProtection="0"/>
    <xf numFmtId="0" fontId="49" fillId="10" borderId="290" applyNumberFormat="0" applyFont="0" applyAlignment="0" applyProtection="0"/>
    <xf numFmtId="0" fontId="25" fillId="13" borderId="289" applyNumberFormat="0" applyAlignment="0" applyProtection="0"/>
    <xf numFmtId="0" fontId="41" fillId="13" borderId="289" applyNumberFormat="0" applyAlignment="0" applyProtection="0"/>
    <xf numFmtId="0" fontId="31" fillId="0" borderId="287" applyNumberFormat="0" applyFill="0" applyAlignment="0" applyProtection="0"/>
    <xf numFmtId="0" fontId="16" fillId="24" borderId="312" applyNumberFormat="0" applyAlignment="0" applyProtection="0"/>
    <xf numFmtId="0" fontId="31" fillId="0" borderId="264" applyNumberFormat="0" applyFill="0" applyAlignment="0" applyProtection="0"/>
    <xf numFmtId="0" fontId="48" fillId="24" borderId="266" applyNumberFormat="0" applyAlignment="0" applyProtection="0"/>
    <xf numFmtId="0" fontId="48" fillId="24" borderId="266" applyNumberFormat="0" applyAlignment="0" applyProtection="0"/>
    <xf numFmtId="0" fontId="8" fillId="10" borderId="313" applyNumberFormat="0" applyFont="0" applyAlignment="0" applyProtection="0"/>
    <xf numFmtId="0" fontId="25" fillId="13" borderId="312" applyNumberFormat="0" applyAlignment="0" applyProtection="0"/>
    <xf numFmtId="0" fontId="49" fillId="10" borderId="313" applyNumberFormat="0" applyFont="0" applyAlignment="0" applyProtection="0"/>
    <xf numFmtId="0" fontId="48" fillId="12" borderId="289" applyNumberFormat="0" applyAlignment="0" applyProtection="0"/>
    <xf numFmtId="0" fontId="8" fillId="10" borderId="290" applyNumberFormat="0" applyFont="0" applyAlignment="0" applyProtection="0"/>
    <xf numFmtId="0" fontId="8" fillId="10" borderId="290" applyNumberFormat="0" applyFont="0" applyAlignment="0" applyProtection="0"/>
    <xf numFmtId="0" fontId="25" fillId="13" borderId="282" applyNumberFormat="0" applyAlignment="0" applyProtection="0"/>
    <xf numFmtId="0" fontId="31" fillId="0" borderId="310" applyNumberFormat="0" applyFill="0" applyAlignment="0" applyProtection="0"/>
    <xf numFmtId="0" fontId="16" fillId="24" borderId="289" applyNumberFormat="0" applyAlignment="0" applyProtection="0"/>
    <xf numFmtId="0" fontId="25" fillId="8" borderId="289" applyNumberFormat="0" applyAlignment="0" applyProtection="0"/>
    <xf numFmtId="0" fontId="41" fillId="13" borderId="312" applyNumberFormat="0" applyAlignment="0" applyProtection="0"/>
    <xf numFmtId="0" fontId="32" fillId="24" borderId="312" applyNumberFormat="0" applyAlignment="0" applyProtection="0"/>
    <xf numFmtId="0" fontId="48" fillId="12" borderId="312" applyNumberFormat="0" applyAlignment="0" applyProtection="0"/>
    <xf numFmtId="0" fontId="16" fillId="24" borderId="312" applyNumberFormat="0" applyAlignment="0" applyProtection="0"/>
    <xf numFmtId="0" fontId="29" fillId="12" borderId="315" applyNumberFormat="0" applyAlignment="0" applyProtection="0"/>
    <xf numFmtId="0" fontId="28" fillId="10" borderId="313" applyNumberFormat="0" applyFont="0" applyAlignment="0" applyProtection="0"/>
    <xf numFmtId="0" fontId="49" fillId="10" borderId="267" applyNumberFormat="0" applyFont="0" applyAlignment="0" applyProtection="0"/>
    <xf numFmtId="0" fontId="31" fillId="0" borderId="265" applyNumberFormat="0" applyFill="0" applyAlignment="0" applyProtection="0"/>
    <xf numFmtId="0" fontId="8" fillId="44" borderId="320" applyNumberFormat="0" applyFont="0" applyAlignment="0" applyProtection="0"/>
    <xf numFmtId="0" fontId="24" fillId="24" borderId="314" applyNumberFormat="0" applyAlignment="0" applyProtection="0"/>
    <xf numFmtId="0" fontId="28" fillId="0" borderId="319"/>
    <xf numFmtId="0" fontId="73" fillId="0" borderId="295" applyBorder="0">
      <alignment horizontal="center" vertical="center" wrapText="1"/>
    </xf>
    <xf numFmtId="0" fontId="31" fillId="0" borderId="288" applyNumberFormat="0" applyFill="0" applyAlignment="0" applyProtection="0"/>
    <xf numFmtId="0" fontId="48" fillId="24" borderId="289" applyNumberFormat="0" applyAlignment="0" applyProtection="0"/>
    <xf numFmtId="0" fontId="85" fillId="0" borderId="319"/>
    <xf numFmtId="0" fontId="31" fillId="0" borderId="317" applyNumberFormat="0" applyFill="0" applyAlignment="0" applyProtection="0"/>
    <xf numFmtId="0" fontId="28" fillId="0" borderId="273"/>
    <xf numFmtId="0" fontId="49" fillId="10" borderId="290" applyNumberFormat="0" applyFont="0" applyAlignment="0" applyProtection="0"/>
    <xf numFmtId="0" fontId="28" fillId="0" borderId="245"/>
    <xf numFmtId="0" fontId="31" fillId="0" borderId="244" applyNumberFormat="0" applyFill="0" applyAlignment="0" applyProtection="0"/>
    <xf numFmtId="0" fontId="31" fillId="0" borderId="244" applyNumberFormat="0" applyFill="0" applyAlignment="0" applyProtection="0"/>
    <xf numFmtId="0" fontId="8" fillId="10" borderId="242" applyNumberFormat="0" applyFont="0" applyAlignment="0" applyProtection="0"/>
    <xf numFmtId="0" fontId="29" fillId="24" borderId="248" applyNumberFormat="0" applyAlignment="0" applyProtection="0"/>
    <xf numFmtId="0" fontId="28" fillId="10" borderId="242" applyNumberFormat="0" applyFont="0" applyAlignment="0" applyProtection="0"/>
    <xf numFmtId="0" fontId="24" fillId="24" borderId="243" applyNumberFormat="0" applyAlignment="0" applyProtection="0"/>
    <xf numFmtId="0" fontId="31" fillId="0" borderId="247" applyNumberFormat="0" applyFill="0" applyAlignment="0" applyProtection="0"/>
    <xf numFmtId="0" fontId="8" fillId="10" borderId="242" applyNumberFormat="0" applyFont="0" applyAlignment="0" applyProtection="0"/>
    <xf numFmtId="0" fontId="85" fillId="0" borderId="245"/>
    <xf numFmtId="0" fontId="28" fillId="10" borderId="242" applyNumberFormat="0" applyFont="0" applyAlignment="0" applyProtection="0"/>
    <xf numFmtId="0" fontId="31" fillId="0" borderId="247" applyNumberFormat="0" applyFill="0" applyAlignment="0" applyProtection="0"/>
    <xf numFmtId="0" fontId="8" fillId="10" borderId="242" applyNumberFormat="0" applyFont="0" applyAlignment="0" applyProtection="0"/>
    <xf numFmtId="0" fontId="31" fillId="0" borderId="247" applyNumberFormat="0" applyFill="0" applyAlignment="0" applyProtection="0"/>
    <xf numFmtId="0" fontId="29" fillId="12" borderId="315" applyNumberFormat="0" applyAlignment="0" applyProtection="0"/>
    <xf numFmtId="0" fontId="48" fillId="24" borderId="289" applyNumberFormat="0" applyAlignment="0" applyProtection="0"/>
    <xf numFmtId="0" fontId="24" fillId="24" borderId="230" applyNumberFormat="0" applyAlignment="0" applyProtection="0"/>
    <xf numFmtId="0" fontId="28" fillId="10" borderId="229" applyNumberFormat="0" applyFont="0" applyAlignment="0" applyProtection="0"/>
    <xf numFmtId="0" fontId="28" fillId="10" borderId="229" applyNumberFormat="0" applyFont="0" applyAlignment="0" applyProtection="0"/>
    <xf numFmtId="0" fontId="18" fillId="10" borderId="229" applyNumberFormat="0" applyFont="0" applyAlignment="0" applyProtection="0"/>
    <xf numFmtId="0" fontId="28" fillId="10" borderId="236" applyNumberFormat="0" applyFont="0" applyAlignment="0" applyProtection="0"/>
    <xf numFmtId="0" fontId="25" fillId="13" borderId="228" applyNumberFormat="0" applyAlignment="0" applyProtection="0"/>
    <xf numFmtId="0" fontId="48" fillId="24" borderId="228" applyNumberFormat="0" applyAlignment="0" applyProtection="0"/>
    <xf numFmtId="0" fontId="48" fillId="12" borderId="219" applyNumberFormat="0" applyAlignment="0" applyProtection="0"/>
    <xf numFmtId="0" fontId="85" fillId="0" borderId="216"/>
    <xf numFmtId="0" fontId="28" fillId="0" borderId="216"/>
    <xf numFmtId="0" fontId="49" fillId="10" borderId="220" applyNumberFormat="0" applyFont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85" fillId="0" borderId="216"/>
    <xf numFmtId="0" fontId="31" fillId="0" borderId="222" applyNumberFormat="0" applyFill="0" applyAlignment="0" applyProtection="0"/>
    <xf numFmtId="0" fontId="28" fillId="0" borderId="216"/>
    <xf numFmtId="0" fontId="49" fillId="10" borderId="220" applyNumberFormat="0" applyFont="0" applyAlignment="0" applyProtection="0"/>
    <xf numFmtId="0" fontId="31" fillId="0" borderId="222" applyNumberFormat="0" applyFill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1" fillId="0" borderId="217" applyNumberFormat="0" applyFill="0" applyAlignment="0" applyProtection="0"/>
    <xf numFmtId="0" fontId="48" fillId="12" borderId="219" applyNumberFormat="0" applyAlignment="0" applyProtection="0"/>
    <xf numFmtId="0" fontId="73" fillId="0" borderId="223" applyBorder="0">
      <alignment horizontal="center" vertical="center" wrapText="1"/>
    </xf>
    <xf numFmtId="0" fontId="48" fillId="12" borderId="219" applyNumberFormat="0" applyAlignment="0" applyProtection="0"/>
    <xf numFmtId="0" fontId="41" fillId="13" borderId="219" applyNumberFormat="0" applyAlignment="0" applyProtection="0"/>
    <xf numFmtId="0" fontId="31" fillId="0" borderId="217" applyNumberFormat="0" applyFill="0" applyAlignment="0" applyProtection="0"/>
    <xf numFmtId="0" fontId="41" fillId="13" borderId="219" applyNumberFormat="0" applyAlignment="0" applyProtection="0"/>
    <xf numFmtId="0" fontId="73" fillId="0" borderId="226" applyBorder="0">
      <alignment horizontal="center" vertical="center" wrapText="1"/>
    </xf>
    <xf numFmtId="0" fontId="29" fillId="24" borderId="218" applyNumberFormat="0" applyAlignment="0" applyProtection="0"/>
    <xf numFmtId="0" fontId="31" fillId="0" borderId="225" applyNumberFormat="0" applyFill="0" applyAlignment="0" applyProtection="0"/>
    <xf numFmtId="0" fontId="73" fillId="0" borderId="223" applyBorder="0">
      <alignment horizontal="center" vertical="center" wrapText="1"/>
    </xf>
    <xf numFmtId="0" fontId="24" fillId="24" borderId="221" applyNumberFormat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25" fillId="13" borderId="219" applyNumberFormat="0" applyAlignment="0" applyProtection="0"/>
    <xf numFmtId="0" fontId="25" fillId="13" borderId="219" applyNumberForma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24" fillId="24" borderId="221" applyNumberFormat="0" applyAlignment="0" applyProtection="0"/>
    <xf numFmtId="0" fontId="28" fillId="10" borderId="220" applyNumberFormat="0" applyFont="0" applyAlignment="0" applyProtection="0"/>
    <xf numFmtId="0" fontId="18" fillId="10" borderId="220" applyNumberFormat="0" applyFont="0" applyAlignment="0" applyProtection="0"/>
    <xf numFmtId="0" fontId="16" fillId="24" borderId="219" applyNumberFormat="0" applyAlignment="0" applyProtection="0"/>
    <xf numFmtId="0" fontId="32" fillId="24" borderId="219" applyNumberFormat="0" applyAlignment="0" applyProtection="0"/>
    <xf numFmtId="0" fontId="31" fillId="0" borderId="217" applyNumberFormat="0" applyFill="0" applyAlignment="0" applyProtection="0"/>
    <xf numFmtId="0" fontId="29" fillId="12" borderId="218" applyNumberFormat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48" fillId="12" borderId="219" applyNumberFormat="0" applyAlignment="0" applyProtection="0"/>
    <xf numFmtId="0" fontId="31" fillId="0" borderId="217" applyNumberFormat="0" applyFill="0" applyAlignment="0" applyProtection="0"/>
    <xf numFmtId="0" fontId="31" fillId="0" borderId="225" applyNumberFormat="0" applyFill="0" applyAlignment="0" applyProtection="0"/>
    <xf numFmtId="0" fontId="31" fillId="0" borderId="224" applyNumberFormat="0" applyFill="0" applyAlignment="0" applyProtection="0"/>
    <xf numFmtId="0" fontId="8" fillId="10" borderId="220" applyNumberFormat="0" applyFon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25" applyNumberFormat="0" applyFill="0" applyAlignment="0" applyProtection="0"/>
    <xf numFmtId="0" fontId="24" fillId="24" borderId="221" applyNumberFormat="0" applyAlignment="0" applyProtection="0"/>
    <xf numFmtId="0" fontId="32" fillId="24" borderId="219" applyNumberFormat="0" applyAlignment="0" applyProtection="0"/>
    <xf numFmtId="0" fontId="31" fillId="0" borderId="225" applyNumberFormat="0" applyFill="0" applyAlignment="0" applyProtection="0"/>
    <xf numFmtId="0" fontId="31" fillId="0" borderId="217" applyNumberFormat="0" applyFill="0" applyAlignment="0" applyProtection="0"/>
    <xf numFmtId="0" fontId="48" fillId="12" borderId="219" applyNumberFormat="0" applyAlignment="0" applyProtection="0"/>
    <xf numFmtId="0" fontId="31" fillId="0" borderId="222" applyNumberFormat="0" applyFill="0" applyAlignment="0" applyProtection="0"/>
    <xf numFmtId="0" fontId="28" fillId="0" borderId="216"/>
    <xf numFmtId="0" fontId="8" fillId="10" borderId="220" applyNumberFormat="0" applyFont="0" applyAlignment="0" applyProtection="0"/>
    <xf numFmtId="0" fontId="48" fillId="24" borderId="219" applyNumberFormat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28" fillId="10" borderId="220" applyNumberFormat="0" applyFont="0" applyAlignment="0" applyProtection="0"/>
    <xf numFmtId="0" fontId="25" fillId="13" borderId="219" applyNumberFormat="0" applyAlignment="0" applyProtection="0"/>
    <xf numFmtId="0" fontId="16" fillId="24" borderId="219" applyNumberFormat="0" applyAlignment="0" applyProtection="0"/>
    <xf numFmtId="0" fontId="16" fillId="24" borderId="219" applyNumberFormat="0" applyAlignment="0" applyProtection="0"/>
    <xf numFmtId="0" fontId="31" fillId="0" borderId="222" applyNumberFormat="0" applyFill="0" applyAlignment="0" applyProtection="0"/>
    <xf numFmtId="0" fontId="24" fillId="24" borderId="221" applyNumberFormat="0" applyAlignment="0" applyProtection="0"/>
    <xf numFmtId="0" fontId="49" fillId="10" borderId="220" applyNumberFormat="0" applyFont="0" applyAlignment="0" applyProtection="0"/>
    <xf numFmtId="0" fontId="25" fillId="8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29" fillId="24" borderId="218" applyNumberFormat="0" applyAlignment="0" applyProtection="0"/>
    <xf numFmtId="0" fontId="29" fillId="12" borderId="218" applyNumberFormat="0" applyAlignment="0" applyProtection="0"/>
    <xf numFmtId="0" fontId="31" fillId="0" borderId="217" applyNumberFormat="0" applyFill="0" applyAlignment="0" applyProtection="0"/>
    <xf numFmtId="0" fontId="48" fillId="12" borderId="219" applyNumberFormat="0" applyAlignment="0" applyProtection="0"/>
    <xf numFmtId="0" fontId="85" fillId="0" borderId="216"/>
    <xf numFmtId="0" fontId="31" fillId="0" borderId="222" applyNumberFormat="0" applyFill="0" applyAlignment="0" applyProtection="0"/>
    <xf numFmtId="0" fontId="28" fillId="0" borderId="216"/>
    <xf numFmtId="0" fontId="25" fillId="13" borderId="259" applyNumberFormat="0" applyAlignment="0" applyProtection="0"/>
    <xf numFmtId="0" fontId="8" fillId="44" borderId="227" applyNumberFormat="0" applyFont="0" applyAlignment="0" applyProtection="0"/>
    <xf numFmtId="0" fontId="8" fillId="10" borderId="220" applyNumberFormat="0" applyFont="0" applyAlignment="0" applyProtection="0"/>
    <xf numFmtId="0" fontId="28" fillId="0" borderId="319"/>
    <xf numFmtId="0" fontId="85" fillId="72" borderId="296"/>
    <xf numFmtId="0" fontId="32" fillId="24" borderId="312" applyNumberFormat="0" applyAlignment="0" applyProtection="0"/>
    <xf numFmtId="0" fontId="25" fillId="13" borderId="252" applyNumberFormat="0" applyAlignment="0" applyProtection="0"/>
    <xf numFmtId="0" fontId="29" fillId="12" borderId="248" applyNumberFormat="0" applyAlignment="0" applyProtection="0"/>
    <xf numFmtId="0" fontId="31" fillId="0" borderId="250" applyNumberFormat="0" applyFill="0" applyAlignment="0" applyProtection="0"/>
    <xf numFmtId="0" fontId="31" fillId="0" borderId="244" applyNumberFormat="0" applyFill="0" applyAlignment="0" applyProtection="0"/>
    <xf numFmtId="0" fontId="41" fillId="13" borderId="235" applyNumberFormat="0" applyAlignment="0" applyProtection="0"/>
    <xf numFmtId="0" fontId="28" fillId="10" borderId="236" applyNumberFormat="0" applyFont="0" applyAlignment="0" applyProtection="0"/>
    <xf numFmtId="0" fontId="31" fillId="0" borderId="311" applyNumberFormat="0" applyFill="0" applyAlignment="0" applyProtection="0"/>
    <xf numFmtId="0" fontId="28" fillId="10" borderId="290" applyNumberFormat="0" applyFont="0" applyAlignment="0" applyProtection="0"/>
    <xf numFmtId="0" fontId="28" fillId="10" borderId="253" applyNumberFormat="0" applyFont="0" applyAlignment="0" applyProtection="0"/>
    <xf numFmtId="0" fontId="29" fillId="24" borderId="269" applyNumberFormat="0" applyAlignment="0" applyProtection="0"/>
    <xf numFmtId="0" fontId="28" fillId="10" borderId="290" applyNumberFormat="0" applyFont="0" applyAlignment="0" applyProtection="0"/>
    <xf numFmtId="0" fontId="28" fillId="10" borderId="242" applyNumberFormat="0" applyFont="0" applyAlignment="0" applyProtection="0"/>
    <xf numFmtId="0" fontId="31" fillId="0" borderId="249" applyNumberFormat="0" applyFill="0" applyAlignment="0" applyProtection="0"/>
    <xf numFmtId="0" fontId="28" fillId="10" borderId="242" applyNumberFormat="0" applyFont="0" applyAlignment="0" applyProtection="0"/>
    <xf numFmtId="0" fontId="28" fillId="0" borderId="296"/>
    <xf numFmtId="0" fontId="29" fillId="24" borderId="248" applyNumberFormat="0" applyAlignment="0" applyProtection="0"/>
    <xf numFmtId="0" fontId="73" fillId="0" borderId="318" applyBorder="0">
      <alignment horizontal="center" vertical="center" wrapText="1"/>
    </xf>
    <xf numFmtId="0" fontId="31" fillId="0" borderId="311" applyNumberFormat="0" applyFill="0" applyAlignment="0" applyProtection="0"/>
    <xf numFmtId="0" fontId="73" fillId="0" borderId="295" applyBorder="0">
      <alignment horizontal="center" vertical="center" wrapText="1"/>
    </xf>
    <xf numFmtId="0" fontId="31" fillId="0" borderId="249" applyNumberFormat="0" applyFill="0" applyAlignment="0" applyProtection="0"/>
    <xf numFmtId="0" fontId="31" fillId="0" borderId="265" applyNumberFormat="0" applyFill="0" applyAlignment="0" applyProtection="0"/>
    <xf numFmtId="0" fontId="31" fillId="0" borderId="225" applyNumberFormat="0" applyFill="0" applyAlignment="0" applyProtection="0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18" fillId="10" borderId="220" applyNumberFormat="0" applyFont="0" applyAlignment="0" applyProtection="0"/>
    <xf numFmtId="0" fontId="25" fillId="13" borderId="219" applyNumberFormat="0" applyAlignment="0" applyProtection="0"/>
    <xf numFmtId="0" fontId="41" fillId="13" borderId="219" applyNumberFormat="0" applyAlignment="0" applyProtection="0"/>
    <xf numFmtId="0" fontId="16" fillId="24" borderId="219" applyNumberFormat="0" applyAlignment="0" applyProtection="0"/>
    <xf numFmtId="0" fontId="73" fillId="0" borderId="226" applyBorder="0">
      <alignment horizontal="center" vertical="center" wrapText="1"/>
    </xf>
    <xf numFmtId="0" fontId="31" fillId="0" borderId="250" applyNumberFormat="0" applyFill="0" applyAlignment="0" applyProtection="0"/>
    <xf numFmtId="0" fontId="31" fillId="0" borderId="222" applyNumberFormat="0" applyFill="0" applyAlignment="0" applyProtection="0"/>
    <xf numFmtId="0" fontId="49" fillId="10" borderId="220" applyNumberFormat="0" applyFont="0" applyAlignment="0" applyProtection="0"/>
    <xf numFmtId="0" fontId="8" fillId="10" borderId="220" applyNumberFormat="0" applyFont="0" applyAlignment="0" applyProtection="0"/>
    <xf numFmtId="0" fontId="31" fillId="0" borderId="225" applyNumberFormat="0" applyFill="0" applyAlignment="0" applyProtection="0"/>
    <xf numFmtId="0" fontId="31" fillId="0" borderId="316" applyNumberFormat="0" applyFill="0" applyAlignment="0" applyProtection="0"/>
    <xf numFmtId="0" fontId="29" fillId="12" borderId="269" applyNumberFormat="0" applyAlignment="0" applyProtection="0"/>
    <xf numFmtId="0" fontId="85" fillId="0" borderId="273"/>
    <xf numFmtId="0" fontId="29" fillId="24" borderId="218" applyNumberFormat="0" applyAlignment="0" applyProtection="0"/>
    <xf numFmtId="0" fontId="8" fillId="10" borderId="220" applyNumberFormat="0" applyFont="0" applyAlignment="0" applyProtection="0"/>
    <xf numFmtId="0" fontId="18" fillId="10" borderId="220" applyNumberFormat="0" applyFont="0" applyAlignment="0" applyProtection="0"/>
    <xf numFmtId="0" fontId="28" fillId="0" borderId="319"/>
    <xf numFmtId="0" fontId="41" fillId="13" borderId="289" applyNumberFormat="0" applyAlignment="0" applyProtection="0"/>
    <xf numFmtId="0" fontId="24" fillId="24" borderId="268" applyNumberFormat="0" applyAlignment="0" applyProtection="0"/>
    <xf numFmtId="0" fontId="31" fillId="0" borderId="311" applyNumberFormat="0" applyFill="0" applyAlignment="0" applyProtection="0"/>
    <xf numFmtId="0" fontId="28" fillId="10" borderId="313" applyNumberFormat="0" applyFont="0" applyAlignment="0" applyProtection="0"/>
    <xf numFmtId="0" fontId="31" fillId="0" borderId="316" applyNumberFormat="0" applyFill="0" applyAlignment="0" applyProtection="0"/>
    <xf numFmtId="0" fontId="24" fillId="24" borderId="277" applyNumberFormat="0" applyAlignment="0" applyProtection="0"/>
    <xf numFmtId="0" fontId="48" fillId="12" borderId="312" applyNumberFormat="0" applyAlignment="0" applyProtection="0"/>
    <xf numFmtId="0" fontId="29" fillId="12" borderId="315" applyNumberFormat="0" applyAlignment="0" applyProtection="0"/>
    <xf numFmtId="0" fontId="48" fillId="24" borderId="312" applyNumberFormat="0" applyAlignment="0" applyProtection="0"/>
    <xf numFmtId="0" fontId="41" fillId="13" borderId="312" applyNumberFormat="0" applyAlignment="0" applyProtection="0"/>
    <xf numFmtId="0" fontId="25" fillId="13" borderId="312" applyNumberFormat="0" applyAlignment="0" applyProtection="0"/>
    <xf numFmtId="0" fontId="25" fillId="13" borderId="312" applyNumberFormat="0" applyAlignment="0" applyProtection="0"/>
    <xf numFmtId="0" fontId="31" fillId="0" borderId="288" applyNumberFormat="0" applyFill="0" applyAlignment="0" applyProtection="0"/>
    <xf numFmtId="0" fontId="32" fillId="24" borderId="289" applyNumberFormat="0" applyAlignment="0" applyProtection="0"/>
    <xf numFmtId="0" fontId="31" fillId="0" borderId="288" applyNumberFormat="0" applyFill="0" applyAlignment="0" applyProtection="0"/>
    <xf numFmtId="0" fontId="41" fillId="13" borderId="219" applyNumberFormat="0" applyAlignment="0" applyProtection="0"/>
    <xf numFmtId="0" fontId="32" fillId="24" borderId="289" applyNumberFormat="0" applyAlignment="0" applyProtection="0"/>
    <xf numFmtId="0" fontId="41" fillId="13" borderId="312" applyNumberFormat="0" applyAlignment="0" applyProtection="0"/>
    <xf numFmtId="0" fontId="25" fillId="13" borderId="289" applyNumberFormat="0" applyAlignment="0" applyProtection="0"/>
    <xf numFmtId="0" fontId="28" fillId="10" borderId="290" applyNumberFormat="0" applyFont="0" applyAlignment="0" applyProtection="0"/>
    <xf numFmtId="0" fontId="31" fillId="0" borderId="247" applyNumberFormat="0" applyFill="0" applyAlignment="0" applyProtection="0"/>
    <xf numFmtId="0" fontId="16" fillId="24" borderId="219" applyNumberFormat="0" applyAlignment="0" applyProtection="0"/>
    <xf numFmtId="0" fontId="73" fillId="0" borderId="223" applyBorder="0">
      <alignment horizontal="center" vertical="center" wrapText="1"/>
    </xf>
    <xf numFmtId="0" fontId="41" fillId="13" borderId="298" applyNumberFormat="0" applyAlignment="0" applyProtection="0"/>
    <xf numFmtId="0" fontId="31" fillId="0" borderId="293" applyNumberFormat="0" applyFill="0" applyAlignment="0" applyProtection="0"/>
    <xf numFmtId="0" fontId="31" fillId="0" borderId="287" applyNumberFormat="0" applyFill="0" applyAlignment="0" applyProtection="0"/>
    <xf numFmtId="0" fontId="24" fillId="24" borderId="291" applyNumberFormat="0" applyAlignment="0" applyProtection="0"/>
    <xf numFmtId="0" fontId="49" fillId="10" borderId="299" applyNumberFormat="0" applyFont="0" applyAlignment="0" applyProtection="0"/>
    <xf numFmtId="0" fontId="31" fillId="0" borderId="250" applyNumberFormat="0" applyFill="0" applyAlignment="0" applyProtection="0"/>
    <xf numFmtId="0" fontId="31" fillId="0" borderId="317" applyNumberFormat="0" applyFill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48" fillId="12" borderId="266" applyNumberFormat="0" applyAlignment="0" applyProtection="0"/>
    <xf numFmtId="0" fontId="28" fillId="10" borderId="283" applyNumberFormat="0" applyFont="0" applyAlignment="0" applyProtection="0"/>
    <xf numFmtId="0" fontId="41" fillId="13" borderId="298" applyNumberFormat="0" applyAlignment="0" applyProtection="0"/>
    <xf numFmtId="0" fontId="85" fillId="0" borderId="296"/>
    <xf numFmtId="0" fontId="48" fillId="12" borderId="289" applyNumberFormat="0" applyAlignment="0" applyProtection="0"/>
    <xf numFmtId="0" fontId="29" fillId="12" borderId="292" applyNumberFormat="0" applyAlignment="0" applyProtection="0"/>
    <xf numFmtId="0" fontId="32" fillId="24" borderId="298" applyNumberFormat="0" applyAlignment="0" applyProtection="0"/>
    <xf numFmtId="0" fontId="41" fillId="13" borderId="266" applyNumberFormat="0" applyAlignment="0" applyProtection="0"/>
    <xf numFmtId="0" fontId="31" fillId="0" borderId="265" applyNumberFormat="0" applyFill="0" applyAlignment="0" applyProtection="0"/>
    <xf numFmtId="0" fontId="25" fillId="13" borderId="266" applyNumberFormat="0" applyAlignment="0" applyProtection="0"/>
    <xf numFmtId="0" fontId="31" fillId="0" borderId="238" applyNumberFormat="0" applyFill="0" applyAlignment="0" applyProtection="0"/>
    <xf numFmtId="0" fontId="16" fillId="24" borderId="235" applyNumberFormat="0" applyAlignment="0" applyProtection="0"/>
    <xf numFmtId="0" fontId="31" fillId="0" borderId="265" applyNumberFormat="0" applyFill="0" applyAlignment="0" applyProtection="0"/>
    <xf numFmtId="0" fontId="28" fillId="10" borderId="267" applyNumberFormat="0" applyFont="0" applyAlignment="0" applyProtection="0"/>
    <xf numFmtId="0" fontId="73" fillId="0" borderId="272" applyBorder="0">
      <alignment horizontal="center" vertical="center" wrapText="1"/>
    </xf>
    <xf numFmtId="0" fontId="48" fillId="12" borderId="235" applyNumberFormat="0" applyAlignment="0" applyProtection="0"/>
    <xf numFmtId="0" fontId="28" fillId="0" borderId="296"/>
    <xf numFmtId="0" fontId="49" fillId="10" borderId="313" applyNumberFormat="0" applyFont="0" applyAlignment="0" applyProtection="0"/>
    <xf numFmtId="0" fontId="25" fillId="8" borderId="235" applyNumberFormat="0" applyAlignment="0" applyProtection="0"/>
    <xf numFmtId="0" fontId="28" fillId="10" borderId="236" applyNumberFormat="0" applyFont="0" applyAlignment="0" applyProtection="0"/>
    <xf numFmtId="0" fontId="41" fillId="13" borderId="235" applyNumberFormat="0" applyAlignment="0" applyProtection="0"/>
    <xf numFmtId="0" fontId="48" fillId="24" borderId="235" applyNumberFormat="0" applyAlignment="0" applyProtection="0"/>
    <xf numFmtId="0" fontId="16" fillId="24" borderId="266" applyNumberFormat="0" applyAlignment="0" applyProtection="0"/>
    <xf numFmtId="0" fontId="48" fillId="12" borderId="219" applyNumberFormat="0" applyAlignment="0" applyProtection="0"/>
    <xf numFmtId="0" fontId="48" fillId="12" borderId="289" applyNumberFormat="0" applyAlignment="0" applyProtection="0"/>
    <xf numFmtId="0" fontId="24" fillId="24" borderId="314" applyNumberFormat="0" applyAlignment="0" applyProtection="0"/>
    <xf numFmtId="0" fontId="29" fillId="12" borderId="269" applyNumberFormat="0" applyAlignment="0" applyProtection="0"/>
    <xf numFmtId="0" fontId="31" fillId="0" borderId="265" applyNumberFormat="0" applyFill="0" applyAlignment="0" applyProtection="0"/>
    <xf numFmtId="0" fontId="48" fillId="24" borderId="266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32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24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48" fillId="12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16" fillId="24" borderId="212" applyNumberFormat="0" applyAlignment="0" applyProtection="0"/>
    <xf numFmtId="0" fontId="48" fillId="12" borderId="289" applyNumberFormat="0" applyAlignment="0" applyProtection="0"/>
    <xf numFmtId="0" fontId="31" fillId="0" borderId="239" applyNumberFormat="0" applyFill="0" applyAlignment="0" applyProtection="0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8" fillId="0" borderId="216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41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13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25" fillId="8" borderId="212" applyNumberFormat="0" applyAlignment="0" applyProtection="0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85" fillId="72" borderId="216"/>
    <xf numFmtId="0" fontId="31" fillId="0" borderId="288" applyNumberFormat="0" applyFill="0" applyAlignment="0" applyProtection="0"/>
    <xf numFmtId="0" fontId="31" fillId="0" borderId="265" applyNumberFormat="0" applyFill="0" applyAlignment="0" applyProtection="0"/>
    <xf numFmtId="0" fontId="28" fillId="10" borderId="236" applyNumberFormat="0" applyFont="0" applyAlignment="0" applyProtection="0"/>
    <xf numFmtId="0" fontId="28" fillId="10" borderId="236" applyNumberFormat="0" applyFont="0" applyAlignment="0" applyProtection="0"/>
    <xf numFmtId="0" fontId="48" fillId="24" borderId="235" applyNumberFormat="0" applyAlignment="0" applyProtection="0"/>
    <xf numFmtId="0" fontId="48" fillId="12" borderId="235" applyNumberFormat="0" applyAlignment="0" applyProtection="0"/>
    <xf numFmtId="0" fontId="41" fillId="13" borderId="235" applyNumberFormat="0" applyAlignment="0" applyProtection="0"/>
    <xf numFmtId="0" fontId="8" fillId="10" borderId="236" applyNumberFormat="0" applyFont="0" applyAlignment="0" applyProtection="0"/>
    <xf numFmtId="0" fontId="49" fillId="10" borderId="236" applyNumberFormat="0" applyFont="0" applyAlignment="0" applyProtection="0"/>
    <xf numFmtId="0" fontId="73" fillId="0" borderId="240" applyBorder="0">
      <alignment horizontal="center" vertical="center" wrapText="1"/>
    </xf>
    <xf numFmtId="0" fontId="32" fillId="24" borderId="235" applyNumberFormat="0" applyAlignment="0" applyProtection="0"/>
    <xf numFmtId="0" fontId="16" fillId="24" borderId="235" applyNumberFormat="0" applyAlignment="0" applyProtection="0"/>
    <xf numFmtId="0" fontId="25" fillId="13" borderId="235" applyNumberFormat="0" applyAlignment="0" applyProtection="0"/>
    <xf numFmtId="0" fontId="18" fillId="10" borderId="236" applyNumberFormat="0" applyFont="0" applyAlignment="0" applyProtection="0"/>
    <xf numFmtId="0" fontId="8" fillId="10" borderId="236" applyNumberFormat="0" applyFont="0" applyAlignment="0" applyProtection="0"/>
    <xf numFmtId="0" fontId="28" fillId="0" borderId="319"/>
    <xf numFmtId="0" fontId="41" fillId="13" borderId="266" applyNumberFormat="0" applyAlignment="0" applyProtection="0"/>
    <xf numFmtId="0" fontId="29" fillId="24" borderId="248" applyNumberFormat="0" applyAlignment="0" applyProtection="0"/>
    <xf numFmtId="0" fontId="29" fillId="12" borderId="269" applyNumberFormat="0" applyAlignment="0" applyProtection="0"/>
    <xf numFmtId="0" fontId="49" fillId="10" borderId="220" applyNumberFormat="0" applyFont="0" applyAlignment="0" applyProtection="0"/>
    <xf numFmtId="0" fontId="48" fillId="12" borderId="219" applyNumberFormat="0" applyAlignment="0" applyProtection="0"/>
    <xf numFmtId="0" fontId="25" fillId="8" borderId="219" applyNumberFormat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24" fillId="24" borderId="221" applyNumberFormat="0" applyAlignment="0" applyProtection="0"/>
    <xf numFmtId="0" fontId="8" fillId="10" borderId="220" applyNumberFormat="0" applyFont="0" applyAlignment="0" applyProtection="0"/>
    <xf numFmtId="0" fontId="41" fillId="13" borderId="219" applyNumberFormat="0" applyAlignment="0" applyProtection="0"/>
    <xf numFmtId="0" fontId="48" fillId="12" borderId="219" applyNumberFormat="0" applyAlignment="0" applyProtection="0"/>
    <xf numFmtId="0" fontId="48" fillId="24" borderId="219" applyNumberFormat="0" applyAlignment="0" applyProtection="0"/>
    <xf numFmtId="0" fontId="31" fillId="0" borderId="217" applyNumberFormat="0" applyFill="0" applyAlignment="0" applyProtection="0"/>
    <xf numFmtId="0" fontId="48" fillId="24" borderId="219" applyNumberFormat="0" applyAlignment="0" applyProtection="0"/>
    <xf numFmtId="0" fontId="49" fillId="10" borderId="220" applyNumberFormat="0" applyFont="0" applyAlignment="0" applyProtection="0"/>
    <xf numFmtId="0" fontId="29" fillId="12" borderId="218" applyNumberFormat="0" applyAlignment="0" applyProtection="0"/>
    <xf numFmtId="0" fontId="8" fillId="10" borderId="220" applyNumberFormat="0" applyFont="0" applyAlignment="0" applyProtection="0"/>
    <xf numFmtId="0" fontId="8" fillId="10" borderId="213" applyNumberFormat="0" applyFont="0" applyAlignment="0" applyProtection="0"/>
    <xf numFmtId="0" fontId="49" fillId="10" borderId="213" applyNumberFormat="0" applyFont="0" applyAlignment="0" applyProtection="0"/>
    <xf numFmtId="0" fontId="31" fillId="0" borderId="215" applyNumberFormat="0" applyFill="0" applyAlignment="0" applyProtection="0"/>
    <xf numFmtId="0" fontId="31" fillId="0" borderId="217" applyNumberFormat="0" applyFill="0" applyAlignment="0" applyProtection="0"/>
    <xf numFmtId="0" fontId="31" fillId="0" borderId="222" applyNumberFormat="0" applyFill="0" applyAlignment="0" applyProtection="0"/>
    <xf numFmtId="0" fontId="31" fillId="0" borderId="217" applyNumberFormat="0" applyFill="0" applyAlignment="0" applyProtection="0"/>
    <xf numFmtId="0" fontId="48" fillId="24" borderId="266" applyNumberFormat="0" applyAlignment="0" applyProtection="0"/>
    <xf numFmtId="0" fontId="29" fillId="24" borderId="258" applyNumberFormat="0" applyAlignment="0" applyProtection="0"/>
    <xf numFmtId="0" fontId="8" fillId="10" borderId="260" applyNumberFormat="0" applyFont="0" applyAlignment="0" applyProtection="0"/>
    <xf numFmtId="0" fontId="73" fillId="0" borderId="196" applyBorder="0">
      <alignment horizontal="center" vertical="center" wrapText="1"/>
    </xf>
    <xf numFmtId="0" fontId="28" fillId="0" borderId="273"/>
    <xf numFmtId="0" fontId="8" fillId="10" borderId="290" applyNumberFormat="0" applyFont="0" applyAlignment="0" applyProtection="0"/>
    <xf numFmtId="0" fontId="85" fillId="0" borderId="296"/>
    <xf numFmtId="0" fontId="25" fillId="13" borderId="266" applyNumberFormat="0" applyAlignment="0" applyProtection="0"/>
    <xf numFmtId="0" fontId="25" fillId="13" borderId="235" applyNumberFormat="0" applyAlignment="0" applyProtection="0"/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32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24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48" fillId="12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16" fillId="24" borderId="228" applyNumberFormat="0" applyAlignment="0" applyProtection="0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8" fillId="0" borderId="232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41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13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25" fillId="8" borderId="228" applyNumberFormat="0" applyAlignment="0" applyProtection="0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85" fillId="72" borderId="232"/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73" fillId="0" borderId="226" applyBorder="0">
      <alignment horizontal="center" vertical="center" wrapText="1"/>
    </xf>
    <xf numFmtId="0" fontId="29" fillId="24" borderId="304" applyNumberFormat="0" applyAlignment="0" applyProtection="0"/>
    <xf numFmtId="0" fontId="73" fillId="0" borderId="272" applyBorder="0">
      <alignment horizontal="center" vertical="center" wrapText="1"/>
    </xf>
    <xf numFmtId="0" fontId="16" fillId="24" borderId="266" applyNumberFormat="0" applyAlignment="0" applyProtection="0"/>
    <xf numFmtId="0" fontId="8" fillId="10" borderId="313" applyNumberFormat="0" applyFont="0" applyAlignment="0" applyProtection="0"/>
    <xf numFmtId="0" fontId="29" fillId="12" borderId="269" applyNumberFormat="0" applyAlignment="0" applyProtection="0"/>
    <xf numFmtId="0" fontId="8" fillId="10" borderId="313" applyNumberFormat="0" applyFont="0" applyAlignment="0" applyProtection="0"/>
    <xf numFmtId="0" fontId="41" fillId="13" borderId="266" applyNumberFormat="0" applyAlignment="0" applyProtection="0"/>
    <xf numFmtId="0" fontId="18" fillId="10" borderId="283" applyNumberFormat="0" applyFont="0" applyAlignment="0" applyProtection="0"/>
    <xf numFmtId="0" fontId="28" fillId="0" borderId="296"/>
    <xf numFmtId="0" fontId="49" fillId="10" borderId="236" applyNumberFormat="0" applyFont="0" applyAlignment="0" applyProtection="0"/>
    <xf numFmtId="0" fontId="48" fillId="12" borderId="235" applyNumberFormat="0" applyAlignment="0" applyProtection="0"/>
    <xf numFmtId="0" fontId="25" fillId="8" borderId="235" applyNumberFormat="0" applyAlignment="0" applyProtection="0"/>
    <xf numFmtId="0" fontId="31" fillId="0" borderId="233" applyNumberFormat="0" applyFill="0" applyAlignment="0" applyProtection="0"/>
    <xf numFmtId="0" fontId="31" fillId="0" borderId="238" applyNumberFormat="0" applyFill="0" applyAlignment="0" applyProtection="0"/>
    <xf numFmtId="0" fontId="24" fillId="24" borderId="237" applyNumberFormat="0" applyAlignment="0" applyProtection="0"/>
    <xf numFmtId="0" fontId="8" fillId="10" borderId="236" applyNumberFormat="0" applyFont="0" applyAlignment="0" applyProtection="0"/>
    <xf numFmtId="0" fontId="41" fillId="13" borderId="235" applyNumberFormat="0" applyAlignment="0" applyProtection="0"/>
    <xf numFmtId="0" fontId="48" fillId="12" borderId="235" applyNumberFormat="0" applyAlignment="0" applyProtection="0"/>
    <xf numFmtId="0" fontId="48" fillId="24" borderId="235" applyNumberFormat="0" applyAlignment="0" applyProtection="0"/>
    <xf numFmtId="0" fontId="31" fillId="0" borderId="233" applyNumberFormat="0" applyFill="0" applyAlignment="0" applyProtection="0"/>
    <xf numFmtId="0" fontId="48" fillId="24" borderId="235" applyNumberFormat="0" applyAlignment="0" applyProtection="0"/>
    <xf numFmtId="0" fontId="49" fillId="10" borderId="236" applyNumberFormat="0" applyFont="0" applyAlignment="0" applyProtection="0"/>
    <xf numFmtId="0" fontId="29" fillId="12" borderId="234" applyNumberFormat="0" applyAlignment="0" applyProtection="0"/>
    <xf numFmtId="0" fontId="8" fillId="10" borderId="236" applyNumberFormat="0" applyFont="0" applyAlignment="0" applyProtection="0"/>
    <xf numFmtId="0" fontId="8" fillId="10" borderId="229" applyNumberFormat="0" applyFont="0" applyAlignment="0" applyProtection="0"/>
    <xf numFmtId="0" fontId="49" fillId="10" borderId="229" applyNumberFormat="0" applyFont="0" applyAlignment="0" applyProtection="0"/>
    <xf numFmtId="0" fontId="31" fillId="0" borderId="231" applyNumberFormat="0" applyFill="0" applyAlignment="0" applyProtection="0"/>
    <xf numFmtId="0" fontId="31" fillId="0" borderId="233" applyNumberFormat="0" applyFill="0" applyAlignment="0" applyProtection="0"/>
    <xf numFmtId="0" fontId="31" fillId="0" borderId="238" applyNumberFormat="0" applyFill="0" applyAlignment="0" applyProtection="0"/>
    <xf numFmtId="0" fontId="31" fillId="0" borderId="233" applyNumberFormat="0" applyFill="0" applyAlignment="0" applyProtection="0"/>
    <xf numFmtId="0" fontId="31" fillId="0" borderId="288" applyNumberFormat="0" applyFill="0" applyAlignment="0" applyProtection="0"/>
    <xf numFmtId="0" fontId="73" fillId="0" borderId="246" applyBorder="0">
      <alignment horizontal="center" vertical="center" wrapText="1"/>
    </xf>
    <xf numFmtId="0" fontId="31" fillId="0" borderId="294" applyNumberFormat="0" applyFill="0" applyAlignment="0" applyProtection="0"/>
    <xf numFmtId="0" fontId="28" fillId="0" borderId="319"/>
    <xf numFmtId="0" fontId="29" fillId="24" borderId="315" applyNumberFormat="0" applyAlignment="0" applyProtection="0"/>
    <xf numFmtId="0" fontId="31" fillId="0" borderId="311" applyNumberFormat="0" applyFill="0" applyAlignment="0" applyProtection="0"/>
    <xf numFmtId="0" fontId="31" fillId="0" borderId="294" applyNumberFormat="0" applyFill="0" applyAlignment="0" applyProtection="0"/>
    <xf numFmtId="0" fontId="31" fillId="0" borderId="294" applyNumberFormat="0" applyFill="0" applyAlignment="0" applyProtection="0"/>
    <xf numFmtId="0" fontId="28" fillId="10" borderId="290" applyNumberFormat="0" applyFont="0" applyAlignment="0" applyProtection="0"/>
    <xf numFmtId="0" fontId="48" fillId="24" borderId="289" applyNumberFormat="0" applyAlignment="0" applyProtection="0"/>
    <xf numFmtId="0" fontId="73" fillId="0" borderId="295" applyBorder="0">
      <alignment horizontal="center" vertical="center" wrapText="1"/>
    </xf>
    <xf numFmtId="0" fontId="8" fillId="10" borderId="283" applyNumberFormat="0" applyFont="0" applyAlignment="0" applyProtection="0"/>
    <xf numFmtId="0" fontId="31" fillId="0" borderId="311" applyNumberFormat="0" applyFill="0" applyAlignment="0" applyProtection="0"/>
    <xf numFmtId="0" fontId="29" fillId="24" borderId="292" applyNumberFormat="0" applyAlignment="0" applyProtection="0"/>
    <xf numFmtId="0" fontId="29" fillId="24" borderId="315" applyNumberFormat="0" applyAlignment="0" applyProtection="0"/>
    <xf numFmtId="0" fontId="31" fillId="0" borderId="294" applyNumberFormat="0" applyFill="0" applyAlignment="0" applyProtection="0"/>
    <xf numFmtId="0" fontId="16" fillId="24" borderId="312" applyNumberFormat="0" applyAlignment="0" applyProtection="0"/>
    <xf numFmtId="0" fontId="85" fillId="72" borderId="319"/>
    <xf numFmtId="0" fontId="48" fillId="12" borderId="266" applyNumberFormat="0" applyAlignment="0" applyProtection="0"/>
    <xf numFmtId="0" fontId="25" fillId="13" borderId="289" applyNumberFormat="0" applyAlignment="0" applyProtection="0"/>
    <xf numFmtId="0" fontId="24" fillId="24" borderId="291" applyNumberFormat="0" applyAlignment="0" applyProtection="0"/>
    <xf numFmtId="0" fontId="31" fillId="0" borderId="324" applyNumberFormat="0" applyFill="0" applyAlignment="0" applyProtection="0"/>
    <xf numFmtId="0" fontId="48" fillId="12" borderId="289" applyNumberFormat="0" applyAlignment="0" applyProtection="0"/>
    <xf numFmtId="0" fontId="73" fillId="0" borderId="272" applyBorder="0">
      <alignment horizontal="center" vertical="center" wrapText="1"/>
    </xf>
    <xf numFmtId="0" fontId="49" fillId="10" borderId="267" applyNumberFormat="0" applyFont="0" applyAlignment="0" applyProtection="0"/>
    <xf numFmtId="0" fontId="85" fillId="72" borderId="273"/>
    <xf numFmtId="0" fontId="31" fillId="0" borderId="270" applyNumberFormat="0" applyFill="0" applyAlignment="0" applyProtection="0"/>
    <xf numFmtId="0" fontId="29" fillId="24" borderId="269" applyNumberFormat="0" applyAlignment="0" applyProtection="0"/>
    <xf numFmtId="0" fontId="31" fillId="0" borderId="265" applyNumberFormat="0" applyFill="0" applyAlignment="0" applyProtection="0"/>
    <xf numFmtId="0" fontId="28" fillId="10" borderId="267" applyNumberFormat="0" applyFont="0" applyAlignment="0" applyProtection="0"/>
    <xf numFmtId="0" fontId="48" fillId="12" borderId="266" applyNumberFormat="0" applyAlignment="0" applyProtection="0"/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32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24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48" fillId="12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16" fillId="24" borderId="241" applyNumberFormat="0" applyAlignment="0" applyProtection="0"/>
    <xf numFmtId="0" fontId="28" fillId="10" borderId="267" applyNumberFormat="0" applyFont="0" applyAlignment="0" applyProtection="0"/>
    <xf numFmtId="0" fontId="41" fillId="13" borderId="266" applyNumberFormat="0" applyAlignment="0" applyProtection="0"/>
    <xf numFmtId="0" fontId="73" fillId="0" borderId="263" applyBorder="0">
      <alignment horizontal="center" vertical="center" wrapText="1"/>
    </xf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8" fillId="0" borderId="245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41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13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25" fillId="8" borderId="241" applyNumberFormat="0" applyAlignment="0" applyProtection="0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85" fillId="72" borderId="245"/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73" fillId="0" borderId="246" applyBorder="0">
      <alignment horizontal="center" vertical="center" wrapText="1"/>
    </xf>
    <xf numFmtId="0" fontId="49" fillId="10" borderId="242" applyNumberFormat="0" applyFont="0" applyAlignment="0" applyProtection="0"/>
    <xf numFmtId="0" fontId="48" fillId="12" borderId="241" applyNumberFormat="0" applyAlignment="0" applyProtection="0"/>
    <xf numFmtId="0" fontId="25" fillId="8" borderId="241" applyNumberFormat="0" applyAlignment="0" applyProtection="0"/>
    <xf numFmtId="0" fontId="31" fillId="0" borderId="247" applyNumberFormat="0" applyFill="0" applyAlignment="0" applyProtection="0"/>
    <xf numFmtId="0" fontId="31" fillId="0" borderId="244" applyNumberFormat="0" applyFill="0" applyAlignment="0" applyProtection="0"/>
    <xf numFmtId="0" fontId="24" fillId="24" borderId="243" applyNumberFormat="0" applyAlignment="0" applyProtection="0"/>
    <xf numFmtId="0" fontId="8" fillId="10" borderId="242" applyNumberFormat="0" applyFont="0" applyAlignment="0" applyProtection="0"/>
    <xf numFmtId="0" fontId="41" fillId="13" borderId="241" applyNumberFormat="0" applyAlignment="0" applyProtection="0"/>
    <xf numFmtId="0" fontId="48" fillId="12" borderId="241" applyNumberFormat="0" applyAlignment="0" applyProtection="0"/>
    <xf numFmtId="0" fontId="48" fillId="24" borderId="241" applyNumberFormat="0" applyAlignment="0" applyProtection="0"/>
    <xf numFmtId="0" fontId="31" fillId="0" borderId="247" applyNumberFormat="0" applyFill="0" applyAlignment="0" applyProtection="0"/>
    <xf numFmtId="0" fontId="48" fillId="24" borderId="241" applyNumberFormat="0" applyAlignment="0" applyProtection="0"/>
    <xf numFmtId="0" fontId="49" fillId="10" borderId="242" applyNumberFormat="0" applyFont="0" applyAlignment="0" applyProtection="0"/>
    <xf numFmtId="0" fontId="29" fillId="12" borderId="248" applyNumberFormat="0" applyAlignment="0" applyProtection="0"/>
    <xf numFmtId="0" fontId="8" fillId="10" borderId="242" applyNumberFormat="0" applyFont="0" applyAlignment="0" applyProtection="0"/>
    <xf numFmtId="0" fontId="8" fillId="10" borderId="242" applyNumberFormat="0" applyFont="0" applyAlignment="0" applyProtection="0"/>
    <xf numFmtId="0" fontId="49" fillId="10" borderId="242" applyNumberFormat="0" applyFont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31" fillId="0" borderId="244" applyNumberFormat="0" applyFill="0" applyAlignment="0" applyProtection="0"/>
    <xf numFmtId="0" fontId="31" fillId="0" borderId="247" applyNumberFormat="0" applyFill="0" applyAlignment="0" applyProtection="0"/>
    <xf numFmtId="0" fontId="28" fillId="0" borderId="296"/>
    <xf numFmtId="0" fontId="73" fillId="0" borderId="318" applyBorder="0">
      <alignment horizontal="center" vertical="center" wrapText="1"/>
    </xf>
    <xf numFmtId="0" fontId="8" fillId="10" borderId="313" applyNumberFormat="0" applyFont="0" applyAlignment="0" applyProtection="0"/>
    <xf numFmtId="0" fontId="29" fillId="24" borderId="315" applyNumberFormat="0" applyAlignment="0" applyProtection="0"/>
    <xf numFmtId="0" fontId="31" fillId="0" borderId="288" applyNumberFormat="0" applyFill="0" applyAlignment="0" applyProtection="0"/>
    <xf numFmtId="0" fontId="31" fillId="0" borderId="311" applyNumberFormat="0" applyFill="0" applyAlignment="0" applyProtection="0"/>
    <xf numFmtId="0" fontId="48" fillId="12" borderId="312" applyNumberFormat="0" applyAlignment="0" applyProtection="0"/>
    <xf numFmtId="0" fontId="31" fillId="0" borderId="293" applyNumberFormat="0" applyFill="0" applyAlignment="0" applyProtection="0"/>
    <xf numFmtId="0" fontId="29" fillId="24" borderId="292" applyNumberFormat="0" applyAlignment="0" applyProtection="0"/>
    <xf numFmtId="0" fontId="73" fillId="0" borderId="263" applyBorder="0">
      <alignment horizontal="center" vertical="center" wrapText="1"/>
    </xf>
    <xf numFmtId="0" fontId="29" fillId="24" borderId="315" applyNumberFormat="0" applyAlignment="0" applyProtection="0"/>
    <xf numFmtId="0" fontId="25" fillId="8" borderId="289" applyNumberFormat="0" applyAlignment="0" applyProtection="0"/>
    <xf numFmtId="0" fontId="31" fillId="0" borderId="293" applyNumberFormat="0" applyFill="0" applyAlignment="0" applyProtection="0"/>
    <xf numFmtId="0" fontId="48" fillId="12" borderId="289" applyNumberFormat="0" applyAlignment="0" applyProtection="0"/>
    <xf numFmtId="0" fontId="25" fillId="13" borderId="259" applyNumberFormat="0" applyAlignment="0" applyProtection="0"/>
    <xf numFmtId="0" fontId="25" fillId="13" borderId="289" applyNumberFormat="0" applyAlignment="0" applyProtection="0"/>
    <xf numFmtId="0" fontId="73" fillId="0" borderId="295" applyBorder="0">
      <alignment horizontal="center" vertical="center" wrapText="1"/>
    </xf>
    <xf numFmtId="0" fontId="28" fillId="10" borderId="290" applyNumberFormat="0" applyFont="0" applyAlignment="0" applyProtection="0"/>
    <xf numFmtId="0" fontId="28" fillId="10" borderId="290" applyNumberFormat="0" applyFont="0" applyAlignment="0" applyProtection="0"/>
    <xf numFmtId="0" fontId="29" fillId="24" borderId="292" applyNumberFormat="0" applyAlignment="0" applyProtection="0"/>
    <xf numFmtId="0" fontId="31" fillId="0" borderId="288" applyNumberFormat="0" applyFill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32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24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48" fillId="12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16" fillId="24" borderId="252" applyNumberFormat="0" applyAlignment="0" applyProtection="0"/>
    <xf numFmtId="0" fontId="85" fillId="0" borderId="29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8" fillId="0" borderId="256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41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13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25" fillId="8" borderId="252" applyNumberFormat="0" applyAlignment="0" applyProtection="0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85" fillId="72" borderId="256"/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73" fillId="0" borderId="240" applyBorder="0">
      <alignment horizontal="center" vertical="center" wrapText="1"/>
    </xf>
    <xf numFmtId="0" fontId="31" fillId="0" borderId="317" applyNumberFormat="0" applyFill="0" applyAlignment="0" applyProtection="0"/>
    <xf numFmtId="0" fontId="31" fillId="0" borderId="317" applyNumberFormat="0" applyFill="0" applyAlignment="0" applyProtection="0"/>
    <xf numFmtId="0" fontId="85" fillId="72" borderId="319"/>
    <xf numFmtId="0" fontId="28" fillId="10" borderId="306" applyNumberFormat="0" applyFont="0" applyAlignment="0" applyProtection="0"/>
    <xf numFmtId="0" fontId="49" fillId="10" borderId="260" applyNumberFormat="0" applyFont="0" applyAlignment="0" applyProtection="0"/>
    <xf numFmtId="0" fontId="48" fillId="12" borderId="259" applyNumberFormat="0" applyAlignment="0" applyProtection="0"/>
    <xf numFmtId="0" fontId="25" fillId="8" borderId="259" applyNumberFormat="0" applyAlignment="0" applyProtection="0"/>
    <xf numFmtId="0" fontId="31" fillId="0" borderId="257" applyNumberFormat="0" applyFill="0" applyAlignment="0" applyProtection="0"/>
    <xf numFmtId="0" fontId="31" fillId="0" borderId="262" applyNumberFormat="0" applyFill="0" applyAlignment="0" applyProtection="0"/>
    <xf numFmtId="0" fontId="24" fillId="24" borderId="261" applyNumberFormat="0" applyAlignment="0" applyProtection="0"/>
    <xf numFmtId="0" fontId="8" fillId="10" borderId="260" applyNumberFormat="0" applyFont="0" applyAlignment="0" applyProtection="0"/>
    <xf numFmtId="0" fontId="41" fillId="13" borderId="259" applyNumberFormat="0" applyAlignment="0" applyProtection="0"/>
    <xf numFmtId="0" fontId="48" fillId="12" borderId="259" applyNumberFormat="0" applyAlignment="0" applyProtection="0"/>
    <xf numFmtId="0" fontId="48" fillId="24" borderId="259" applyNumberFormat="0" applyAlignment="0" applyProtection="0"/>
    <xf numFmtId="0" fontId="31" fillId="0" borderId="257" applyNumberFormat="0" applyFill="0" applyAlignment="0" applyProtection="0"/>
    <xf numFmtId="0" fontId="48" fillId="24" borderId="259" applyNumberFormat="0" applyAlignment="0" applyProtection="0"/>
    <xf numFmtId="0" fontId="49" fillId="10" borderId="260" applyNumberFormat="0" applyFont="0" applyAlignment="0" applyProtection="0"/>
    <xf numFmtId="0" fontId="29" fillId="12" borderId="258" applyNumberFormat="0" applyAlignment="0" applyProtection="0"/>
    <xf numFmtId="0" fontId="8" fillId="10" borderId="260" applyNumberFormat="0" applyFont="0" applyAlignment="0" applyProtection="0"/>
    <xf numFmtId="0" fontId="8" fillId="10" borderId="253" applyNumberFormat="0" applyFont="0" applyAlignment="0" applyProtection="0"/>
    <xf numFmtId="0" fontId="49" fillId="10" borderId="253" applyNumberFormat="0" applyFont="0" applyAlignment="0" applyProtection="0"/>
    <xf numFmtId="0" fontId="31" fillId="0" borderId="255" applyNumberFormat="0" applyFill="0" applyAlignment="0" applyProtection="0"/>
    <xf numFmtId="0" fontId="31" fillId="0" borderId="257" applyNumberFormat="0" applyFill="0" applyAlignment="0" applyProtection="0"/>
    <xf numFmtId="0" fontId="31" fillId="0" borderId="262" applyNumberFormat="0" applyFill="0" applyAlignment="0" applyProtection="0"/>
    <xf numFmtId="0" fontId="31" fillId="0" borderId="257" applyNumberFormat="0" applyFill="0" applyAlignment="0" applyProtection="0"/>
    <xf numFmtId="0" fontId="31" fillId="0" borderId="311" applyNumberFormat="0" applyFill="0" applyAlignment="0" applyProtection="0"/>
    <xf numFmtId="0" fontId="29" fillId="24" borderId="315" applyNumberFormat="0" applyAlignment="0" applyProtection="0"/>
    <xf numFmtId="0" fontId="73" fillId="0" borderId="286" applyBorder="0">
      <alignment horizontal="center" vertical="center" wrapText="1"/>
    </xf>
    <xf numFmtId="0" fontId="8" fillId="10" borderId="322" applyNumberFormat="0" applyFont="0" applyAlignment="0" applyProtection="0"/>
    <xf numFmtId="0" fontId="25" fillId="13" borderId="282" applyNumberFormat="0" applyAlignment="0" applyProtection="0"/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32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24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48" fillId="12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16" fillId="24" borderId="275" applyNumberFormat="0" applyAlignment="0" applyProtection="0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8" fillId="0" borderId="279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41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13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25" fillId="8" borderId="275" applyNumberFormat="0" applyAlignment="0" applyProtection="0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85" fillId="72" borderId="279"/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73" fillId="0" borderId="272" applyBorder="0">
      <alignment horizontal="center" vertical="center" wrapText="1"/>
    </xf>
    <xf numFmtId="0" fontId="49" fillId="10" borderId="283" applyNumberFormat="0" applyFont="0" applyAlignment="0" applyProtection="0"/>
    <xf numFmtId="0" fontId="48" fillId="12" borderId="282" applyNumberFormat="0" applyAlignment="0" applyProtection="0"/>
    <xf numFmtId="0" fontId="25" fillId="8" borderId="282" applyNumberFormat="0" applyAlignment="0" applyProtection="0"/>
    <xf numFmtId="0" fontId="31" fillId="0" borderId="280" applyNumberFormat="0" applyFill="0" applyAlignment="0" applyProtection="0"/>
    <xf numFmtId="0" fontId="31" fillId="0" borderId="285" applyNumberFormat="0" applyFill="0" applyAlignment="0" applyProtection="0"/>
    <xf numFmtId="0" fontId="24" fillId="24" borderId="284" applyNumberFormat="0" applyAlignment="0" applyProtection="0"/>
    <xf numFmtId="0" fontId="8" fillId="10" borderId="283" applyNumberFormat="0" applyFont="0" applyAlignment="0" applyProtection="0"/>
    <xf numFmtId="0" fontId="41" fillId="13" borderId="282" applyNumberFormat="0" applyAlignment="0" applyProtection="0"/>
    <xf numFmtId="0" fontId="48" fillId="12" borderId="282" applyNumberFormat="0" applyAlignment="0" applyProtection="0"/>
    <xf numFmtId="0" fontId="48" fillId="24" borderId="282" applyNumberFormat="0" applyAlignment="0" applyProtection="0"/>
    <xf numFmtId="0" fontId="31" fillId="0" borderId="280" applyNumberFormat="0" applyFill="0" applyAlignment="0" applyProtection="0"/>
    <xf numFmtId="0" fontId="48" fillId="24" borderId="282" applyNumberFormat="0" applyAlignment="0" applyProtection="0"/>
    <xf numFmtId="0" fontId="49" fillId="10" borderId="283" applyNumberFormat="0" applyFont="0" applyAlignment="0" applyProtection="0"/>
    <xf numFmtId="0" fontId="29" fillId="12" borderId="281" applyNumberFormat="0" applyAlignment="0" applyProtection="0"/>
    <xf numFmtId="0" fontId="8" fillId="10" borderId="283" applyNumberFormat="0" applyFont="0" applyAlignment="0" applyProtection="0"/>
    <xf numFmtId="0" fontId="8" fillId="10" borderId="276" applyNumberFormat="0" applyFont="0" applyAlignment="0" applyProtection="0"/>
    <xf numFmtId="0" fontId="49" fillId="10" borderId="276" applyNumberFormat="0" applyFont="0" applyAlignment="0" applyProtection="0"/>
    <xf numFmtId="0" fontId="31" fillId="0" borderId="278" applyNumberFormat="0" applyFill="0" applyAlignment="0" applyProtection="0"/>
    <xf numFmtId="0" fontId="31" fillId="0" borderId="280" applyNumberFormat="0" applyFill="0" applyAlignment="0" applyProtection="0"/>
    <xf numFmtId="0" fontId="31" fillId="0" borderId="285" applyNumberFormat="0" applyFill="0" applyAlignment="0" applyProtection="0"/>
    <xf numFmtId="0" fontId="31" fillId="0" borderId="280" applyNumberFormat="0" applyFill="0" applyAlignment="0" applyProtection="0"/>
    <xf numFmtId="0" fontId="16" fillId="24" borderId="305" applyNumberFormat="0" applyAlignment="0" applyProtection="0"/>
    <xf numFmtId="0" fontId="32" fillId="24" borderId="305" applyNumberFormat="0" applyAlignment="0" applyProtection="0"/>
    <xf numFmtId="0" fontId="73" fillId="0" borderId="309" applyBorder="0">
      <alignment horizontal="center" vertical="center" wrapText="1"/>
    </xf>
    <xf numFmtId="0" fontId="25" fillId="13" borderId="305" applyNumberFormat="0" applyAlignment="0" applyProtection="0"/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32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24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48" fillId="12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16" fillId="24" borderId="298" applyNumberFormat="0" applyAlignment="0" applyProtection="0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8" fillId="0" borderId="302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41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13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25" fillId="8" borderId="298" applyNumberFormat="0" applyAlignment="0" applyProtection="0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85" fillId="72" borderId="302"/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73" fillId="0" borderId="295" applyBorder="0">
      <alignment horizontal="center" vertical="center" wrapText="1"/>
    </xf>
    <xf numFmtId="0" fontId="49" fillId="10" borderId="306" applyNumberFormat="0" applyFont="0" applyAlignment="0" applyProtection="0"/>
    <xf numFmtId="0" fontId="48" fillId="12" borderId="305" applyNumberFormat="0" applyAlignment="0" applyProtection="0"/>
    <xf numFmtId="0" fontId="25" fillId="8" borderId="305" applyNumberFormat="0" applyAlignment="0" applyProtection="0"/>
    <xf numFmtId="0" fontId="31" fillId="0" borderId="303" applyNumberFormat="0" applyFill="0" applyAlignment="0" applyProtection="0"/>
    <xf numFmtId="0" fontId="31" fillId="0" borderId="308" applyNumberFormat="0" applyFill="0" applyAlignment="0" applyProtection="0"/>
    <xf numFmtId="0" fontId="24" fillId="24" borderId="307" applyNumberFormat="0" applyAlignment="0" applyProtection="0"/>
    <xf numFmtId="0" fontId="8" fillId="10" borderId="306" applyNumberFormat="0" applyFont="0" applyAlignment="0" applyProtection="0"/>
    <xf numFmtId="0" fontId="41" fillId="13" borderId="305" applyNumberFormat="0" applyAlignment="0" applyProtection="0"/>
    <xf numFmtId="0" fontId="48" fillId="12" borderId="305" applyNumberFormat="0" applyAlignment="0" applyProtection="0"/>
    <xf numFmtId="0" fontId="48" fillId="24" borderId="305" applyNumberFormat="0" applyAlignment="0" applyProtection="0"/>
    <xf numFmtId="0" fontId="31" fillId="0" borderId="303" applyNumberFormat="0" applyFill="0" applyAlignment="0" applyProtection="0"/>
    <xf numFmtId="0" fontId="48" fillId="24" borderId="305" applyNumberFormat="0" applyAlignment="0" applyProtection="0"/>
    <xf numFmtId="0" fontId="49" fillId="10" borderId="306" applyNumberFormat="0" applyFont="0" applyAlignment="0" applyProtection="0"/>
    <xf numFmtId="0" fontId="29" fillId="12" borderId="304" applyNumberFormat="0" applyAlignment="0" applyProtection="0"/>
    <xf numFmtId="0" fontId="8" fillId="10" borderId="306" applyNumberFormat="0" applyFont="0" applyAlignment="0" applyProtection="0"/>
    <xf numFmtId="0" fontId="8" fillId="10" borderId="299" applyNumberFormat="0" applyFont="0" applyAlignment="0" applyProtection="0"/>
    <xf numFmtId="0" fontId="49" fillId="10" borderId="299" applyNumberFormat="0" applyFont="0" applyAlignment="0" applyProtection="0"/>
    <xf numFmtId="0" fontId="31" fillId="0" borderId="301" applyNumberFormat="0" applyFill="0" applyAlignment="0" applyProtection="0"/>
    <xf numFmtId="0" fontId="31" fillId="0" borderId="303" applyNumberFormat="0" applyFill="0" applyAlignment="0" applyProtection="0"/>
    <xf numFmtId="0" fontId="31" fillId="0" borderId="308" applyNumberFormat="0" applyFill="0" applyAlignment="0" applyProtection="0"/>
    <xf numFmtId="0" fontId="31" fillId="0" borderId="303" applyNumberFormat="0" applyFill="0" applyAlignment="0" applyProtection="0"/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32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24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48" fillId="12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16" fillId="24" borderId="321" applyNumberFormat="0" applyAlignment="0" applyProtection="0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8" fillId="0" borderId="325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41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13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25" fillId="8" borderId="321" applyNumberFormat="0" applyAlignment="0" applyProtection="0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85" fillId="72" borderId="325"/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73" fillId="0" borderId="318" applyBorder="0">
      <alignment horizontal="center" vertical="center" wrapText="1"/>
    </xf>
    <xf numFmtId="0" fontId="49" fillId="10" borderId="329" applyNumberFormat="0" applyFon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31" fillId="0" borderId="326" applyNumberFormat="0" applyFill="0" applyAlignment="0" applyProtection="0"/>
    <xf numFmtId="0" fontId="31" fillId="0" borderId="331" applyNumberFormat="0" applyFill="0" applyAlignment="0" applyProtection="0"/>
    <xf numFmtId="0" fontId="24" fillId="24" borderId="330" applyNumberFormat="0" applyAlignment="0" applyProtection="0"/>
    <xf numFmtId="0" fontId="8" fillId="10" borderId="329" applyNumberFormat="0" applyFont="0" applyAlignment="0" applyProtection="0"/>
    <xf numFmtId="0" fontId="41" fillId="13" borderId="328" applyNumberFormat="0" applyAlignment="0" applyProtection="0"/>
    <xf numFmtId="0" fontId="48" fillId="12" borderId="328" applyNumberFormat="0" applyAlignment="0" applyProtection="0"/>
    <xf numFmtId="0" fontId="48" fillId="24" borderId="328" applyNumberFormat="0" applyAlignment="0" applyProtection="0"/>
    <xf numFmtId="0" fontId="31" fillId="0" borderId="326" applyNumberFormat="0" applyFill="0" applyAlignment="0" applyProtection="0"/>
    <xf numFmtId="0" fontId="48" fillId="24" borderId="328" applyNumberFormat="0" applyAlignment="0" applyProtection="0"/>
    <xf numFmtId="0" fontId="49" fillId="10" borderId="329" applyNumberFormat="0" applyFont="0" applyAlignment="0" applyProtection="0"/>
    <xf numFmtId="0" fontId="29" fillId="12" borderId="327" applyNumberFormat="0" applyAlignment="0" applyProtection="0"/>
    <xf numFmtId="0" fontId="8" fillId="10" borderId="329" applyNumberFormat="0" applyFont="0" applyAlignment="0" applyProtection="0"/>
    <xf numFmtId="0" fontId="8" fillId="10" borderId="322" applyNumberFormat="0" applyFont="0" applyAlignment="0" applyProtection="0"/>
    <xf numFmtId="0" fontId="49" fillId="10" borderId="322" applyNumberFormat="0" applyFont="0" applyAlignment="0" applyProtection="0"/>
    <xf numFmtId="0" fontId="31" fillId="0" borderId="324" applyNumberFormat="0" applyFill="0" applyAlignment="0" applyProtection="0"/>
    <xf numFmtId="0" fontId="31" fillId="0" borderId="326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41" fillId="13" borderId="343" applyNumberFormat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49" applyNumberFormat="0" applyFill="0" applyAlignment="0" applyProtection="0"/>
    <xf numFmtId="0" fontId="24" fillId="24" borderId="345" applyNumberFormat="0" applyAlignment="0" applyProtection="0"/>
    <xf numFmtId="0" fontId="31" fillId="0" borderId="346" applyNumberFormat="0" applyFill="0" applyAlignment="0" applyProtection="0"/>
    <xf numFmtId="0" fontId="31" fillId="0" borderId="341" applyNumberFormat="0" applyFill="0" applyAlignment="0" applyProtection="0"/>
    <xf numFmtId="0" fontId="73" fillId="0" borderId="347" applyBorder="0">
      <alignment horizontal="center" vertical="center" wrapText="1"/>
    </xf>
    <xf numFmtId="0" fontId="8" fillId="10" borderId="344" applyNumberFormat="0" applyFont="0" applyAlignment="0" applyProtection="0"/>
    <xf numFmtId="0" fontId="48" fillId="24" borderId="343" applyNumberFormat="0" applyAlignment="0" applyProtection="0"/>
    <xf numFmtId="0" fontId="8" fillId="10" borderId="344" applyNumberFormat="0" applyFont="0" applyAlignment="0" applyProtection="0"/>
    <xf numFmtId="0" fontId="25" fillId="13" borderId="343" applyNumberFormat="0" applyAlignment="0" applyProtection="0"/>
    <xf numFmtId="0" fontId="28" fillId="10" borderId="344" applyNumberFormat="0" applyFont="0" applyAlignment="0" applyProtection="0"/>
    <xf numFmtId="0" fontId="73" fillId="0" borderId="347" applyBorder="0">
      <alignment horizontal="center" vertical="center" wrapText="1"/>
    </xf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8" fillId="10" borderId="344" applyNumberFormat="0" applyFont="0" applyAlignment="0" applyProtection="0"/>
    <xf numFmtId="0" fontId="25" fillId="13" borderId="352" applyNumberFormat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09" applyBorder="0">
      <alignment horizontal="center" vertical="center" wrapText="1"/>
    </xf>
    <xf numFmtId="0" fontId="25" fillId="13" borderId="333" applyNumberFormat="0" applyAlignment="0" applyProtection="0"/>
    <xf numFmtId="0" fontId="25" fillId="13" borderId="333" applyNumberFormat="0" applyAlignment="0" applyProtection="0"/>
    <xf numFmtId="0" fontId="25" fillId="13" borderId="333" applyNumberFormat="0" applyAlignment="0" applyProtection="0"/>
    <xf numFmtId="0" fontId="41" fillId="13" borderId="333" applyNumberFormat="0" applyAlignment="0" applyProtection="0"/>
    <xf numFmtId="0" fontId="21" fillId="11" borderId="0" applyNumberFormat="0" applyBorder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73" fillId="0" borderId="309" applyBorder="0">
      <alignment horizontal="center" vertical="center" wrapText="1"/>
    </xf>
    <xf numFmtId="0" fontId="2" fillId="0" borderId="0"/>
    <xf numFmtId="0" fontId="2" fillId="0" borderId="0"/>
    <xf numFmtId="0" fontId="16" fillId="24" borderId="333" applyNumberFormat="0" applyAlignment="0" applyProtection="0"/>
    <xf numFmtId="0" fontId="16" fillId="24" borderId="333" applyNumberFormat="0" applyAlignment="0" applyProtection="0"/>
    <xf numFmtId="0" fontId="16" fillId="24" borderId="333" applyNumberFormat="0" applyAlignment="0" applyProtection="0"/>
    <xf numFmtId="0" fontId="32" fillId="24" borderId="333" applyNumberFormat="0" applyAlignment="0" applyProtection="0"/>
    <xf numFmtId="0" fontId="6" fillId="0" borderId="0"/>
    <xf numFmtId="0" fontId="2" fillId="0" borderId="0"/>
    <xf numFmtId="174" fontId="28" fillId="0" borderId="0"/>
    <xf numFmtId="0" fontId="6" fillId="0" borderId="0"/>
    <xf numFmtId="0" fontId="31" fillId="0" borderId="349" applyNumberFormat="0" applyFill="0" applyAlignment="0" applyProtection="0"/>
    <xf numFmtId="0" fontId="6" fillId="0" borderId="0"/>
    <xf numFmtId="0" fontId="49" fillId="10" borderId="344" applyNumberFormat="0" applyFont="0" applyAlignment="0" applyProtection="0"/>
    <xf numFmtId="0" fontId="16" fillId="24" borderId="343" applyNumberFormat="0" applyAlignment="0" applyProtection="0"/>
    <xf numFmtId="0" fontId="48" fillId="12" borderId="333" applyNumberFormat="0" applyAlignment="0" applyProtection="0"/>
    <xf numFmtId="0" fontId="48" fillId="24" borderId="333" applyNumberFormat="0" applyAlignment="0" applyProtection="0"/>
    <xf numFmtId="0" fontId="29" fillId="12" borderId="334" applyNumberFormat="0" applyAlignment="0" applyProtection="0"/>
    <xf numFmtId="0" fontId="31" fillId="0" borderId="346" applyNumberFormat="0" applyFill="0" applyAlignment="0" applyProtection="0"/>
    <xf numFmtId="0" fontId="25" fillId="8" borderId="33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1" fillId="0" borderId="349" applyNumberFormat="0" applyFill="0" applyAlignment="0" applyProtection="0"/>
    <xf numFmtId="0" fontId="2" fillId="0" borderId="0"/>
    <xf numFmtId="0" fontId="49" fillId="10" borderId="344" applyNumberFormat="0" applyFont="0" applyAlignment="0" applyProtection="0"/>
    <xf numFmtId="0" fontId="31" fillId="0" borderId="346" applyNumberFormat="0" applyFill="0" applyAlignment="0" applyProtection="0"/>
    <xf numFmtId="0" fontId="49" fillId="10" borderId="344" applyNumberFormat="0" applyFont="0" applyAlignment="0" applyProtection="0"/>
    <xf numFmtId="0" fontId="29" fillId="24" borderId="342" applyNumberFormat="0" applyAlignment="0" applyProtection="0"/>
    <xf numFmtId="0" fontId="16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41" fillId="13" borderId="352" applyNumberFormat="0" applyAlignment="0" applyProtection="0"/>
    <xf numFmtId="0" fontId="2" fillId="0" borderId="0"/>
    <xf numFmtId="0" fontId="2" fillId="0" borderId="0"/>
    <xf numFmtId="0" fontId="41" fillId="13" borderId="333" applyNumberFormat="0" applyAlignment="0" applyProtection="0"/>
    <xf numFmtId="0" fontId="2" fillId="0" borderId="0"/>
    <xf numFmtId="0" fontId="48" fillId="12" borderId="333" applyNumberFormat="0" applyAlignment="0" applyProtection="0"/>
    <xf numFmtId="0" fontId="48" fillId="24" borderId="333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3" applyNumberFormat="0" applyAlignment="0" applyProtection="0"/>
    <xf numFmtId="0" fontId="8" fillId="10" borderId="344" applyNumberFormat="0" applyFont="0" applyAlignment="0" applyProtection="0"/>
    <xf numFmtId="0" fontId="8" fillId="10" borderId="344" applyNumberFormat="0" applyFont="0" applyAlignment="0" applyProtection="0"/>
    <xf numFmtId="0" fontId="25" fillId="8" borderId="343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9" fillId="24" borderId="334" applyNumberFormat="0" applyAlignment="0" applyProtection="0"/>
    <xf numFmtId="0" fontId="29" fillId="24" borderId="334" applyNumberFormat="0" applyAlignment="0" applyProtection="0"/>
    <xf numFmtId="0" fontId="29" fillId="24" borderId="334" applyNumberFormat="0" applyAlignment="0" applyProtection="0"/>
    <xf numFmtId="0" fontId="73" fillId="0" borderId="347" applyBorder="0">
      <alignment horizontal="center" vertical="center" wrapText="1"/>
    </xf>
    <xf numFmtId="0" fontId="48" fillId="24" borderId="328" applyNumberFormat="0" applyAlignment="0" applyProtection="0"/>
    <xf numFmtId="0" fontId="48" fillId="24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32" fillId="24" borderId="343" applyNumberFormat="0" applyAlignment="0" applyProtection="0"/>
    <xf numFmtId="0" fontId="41" fillId="13" borderId="343" applyNumberFormat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18" fillId="10" borderId="344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1" fillId="0" borderId="341" applyNumberFormat="0" applyFill="0" applyAlignment="0" applyProtection="0"/>
    <xf numFmtId="0" fontId="29" fillId="12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48" fillId="24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48" fillId="24" borderId="328" applyNumberFormat="0" applyAlignment="0" applyProtection="0"/>
    <xf numFmtId="0" fontId="49" fillId="10" borderId="329" applyNumberFormat="0" applyFont="0" applyAlignment="0" applyProtection="0"/>
    <xf numFmtId="0" fontId="29" fillId="12" borderId="327" applyNumberFormat="0" applyAlignment="0" applyProtection="0"/>
    <xf numFmtId="0" fontId="32" fillId="24" borderId="328" applyNumberFormat="0" applyAlignment="0" applyProtection="0"/>
    <xf numFmtId="0" fontId="48" fillId="12" borderId="328" applyNumberFormat="0" applyAlignment="0" applyProtection="0"/>
    <xf numFmtId="0" fontId="24" fillId="24" borderId="330" applyNumberFormat="0" applyAlignment="0" applyProtection="0"/>
    <xf numFmtId="0" fontId="8" fillId="10" borderId="329" applyNumberFormat="0" applyFont="0" applyAlignment="0" applyProtection="0"/>
    <xf numFmtId="0" fontId="29" fillId="24" borderId="327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48" fillId="24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49" fillId="10" borderId="329" applyNumberFormat="0" applyFont="0" applyAlignment="0" applyProtection="0"/>
    <xf numFmtId="0" fontId="8" fillId="10" borderId="329" applyNumberFormat="0" applyFont="0" applyAlignment="0" applyProtection="0"/>
    <xf numFmtId="0" fontId="48" fillId="24" borderId="328" applyNumberFormat="0" applyAlignment="0" applyProtection="0"/>
    <xf numFmtId="0" fontId="29" fillId="24" borderId="327" applyNumberFormat="0" applyAlignment="0" applyProtection="0"/>
    <xf numFmtId="0" fontId="8" fillId="10" borderId="329" applyNumberFormat="0" applyFont="0" applyAlignment="0" applyProtection="0"/>
    <xf numFmtId="0" fontId="25" fillId="13" borderId="328" applyNumberFormat="0" applyAlignment="0" applyProtection="0"/>
    <xf numFmtId="0" fontId="16" fillId="24" borderId="328" applyNumberFormat="0" applyAlignment="0" applyProtection="0"/>
    <xf numFmtId="0" fontId="31" fillId="0" borderId="326" applyNumberFormat="0" applyFill="0" applyAlignment="0" applyProtection="0"/>
    <xf numFmtId="0" fontId="48" fillId="24" borderId="328" applyNumberFormat="0" applyAlignment="0" applyProtection="0"/>
    <xf numFmtId="0" fontId="48" fillId="24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1" fillId="13" borderId="328" applyNumberFormat="0" applyAlignment="0" applyProtection="0"/>
    <xf numFmtId="0" fontId="25" fillId="8" borderId="328" applyNumberFormat="0" applyAlignment="0" applyProtection="0"/>
    <xf numFmtId="0" fontId="8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4" fillId="24" borderId="330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31" fillId="0" borderId="331" applyNumberFormat="0" applyFill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41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48" fillId="24" borderId="328" applyNumberFormat="0" applyAlignment="0" applyProtection="0"/>
    <xf numFmtId="0" fontId="16" fillId="24" borderId="328" applyNumberFormat="0" applyAlignment="0" applyProtection="0"/>
    <xf numFmtId="0" fontId="16" fillId="24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25" fillId="13" borderId="328" applyNumberFormat="0" applyAlignment="0" applyProtection="0"/>
    <xf numFmtId="0" fontId="18" fillId="10" borderId="329" applyNumberFormat="0" applyFont="0" applyAlignment="0" applyProtection="0"/>
    <xf numFmtId="0" fontId="28" fillId="10" borderId="329" applyNumberFormat="0" applyFont="0" applyAlignment="0" applyProtection="0"/>
    <xf numFmtId="0" fontId="28" fillId="10" borderId="329" applyNumberFormat="0" applyFont="0" applyAlignment="0" applyProtection="0"/>
    <xf numFmtId="0" fontId="8" fillId="10" borderId="329" applyNumberFormat="0" applyFont="0" applyAlignment="0" applyProtection="0"/>
    <xf numFmtId="0" fontId="28" fillId="10" borderId="329" applyNumberFormat="0" applyFont="0" applyAlignment="0" applyProtection="0"/>
    <xf numFmtId="0" fontId="24" fillId="24" borderId="330" applyNumberFormat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4" fillId="24" borderId="330" applyNumberFormat="0" applyAlignment="0" applyProtection="0"/>
    <xf numFmtId="0" fontId="31" fillId="0" borderId="331" applyNumberFormat="0" applyFill="0" applyAlignment="0" applyProtection="0"/>
    <xf numFmtId="0" fontId="28" fillId="0" borderId="325"/>
    <xf numFmtId="0" fontId="85" fillId="0" borderId="325"/>
    <xf numFmtId="0" fontId="25" fillId="8" borderId="328" applyNumberFormat="0" applyAlignment="0" applyProtection="0"/>
    <xf numFmtId="0" fontId="31" fillId="0" borderId="326" applyNumberFormat="0" applyFill="0" applyAlignment="0" applyProtection="0"/>
    <xf numFmtId="0" fontId="29" fillId="24" borderId="327" applyNumberFormat="0" applyAlignment="0" applyProtection="0"/>
    <xf numFmtId="0" fontId="29" fillId="24" borderId="327" applyNumberFormat="0" applyAlignment="0" applyProtection="0"/>
    <xf numFmtId="0" fontId="28" fillId="10" borderId="329" applyNumberFormat="0" applyFont="0" applyAlignment="0" applyProtection="0"/>
    <xf numFmtId="0" fontId="18" fillId="10" borderId="329" applyNumberFormat="0" applyFont="0" applyAlignment="0" applyProtection="0"/>
    <xf numFmtId="0" fontId="25" fillId="13" borderId="328" applyNumberFormat="0" applyAlignment="0" applyProtection="0"/>
    <xf numFmtId="0" fontId="41" fillId="13" borderId="328" applyNumberFormat="0" applyAlignment="0" applyProtection="0"/>
    <xf numFmtId="0" fontId="32" fillId="24" borderId="328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8" fillId="10" borderId="329" applyNumberFormat="0" applyFont="0" applyAlignment="0" applyProtection="0"/>
    <xf numFmtId="0" fontId="25" fillId="8" borderId="328" applyNumberFormat="0" applyAlignment="0" applyProtection="0"/>
    <xf numFmtId="0" fontId="41" fillId="13" borderId="328" applyNumberFormat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48" fillId="24" borderId="328" applyNumberFormat="0" applyAlignment="0" applyProtection="0"/>
    <xf numFmtId="0" fontId="48" fillId="24" borderId="328" applyNumberFormat="0" applyAlignment="0" applyProtection="0"/>
    <xf numFmtId="0" fontId="28" fillId="0" borderId="325"/>
    <xf numFmtId="0" fontId="31" fillId="0" borderId="331" applyNumberFormat="0" applyFill="0" applyAlignment="0" applyProtection="0"/>
    <xf numFmtId="0" fontId="48" fillId="12" borderId="328" applyNumberFormat="0" applyAlignment="0" applyProtection="0"/>
    <xf numFmtId="0" fontId="48" fillId="12" borderId="328" applyNumberFormat="0" applyAlignment="0" applyProtection="0"/>
    <xf numFmtId="0" fontId="31" fillId="0" borderId="326" applyNumberFormat="0" applyFill="0" applyAlignment="0" applyProtection="0"/>
    <xf numFmtId="0" fontId="29" fillId="12" borderId="327" applyNumberFormat="0" applyAlignment="0" applyProtection="0"/>
    <xf numFmtId="0" fontId="28" fillId="10" borderId="329" applyNumberFormat="0" applyFont="0" applyAlignment="0" applyProtection="0"/>
    <xf numFmtId="0" fontId="16" fillId="24" borderId="328" applyNumberFormat="0" applyAlignment="0" applyProtection="0"/>
    <xf numFmtId="0" fontId="48" fillId="24" borderId="328" applyNumberFormat="0" applyAlignment="0" applyProtection="0"/>
    <xf numFmtId="0" fontId="28" fillId="10" borderId="329" applyNumberFormat="0" applyFont="0" applyAlignment="0" applyProtection="0"/>
    <xf numFmtId="0" fontId="25" fillId="13" borderId="328" applyNumberFormat="0" applyAlignment="0" applyProtection="0"/>
    <xf numFmtId="0" fontId="16" fillId="24" borderId="328" applyNumberFormat="0" applyAlignment="0" applyProtection="0"/>
    <xf numFmtId="0" fontId="29" fillId="12" borderId="327" applyNumberFormat="0" applyAlignment="0" applyProtection="0"/>
    <xf numFmtId="0" fontId="31" fillId="0" borderId="331" applyNumberFormat="0" applyFill="0" applyAlignment="0" applyProtection="0"/>
    <xf numFmtId="0" fontId="49" fillId="10" borderId="329" applyNumberFormat="0" applyFon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48" fillId="12" borderId="328" applyNumberFormat="0" applyAlignment="0" applyProtection="0"/>
    <xf numFmtId="0" fontId="8" fillId="10" borderId="329" applyNumberFormat="0" applyFont="0" applyAlignment="0" applyProtection="0"/>
    <xf numFmtId="0" fontId="49" fillId="10" borderId="329" applyNumberFormat="0" applyFont="0" applyAlignment="0" applyProtection="0"/>
    <xf numFmtId="0" fontId="28" fillId="0" borderId="325"/>
    <xf numFmtId="0" fontId="28" fillId="0" borderId="325"/>
    <xf numFmtId="0" fontId="31" fillId="0" borderId="331" applyNumberFormat="0" applyFill="0" applyAlignment="0" applyProtection="0"/>
    <xf numFmtId="0" fontId="85" fillId="0" borderId="325"/>
    <xf numFmtId="0" fontId="85" fillId="0" borderId="325"/>
    <xf numFmtId="0" fontId="48" fillId="12" borderId="328" applyNumberFormat="0" applyAlignment="0" applyProtection="0"/>
    <xf numFmtId="0" fontId="48" fillId="12" borderId="328" applyNumberFormat="0" applyAlignment="0" applyProtection="0"/>
    <xf numFmtId="0" fontId="25" fillId="8" borderId="328" applyNumberFormat="0" applyAlignment="0" applyProtection="0"/>
    <xf numFmtId="0" fontId="29" fillId="12" borderId="327" applyNumberFormat="0" applyAlignment="0" applyProtection="0"/>
    <xf numFmtId="0" fontId="31" fillId="0" borderId="326" applyNumberFormat="0" applyFill="0" applyAlignment="0" applyProtection="0"/>
    <xf numFmtId="0" fontId="31" fillId="0" borderId="326" applyNumberFormat="0" applyFill="0" applyAlignment="0" applyProtection="0"/>
    <xf numFmtId="0" fontId="32" fillId="24" borderId="336" applyNumberFormat="0" applyAlignment="0" applyProtection="0"/>
    <xf numFmtId="0" fontId="16" fillId="24" borderId="336" applyNumberFormat="0" applyAlignment="0" applyProtection="0"/>
    <xf numFmtId="0" fontId="48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18" fillId="10" borderId="337" applyNumberFormat="0" applyFont="0" applyAlignment="0" applyProtection="0"/>
    <xf numFmtId="0" fontId="28" fillId="10" borderId="337" applyNumberFormat="0" applyFont="0" applyAlignment="0" applyProtection="0"/>
    <xf numFmtId="0" fontId="8" fillId="10" borderId="337" applyNumberFormat="0" applyFont="0" applyAlignment="0" applyProtection="0"/>
    <xf numFmtId="0" fontId="28" fillId="10" borderId="337" applyNumberFormat="0" applyFont="0" applyAlignment="0" applyProtection="0"/>
    <xf numFmtId="0" fontId="8" fillId="10" borderId="337" applyNumberFormat="0" applyFont="0" applyAlignment="0" applyProtection="0"/>
    <xf numFmtId="0" fontId="49" fillId="10" borderId="337" applyNumberFormat="0" applyFont="0" applyAlignment="0" applyProtection="0"/>
    <xf numFmtId="0" fontId="28" fillId="10" borderId="337" applyNumberFormat="0" applyFont="0" applyAlignment="0" applyProtection="0"/>
    <xf numFmtId="0" fontId="24" fillId="24" borderId="338" applyNumberFormat="0" applyAlignment="0" applyProtection="0"/>
    <xf numFmtId="0" fontId="24" fillId="24" borderId="338" applyNumberFormat="0" applyAlignment="0" applyProtection="0"/>
    <xf numFmtId="0" fontId="31" fillId="0" borderId="339" applyNumberFormat="0" applyFill="0" applyAlignment="0" applyProtection="0"/>
    <xf numFmtId="0" fontId="31" fillId="0" borderId="355" applyNumberFormat="0" applyFill="0" applyAlignment="0" applyProtection="0"/>
    <xf numFmtId="0" fontId="24" fillId="24" borderId="354" applyNumberFormat="0" applyAlignment="0" applyProtection="0"/>
    <xf numFmtId="0" fontId="28" fillId="10" borderId="353" applyNumberFormat="0" applyFont="0" applyAlignment="0" applyProtection="0"/>
    <xf numFmtId="0" fontId="8" fillId="10" borderId="353" applyNumberFormat="0" applyFont="0" applyAlignment="0" applyProtection="0"/>
    <xf numFmtId="0" fontId="8" fillId="10" borderId="353" applyNumberFormat="0" applyFont="0" applyAlignment="0" applyProtection="0"/>
    <xf numFmtId="0" fontId="28" fillId="10" borderId="353" applyNumberFormat="0" applyFont="0" applyAlignment="0" applyProtection="0"/>
    <xf numFmtId="0" fontId="18" fillId="10" borderId="353" applyNumberFormat="0" applyFont="0" applyAlignment="0" applyProtection="0"/>
    <xf numFmtId="0" fontId="41" fillId="13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32" fillId="24" borderId="352" applyNumberFormat="0" applyAlignment="0" applyProtection="0"/>
    <xf numFmtId="0" fontId="31" fillId="0" borderId="341" applyNumberFormat="0" applyFill="0" applyAlignment="0" applyProtection="0"/>
    <xf numFmtId="0" fontId="31" fillId="0" borderId="341" applyNumberFormat="0" applyFill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85" fillId="0" borderId="340"/>
    <xf numFmtId="0" fontId="31" fillId="0" borderId="346" applyNumberFormat="0" applyFill="0" applyAlignment="0" applyProtection="0"/>
    <xf numFmtId="0" fontId="28" fillId="0" borderId="340"/>
    <xf numFmtId="0" fontId="8" fillId="44" borderId="351" applyNumberFormat="0" applyFont="0" applyAlignment="0" applyProtection="0"/>
    <xf numFmtId="0" fontId="8" fillId="10" borderId="344" applyNumberFormat="0" applyFont="0" applyAlignment="0" applyProtection="0"/>
    <xf numFmtId="0" fontId="48" fillId="12" borderId="343" applyNumberFormat="0" applyAlignment="0" applyProtection="0"/>
    <xf numFmtId="0" fontId="31" fillId="0" borderId="341" applyNumberFormat="0" applyFill="0" applyAlignment="0" applyProtection="0"/>
    <xf numFmtId="0" fontId="29" fillId="12" borderId="342" applyNumberFormat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85" fillId="0" borderId="340"/>
    <xf numFmtId="0" fontId="85" fillId="0" borderId="340"/>
    <xf numFmtId="0" fontId="28" fillId="0" borderId="340"/>
    <xf numFmtId="0" fontId="28" fillId="0" borderId="340"/>
    <xf numFmtId="0" fontId="8" fillId="44" borderId="351" applyNumberFormat="0" applyFont="0" applyAlignment="0" applyProtection="0"/>
    <xf numFmtId="0" fontId="49" fillId="10" borderId="344" applyNumberFormat="0" applyFont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25" fillId="13" borderId="343" applyNumberFormat="0" applyAlignment="0" applyProtection="0"/>
    <xf numFmtId="0" fontId="28" fillId="10" borderId="344" applyNumberFormat="0" applyFont="0" applyAlignment="0" applyProtection="0"/>
    <xf numFmtId="0" fontId="48" fillId="24" borderId="343" applyNumberFormat="0" applyAlignment="0" applyProtection="0"/>
    <xf numFmtId="0" fontId="28" fillId="10" borderId="344" applyNumberFormat="0" applyFont="0" applyAlignment="0" applyProtection="0"/>
    <xf numFmtId="0" fontId="29" fillId="12" borderId="342" applyNumberFormat="0" applyAlignment="0" applyProtection="0"/>
    <xf numFmtId="0" fontId="48" fillId="12" borderId="343" applyNumberFormat="0" applyAlignment="0" applyProtection="0"/>
    <xf numFmtId="0" fontId="48" fillId="12" borderId="343" applyNumberFormat="0" applyAlignment="0" applyProtection="0"/>
    <xf numFmtId="0" fontId="28" fillId="0" borderId="340"/>
    <xf numFmtId="0" fontId="48" fillId="24" borderId="343" applyNumberFormat="0" applyAlignment="0" applyProtection="0"/>
    <xf numFmtId="0" fontId="48" fillId="24" borderId="343" applyNumberFormat="0" applyAlignment="0" applyProtection="0"/>
    <xf numFmtId="0" fontId="48" fillId="12" borderId="343" applyNumberFormat="0" applyAlignment="0" applyProtection="0"/>
    <xf numFmtId="0" fontId="41" fillId="13" borderId="343" applyNumberFormat="0" applyAlignment="0" applyProtection="0"/>
    <xf numFmtId="0" fontId="25" fillId="8" borderId="343" applyNumberFormat="0" applyAlignment="0" applyProtection="0"/>
    <xf numFmtId="0" fontId="31" fillId="0" borderId="341" applyNumberFormat="0" applyFill="0" applyAlignment="0" applyProtection="0"/>
    <xf numFmtId="0" fontId="73" fillId="0" borderId="350" applyBorder="0">
      <alignment horizontal="center" vertical="center" wrapText="1"/>
    </xf>
    <xf numFmtId="0" fontId="32" fillId="24" borderId="343" applyNumberFormat="0" applyAlignment="0" applyProtection="0"/>
    <xf numFmtId="0" fontId="25" fillId="13" borderId="343" applyNumberFormat="0" applyAlignment="0" applyProtection="0"/>
    <xf numFmtId="0" fontId="73" fillId="0" borderId="350" applyBorder="0">
      <alignment horizontal="center" vertical="center" wrapText="1"/>
    </xf>
    <xf numFmtId="0" fontId="28" fillId="10" borderId="344" applyNumberFormat="0" applyFont="0" applyAlignment="0" applyProtection="0"/>
    <xf numFmtId="0" fontId="31" fillId="0" borderId="341" applyNumberFormat="0" applyFill="0" applyAlignment="0" applyProtection="0"/>
    <xf numFmtId="0" fontId="73" fillId="0" borderId="347" applyBorder="0">
      <alignment horizontal="center" vertical="center" wrapText="1"/>
    </xf>
    <xf numFmtId="0" fontId="31" fillId="0" borderId="349" applyNumberFormat="0" applyFill="0" applyAlignment="0" applyProtection="0"/>
    <xf numFmtId="0" fontId="85" fillId="0" borderId="340"/>
    <xf numFmtId="0" fontId="28" fillId="0" borderId="340"/>
    <xf numFmtId="0" fontId="31" fillId="0" borderId="346" applyNumberFormat="0" applyFill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28" fillId="10" borderId="344" applyNumberFormat="0" applyFon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73" fillId="0" borderId="350" applyBorder="0">
      <alignment horizontal="center" vertical="center" wrapText="1"/>
    </xf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41" fillId="13" borderId="34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4" fillId="24" borderId="345" applyNumberFormat="0" applyAlignment="0" applyProtection="0"/>
    <xf numFmtId="0" fontId="49" fillId="10" borderId="344" applyNumberFormat="0" applyFont="0" applyAlignment="0" applyProtection="0"/>
    <xf numFmtId="0" fontId="49" fillId="10" borderId="344" applyNumberFormat="0" applyFont="0" applyAlignment="0" applyProtection="0"/>
    <xf numFmtId="0" fontId="8" fillId="10" borderId="344" applyNumberFormat="0" applyFont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8" fillId="10" borderId="344" applyNumberFormat="0" applyFon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31" fillId="0" borderId="348" applyNumberFormat="0" applyFill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16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48" fillId="12" borderId="343" applyNumberFormat="0" applyAlignment="0" applyProtection="0"/>
    <xf numFmtId="0" fontId="32" fillId="24" borderId="343" applyNumberFormat="0" applyAlignment="0" applyProtection="0"/>
    <xf numFmtId="0" fontId="49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1" applyNumberFormat="0" applyFill="0" applyAlignment="0" applyProtection="0"/>
    <xf numFmtId="0" fontId="29" fillId="12" borderId="342" applyNumberFormat="0" applyAlignment="0" applyProtection="0"/>
    <xf numFmtId="0" fontId="48" fillId="12" borderId="343" applyNumberFormat="0" applyAlignment="0" applyProtection="0"/>
    <xf numFmtId="0" fontId="85" fillId="0" borderId="340"/>
    <xf numFmtId="0" fontId="85" fillId="0" borderId="340"/>
    <xf numFmtId="0" fontId="28" fillId="0" borderId="340"/>
    <xf numFmtId="0" fontId="28" fillId="0" borderId="340"/>
    <xf numFmtId="0" fontId="49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41" fillId="13" borderId="34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2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49" fillId="10" borderId="344" applyNumberFormat="0" applyFont="0" applyAlignment="0" applyProtection="0"/>
    <xf numFmtId="0" fontId="49" fillId="10" borderId="344" applyNumberFormat="0" applyFont="0" applyAlignment="0" applyProtection="0"/>
    <xf numFmtId="0" fontId="8" fillId="10" borderId="344" applyNumberFormat="0" applyFon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73" fillId="0" borderId="350" applyBorder="0">
      <alignment horizontal="center" vertical="center" wrapText="1"/>
    </xf>
    <xf numFmtId="0" fontId="31" fillId="0" borderId="341" applyNumberFormat="0" applyFill="0" applyAlignment="0" applyProtection="0"/>
    <xf numFmtId="0" fontId="29" fillId="12" borderId="342" applyNumberFormat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85" fillId="0" borderId="340"/>
    <xf numFmtId="0" fontId="85" fillId="0" borderId="340"/>
    <xf numFmtId="0" fontId="28" fillId="0" borderId="340"/>
    <xf numFmtId="0" fontId="28" fillId="0" borderId="340"/>
    <xf numFmtId="0" fontId="8" fillId="44" borderId="351" applyNumberFormat="0" applyFont="0" applyAlignment="0" applyProtection="0"/>
    <xf numFmtId="0" fontId="8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73" fillId="0" borderId="350" applyBorder="0">
      <alignment horizontal="center" vertical="center" wrapText="1"/>
    </xf>
    <xf numFmtId="0" fontId="25" fillId="13" borderId="343" applyNumberFormat="0" applyAlignment="0" applyProtection="0"/>
    <xf numFmtId="0" fontId="25" fillId="13" borderId="343" applyNumberFormat="0" applyAlignment="0" applyProtection="0"/>
    <xf numFmtId="0" fontId="73" fillId="0" borderId="350" applyBorder="0">
      <alignment horizontal="center" vertical="center" wrapText="1"/>
    </xf>
    <xf numFmtId="0" fontId="24" fillId="24" borderId="345" applyNumberFormat="0" applyAlignment="0" applyProtection="0"/>
    <xf numFmtId="0" fontId="48" fillId="12" borderId="343" applyNumberForma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16" fillId="24" borderId="343" applyNumberFormat="0" applyAlignment="0" applyProtection="0"/>
    <xf numFmtId="0" fontId="32" fillId="24" borderId="343" applyNumberFormat="0" applyAlignment="0" applyProtection="0"/>
    <xf numFmtId="0" fontId="24" fillId="24" borderId="354" applyNumberFormat="0" applyAlignment="0" applyProtection="0"/>
    <xf numFmtId="0" fontId="49" fillId="10" borderId="353" applyNumberFormat="0" applyFont="0" applyAlignment="0" applyProtection="0"/>
    <xf numFmtId="0" fontId="28" fillId="10" borderId="353" applyNumberFormat="0" applyFon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16" fillId="24" borderId="352" applyNumberFormat="0" applyAlignment="0" applyProtection="0"/>
    <xf numFmtId="0" fontId="48" fillId="24" borderId="352" applyNumberFormat="0" applyAlignment="0" applyProtection="0"/>
    <xf numFmtId="0" fontId="29" fillId="12" borderId="342" applyNumberFormat="0" applyAlignment="0" applyProtection="0"/>
    <xf numFmtId="0" fontId="48" fillId="12" borderId="343" applyNumberFormat="0" applyAlignment="0" applyProtection="0"/>
    <xf numFmtId="0" fontId="85" fillId="0" borderId="340"/>
    <xf numFmtId="0" fontId="28" fillId="0" borderId="340"/>
    <xf numFmtId="0" fontId="49" fillId="10" borderId="344" applyNumberFormat="0" applyFont="0" applyAlignment="0" applyProtection="0"/>
    <xf numFmtId="0" fontId="31" fillId="0" borderId="341" applyNumberFormat="0" applyFill="0" applyAlignment="0" applyProtection="0"/>
    <xf numFmtId="0" fontId="48" fillId="12" borderId="343" applyNumberFormat="0" applyAlignment="0" applyProtection="0"/>
    <xf numFmtId="0" fontId="85" fillId="0" borderId="340"/>
    <xf numFmtId="0" fontId="31" fillId="0" borderId="346" applyNumberFormat="0" applyFill="0" applyAlignment="0" applyProtection="0"/>
    <xf numFmtId="0" fontId="49" fillId="10" borderId="344" applyNumberFormat="0" applyFont="0" applyAlignment="0" applyProtection="0"/>
    <xf numFmtId="0" fontId="49" fillId="10" borderId="344" applyNumberFormat="0" applyFont="0" applyAlignment="0" applyProtection="0"/>
    <xf numFmtId="0" fontId="16" fillId="24" borderId="343" applyNumberFormat="0" applyAlignment="0" applyProtection="0"/>
    <xf numFmtId="0" fontId="31" fillId="0" borderId="348" applyNumberFormat="0" applyFill="0" applyAlignment="0" applyProtection="0"/>
    <xf numFmtId="0" fontId="16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73" fillId="0" borderId="347" applyBorder="0">
      <alignment horizontal="center" vertical="center" wrapText="1"/>
    </xf>
    <xf numFmtId="0" fontId="48" fillId="12" borderId="343" applyNumberFormat="0" applyAlignment="0" applyProtection="0"/>
    <xf numFmtId="0" fontId="8" fillId="10" borderId="344" applyNumberFormat="0" applyFont="0" applyAlignment="0" applyProtection="0"/>
    <xf numFmtId="0" fontId="31" fillId="0" borderId="341" applyNumberFormat="0" applyFill="0" applyAlignment="0" applyProtection="0"/>
    <xf numFmtId="0" fontId="41" fillId="13" borderId="343" applyNumberFormat="0" applyAlignment="0" applyProtection="0"/>
    <xf numFmtId="0" fontId="18" fillId="10" borderId="344" applyNumberFormat="0" applyFont="0" applyAlignment="0" applyProtection="0"/>
    <xf numFmtId="0" fontId="29" fillId="24" borderId="342" applyNumberFormat="0" applyAlignment="0" applyProtection="0"/>
    <xf numFmtId="0" fontId="25" fillId="8" borderId="343" applyNumberFormat="0" applyAlignment="0" applyProtection="0"/>
    <xf numFmtId="0" fontId="8" fillId="44" borderId="351" applyNumberFormat="0" applyFont="0" applyAlignment="0" applyProtection="0"/>
    <xf numFmtId="0" fontId="24" fillId="24" borderId="345" applyNumberFormat="0" applyAlignment="0" applyProtection="0"/>
    <xf numFmtId="0" fontId="29" fillId="24" borderId="342" applyNumberFormat="0" applyAlignment="0" applyProtection="0"/>
    <xf numFmtId="0" fontId="28" fillId="10" borderId="344" applyNumberFormat="0" applyFont="0" applyAlignment="0" applyProtection="0"/>
    <xf numFmtId="0" fontId="28" fillId="10" borderId="344" applyNumberFormat="0" applyFon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32" fillId="24" borderId="343" applyNumberFormat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48" fillId="12" borderId="343" applyNumberFormat="0" applyAlignment="0" applyProtection="0"/>
    <xf numFmtId="0" fontId="31" fillId="0" borderId="341" applyNumberFormat="0" applyFill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5" fillId="8" borderId="343" applyNumberFormat="0" applyAlignment="0" applyProtection="0"/>
    <xf numFmtId="0" fontId="48" fillId="24" borderId="343" applyNumberFormat="0" applyAlignment="0" applyProtection="0"/>
    <xf numFmtId="0" fontId="41" fillId="13" borderId="343" applyNumberFormat="0" applyAlignment="0" applyProtection="0"/>
    <xf numFmtId="0" fontId="31" fillId="0" borderId="349" applyNumberFormat="0" applyFill="0" applyAlignment="0" applyProtection="0"/>
    <xf numFmtId="0" fontId="24" fillId="24" borderId="345" applyNumberFormat="0" applyAlignment="0" applyProtection="0"/>
    <xf numFmtId="0" fontId="29" fillId="12" borderId="342" applyNumberFormat="0" applyAlignment="0" applyProtection="0"/>
    <xf numFmtId="0" fontId="31" fillId="0" borderId="349" applyNumberFormat="0" applyFill="0" applyAlignment="0" applyProtection="0"/>
    <xf numFmtId="0" fontId="31" fillId="0" borderId="341" applyNumberFormat="0" applyFill="0" applyAlignment="0" applyProtection="0"/>
    <xf numFmtId="0" fontId="25" fillId="8" borderId="343" applyNumberFormat="0" applyAlignment="0" applyProtection="0"/>
    <xf numFmtId="0" fontId="48" fillId="12" borderId="343" applyNumberFormat="0" applyAlignment="0" applyProtection="0"/>
    <xf numFmtId="0" fontId="31" fillId="0" borderId="346" applyNumberFormat="0" applyFill="0" applyAlignment="0" applyProtection="0"/>
    <xf numFmtId="0" fontId="8" fillId="44" borderId="351" applyNumberFormat="0" applyFont="0" applyAlignment="0" applyProtection="0"/>
    <xf numFmtId="0" fontId="8" fillId="10" borderId="344" applyNumberFormat="0" applyFon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16" fillId="24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25" fillId="8" borderId="343" applyNumberFormat="0" applyAlignment="0" applyProtection="0"/>
    <xf numFmtId="0" fontId="31" fillId="0" borderId="349" applyNumberFormat="0" applyFill="0" applyAlignment="0" applyProtection="0"/>
    <xf numFmtId="0" fontId="31" fillId="0" borderId="348" applyNumberFormat="0" applyFill="0" applyAlignment="0" applyProtection="0"/>
    <xf numFmtId="0" fontId="29" fillId="24" borderId="342" applyNumberFormat="0" applyAlignment="0" applyProtection="0"/>
    <xf numFmtId="0" fontId="29" fillId="12" borderId="342" applyNumberFormat="0" applyAlignment="0" applyProtection="0"/>
    <xf numFmtId="0" fontId="31" fillId="0" borderId="341" applyNumberFormat="0" applyFill="0" applyAlignment="0" applyProtection="0"/>
    <xf numFmtId="0" fontId="48" fillId="12" borderId="343" applyNumberFormat="0" applyAlignment="0" applyProtection="0"/>
    <xf numFmtId="0" fontId="31" fillId="0" borderId="346" applyNumberFormat="0" applyFill="0" applyAlignment="0" applyProtection="0"/>
    <xf numFmtId="0" fontId="49" fillId="10" borderId="344" applyNumberFormat="0" applyFont="0" applyAlignment="0" applyProtection="0"/>
    <xf numFmtId="0" fontId="29" fillId="24" borderId="342" applyNumberFormat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18" fillId="10" borderId="344" applyNumberFormat="0" applyFont="0" applyAlignment="0" applyProtection="0"/>
    <xf numFmtId="0" fontId="25" fillId="13" borderId="343" applyNumberFormat="0" applyAlignment="0" applyProtection="0"/>
    <xf numFmtId="0" fontId="41" fillId="13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9" fillId="12" borderId="342" applyNumberFormat="0" applyAlignment="0" applyProtection="0"/>
    <xf numFmtId="0" fontId="49" fillId="10" borderId="344" applyNumberFormat="0" applyFont="0" applyAlignment="0" applyProtection="0"/>
    <xf numFmtId="0" fontId="48" fillId="24" borderId="343" applyNumberFormat="0" applyAlignment="0" applyProtection="0"/>
    <xf numFmtId="0" fontId="31" fillId="0" borderId="349" applyNumberFormat="0" applyFill="0" applyAlignment="0" applyProtection="0"/>
    <xf numFmtId="0" fontId="29" fillId="24" borderId="342" applyNumberForma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16" fillId="24" borderId="343" applyNumberFormat="0" applyAlignment="0" applyProtection="0"/>
    <xf numFmtId="0" fontId="73" fillId="0" borderId="347" applyBorder="0">
      <alignment horizontal="center" vertical="center" wrapText="1"/>
    </xf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32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24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48" fillId="12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16" fillId="24" borderId="336" applyNumberFormat="0" applyAlignment="0" applyProtection="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8" fillId="0" borderId="34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41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13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25" fillId="8" borderId="336" applyNumberFormat="0" applyAlignment="0" applyProtection="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85" fillId="72" borderId="340"/>
    <xf numFmtId="0" fontId="49" fillId="10" borderId="344" applyNumberFormat="0" applyFont="0" applyAlignment="0" applyProtection="0"/>
    <xf numFmtId="0" fontId="48" fillId="12" borderId="343" applyNumberFormat="0" applyAlignment="0" applyProtection="0"/>
    <xf numFmtId="0" fontId="25" fillId="8" borderId="343" applyNumberFormat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24" fillId="24" borderId="345" applyNumberFormat="0" applyAlignment="0" applyProtection="0"/>
    <xf numFmtId="0" fontId="8" fillId="10" borderId="344" applyNumberFormat="0" applyFont="0" applyAlignment="0" applyProtection="0"/>
    <xf numFmtId="0" fontId="41" fillId="13" borderId="343" applyNumberFormat="0" applyAlignment="0" applyProtection="0"/>
    <xf numFmtId="0" fontId="48" fillId="12" borderId="343" applyNumberFormat="0" applyAlignment="0" applyProtection="0"/>
    <xf numFmtId="0" fontId="48" fillId="24" borderId="343" applyNumberFormat="0" applyAlignment="0" applyProtection="0"/>
    <xf numFmtId="0" fontId="31" fillId="0" borderId="341" applyNumberFormat="0" applyFill="0" applyAlignment="0" applyProtection="0"/>
    <xf numFmtId="0" fontId="48" fillId="24" borderId="343" applyNumberFormat="0" applyAlignment="0" applyProtection="0"/>
    <xf numFmtId="0" fontId="49" fillId="10" borderId="344" applyNumberFormat="0" applyFont="0" applyAlignment="0" applyProtection="0"/>
    <xf numFmtId="0" fontId="29" fillId="12" borderId="342" applyNumberFormat="0" applyAlignment="0" applyProtection="0"/>
    <xf numFmtId="0" fontId="8" fillId="10" borderId="344" applyNumberFormat="0" applyFont="0" applyAlignment="0" applyProtection="0"/>
    <xf numFmtId="0" fontId="8" fillId="10" borderId="337" applyNumberFormat="0" applyFont="0" applyAlignment="0" applyProtection="0"/>
    <xf numFmtId="0" fontId="49" fillId="10" borderId="337" applyNumberFormat="0" applyFont="0" applyAlignment="0" applyProtection="0"/>
    <xf numFmtId="0" fontId="31" fillId="0" borderId="339" applyNumberFormat="0" applyFill="0" applyAlignment="0" applyProtection="0"/>
    <xf numFmtId="0" fontId="31" fillId="0" borderId="341" applyNumberFormat="0" applyFill="0" applyAlignment="0" applyProtection="0"/>
    <xf numFmtId="0" fontId="31" fillId="0" borderId="346" applyNumberFormat="0" applyFill="0" applyAlignment="0" applyProtection="0"/>
    <xf numFmtId="0" fontId="31" fillId="0" borderId="341" applyNumberFormat="0" applyFill="0" applyAlignment="0" applyProtection="0"/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32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24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48" fillId="12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16" fillId="24" borderId="352" applyNumberFormat="0" applyAlignment="0" applyProtection="0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8" fillId="0" borderId="356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41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13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25" fillId="8" borderId="352" applyNumberFormat="0" applyAlignment="0" applyProtection="0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85" fillId="72" borderId="356"/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73" fillId="0" borderId="350" applyBorder="0">
      <alignment horizontal="center" vertical="center" wrapText="1"/>
    </xf>
    <xf numFmtId="0" fontId="49" fillId="10" borderId="360" applyNumberFormat="0" applyFont="0" applyAlignment="0" applyProtection="0"/>
    <xf numFmtId="0" fontId="48" fillId="12" borderId="359" applyNumberFormat="0" applyAlignment="0" applyProtection="0"/>
    <xf numFmtId="0" fontId="25" fillId="8" borderId="359" applyNumberFormat="0" applyAlignment="0" applyProtection="0"/>
    <xf numFmtId="0" fontId="31" fillId="0" borderId="357" applyNumberFormat="0" applyFill="0" applyAlignment="0" applyProtection="0"/>
    <xf numFmtId="0" fontId="31" fillId="0" borderId="362" applyNumberFormat="0" applyFill="0" applyAlignment="0" applyProtection="0"/>
    <xf numFmtId="0" fontId="24" fillId="24" borderId="361" applyNumberFormat="0" applyAlignment="0" applyProtection="0"/>
    <xf numFmtId="0" fontId="8" fillId="10" borderId="360" applyNumberFormat="0" applyFont="0" applyAlignment="0" applyProtection="0"/>
    <xf numFmtId="0" fontId="41" fillId="13" borderId="359" applyNumberFormat="0" applyAlignment="0" applyProtection="0"/>
    <xf numFmtId="0" fontId="48" fillId="12" borderId="359" applyNumberFormat="0" applyAlignment="0" applyProtection="0"/>
    <xf numFmtId="0" fontId="48" fillId="24" borderId="359" applyNumberFormat="0" applyAlignment="0" applyProtection="0"/>
    <xf numFmtId="0" fontId="31" fillId="0" borderId="357" applyNumberFormat="0" applyFill="0" applyAlignment="0" applyProtection="0"/>
    <xf numFmtId="0" fontId="48" fillId="24" borderId="359" applyNumberFormat="0" applyAlignment="0" applyProtection="0"/>
    <xf numFmtId="0" fontId="49" fillId="10" borderId="360" applyNumberFormat="0" applyFont="0" applyAlignment="0" applyProtection="0"/>
    <xf numFmtId="0" fontId="29" fillId="12" borderId="358" applyNumberFormat="0" applyAlignment="0" applyProtection="0"/>
    <xf numFmtId="0" fontId="8" fillId="10" borderId="360" applyNumberFormat="0" applyFont="0" applyAlignment="0" applyProtection="0"/>
    <xf numFmtId="0" fontId="8" fillId="10" borderId="353" applyNumberFormat="0" applyFont="0" applyAlignment="0" applyProtection="0"/>
    <xf numFmtId="0" fontId="49" fillId="10" borderId="353" applyNumberFormat="0" applyFont="0" applyAlignment="0" applyProtection="0"/>
    <xf numFmtId="0" fontId="31" fillId="0" borderId="355" applyNumberFormat="0" applyFill="0" applyAlignment="0" applyProtection="0"/>
    <xf numFmtId="0" fontId="31" fillId="0" borderId="357" applyNumberFormat="0" applyFill="0" applyAlignment="0" applyProtection="0"/>
    <xf numFmtId="0" fontId="31" fillId="0" borderId="362" applyNumberFormat="0" applyFill="0" applyAlignment="0" applyProtection="0"/>
    <xf numFmtId="0" fontId="31" fillId="0" borderId="357" applyNumberFormat="0" applyFill="0" applyAlignment="0" applyProtection="0"/>
    <xf numFmtId="0" fontId="16" fillId="24" borderId="359" applyNumberFormat="0" applyAlignment="0" applyProtection="0"/>
    <xf numFmtId="0" fontId="32" fillId="24" borderId="359" applyNumberFormat="0" applyAlignment="0" applyProtection="0"/>
    <xf numFmtId="0" fontId="25" fillId="13" borderId="359" applyNumberFormat="0" applyAlignment="0" applyProtection="0"/>
    <xf numFmtId="0" fontId="28" fillId="10" borderId="360" applyNumberFormat="0" applyFont="0" applyAlignment="0" applyProtection="0"/>
    <xf numFmtId="0" fontId="18" fillId="10" borderId="360" applyNumberFormat="0" applyFont="0" applyAlignment="0" applyProtection="0"/>
    <xf numFmtId="0" fontId="29" fillId="24" borderId="358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0" fontId="8" fillId="0" borderId="0"/>
    <xf numFmtId="174" fontId="28" fillId="0" borderId="0"/>
    <xf numFmtId="0" fontId="2" fillId="0" borderId="0"/>
  </cellStyleXfs>
  <cellXfs count="572">
    <xf numFmtId="0" fontId="0" fillId="0" borderId="0" xfId="0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/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11" fillId="0" borderId="0" xfId="296" applyFont="1" applyBorder="1"/>
    <xf numFmtId="166" fontId="11" fillId="0" borderId="0" xfId="1" applyNumberFormat="1" applyFont="1" applyFill="1" applyBorder="1"/>
    <xf numFmtId="3" fontId="0" fillId="0" borderId="0" xfId="0" applyNumberFormat="1" applyFont="1" applyBorder="1"/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44" fontId="0" fillId="0" borderId="0" xfId="2" applyFont="1" applyFill="1"/>
    <xf numFmtId="0" fontId="0" fillId="0" borderId="0" xfId="0" applyFont="1" applyFill="1" applyBorder="1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1" xfId="0" applyNumberFormat="1" applyFont="1" applyFill="1" applyBorder="1" applyAlignment="1">
      <alignment horizontal="right"/>
    </xf>
    <xf numFmtId="0" fontId="0" fillId="6" borderId="31" xfId="0" applyFont="1" applyFill="1" applyBorder="1" applyAlignment="1">
      <alignment horizontal="center" vertical="center"/>
    </xf>
    <xf numFmtId="0" fontId="12" fillId="6" borderId="31" xfId="4" applyFont="1" applyFill="1" applyBorder="1" applyAlignment="1">
      <alignment horizontal="left"/>
    </xf>
    <xf numFmtId="43" fontId="0" fillId="6" borderId="31" xfId="0" applyNumberFormat="1" applyFont="1" applyFill="1" applyBorder="1"/>
    <xf numFmtId="0" fontId="3" fillId="0" borderId="0" xfId="0" applyFont="1" applyBorder="1"/>
    <xf numFmtId="4" fontId="0" fillId="0" borderId="0" xfId="2" applyNumberFormat="1" applyFont="1" applyFill="1" applyBorder="1"/>
    <xf numFmtId="0" fontId="97" fillId="0" borderId="0" xfId="0" applyFont="1" applyBorder="1"/>
    <xf numFmtId="0" fontId="97" fillId="0" borderId="0" xfId="0" applyFont="1" applyBorder="1" applyAlignment="1">
      <alignment horizontal="right"/>
    </xf>
    <xf numFmtId="43" fontId="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/>
    <xf numFmtId="166" fontId="0" fillId="0" borderId="0" xfId="1" applyNumberFormat="1" applyFont="1" applyFill="1" applyBorder="1"/>
    <xf numFmtId="0" fontId="0" fillId="6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43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0" fontId="96" fillId="0" borderId="0" xfId="6089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0" fontId="11" fillId="0" borderId="0" xfId="296" applyFont="1" applyFill="1" applyBorder="1"/>
    <xf numFmtId="164" fontId="0" fillId="0" borderId="0" xfId="2" applyNumberFormat="1" applyFont="1" applyFill="1" applyBorder="1"/>
    <xf numFmtId="0" fontId="3" fillId="6" borderId="364" xfId="0" applyFont="1" applyFill="1" applyBorder="1" applyAlignment="1">
      <alignment horizontal="center" vertical="center" wrapText="1"/>
    </xf>
    <xf numFmtId="166" fontId="3" fillId="6" borderId="364" xfId="1" applyNumberFormat="1" applyFont="1" applyFill="1" applyBorder="1" applyAlignment="1">
      <alignment horizontal="center" vertical="center" wrapText="1"/>
    </xf>
    <xf numFmtId="3" fontId="3" fillId="6" borderId="364" xfId="0" applyNumberFormat="1" applyFont="1" applyFill="1" applyBorder="1" applyAlignment="1">
      <alignment horizontal="center" vertical="center" wrapText="1"/>
    </xf>
    <xf numFmtId="0" fontId="3" fillId="2" borderId="36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43" fontId="3" fillId="2" borderId="364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332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366" applyFont="1"/>
    <xf numFmtId="166" fontId="3" fillId="6" borderId="31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6" xfId="1" applyNumberFormat="1" applyFont="1" applyFill="1" applyBorder="1"/>
    <xf numFmtId="166" fontId="3" fillId="0" borderId="0" xfId="0" applyNumberFormat="1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177" fontId="3" fillId="0" borderId="0" xfId="3" applyNumberFormat="1" applyFont="1" applyFill="1" applyAlignment="1">
      <alignment horizontal="center" vertical="center" wrapText="1"/>
    </xf>
    <xf numFmtId="0" fontId="0" fillId="6" borderId="365" xfId="0" applyFont="1" applyFill="1" applyBorder="1" applyAlignment="1">
      <alignment horizontal="center"/>
    </xf>
    <xf numFmtId="0" fontId="12" fillId="6" borderId="365" xfId="4" applyFont="1" applyFill="1" applyBorder="1" applyAlignment="1">
      <alignment horizontal="left"/>
    </xf>
    <xf numFmtId="3" fontId="3" fillId="6" borderId="365" xfId="0" applyNumberFormat="1" applyFont="1" applyFill="1" applyBorder="1" applyAlignment="1">
      <alignment horizontal="right"/>
    </xf>
    <xf numFmtId="43" fontId="0" fillId="6" borderId="365" xfId="0" applyNumberFormat="1" applyFont="1" applyFill="1" applyBorder="1"/>
    <xf numFmtId="166" fontId="3" fillId="6" borderId="365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3" fontId="3" fillId="6" borderId="365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67" xfId="0" applyFont="1" applyFill="1" applyBorder="1" applyAlignment="1">
      <alignment vertical="center"/>
    </xf>
    <xf numFmtId="0" fontId="3" fillId="6" borderId="368" xfId="0" applyFont="1" applyFill="1" applyBorder="1" applyAlignment="1">
      <alignment vertical="center" textRotation="90"/>
    </xf>
    <xf numFmtId="0" fontId="3" fillId="78" borderId="36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4" xfId="0" applyFont="1" applyFill="1" applyBorder="1" applyAlignment="1">
      <alignment horizontal="center" vertical="center" wrapText="1"/>
    </xf>
    <xf numFmtId="43" fontId="98" fillId="2" borderId="364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 applyFill="1" applyBorder="1"/>
    <xf numFmtId="3" fontId="100" fillId="6" borderId="364" xfId="0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horizontal="left"/>
    </xf>
    <xf numFmtId="43" fontId="0" fillId="0" borderId="0" xfId="1" applyNumberFormat="1" applyFont="1" applyBorder="1"/>
    <xf numFmtId="10" fontId="102" fillId="0" borderId="0" xfId="3" applyNumberFormat="1" applyFont="1" applyFill="1" applyBorder="1"/>
    <xf numFmtId="43" fontId="0" fillId="0" borderId="0" xfId="0" applyNumberFormat="1"/>
    <xf numFmtId="0" fontId="11" fillId="0" borderId="0" xfId="0" applyFont="1" applyFill="1" applyAlignment="1">
      <alignment horizontal="right"/>
    </xf>
    <xf numFmtId="0" fontId="0" fillId="5" borderId="0" xfId="0" applyFont="1" applyFill="1" applyBorder="1"/>
    <xf numFmtId="0" fontId="3" fillId="80" borderId="0" xfId="0" applyFont="1" applyFill="1" applyAlignment="1">
      <alignment horizontal="center"/>
    </xf>
    <xf numFmtId="44" fontId="0" fillId="80" borderId="0" xfId="2" applyFont="1" applyFill="1" applyBorder="1"/>
    <xf numFmtId="43" fontId="0" fillId="0" borderId="0" xfId="1" applyNumberFormat="1" applyFont="1" applyFill="1" applyBorder="1" applyAlignment="1">
      <alignment horizontal="right"/>
    </xf>
    <xf numFmtId="0" fontId="9" fillId="0" borderId="0" xfId="0" applyFo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3" fillId="78" borderId="0" xfId="0" applyFont="1" applyFill="1" applyBorder="1" applyAlignment="1">
      <alignment horizontal="center"/>
    </xf>
    <xf numFmtId="0" fontId="3" fillId="80" borderId="364" xfId="0" applyFont="1" applyFill="1" applyBorder="1" applyAlignment="1">
      <alignment horizontal="center" vertical="center" wrapText="1"/>
    </xf>
    <xf numFmtId="44" fontId="0" fillId="78" borderId="0" xfId="2" applyFont="1" applyFill="1" applyBorder="1"/>
    <xf numFmtId="3" fontId="0" fillId="81" borderId="0" xfId="1" applyNumberFormat="1" applyFont="1" applyFill="1" applyBorder="1" applyAlignment="1">
      <alignment horizontal="right"/>
    </xf>
    <xf numFmtId="0" fontId="3" fillId="81" borderId="0" xfId="0" applyFont="1" applyFill="1" applyBorder="1" applyAlignment="1">
      <alignment horizontal="center"/>
    </xf>
    <xf numFmtId="166" fontId="102" fillId="0" borderId="369" xfId="1" applyNumberFormat="1" applyFont="1" applyFill="1" applyBorder="1" applyAlignment="1">
      <alignment horizontal="right"/>
    </xf>
    <xf numFmtId="166" fontId="0" fillId="0" borderId="369" xfId="1" applyNumberFormat="1" applyFont="1" applyFill="1" applyBorder="1" applyAlignment="1">
      <alignment horizontal="right"/>
    </xf>
    <xf numFmtId="166" fontId="102" fillId="0" borderId="0" xfId="1" applyNumberFormat="1" applyFont="1" applyFill="1" applyBorder="1" applyAlignment="1">
      <alignment horizontal="right"/>
    </xf>
    <xf numFmtId="0" fontId="11" fillId="75" borderId="0" xfId="0" applyFont="1" applyFill="1" applyBorder="1" applyAlignment="1">
      <alignment horizontal="left" vertical="center"/>
    </xf>
    <xf numFmtId="0" fontId="3" fillId="82" borderId="0" xfId="0" applyFont="1" applyFill="1" applyBorder="1" applyAlignment="1">
      <alignment horizontal="center"/>
    </xf>
    <xf numFmtId="164" fontId="3" fillId="6" borderId="31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1" applyFont="1" applyFill="1" applyAlignment="1">
      <alignment horizontal="left"/>
    </xf>
    <xf numFmtId="0" fontId="11" fillId="75" borderId="0" xfId="0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75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4" borderId="0" xfId="0" applyFont="1" applyFill="1" applyAlignment="1">
      <alignment horizontal="right"/>
    </xf>
    <xf numFmtId="0" fontId="12" fillId="74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74" borderId="0" xfId="0" applyFont="1" applyFill="1" applyAlignment="1">
      <alignment horizontal="left"/>
    </xf>
    <xf numFmtId="43" fontId="11" fillId="74" borderId="0" xfId="1" applyFont="1" applyFill="1" applyAlignment="1">
      <alignment horizontal="right"/>
    </xf>
    <xf numFmtId="43" fontId="11" fillId="74" borderId="0" xfId="0" applyNumberFormat="1" applyFont="1" applyFill="1" applyAlignment="1">
      <alignment horizontal="right"/>
    </xf>
    <xf numFmtId="43" fontId="11" fillId="0" borderId="0" xfId="1" applyNumberFormat="1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3" fontId="0" fillId="0" borderId="0" xfId="0" applyNumberFormat="1" applyFill="1"/>
    <xf numFmtId="166" fontId="12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0" fillId="6" borderId="364" xfId="1" applyNumberFormat="1" applyFont="1" applyFill="1" applyBorder="1" applyAlignment="1">
      <alignment horizontal="center" vertical="center" wrapText="1"/>
    </xf>
    <xf numFmtId="43" fontId="102" fillId="0" borderId="0" xfId="1" applyNumberFormat="1" applyFont="1"/>
    <xf numFmtId="0" fontId="100" fillId="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0" fillId="0" borderId="0" xfId="0" applyFont="1" applyAlignment="1"/>
    <xf numFmtId="43" fontId="1" fillId="0" borderId="0" xfId="1294" applyFont="1" applyAlignment="1"/>
    <xf numFmtId="43" fontId="0" fillId="0" borderId="0" xfId="0" applyNumberFormat="1" applyFont="1" applyAlignment="1"/>
    <xf numFmtId="43" fontId="1" fillId="0" borderId="0" xfId="1294" applyFont="1" applyAlignment="1">
      <alignment horizontal="center"/>
    </xf>
    <xf numFmtId="166" fontId="1" fillId="0" borderId="0" xfId="1294" applyNumberFormat="1" applyFont="1" applyAlignment="1"/>
    <xf numFmtId="0" fontId="11" fillId="0" borderId="0" xfId="0" applyFont="1" applyFill="1" applyAlignment="1"/>
    <xf numFmtId="0" fontId="9" fillId="0" borderId="0" xfId="0" applyFont="1" applyFill="1" applyAlignment="1"/>
    <xf numFmtId="166" fontId="1" fillId="0" borderId="0" xfId="1294" applyNumberFormat="1" applyFont="1" applyFill="1" applyAlignment="1"/>
    <xf numFmtId="43" fontId="0" fillId="0" borderId="0" xfId="0" applyNumberFormat="1" applyFont="1" applyFill="1" applyAlignment="1"/>
    <xf numFmtId="165" fontId="1" fillId="0" borderId="0" xfId="2" applyNumberFormat="1" applyFont="1" applyFill="1"/>
    <xf numFmtId="167" fontId="1" fillId="0" borderId="0" xfId="1294" applyNumberFormat="1" applyFont="1" applyAlignment="1"/>
    <xf numFmtId="165" fontId="1" fillId="0" borderId="1" xfId="2" applyNumberFormat="1" applyFont="1" applyFill="1" applyBorder="1"/>
    <xf numFmtId="10" fontId="0" fillId="0" borderId="0" xfId="0" applyNumberFormat="1" applyFont="1" applyAlignment="1"/>
    <xf numFmtId="167" fontId="1" fillId="0" borderId="0" xfId="1294" applyNumberFormat="1" applyFont="1" applyBorder="1" applyAlignment="1"/>
    <xf numFmtId="44" fontId="1" fillId="0" borderId="0" xfId="2" applyFont="1" applyFill="1"/>
    <xf numFmtId="169" fontId="1" fillId="0" borderId="0" xfId="2" applyNumberFormat="1" applyFont="1" applyFill="1"/>
    <xf numFmtId="167" fontId="1" fillId="0" borderId="1" xfId="1294" applyNumberFormat="1" applyFont="1" applyBorder="1" applyAlignment="1"/>
    <xf numFmtId="170" fontId="0" fillId="0" borderId="0" xfId="3" applyNumberFormat="1" applyFont="1" applyAlignment="1"/>
    <xf numFmtId="168" fontId="0" fillId="0" borderId="0" xfId="0" applyNumberFormat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10" fontId="0" fillId="0" borderId="0" xfId="3" applyNumberFormat="1" applyFont="1" applyAlignment="1"/>
    <xf numFmtId="44" fontId="0" fillId="0" borderId="0" xfId="0" applyNumberFormat="1" applyAlignment="1"/>
    <xf numFmtId="44" fontId="0" fillId="0" borderId="0" xfId="0" applyNumberFormat="1" applyFont="1" applyAlignment="1"/>
    <xf numFmtId="169" fontId="1" fillId="0" borderId="0" xfId="2" applyNumberFormat="1" applyFont="1" applyFill="1" applyBorder="1"/>
    <xf numFmtId="0" fontId="0" fillId="0" borderId="0" xfId="0" applyFill="1" applyBorder="1" applyAlignment="1"/>
    <xf numFmtId="0" fontId="3" fillId="0" borderId="19" xfId="0" applyFont="1" applyBorder="1" applyAlignment="1"/>
    <xf numFmtId="0" fontId="0" fillId="0" borderId="20" xfId="0" applyFont="1" applyBorder="1" applyAlignment="1"/>
    <xf numFmtId="0" fontId="0" fillId="0" borderId="22" xfId="0" applyFont="1" applyBorder="1" applyAlignment="1"/>
    <xf numFmtId="44" fontId="1" fillId="0" borderId="0" xfId="2" applyFont="1" applyBorder="1"/>
    <xf numFmtId="44" fontId="3" fillId="0" borderId="0" xfId="0" applyNumberFormat="1" applyFont="1" applyBorder="1" applyAlignment="1"/>
    <xf numFmtId="0" fontId="103" fillId="0" borderId="0" xfId="37404" applyFont="1" applyFill="1"/>
    <xf numFmtId="0" fontId="108" fillId="0" borderId="0" xfId="37404" applyFont="1" applyFill="1"/>
    <xf numFmtId="0" fontId="108" fillId="0" borderId="0" xfId="37404" applyFont="1"/>
    <xf numFmtId="0" fontId="103" fillId="77" borderId="0" xfId="37404" applyFont="1" applyFill="1" applyAlignment="1">
      <alignment horizontal="right"/>
    </xf>
    <xf numFmtId="0" fontId="103" fillId="77" borderId="0" xfId="37404" applyFont="1" applyFill="1"/>
    <xf numFmtId="0" fontId="108" fillId="77" borderId="0" xfId="37404" applyFont="1" applyFill="1"/>
    <xf numFmtId="10" fontId="108" fillId="77" borderId="0" xfId="12512" applyNumberFormat="1" applyFont="1" applyFill="1"/>
    <xf numFmtId="2" fontId="108" fillId="0" borderId="0" xfId="37404" applyNumberFormat="1" applyFont="1"/>
    <xf numFmtId="0" fontId="103" fillId="0" borderId="0" xfId="37404" applyFont="1" applyFill="1" applyAlignment="1">
      <alignment horizontal="center" wrapText="1"/>
    </xf>
    <xf numFmtId="17" fontId="103" fillId="79" borderId="0" xfId="37404" applyNumberFormat="1" applyFont="1" applyFill="1" applyAlignment="1">
      <alignment horizontal="center"/>
    </xf>
    <xf numFmtId="17" fontId="103" fillId="69" borderId="0" xfId="37404" applyNumberFormat="1" applyFont="1" applyFill="1" applyAlignment="1">
      <alignment horizontal="center"/>
    </xf>
    <xf numFmtId="0" fontId="103" fillId="0" borderId="0" xfId="37404" applyFont="1" applyFill="1" applyAlignment="1">
      <alignment horizontal="center"/>
    </xf>
    <xf numFmtId="0" fontId="103" fillId="79" borderId="0" xfId="37404" applyFont="1" applyFill="1" applyAlignment="1">
      <alignment horizontal="center" wrapText="1"/>
    </xf>
    <xf numFmtId="0" fontId="103" fillId="69" borderId="0" xfId="37404" applyFont="1" applyFill="1" applyAlignment="1">
      <alignment horizontal="center" wrapText="1"/>
    </xf>
    <xf numFmtId="0" fontId="109" fillId="0" borderId="0" xfId="37404" applyFont="1" applyFill="1" applyAlignment="1">
      <alignment horizontal="left"/>
    </xf>
    <xf numFmtId="0" fontId="110" fillId="0" borderId="0" xfId="37404" applyFont="1" applyFill="1" applyAlignment="1">
      <alignment horizontal="center"/>
    </xf>
    <xf numFmtId="0" fontId="109" fillId="0" borderId="0" xfId="37404" applyFont="1" applyFill="1" applyAlignment="1">
      <alignment horizontal="center"/>
    </xf>
    <xf numFmtId="0" fontId="103" fillId="0" borderId="0" xfId="37404" applyFont="1"/>
    <xf numFmtId="0" fontId="103" fillId="0" borderId="0" xfId="37404" applyFont="1" applyFill="1" applyAlignment="1">
      <alignment horizontal="left"/>
    </xf>
    <xf numFmtId="0" fontId="108" fillId="0" borderId="0" xfId="37408" applyFont="1" applyFill="1"/>
    <xf numFmtId="43" fontId="108" fillId="0" borderId="0" xfId="103" applyFont="1" applyFill="1"/>
    <xf numFmtId="166" fontId="108" fillId="0" borderId="0" xfId="103" applyNumberFormat="1" applyFont="1" applyFill="1"/>
    <xf numFmtId="166" fontId="108" fillId="0" borderId="0" xfId="37404" applyNumberFormat="1" applyFont="1" applyFill="1"/>
    <xf numFmtId="0" fontId="108" fillId="76" borderId="0" xfId="37404" applyFont="1" applyFill="1"/>
    <xf numFmtId="166" fontId="108" fillId="76" borderId="0" xfId="37404" applyNumberFormat="1" applyFont="1" applyFill="1"/>
    <xf numFmtId="0" fontId="108" fillId="0" borderId="0" xfId="37404" applyFont="1" applyFill="1" applyBorder="1"/>
    <xf numFmtId="0" fontId="103" fillId="0" borderId="0" xfId="37404" applyFont="1" applyFill="1" applyBorder="1" applyAlignment="1">
      <alignment horizontal="right"/>
    </xf>
    <xf numFmtId="0" fontId="103" fillId="0" borderId="0" xfId="37404" applyFont="1" applyFill="1" applyBorder="1"/>
    <xf numFmtId="164" fontId="108" fillId="0" borderId="0" xfId="37404" applyNumberFormat="1" applyFont="1" applyFill="1"/>
    <xf numFmtId="44" fontId="108" fillId="0" borderId="0" xfId="37404" applyNumberFormat="1" applyFont="1" applyFill="1"/>
    <xf numFmtId="43" fontId="108" fillId="0" borderId="0" xfId="37404" applyNumberFormat="1" applyFont="1" applyFill="1"/>
    <xf numFmtId="0" fontId="103" fillId="0" borderId="0" xfId="37404" applyFont="1" applyFill="1" applyAlignment="1">
      <alignment horizontal="right"/>
    </xf>
    <xf numFmtId="164" fontId="103" fillId="0" borderId="369" xfId="37404" applyNumberFormat="1" applyFont="1" applyFill="1" applyBorder="1"/>
    <xf numFmtId="166" fontId="103" fillId="0" borderId="0" xfId="37404" applyNumberFormat="1" applyFont="1" applyFill="1"/>
    <xf numFmtId="166" fontId="103" fillId="0" borderId="0" xfId="103" applyNumberFormat="1" applyFont="1" applyFill="1"/>
    <xf numFmtId="0" fontId="3" fillId="0" borderId="0" xfId="0" applyFont="1" applyFill="1" applyBorder="1" applyAlignment="1">
      <alignment horizontal="center"/>
    </xf>
    <xf numFmtId="0" fontId="3" fillId="81" borderId="0" xfId="0" applyFont="1" applyFill="1" applyAlignment="1"/>
    <xf numFmtId="44" fontId="11" fillId="81" borderId="366" xfId="2" applyFont="1" applyFill="1" applyBorder="1"/>
    <xf numFmtId="0" fontId="3" fillId="2" borderId="1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0" xfId="0" applyFont="1" applyFill="1" applyBorder="1" applyAlignment="1">
      <alignment horizontal="center"/>
    </xf>
    <xf numFmtId="0" fontId="113" fillId="0" borderId="0" xfId="0" applyFont="1" applyFill="1" applyBorder="1"/>
    <xf numFmtId="0" fontId="11" fillId="75" borderId="0" xfId="0" applyFont="1" applyFill="1" applyAlignment="1">
      <alignment horizontal="center"/>
    </xf>
    <xf numFmtId="0" fontId="11" fillId="7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1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left"/>
    </xf>
    <xf numFmtId="10" fontId="0" fillId="0" borderId="0" xfId="0" applyNumberFormat="1" applyFont="1" applyFill="1" applyAlignment="1"/>
    <xf numFmtId="0" fontId="0" fillId="0" borderId="0" xfId="0" applyFont="1" applyFill="1" applyAlignment="1"/>
    <xf numFmtId="166" fontId="0" fillId="0" borderId="1" xfId="1294" applyNumberFormat="1" applyFont="1" applyFill="1" applyBorder="1"/>
    <xf numFmtId="164" fontId="3" fillId="0" borderId="0" xfId="2" applyNumberFormat="1" applyFont="1" applyBorder="1"/>
    <xf numFmtId="43" fontId="11" fillId="74" borderId="0" xfId="1" applyFont="1" applyFill="1" applyAlignment="1">
      <alignment horizontal="left"/>
    </xf>
    <xf numFmtId="0" fontId="98" fillId="0" borderId="0" xfId="0" applyFont="1" applyFill="1" applyBorder="1" applyAlignment="1">
      <alignment horizontal="center" vertical="center" wrapText="1"/>
    </xf>
    <xf numFmtId="166" fontId="102" fillId="0" borderId="0" xfId="1" applyNumberFormat="1" applyFont="1" applyFill="1" applyBorder="1"/>
    <xf numFmtId="164" fontId="0" fillId="0" borderId="0" xfId="2" applyNumberFormat="1" applyFont="1" applyAlignment="1"/>
    <xf numFmtId="164" fontId="1" fillId="0" borderId="21" xfId="2" applyNumberFormat="1" applyFont="1" applyFill="1" applyBorder="1"/>
    <xf numFmtId="0" fontId="0" fillId="0" borderId="0" xfId="0" applyFont="1" applyAlignment="1">
      <alignment horizontal="right"/>
    </xf>
    <xf numFmtId="44" fontId="0" fillId="0" borderId="0" xfId="2" applyFont="1" applyFill="1" applyAlignment="1"/>
    <xf numFmtId="44" fontId="0" fillId="81" borderId="0" xfId="2" applyFont="1" applyFill="1" applyAlignment="1"/>
    <xf numFmtId="10" fontId="0" fillId="81" borderId="1" xfId="0" applyNumberFormat="1" applyFont="1" applyFill="1" applyBorder="1" applyAlignment="1"/>
    <xf numFmtId="0" fontId="113" fillId="0" borderId="0" xfId="0" applyFont="1" applyFill="1" applyAlignment="1"/>
    <xf numFmtId="0" fontId="115" fillId="0" borderId="369" xfId="0" applyFont="1" applyFill="1" applyBorder="1" applyAlignment="1">
      <alignment horizontal="right"/>
    </xf>
    <xf numFmtId="0" fontId="115" fillId="0" borderId="0" xfId="0" applyFont="1" applyFill="1" applyBorder="1" applyAlignment="1">
      <alignment horizontal="right"/>
    </xf>
    <xf numFmtId="166" fontId="11" fillId="0" borderId="369" xfId="0" applyNumberFormat="1" applyFont="1" applyFill="1" applyBorder="1"/>
    <xf numFmtId="0" fontId="11" fillId="0" borderId="0" xfId="0" applyFont="1" applyFill="1" applyBorder="1"/>
    <xf numFmtId="0" fontId="0" fillId="0" borderId="0" xfId="0" applyFont="1" applyBorder="1" applyAlignment="1"/>
    <xf numFmtId="164" fontId="1" fillId="0" borderId="23" xfId="2" applyNumberFormat="1" applyFont="1" applyFill="1" applyBorder="1"/>
    <xf numFmtId="44" fontId="0" fillId="0" borderId="0" xfId="0" applyNumberFormat="1" applyFont="1" applyFill="1" applyBorder="1"/>
    <xf numFmtId="0" fontId="103" fillId="5" borderId="0" xfId="37404" applyFont="1" applyFill="1"/>
    <xf numFmtId="43" fontId="11" fillId="74" borderId="0" xfId="1" applyNumberFormat="1" applyFont="1" applyFill="1" applyAlignment="1">
      <alignment horizontal="right"/>
    </xf>
    <xf numFmtId="164" fontId="3" fillId="6" borderId="365" xfId="2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44" fontId="97" fillId="0" borderId="0" xfId="0" applyNumberFormat="1" applyFont="1" applyFill="1" applyBorder="1"/>
    <xf numFmtId="44" fontId="11" fillId="81" borderId="1" xfId="2" applyFont="1" applyFill="1" applyBorder="1"/>
    <xf numFmtId="166" fontId="116" fillId="0" borderId="0" xfId="103" applyNumberFormat="1" applyFont="1"/>
    <xf numFmtId="10" fontId="108" fillId="0" borderId="0" xfId="37404" applyNumberFormat="1" applyFont="1" applyFill="1"/>
    <xf numFmtId="43" fontId="103" fillId="75" borderId="367" xfId="103" applyFont="1" applyFill="1" applyBorder="1" applyAlignment="1">
      <alignment horizontal="center"/>
    </xf>
    <xf numFmtId="0" fontId="103" fillId="81" borderId="367" xfId="37404" applyFont="1" applyFill="1" applyBorder="1" applyAlignment="1">
      <alignment horizontal="center" wrapText="1"/>
    </xf>
    <xf numFmtId="17" fontId="103" fillId="69" borderId="367" xfId="37404" applyNumberFormat="1" applyFont="1" applyFill="1" applyBorder="1" applyAlignment="1">
      <alignment horizontal="center"/>
    </xf>
    <xf numFmtId="166" fontId="103" fillId="69" borderId="367" xfId="103" applyNumberFormat="1" applyFont="1" applyFill="1" applyBorder="1" applyAlignment="1">
      <alignment horizontal="center"/>
    </xf>
    <xf numFmtId="0" fontId="103" fillId="76" borderId="0" xfId="37404" applyFont="1" applyFill="1" applyBorder="1" applyAlignment="1">
      <alignment horizontal="center"/>
    </xf>
    <xf numFmtId="14" fontId="103" fillId="75" borderId="371" xfId="103" quotePrefix="1" applyNumberFormat="1" applyFont="1" applyFill="1" applyBorder="1" applyAlignment="1">
      <alignment horizontal="center" wrapText="1"/>
    </xf>
    <xf numFmtId="0" fontId="103" fillId="81" borderId="371" xfId="37404" applyFont="1" applyFill="1" applyBorder="1" applyAlignment="1">
      <alignment horizontal="center" wrapText="1"/>
    </xf>
    <xf numFmtId="0" fontId="103" fillId="69" borderId="371" xfId="37404" applyFont="1" applyFill="1" applyBorder="1" applyAlignment="1">
      <alignment horizontal="center" wrapText="1"/>
    </xf>
    <xf numFmtId="166" fontId="103" fillId="69" borderId="371" xfId="103" applyNumberFormat="1" applyFont="1" applyFill="1" applyBorder="1" applyAlignment="1">
      <alignment horizontal="center" wrapText="1"/>
    </xf>
    <xf numFmtId="0" fontId="103" fillId="0" borderId="372" xfId="37404" applyFont="1" applyFill="1" applyBorder="1" applyAlignment="1">
      <alignment horizontal="center" vertical="center"/>
    </xf>
    <xf numFmtId="0" fontId="103" fillId="0" borderId="0" xfId="37404" applyFont="1" applyFill="1" applyBorder="1" applyAlignment="1">
      <alignment horizontal="center" vertical="center"/>
    </xf>
    <xf numFmtId="166" fontId="116" fillId="0" borderId="0" xfId="103" applyNumberFormat="1" applyFont="1" applyFill="1"/>
    <xf numFmtId="43" fontId="109" fillId="0" borderId="0" xfId="103" applyFont="1" applyFill="1" applyAlignment="1">
      <alignment horizontal="left"/>
    </xf>
    <xf numFmtId="43" fontId="109" fillId="0" borderId="0" xfId="103" applyFont="1" applyFill="1" applyAlignment="1">
      <alignment horizontal="center"/>
    </xf>
    <xf numFmtId="43" fontId="103" fillId="0" borderId="0" xfId="103" applyFont="1" applyFill="1" applyAlignment="1">
      <alignment horizontal="left"/>
    </xf>
    <xf numFmtId="0" fontId="116" fillId="0" borderId="0" xfId="0" applyFont="1" applyFill="1" applyBorder="1"/>
    <xf numFmtId="0" fontId="0" fillId="0" borderId="0" xfId="0" applyFill="1" applyBorder="1" applyAlignment="1">
      <alignment horizontal="left"/>
    </xf>
    <xf numFmtId="0" fontId="108" fillId="0" borderId="0" xfId="37408" applyFont="1" applyFill="1" applyBorder="1"/>
    <xf numFmtId="0" fontId="103" fillId="76" borderId="0" xfId="37404" applyFont="1" applyFill="1"/>
    <xf numFmtId="166" fontId="103" fillId="76" borderId="0" xfId="37404" applyNumberFormat="1" applyFont="1" applyFill="1"/>
    <xf numFmtId="164" fontId="111" fillId="0" borderId="373" xfId="37406" applyNumberFormat="1" applyFont="1" applyFill="1" applyBorder="1"/>
    <xf numFmtId="43" fontId="111" fillId="0" borderId="373" xfId="103" applyFont="1" applyFill="1" applyBorder="1"/>
    <xf numFmtId="44" fontId="112" fillId="0" borderId="0" xfId="37406" applyFont="1" applyFill="1" applyBorder="1"/>
    <xf numFmtId="166" fontId="103" fillId="0" borderId="374" xfId="103" applyNumberFormat="1" applyFont="1" applyFill="1" applyBorder="1"/>
    <xf numFmtId="0" fontId="116" fillId="0" borderId="0" xfId="0" applyFont="1" applyFill="1"/>
    <xf numFmtId="44" fontId="111" fillId="0" borderId="373" xfId="37406" applyFont="1" applyFill="1" applyBorder="1"/>
    <xf numFmtId="166" fontId="111" fillId="0" borderId="373" xfId="103" applyNumberFormat="1" applyFont="1" applyFill="1" applyBorder="1"/>
    <xf numFmtId="0" fontId="109" fillId="0" borderId="0" xfId="37404" applyFont="1" applyFill="1" applyBorder="1" applyAlignment="1">
      <alignment horizontal="left"/>
    </xf>
    <xf numFmtId="43" fontId="110" fillId="0" borderId="0" xfId="37404" applyNumberFormat="1" applyFont="1" applyFill="1" applyAlignment="1">
      <alignment horizontal="center"/>
    </xf>
    <xf numFmtId="0" fontId="103" fillId="0" borderId="0" xfId="37404" applyFont="1" applyFill="1" applyBorder="1" applyAlignment="1">
      <alignment horizontal="left"/>
    </xf>
    <xf numFmtId="43" fontId="108" fillId="0" borderId="0" xfId="103" applyNumberFormat="1" applyFont="1" applyFill="1"/>
    <xf numFmtId="0" fontId="0" fillId="0" borderId="0" xfId="0" applyAlignment="1">
      <alignment horizontal="left"/>
    </xf>
    <xf numFmtId="0" fontId="109" fillId="0" borderId="0" xfId="37404" applyFont="1" applyFill="1" applyBorder="1" applyAlignment="1">
      <alignment horizontal="center"/>
    </xf>
    <xf numFmtId="44" fontId="108" fillId="0" borderId="0" xfId="37406" applyFont="1" applyFill="1"/>
    <xf numFmtId="43" fontId="108" fillId="76" borderId="0" xfId="37404" applyNumberFormat="1" applyFont="1" applyFill="1"/>
    <xf numFmtId="43" fontId="111" fillId="0" borderId="373" xfId="103" applyNumberFormat="1" applyFont="1" applyFill="1" applyBorder="1"/>
    <xf numFmtId="170" fontId="108" fillId="0" borderId="0" xfId="12512" applyNumberFormat="1" applyFont="1" applyFill="1"/>
    <xf numFmtId="43" fontId="103" fillId="0" borderId="0" xfId="103" applyFont="1" applyFill="1" applyAlignment="1">
      <alignment horizontal="right"/>
    </xf>
    <xf numFmtId="164" fontId="111" fillId="0" borderId="373" xfId="103" applyNumberFormat="1" applyFont="1" applyFill="1" applyBorder="1"/>
    <xf numFmtId="164" fontId="108" fillId="0" borderId="0" xfId="103" applyNumberFormat="1" applyFont="1" applyFill="1"/>
    <xf numFmtId="44" fontId="103" fillId="0" borderId="369" xfId="37404" applyNumberFormat="1" applyFont="1" applyFill="1" applyBorder="1"/>
    <xf numFmtId="164" fontId="103" fillId="0" borderId="0" xfId="37404" applyNumberFormat="1" applyFont="1" applyFill="1"/>
    <xf numFmtId="164" fontId="103" fillId="0" borderId="369" xfId="103" applyNumberFormat="1" applyFont="1" applyFill="1" applyBorder="1"/>
    <xf numFmtId="43" fontId="103" fillId="0" borderId="0" xfId="37404" applyNumberFormat="1" applyFont="1" applyFill="1"/>
    <xf numFmtId="43" fontId="103" fillId="0" borderId="0" xfId="103" applyFont="1" applyFill="1"/>
    <xf numFmtId="0" fontId="103" fillId="0" borderId="1" xfId="37404" applyFont="1" applyFill="1" applyBorder="1" applyAlignment="1">
      <alignment horizontal="center"/>
    </xf>
    <xf numFmtId="164" fontId="103" fillId="0" borderId="1" xfId="37404" applyNumberFormat="1" applyFont="1" applyFill="1" applyBorder="1"/>
    <xf numFmtId="44" fontId="103" fillId="0" borderId="0" xfId="37404" applyNumberFormat="1" applyFont="1" applyFill="1" applyAlignment="1">
      <alignment horizontal="right"/>
    </xf>
    <xf numFmtId="0" fontId="117" fillId="0" borderId="0" xfId="37404" applyFont="1" applyFill="1"/>
    <xf numFmtId="0" fontId="118" fillId="0" borderId="0" xfId="37409" applyNumberFormat="1" applyFont="1" applyFill="1" applyAlignment="1">
      <alignment horizontal="left"/>
    </xf>
    <xf numFmtId="0" fontId="119" fillId="0" borderId="0" xfId="37409" applyNumberFormat="1" applyFont="1" applyFill="1" applyAlignment="1">
      <alignment horizontal="right"/>
    </xf>
    <xf numFmtId="174" fontId="118" fillId="0" borderId="0" xfId="37409" applyFont="1" applyFill="1"/>
    <xf numFmtId="0" fontId="119" fillId="0" borderId="0" xfId="7310" applyFont="1"/>
    <xf numFmtId="166" fontId="120" fillId="0" borderId="0" xfId="1" applyNumberFormat="1" applyFont="1"/>
    <xf numFmtId="0" fontId="120" fillId="0" borderId="0" xfId="0" applyFont="1"/>
    <xf numFmtId="0" fontId="121" fillId="0" borderId="0" xfId="7310" applyFont="1" applyFill="1" applyBorder="1"/>
    <xf numFmtId="166" fontId="122" fillId="0" borderId="0" xfId="1" applyNumberFormat="1" applyFont="1" applyFill="1" applyBorder="1"/>
    <xf numFmtId="0" fontId="122" fillId="0" borderId="0" xfId="7310" applyFont="1" applyFill="1" applyBorder="1"/>
    <xf numFmtId="0" fontId="118" fillId="0" borderId="0" xfId="37409" applyNumberFormat="1" applyFont="1" applyAlignment="1">
      <alignment horizontal="left"/>
    </xf>
    <xf numFmtId="0" fontId="119" fillId="0" borderId="0" xfId="37409" applyNumberFormat="1" applyFont="1" applyAlignment="1">
      <alignment horizontal="right"/>
    </xf>
    <xf numFmtId="0" fontId="121" fillId="83" borderId="0" xfId="7310" applyFont="1" applyFill="1" applyBorder="1"/>
    <xf numFmtId="0" fontId="122" fillId="83" borderId="0" xfId="7310" applyFont="1" applyFill="1" applyBorder="1"/>
    <xf numFmtId="166" fontId="122" fillId="83" borderId="0" xfId="1" applyNumberFormat="1" applyFont="1" applyFill="1" applyBorder="1"/>
    <xf numFmtId="0" fontId="118" fillId="81" borderId="1" xfId="7310" applyFont="1" applyFill="1" applyBorder="1" applyAlignment="1">
      <alignment horizontal="center" wrapText="1"/>
    </xf>
    <xf numFmtId="0" fontId="118" fillId="81" borderId="1" xfId="7310" applyFont="1" applyFill="1" applyBorder="1"/>
    <xf numFmtId="166" fontId="122" fillId="81" borderId="1" xfId="1" applyNumberFormat="1" applyFont="1" applyFill="1" applyBorder="1"/>
    <xf numFmtId="0" fontId="122" fillId="81" borderId="1" xfId="7310" applyFont="1" applyFill="1" applyBorder="1"/>
    <xf numFmtId="0" fontId="122" fillId="81" borderId="0" xfId="7310" applyFont="1" applyFill="1" applyBorder="1"/>
    <xf numFmtId="0" fontId="118" fillId="81" borderId="0" xfId="7310" applyFont="1" applyFill="1" applyBorder="1" applyAlignment="1">
      <alignment horizontal="center" wrapText="1"/>
    </xf>
    <xf numFmtId="0" fontId="118" fillId="81" borderId="0" xfId="7310" applyFont="1" applyFill="1" applyBorder="1"/>
    <xf numFmtId="166" fontId="122" fillId="81" borderId="0" xfId="1" applyNumberFormat="1" applyFont="1" applyFill="1" applyBorder="1"/>
    <xf numFmtId="0" fontId="121" fillId="83" borderId="0" xfId="7310" applyNumberFormat="1" applyFont="1" applyFill="1" applyAlignment="1" applyProtection="1">
      <alignment horizontal="center" wrapText="1"/>
      <protection locked="0"/>
    </xf>
    <xf numFmtId="0" fontId="118" fillId="2" borderId="0" xfId="7310" applyFont="1" applyFill="1" applyBorder="1" applyAlignment="1">
      <alignment horizontal="right"/>
    </xf>
    <xf numFmtId="0" fontId="119" fillId="2" borderId="0" xfId="7310" applyFont="1" applyFill="1" applyBorder="1" applyAlignment="1">
      <alignment horizontal="left"/>
    </xf>
    <xf numFmtId="166" fontId="119" fillId="2" borderId="0" xfId="1" applyNumberFormat="1" applyFont="1" applyFill="1" applyBorder="1"/>
    <xf numFmtId="10" fontId="119" fillId="2" borderId="0" xfId="7310" applyNumberFormat="1" applyFont="1" applyFill="1" applyBorder="1"/>
    <xf numFmtId="10" fontId="120" fillId="0" borderId="0" xfId="0" applyNumberFormat="1" applyFont="1"/>
    <xf numFmtId="0" fontId="118" fillId="0" borderId="0" xfId="7310" applyFont="1" applyBorder="1" applyAlignment="1">
      <alignment horizontal="right"/>
    </xf>
    <xf numFmtId="0" fontId="119" fillId="0" borderId="0" xfId="7310" applyNumberFormat="1" applyFont="1" applyBorder="1" applyAlignment="1" applyProtection="1">
      <alignment horizontal="left"/>
      <protection locked="0"/>
    </xf>
    <xf numFmtId="166" fontId="118" fillId="2" borderId="0" xfId="1" applyNumberFormat="1" applyFont="1" applyFill="1" applyBorder="1" applyAlignment="1" applyProtection="1">
      <alignment horizontal="center"/>
      <protection locked="0"/>
    </xf>
    <xf numFmtId="10" fontId="119" fillId="2" borderId="0" xfId="7310" applyNumberFormat="1" applyFont="1" applyFill="1" applyBorder="1" applyAlignment="1" applyProtection="1">
      <alignment horizontal="right"/>
      <protection locked="0"/>
    </xf>
    <xf numFmtId="0" fontId="118" fillId="0" borderId="0" xfId="37409" applyNumberFormat="1" applyFont="1" applyAlignment="1">
      <alignment horizontal="right"/>
    </xf>
    <xf numFmtId="0" fontId="121" fillId="83" borderId="0" xfId="7310" applyFont="1" applyFill="1" applyAlignment="1">
      <alignment horizontal="center" wrapText="1"/>
    </xf>
    <xf numFmtId="0" fontId="121" fillId="83" borderId="0" xfId="7310" applyNumberFormat="1" applyFont="1" applyFill="1" applyAlignment="1">
      <alignment horizontal="right" wrapText="1"/>
    </xf>
    <xf numFmtId="0" fontId="121" fillId="6" borderId="0" xfId="7310" applyFont="1" applyFill="1" applyAlignment="1">
      <alignment horizontal="center" wrapText="1"/>
    </xf>
    <xf numFmtId="0" fontId="118" fillId="6" borderId="0" xfId="7310" applyNumberFormat="1" applyFont="1" applyFill="1" applyAlignment="1">
      <alignment horizontal="right"/>
    </xf>
    <xf numFmtId="166" fontId="121" fillId="6" borderId="0" xfId="1" applyNumberFormat="1" applyFont="1" applyFill="1" applyAlignment="1">
      <alignment horizontal="center" wrapText="1"/>
    </xf>
    <xf numFmtId="0" fontId="119" fillId="0" borderId="0" xfId="7310" applyFont="1" applyFill="1"/>
    <xf numFmtId="0" fontId="123" fillId="0" borderId="0" xfId="37410" applyNumberFormat="1" applyFont="1" applyAlignment="1">
      <alignment horizontal="right"/>
    </xf>
    <xf numFmtId="0" fontId="123" fillId="0" borderId="0" xfId="37410" applyFont="1" applyAlignment="1">
      <alignment horizontal="left"/>
    </xf>
    <xf numFmtId="166" fontId="120" fillId="2" borderId="0" xfId="1" applyNumberFormat="1" applyFont="1" applyFill="1"/>
    <xf numFmtId="166" fontId="120" fillId="2" borderId="0" xfId="0" applyNumberFormat="1" applyFont="1" applyFill="1"/>
    <xf numFmtId="0" fontId="120" fillId="2" borderId="0" xfId="0" applyFont="1" applyFill="1"/>
    <xf numFmtId="166" fontId="120" fillId="0" borderId="0" xfId="0" applyNumberFormat="1" applyFont="1"/>
    <xf numFmtId="0" fontId="123" fillId="0" borderId="0" xfId="37410" applyNumberFormat="1" applyFont="1" applyFill="1" applyAlignment="1">
      <alignment horizontal="right"/>
    </xf>
    <xf numFmtId="0" fontId="123" fillId="0" borderId="0" xfId="37410" applyFont="1" applyFill="1" applyAlignment="1">
      <alignment horizontal="left"/>
    </xf>
    <xf numFmtId="166" fontId="118" fillId="0" borderId="0" xfId="1" applyNumberFormat="1" applyFont="1" applyFill="1"/>
    <xf numFmtId="0" fontId="124" fillId="0" borderId="0" xfId="1" applyNumberFormat="1" applyFont="1" applyFill="1" applyAlignment="1">
      <alignment horizontal="right"/>
    </xf>
    <xf numFmtId="166" fontId="124" fillId="0" borderId="373" xfId="1" applyNumberFormat="1" applyFont="1" applyFill="1" applyBorder="1" applyAlignment="1">
      <alignment horizontal="left"/>
    </xf>
    <xf numFmtId="166" fontId="98" fillId="2" borderId="373" xfId="1" applyNumberFormat="1" applyFont="1" applyFill="1" applyBorder="1"/>
    <xf numFmtId="166" fontId="98" fillId="2" borderId="373" xfId="0" applyNumberFormat="1" applyFont="1" applyFill="1" applyBorder="1"/>
    <xf numFmtId="0" fontId="124" fillId="0" borderId="0" xfId="37410" applyFont="1" applyFill="1" applyAlignment="1">
      <alignment horizontal="left"/>
    </xf>
    <xf numFmtId="9" fontId="120" fillId="2" borderId="0" xfId="0" applyNumberFormat="1" applyFont="1" applyFill="1"/>
    <xf numFmtId="0" fontId="119" fillId="0" borderId="0" xfId="7310" applyFont="1" applyFill="1" applyBorder="1"/>
    <xf numFmtId="0" fontId="123" fillId="0" borderId="0" xfId="37410" applyNumberFormat="1" applyFont="1" applyFill="1" applyBorder="1" applyAlignment="1">
      <alignment horizontal="right"/>
    </xf>
    <xf numFmtId="0" fontId="123" fillId="0" borderId="0" xfId="37410" applyFont="1" applyFill="1" applyBorder="1" applyAlignment="1">
      <alignment horizontal="left"/>
    </xf>
    <xf numFmtId="0" fontId="118" fillId="0" borderId="0" xfId="7310" applyFont="1" applyFill="1"/>
    <xf numFmtId="0" fontId="124" fillId="0" borderId="0" xfId="37410" applyNumberFormat="1" applyFont="1" applyFill="1" applyAlignment="1">
      <alignment horizontal="right"/>
    </xf>
    <xf numFmtId="0" fontId="124" fillId="0" borderId="373" xfId="37410" applyFont="1" applyFill="1" applyBorder="1" applyAlignment="1">
      <alignment horizontal="left"/>
    </xf>
    <xf numFmtId="166" fontId="120" fillId="2" borderId="373" xfId="1" applyNumberFormat="1" applyFont="1" applyFill="1" applyBorder="1"/>
    <xf numFmtId="166" fontId="120" fillId="2" borderId="373" xfId="0" applyNumberFormat="1" applyFont="1" applyFill="1" applyBorder="1"/>
    <xf numFmtId="166" fontId="119" fillId="2" borderId="0" xfId="0" applyNumberFormat="1" applyFont="1" applyFill="1" applyAlignment="1">
      <alignment horizontal="center" wrapText="1"/>
    </xf>
    <xf numFmtId="166" fontId="119" fillId="2" borderId="0" xfId="1" applyNumberFormat="1" applyFont="1" applyFill="1" applyBorder="1" applyAlignment="1">
      <alignment horizontal="center" wrapText="1"/>
    </xf>
    <xf numFmtId="166" fontId="124" fillId="0" borderId="374" xfId="1" applyNumberFormat="1" applyFont="1" applyFill="1" applyBorder="1" applyAlignment="1">
      <alignment horizontal="left"/>
    </xf>
    <xf numFmtId="166" fontId="98" fillId="2" borderId="374" xfId="1" applyNumberFormat="1" applyFont="1" applyFill="1" applyBorder="1"/>
    <xf numFmtId="166" fontId="98" fillId="2" borderId="374" xfId="0" applyNumberFormat="1" applyFont="1" applyFill="1" applyBorder="1"/>
    <xf numFmtId="9" fontId="120" fillId="2" borderId="0" xfId="37405" applyFont="1" applyFill="1"/>
    <xf numFmtId="0" fontId="121" fillId="0" borderId="0" xfId="7310" applyFont="1" applyFill="1" applyAlignment="1">
      <alignment horizontal="center" wrapText="1"/>
    </xf>
    <xf numFmtId="0" fontId="118" fillId="0" borderId="0" xfId="7310" applyNumberFormat="1" applyFont="1" applyFill="1" applyAlignment="1">
      <alignment horizontal="right"/>
    </xf>
    <xf numFmtId="0" fontId="122" fillId="0" borderId="0" xfId="0" applyFont="1" applyFill="1" applyAlignment="1">
      <alignment horizontal="center" wrapText="1"/>
    </xf>
    <xf numFmtId="166" fontId="121" fillId="2" borderId="0" xfId="1" applyNumberFormat="1" applyFont="1" applyFill="1" applyAlignment="1">
      <alignment horizontal="center" wrapText="1"/>
    </xf>
    <xf numFmtId="0" fontId="121" fillId="2" borderId="0" xfId="0" applyFont="1" applyFill="1" applyAlignment="1">
      <alignment horizontal="center" wrapText="1"/>
    </xf>
    <xf numFmtId="0" fontId="119" fillId="0" borderId="0" xfId="7310" applyNumberFormat="1" applyFont="1" applyFill="1" applyAlignment="1">
      <alignment horizontal="right"/>
    </xf>
    <xf numFmtId="0" fontId="123" fillId="0" borderId="0" xfId="37410" quotePrefix="1" applyNumberFormat="1" applyFont="1" applyFill="1" applyBorder="1" applyAlignment="1">
      <alignment horizontal="right"/>
    </xf>
    <xf numFmtId="0" fontId="123" fillId="0" borderId="0" xfId="0" applyFont="1" applyFill="1" applyAlignment="1">
      <alignment horizontal="left"/>
    </xf>
    <xf numFmtId="0" fontId="123" fillId="0" borderId="0" xfId="0" applyNumberFormat="1" applyFont="1" applyFill="1" applyAlignment="1">
      <alignment horizontal="left"/>
    </xf>
    <xf numFmtId="0" fontId="123" fillId="0" borderId="0" xfId="0" applyNumberFormat="1" applyFont="1" applyFill="1" applyAlignment="1">
      <alignment horizontal="right"/>
    </xf>
    <xf numFmtId="166" fontId="119" fillId="0" borderId="0" xfId="0" applyNumberFormat="1" applyFont="1" applyFill="1"/>
    <xf numFmtId="0" fontId="124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left"/>
    </xf>
    <xf numFmtId="166" fontId="120" fillId="0" borderId="373" xfId="0" applyNumberFormat="1" applyFont="1" applyFill="1" applyBorder="1"/>
    <xf numFmtId="166" fontId="120" fillId="2" borderId="373" xfId="0" applyNumberFormat="1" applyFont="1" applyFill="1" applyBorder="1" applyAlignment="1"/>
    <xf numFmtId="0" fontId="120" fillId="0" borderId="0" xfId="0" applyFont="1" applyFill="1"/>
    <xf numFmtId="166" fontId="119" fillId="0" borderId="0" xfId="0" applyNumberFormat="1" applyFont="1" applyFill="1" applyAlignment="1"/>
    <xf numFmtId="166" fontId="123" fillId="0" borderId="373" xfId="0" applyNumberFormat="1" applyFont="1" applyFill="1" applyBorder="1"/>
    <xf numFmtId="0" fontId="120" fillId="0" borderId="0" xfId="0" applyNumberFormat="1" applyFont="1" applyFill="1" applyAlignment="1">
      <alignment horizontal="right"/>
    </xf>
    <xf numFmtId="166" fontId="124" fillId="0" borderId="373" xfId="0" applyNumberFormat="1" applyFont="1" applyFill="1" applyBorder="1"/>
    <xf numFmtId="166" fontId="98" fillId="0" borderId="373" xfId="0" applyNumberFormat="1" applyFont="1" applyFill="1" applyBorder="1"/>
    <xf numFmtId="166" fontId="98" fillId="2" borderId="373" xfId="0" applyNumberFormat="1" applyFont="1" applyFill="1" applyBorder="1" applyAlignment="1"/>
    <xf numFmtId="0" fontId="119" fillId="0" borderId="0" xfId="0" applyFont="1" applyFill="1" applyBorder="1"/>
    <xf numFmtId="0" fontId="119" fillId="75" borderId="0" xfId="7310" applyFont="1" applyFill="1"/>
    <xf numFmtId="0" fontId="123" fillId="75" borderId="0" xfId="37410" quotePrefix="1" applyNumberFormat="1" applyFont="1" applyFill="1" applyBorder="1" applyAlignment="1">
      <alignment horizontal="right"/>
    </xf>
    <xf numFmtId="0" fontId="123" fillId="75" borderId="0" xfId="0" applyFont="1" applyFill="1" applyAlignment="1">
      <alignment horizontal="left"/>
    </xf>
    <xf numFmtId="0" fontId="123" fillId="75" borderId="0" xfId="37410" applyFont="1" applyFill="1" applyAlignment="1">
      <alignment horizontal="left"/>
    </xf>
    <xf numFmtId="166" fontId="120" fillId="75" borderId="0" xfId="1" applyNumberFormat="1" applyFont="1" applyFill="1"/>
    <xf numFmtId="0" fontId="119" fillId="0" borderId="0" xfId="0" applyNumberFormat="1" applyFont="1" applyFill="1" applyBorder="1" applyAlignment="1">
      <alignment horizontal="right"/>
    </xf>
    <xf numFmtId="166" fontId="123" fillId="0" borderId="0" xfId="0" applyNumberFormat="1" applyFont="1" applyFill="1" applyBorder="1"/>
    <xf numFmtId="166" fontId="120" fillId="0" borderId="0" xfId="0" applyNumberFormat="1" applyFont="1" applyFill="1" applyBorder="1"/>
    <xf numFmtId="166" fontId="120" fillId="2" borderId="0" xfId="1" applyNumberFormat="1" applyFont="1" applyFill="1" applyBorder="1"/>
    <xf numFmtId="166" fontId="120" fillId="2" borderId="0" xfId="0" applyNumberFormat="1" applyFont="1" applyFill="1" applyBorder="1" applyAlignment="1"/>
    <xf numFmtId="0" fontId="119" fillId="0" borderId="0" xfId="0" applyNumberFormat="1" applyFont="1" applyFill="1" applyAlignment="1"/>
    <xf numFmtId="43" fontId="120" fillId="2" borderId="0" xfId="1" applyFont="1" applyFill="1"/>
    <xf numFmtId="43" fontId="119" fillId="2" borderId="0" xfId="1" applyFont="1" applyFill="1" applyAlignment="1">
      <alignment horizontal="center" wrapText="1"/>
    </xf>
    <xf numFmtId="43" fontId="119" fillId="2" borderId="0" xfId="1" applyFont="1" applyFill="1" applyBorder="1" applyAlignment="1">
      <alignment horizontal="center" wrapText="1"/>
    </xf>
    <xf numFmtId="0" fontId="123" fillId="0" borderId="373" xfId="37410" applyFont="1" applyFill="1" applyBorder="1" applyAlignment="1">
      <alignment horizontal="left"/>
    </xf>
    <xf numFmtId="166" fontId="124" fillId="0" borderId="0" xfId="0" applyNumberFormat="1" applyFont="1" applyFill="1" applyBorder="1"/>
    <xf numFmtId="166" fontId="98" fillId="0" borderId="0" xfId="0" applyNumberFormat="1" applyFont="1" applyFill="1" applyBorder="1"/>
    <xf numFmtId="166" fontId="98" fillId="2" borderId="0" xfId="1" applyNumberFormat="1" applyFont="1" applyFill="1" applyBorder="1"/>
    <xf numFmtId="166" fontId="98" fillId="2" borderId="0" xfId="0" applyNumberFormat="1" applyFont="1" applyFill="1" applyBorder="1"/>
    <xf numFmtId="0" fontId="124" fillId="0" borderId="0" xfId="0" applyFont="1" applyFill="1" applyAlignment="1">
      <alignment horizontal="left"/>
    </xf>
    <xf numFmtId="0" fontId="98" fillId="2" borderId="0" xfId="0" applyFont="1" applyFill="1"/>
    <xf numFmtId="9" fontId="98" fillId="2" borderId="373" xfId="0" applyNumberFormat="1" applyFont="1" applyFill="1" applyBorder="1"/>
    <xf numFmtId="0" fontId="125" fillId="0" borderId="0" xfId="7310" applyFont="1" applyFill="1" applyAlignment="1">
      <alignment horizontal="right"/>
    </xf>
    <xf numFmtId="0" fontId="119" fillId="0" borderId="0" xfId="7310" applyNumberFormat="1" applyFont="1" applyAlignment="1">
      <alignment horizontal="right"/>
    </xf>
    <xf numFmtId="0" fontId="117" fillId="0" borderId="0" xfId="37404" applyFont="1" applyFill="1" applyAlignment="1">
      <alignment horizontal="left"/>
    </xf>
    <xf numFmtId="0" fontId="3" fillId="0" borderId="0" xfId="0" applyFont="1" applyFill="1" applyAlignment="1"/>
    <xf numFmtId="0" fontId="0" fillId="75" borderId="0" xfId="0" applyFill="1"/>
    <xf numFmtId="0" fontId="126" fillId="0" borderId="0" xfId="37404" applyFont="1" applyFill="1"/>
    <xf numFmtId="0" fontId="127" fillId="0" borderId="0" xfId="0" applyFont="1" applyFill="1" applyBorder="1"/>
    <xf numFmtId="0" fontId="126" fillId="0" borderId="0" xfId="37408" applyFont="1" applyFill="1"/>
    <xf numFmtId="43" fontId="126" fillId="0" borderId="0" xfId="103" applyFont="1" applyFill="1"/>
    <xf numFmtId="166" fontId="126" fillId="0" borderId="0" xfId="103" applyNumberFormat="1" applyFont="1" applyFill="1"/>
    <xf numFmtId="166" fontId="126" fillId="0" borderId="0" xfId="37404" applyNumberFormat="1" applyFont="1" applyFill="1"/>
    <xf numFmtId="166" fontId="127" fillId="0" borderId="0" xfId="103" applyNumberFormat="1" applyFont="1" applyFill="1"/>
    <xf numFmtId="43" fontId="126" fillId="0" borderId="0" xfId="37404" applyNumberFormat="1" applyFont="1" applyFill="1"/>
    <xf numFmtId="0" fontId="114" fillId="0" borderId="0" xfId="37404" applyFont="1" applyFill="1"/>
    <xf numFmtId="0" fontId="126" fillId="0" borderId="0" xfId="37408" applyFont="1" applyFill="1" applyBorder="1"/>
    <xf numFmtId="0" fontId="126" fillId="0" borderId="0" xfId="37404" applyFont="1"/>
    <xf numFmtId="0" fontId="126" fillId="0" borderId="0" xfId="37404" applyFont="1" applyFill="1" applyBorder="1"/>
    <xf numFmtId="0" fontId="126" fillId="84" borderId="0" xfId="37404" applyFont="1" applyFill="1"/>
    <xf numFmtId="0" fontId="112" fillId="0" borderId="0" xfId="37404" applyFont="1" applyFill="1"/>
    <xf numFmtId="0" fontId="112" fillId="0" borderId="0" xfId="37408" applyFont="1" applyFill="1" applyBorder="1"/>
    <xf numFmtId="0" fontId="112" fillId="0" borderId="0" xfId="37408" applyFont="1" applyFill="1"/>
    <xf numFmtId="43" fontId="112" fillId="0" borderId="0" xfId="103" applyFont="1" applyFill="1"/>
    <xf numFmtId="166" fontId="112" fillId="0" borderId="0" xfId="103" applyNumberFormat="1" applyFont="1" applyFill="1"/>
    <xf numFmtId="166" fontId="112" fillId="0" borderId="0" xfId="37404" applyNumberFormat="1" applyFont="1" applyFill="1"/>
    <xf numFmtId="166" fontId="128" fillId="0" borderId="0" xfId="103" applyNumberFormat="1" applyFont="1" applyFill="1"/>
    <xf numFmtId="43" fontId="112" fillId="0" borderId="0" xfId="37404" applyNumberFormat="1" applyFont="1" applyFill="1"/>
    <xf numFmtId="0" fontId="112" fillId="0" borderId="0" xfId="37404" applyFont="1"/>
    <xf numFmtId="0" fontId="0" fillId="74" borderId="0" xfId="0" applyFill="1" applyAlignment="1">
      <alignment horizontal="left"/>
    </xf>
    <xf numFmtId="0" fontId="0" fillId="74" borderId="0" xfId="0" applyFill="1" applyAlignment="1">
      <alignment horizontal="center"/>
    </xf>
    <xf numFmtId="0" fontId="114" fillId="0" borderId="0" xfId="37404" applyFont="1"/>
    <xf numFmtId="43" fontId="0" fillId="74" borderId="0" xfId="1" applyFont="1" applyFill="1" applyAlignment="1">
      <alignment horizontal="right"/>
    </xf>
    <xf numFmtId="0" fontId="0" fillId="74" borderId="0" xfId="0" applyFill="1" applyAlignment="1">
      <alignment horizontal="right"/>
    </xf>
    <xf numFmtId="43" fontId="0" fillId="0" borderId="0" xfId="1" applyFont="1" applyFill="1"/>
    <xf numFmtId="43" fontId="102" fillId="0" borderId="0" xfId="1" applyNumberFormat="1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4" fillId="0" borderId="0" xfId="37404" applyFont="1" applyAlignment="1">
      <alignment horizontal="left"/>
    </xf>
    <xf numFmtId="166" fontId="1" fillId="0" borderId="0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Border="1"/>
    <xf numFmtId="166" fontId="1" fillId="0" borderId="0" xfId="1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/>
    <xf numFmtId="0" fontId="0" fillId="80" borderId="0" xfId="0" applyFont="1" applyFill="1" applyBorder="1" applyAlignment="1">
      <alignment horizontal="center" vertical="center" wrapText="1"/>
    </xf>
    <xf numFmtId="0" fontId="0" fillId="78" borderId="0" xfId="0" applyFont="1" applyFill="1" applyBorder="1" applyAlignment="1">
      <alignment horizontal="center" vertical="center" wrapText="1"/>
    </xf>
    <xf numFmtId="44" fontId="1" fillId="80" borderId="0" xfId="2" applyFont="1" applyFill="1" applyBorder="1"/>
    <xf numFmtId="44" fontId="1" fillId="78" borderId="0" xfId="2" applyFont="1" applyFill="1" applyBorder="1"/>
    <xf numFmtId="43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164" fontId="0" fillId="2" borderId="0" xfId="2" applyNumberFormat="1" applyFont="1" applyFill="1" applyBorder="1"/>
    <xf numFmtId="0" fontId="0" fillId="6" borderId="363" xfId="0" applyFont="1" applyFill="1" applyBorder="1" applyAlignment="1">
      <alignment horizontal="left" vertical="center"/>
    </xf>
    <xf numFmtId="0" fontId="0" fillId="6" borderId="365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2" borderId="335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 horizontal="left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43" fontId="0" fillId="2" borderId="0" xfId="0" applyNumberFormat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/>
    <xf numFmtId="166" fontId="1" fillId="2" borderId="0" xfId="1" applyNumberFormat="1" applyFont="1" applyFill="1" applyBorder="1" applyAlignment="1">
      <alignment horizontal="center" wrapText="1"/>
    </xf>
    <xf numFmtId="164" fontId="1" fillId="2" borderId="0" xfId="2" applyNumberFormat="1" applyFont="1" applyFill="1" applyBorder="1"/>
    <xf numFmtId="44" fontId="1" fillId="2" borderId="0" xfId="2" applyFont="1" applyFill="1" applyBorder="1"/>
    <xf numFmtId="44" fontId="0" fillId="2" borderId="0" xfId="0" applyNumberFormat="1" applyFont="1" applyFill="1" applyBorder="1"/>
    <xf numFmtId="43" fontId="0" fillId="2" borderId="0" xfId="1" applyNumberFormat="1" applyFont="1" applyFill="1" applyBorder="1"/>
    <xf numFmtId="0" fontId="0" fillId="2" borderId="0" xfId="0" applyFont="1" applyFill="1" applyBorder="1"/>
    <xf numFmtId="166" fontId="118" fillId="75" borderId="0" xfId="1" applyNumberFormat="1" applyFont="1" applyFill="1" applyAlignment="1" applyProtection="1">
      <alignment horizontal="center" wrapText="1"/>
      <protection locked="0"/>
    </xf>
    <xf numFmtId="43" fontId="0" fillId="74" borderId="0" xfId="0" applyNumberFormat="1" applyFill="1" applyAlignment="1">
      <alignment horizontal="right"/>
    </xf>
    <xf numFmtId="2" fontId="0" fillId="80" borderId="0" xfId="0" applyNumberFormat="1" applyFont="1" applyFill="1" applyBorder="1" applyAlignment="1">
      <alignment horizontal="center" vertical="center" wrapText="1"/>
    </xf>
    <xf numFmtId="2" fontId="0" fillId="78" borderId="0" xfId="0" applyNumberFormat="1" applyFont="1" applyFill="1" applyBorder="1" applyAlignment="1">
      <alignment horizontal="center" vertical="center" wrapText="1"/>
    </xf>
    <xf numFmtId="10" fontId="3" fillId="0" borderId="0" xfId="3" applyNumberFormat="1" applyFont="1" applyFill="1" applyBorder="1"/>
    <xf numFmtId="0" fontId="3" fillId="75" borderId="0" xfId="0" applyFont="1" applyFill="1" applyBorder="1" applyAlignment="1">
      <alignment horizontal="center" vertical="center" textRotation="90"/>
    </xf>
    <xf numFmtId="0" fontId="11" fillId="82" borderId="0" xfId="296" applyFont="1" applyFill="1" applyBorder="1"/>
    <xf numFmtId="166" fontId="0" fillId="82" borderId="0" xfId="1" applyNumberFormat="1" applyFont="1" applyFill="1" applyBorder="1"/>
    <xf numFmtId="43" fontId="3" fillId="2" borderId="364" xfId="1" applyNumberFormat="1" applyFont="1" applyFill="1" applyBorder="1" applyAlignment="1">
      <alignment horizontal="center" vertical="center" wrapText="1"/>
    </xf>
    <xf numFmtId="43" fontId="11" fillId="75" borderId="0" xfId="1" applyNumberFormat="1" applyFont="1" applyFill="1" applyAlignment="1">
      <alignment horizontal="right"/>
    </xf>
    <xf numFmtId="43" fontId="0" fillId="0" borderId="0" xfId="1" applyNumberFormat="1" applyFont="1" applyFill="1" applyAlignment="1">
      <alignment horizontal="right"/>
    </xf>
    <xf numFmtId="43" fontId="102" fillId="0" borderId="0" xfId="1" applyNumberFormat="1" applyFont="1" applyBorder="1"/>
    <xf numFmtId="166" fontId="0" fillId="5" borderId="0" xfId="1" applyNumberFormat="1" applyFont="1" applyFill="1" applyBorder="1"/>
    <xf numFmtId="0" fontId="102" fillId="0" borderId="0" xfId="0" applyFont="1" applyFill="1" applyBorder="1" applyAlignment="1">
      <alignment horizontal="right"/>
    </xf>
    <xf numFmtId="168" fontId="0" fillId="0" borderId="0" xfId="3" applyNumberFormat="1" applyFont="1" applyAlignment="1"/>
    <xf numFmtId="0" fontId="11" fillId="0" borderId="0" xfId="296" applyFont="1" applyFill="1" applyBorder="1" applyAlignment="1">
      <alignment horizontal="left"/>
    </xf>
    <xf numFmtId="0" fontId="0" fillId="75" borderId="0" xfId="0" applyFont="1" applyFill="1" applyBorder="1" applyAlignment="1">
      <alignment horizontal="left" vertical="center"/>
    </xf>
    <xf numFmtId="0" fontId="0" fillId="75" borderId="0" xfId="0" applyFill="1" applyAlignment="1">
      <alignment horizontal="left"/>
    </xf>
    <xf numFmtId="0" fontId="0" fillId="75" borderId="0" xfId="0" applyFill="1" applyAlignment="1">
      <alignment horizontal="center"/>
    </xf>
    <xf numFmtId="166" fontId="0" fillId="75" borderId="0" xfId="1" applyNumberFormat="1" applyFont="1" applyFill="1" applyAlignment="1">
      <alignment horizontal="right"/>
    </xf>
    <xf numFmtId="43" fontId="102" fillId="0" borderId="0" xfId="1" applyNumberFormat="1" applyFont="1" applyFill="1" applyBorder="1" applyAlignment="1">
      <alignment horizontal="right"/>
    </xf>
    <xf numFmtId="43" fontId="11" fillId="86" borderId="0" xfId="0" applyNumberFormat="1" applyFont="1" applyFill="1" applyAlignment="1">
      <alignment horizontal="right"/>
    </xf>
    <xf numFmtId="0" fontId="0" fillId="82" borderId="0" xfId="0" applyFont="1" applyFill="1" applyBorder="1" applyAlignment="1">
      <alignment horizontal="center" vertical="center"/>
    </xf>
    <xf numFmtId="0" fontId="0" fillId="82" borderId="0" xfId="0" applyFont="1" applyFill="1" applyBorder="1" applyAlignment="1">
      <alignment horizontal="left" vertical="center"/>
    </xf>
    <xf numFmtId="43" fontId="0" fillId="82" borderId="0" xfId="1" applyNumberFormat="1" applyFont="1" applyFill="1" applyBorder="1"/>
    <xf numFmtId="166" fontId="0" fillId="82" borderId="0" xfId="1" applyNumberFormat="1" applyFont="1" applyFill="1" applyBorder="1" applyAlignment="1">
      <alignment horizontal="center" wrapText="1"/>
    </xf>
    <xf numFmtId="164" fontId="0" fillId="82" borderId="0" xfId="2" applyNumberFormat="1" applyFont="1" applyFill="1" applyBorder="1"/>
    <xf numFmtId="44" fontId="0" fillId="82" borderId="0" xfId="2" applyFont="1" applyFill="1" applyBorder="1"/>
    <xf numFmtId="44" fontId="0" fillId="82" borderId="0" xfId="0" applyNumberFormat="1" applyFont="1" applyFill="1" applyBorder="1"/>
    <xf numFmtId="43" fontId="9" fillId="0" borderId="0" xfId="0" applyNumberFormat="1" applyFont="1"/>
    <xf numFmtId="44" fontId="0" fillId="82" borderId="0" xfId="2" applyNumberFormat="1" applyFont="1" applyFill="1" applyBorder="1"/>
    <xf numFmtId="10" fontId="3" fillId="0" borderId="0" xfId="3" applyNumberFormat="1" applyFont="1" applyFill="1" applyBorder="1" applyAlignment="1">
      <alignment horizontal="right"/>
    </xf>
    <xf numFmtId="43" fontId="11" fillId="0" borderId="0" xfId="1" applyFont="1" applyFill="1"/>
    <xf numFmtId="43" fontId="115" fillId="0" borderId="0" xfId="1" applyNumberFormat="1" applyFont="1" applyFill="1"/>
    <xf numFmtId="43" fontId="11" fillId="75" borderId="0" xfId="1" applyFont="1" applyFill="1"/>
    <xf numFmtId="0" fontId="11" fillId="0" borderId="0" xfId="0" applyFont="1"/>
    <xf numFmtId="43" fontId="115" fillId="0" borderId="0" xfId="1" applyNumberFormat="1" applyFont="1"/>
    <xf numFmtId="43" fontId="12" fillId="0" borderId="0" xfId="1" applyNumberFormat="1" applyFont="1" applyFill="1"/>
    <xf numFmtId="43" fontId="12" fillId="75" borderId="0" xfId="1" applyNumberFormat="1" applyFont="1" applyFill="1"/>
    <xf numFmtId="0" fontId="12" fillId="0" borderId="0" xfId="0" applyFont="1"/>
    <xf numFmtId="0" fontId="3" fillId="0" borderId="0" xfId="0" applyFont="1"/>
    <xf numFmtId="43" fontId="3" fillId="0" borderId="0" xfId="1" applyNumberFormat="1" applyFont="1" applyFill="1"/>
    <xf numFmtId="43" fontId="3" fillId="75" borderId="0" xfId="1" applyNumberFormat="1" applyFont="1" applyFill="1"/>
    <xf numFmtId="43" fontId="12" fillId="69" borderId="0" xfId="1" applyNumberFormat="1" applyFont="1" applyFill="1"/>
    <xf numFmtId="43" fontId="3" fillId="69" borderId="0" xfId="1" applyNumberFormat="1" applyFont="1" applyFill="1"/>
    <xf numFmtId="0" fontId="0" fillId="85" borderId="0" xfId="0" applyFont="1" applyFill="1" applyBorder="1" applyAlignment="1">
      <alignment horizontal="center" vertical="center" wrapText="1"/>
    </xf>
    <xf numFmtId="0" fontId="0" fillId="85" borderId="0" xfId="0" applyFont="1" applyFill="1" applyBorder="1" applyAlignment="1">
      <alignment horizontal="left" vertical="center" wrapText="1"/>
    </xf>
    <xf numFmtId="166" fontId="1" fillId="85" borderId="0" xfId="1" applyNumberFormat="1" applyFont="1" applyFill="1" applyBorder="1" applyAlignment="1">
      <alignment horizontal="center" vertical="center" wrapText="1"/>
    </xf>
    <xf numFmtId="43" fontId="0" fillId="85" borderId="0" xfId="0" applyNumberFormat="1" applyFont="1" applyFill="1" applyBorder="1" applyAlignment="1">
      <alignment horizontal="center" vertical="center" wrapText="1"/>
    </xf>
    <xf numFmtId="166" fontId="1" fillId="85" borderId="0" xfId="1" applyNumberFormat="1" applyFont="1" applyFill="1" applyBorder="1"/>
    <xf numFmtId="166" fontId="1" fillId="85" borderId="0" xfId="1" applyNumberFormat="1" applyFont="1" applyFill="1" applyBorder="1" applyAlignment="1">
      <alignment horizontal="center" wrapText="1"/>
    </xf>
    <xf numFmtId="164" fontId="1" fillId="85" borderId="0" xfId="2" applyNumberFormat="1" applyFont="1" applyFill="1" applyBorder="1"/>
    <xf numFmtId="44" fontId="1" fillId="85" borderId="0" xfId="2" applyFont="1" applyFill="1" applyBorder="1"/>
    <xf numFmtId="3" fontId="0" fillId="85" borderId="0" xfId="0" applyNumberFormat="1" applyFont="1" applyFill="1" applyBorder="1" applyAlignment="1">
      <alignment horizontal="center" vertical="center" wrapText="1"/>
    </xf>
    <xf numFmtId="43" fontId="0" fillId="85" borderId="0" xfId="1" applyNumberFormat="1" applyFont="1" applyFill="1" applyBorder="1"/>
    <xf numFmtId="0" fontId="0" fillId="85" borderId="0" xfId="0" applyFont="1" applyFill="1" applyBorder="1"/>
    <xf numFmtId="2" fontId="0" fillId="85" borderId="0" xfId="0" applyNumberFormat="1" applyFont="1" applyFill="1" applyBorder="1" applyAlignment="1">
      <alignment horizontal="center" vertical="center" wrapText="1"/>
    </xf>
    <xf numFmtId="43" fontId="0" fillId="85" borderId="0" xfId="0" applyNumberFormat="1" applyFill="1"/>
    <xf numFmtId="0" fontId="0" fillId="6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347" xfId="0" applyFont="1" applyFill="1" applyBorder="1" applyAlignment="1">
      <alignment horizontal="center"/>
    </xf>
    <xf numFmtId="0" fontId="3" fillId="6" borderId="36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75" borderId="335" xfId="0" applyFont="1" applyFill="1" applyBorder="1" applyAlignment="1">
      <alignment horizontal="center" vertical="center" textRotation="90"/>
    </xf>
    <xf numFmtId="0" fontId="3" fillId="74" borderId="335" xfId="0" applyFont="1" applyFill="1" applyBorder="1" applyAlignment="1">
      <alignment horizontal="center" vertical="center" textRotation="90"/>
    </xf>
    <xf numFmtId="0" fontId="3" fillId="75" borderId="0" xfId="0" applyFont="1" applyFill="1" applyBorder="1" applyAlignment="1">
      <alignment horizontal="center" vertical="center" textRotation="90"/>
    </xf>
    <xf numFmtId="0" fontId="103" fillId="76" borderId="347" xfId="37404" applyFont="1" applyFill="1" applyBorder="1" applyAlignment="1">
      <alignment horizontal="center"/>
    </xf>
    <xf numFmtId="0" fontId="103" fillId="76" borderId="365" xfId="37404" applyFont="1" applyFill="1" applyBorder="1" applyAlignment="1">
      <alignment horizontal="center"/>
    </xf>
    <xf numFmtId="0" fontId="103" fillId="76" borderId="32" xfId="37404" applyFont="1" applyFill="1" applyBorder="1" applyAlignment="1">
      <alignment horizontal="center"/>
    </xf>
  </cellXfs>
  <cellStyles count="37411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399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8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0 5" xfId="37406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0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13" xfId="37409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2183 Regulated Price Out Final 6-7-2012" xfId="37408"/>
    <cellStyle name="Normal_Murrey's Jan-Dec 2012" xfId="296"/>
    <cellStyle name="Normal_Price out" xfId="4"/>
    <cellStyle name="Normal_Regulated Price Out 9-6-2011 Final HL" xfId="37404"/>
    <cellStyle name="Normal_Sheet1" xfId="366"/>
    <cellStyle name="Normal_TheTool_Jeff_v5 2" xfId="37410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2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1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3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1 7" xfId="37407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" xfId="37405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Mason\Rate%20Increase%201-1-2013\1%20Filing%2011-14-2012\Revised%202-21-2013\staff%20Mason%20Proforma%209-30-2012-Linked%20Cust%20Count%20Fix%2012-2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KevinJ/South%20LeMay/Budget%20History/Budget%202019/2149%20Mason/2019%202149%20Budget%20Template%201.5%20pre%20division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General%20Rate%20Filing/Lewis%20Filed%207-16-2020/Audit/Proforma%20-%20Updated/2019.06-2020.05%20Lewis%20County%20Price%20Out%20Template%20%20v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ason%202149\Dump%20Fee\Dump%20Fee%20Mason%201-1-2021\2018.09-2019.08%20Mason%20County%20Price%20Out%20Templat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Brent_Blair_Kortney\PO%20Report%20by%20Division\PO%20Report_v3b%202013-08-26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urrey%20%202111\General%20Rate%20Filings\Rate%20Filing%201-1-2019\Fuel%20Stat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LesleyG\AppData\Local\Interject\FileCache\Interject_Stats_Reportv2.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010%20Clark%20County-%202009%20Vancouver\12.31.2010%20Test%20Year\Proforma%20Clark%20County%20101231%20Filing-Draft-FINAL%20VERSION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LeMay%20Companies\2014\Annual%20Report\District%20Schedules\North%20LeMay\N%20LeMay%20Annual%20Report%202013%20-%20with%20Heather's%20Not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MistyC\Current\DISTRICTS\2012%20-%20Cascade\Special%20Projects\Rate%20Reviews\2011\0912%202012%20Fixed%20Assets%20Depreciatio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General%20Rate%20Filing\Lewis%20Filed%207-16-2020\Audit\Proforma%20-%20Updated\.Lewis%20GRC%20Pro%20forma%2005.31.2020%20v2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Lewis%20Filed%207-16-2020\Audit\FINAL\Revised%20STAFF%20.Lewis%20GRC%20Pro%20forma%2005.31.2020%20(C)%20v2%20-%20FINAL%208.13.202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enue Summary"/>
      <sheetName val="Customer Counts"/>
      <sheetName val="Container Summary"/>
      <sheetName val="2020 P&amp;L"/>
      <sheetName val="2019 P&amp;L"/>
      <sheetName val="05.2019 P&amp;L"/>
      <sheetName val="2019.05 D0025 Pivot"/>
      <sheetName val="2020.05 D0025 Pivot"/>
      <sheetName val="RM Revenue"/>
      <sheetName val="RM Pivot"/>
      <sheetName val="RM Pivot (MF Recycling)"/>
      <sheetName val="Lewis Co. Regulated - Price Out"/>
      <sheetName val="Joe's Regulated - Price Out "/>
      <sheetName val="Comm Recycling- Reg Areas"/>
      <sheetName val="Bucoda Non-Reg - Price Out "/>
      <sheetName val="Centralia Non-Reg - Price Out "/>
      <sheetName val="Chehalis Non-Reg - Price Out"/>
      <sheetName val="Morton Non-Reg - Price Out"/>
      <sheetName val="Napavine Non-Reg - Price Out"/>
      <sheetName val="Tenino Non-Reg - Price Out"/>
      <sheetName val="Tribal Non-Reg - Price Out"/>
      <sheetName val="Key"/>
      <sheetName val="Bill Area Lay Out"/>
      <sheetName val="8-18 CD025-Svc Code"/>
      <sheetName val="07-19 CD025-Svs Code"/>
      <sheetName val="01-20 CD025-Service Code List"/>
      <sheetName val="06-20 CD025 Svc Code"/>
      <sheetName val="CDO68 - Budoca"/>
      <sheetName val="DO028 Roll-Off"/>
      <sheetName val="DO028b"/>
      <sheetName val="Comm JE"/>
      <sheetName val="Resi JE"/>
      <sheetName val="RO JE"/>
      <sheetName val="PT JE"/>
      <sheetName val="Finance Charge JE"/>
      <sheetName val="Default Pricing - Pacific"/>
    </sheetNames>
    <sheetDataSet>
      <sheetData sheetId="0"/>
      <sheetData sheetId="1">
        <row r="5">
          <cell r="E5">
            <v>0</v>
          </cell>
        </row>
      </sheetData>
      <sheetData sheetId="2">
        <row r="8">
          <cell r="Q8">
            <v>11734.587685815042</v>
          </cell>
        </row>
      </sheetData>
      <sheetData sheetId="3">
        <row r="5">
          <cell r="L5">
            <v>7225.1332317897031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D6">
            <v>10000</v>
          </cell>
        </row>
        <row r="8">
          <cell r="H8" t="str">
            <v>2020-07</v>
          </cell>
        </row>
        <row r="12">
          <cell r="G12" t="str">
            <v>2019-06</v>
          </cell>
        </row>
        <row r="13">
          <cell r="G13" t="str">
            <v>2020-05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Revenue Summary"/>
      <sheetName val="2018-08 P&amp;L Close Report"/>
      <sheetName val="2018 P&amp;L Close Report"/>
      <sheetName val="2019 P&amp;L Close Report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Key"/>
      <sheetName val="Bill Area Lay Out"/>
      <sheetName val="Kits Reg Svc Codes Jan-Jun"/>
      <sheetName val="Service Codes"/>
      <sheetName val="Service Codes (Old)"/>
      <sheetName val="Service Charges"/>
      <sheetName val="RO Customer Count"/>
      <sheetName val="Basic Customer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Concatenate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KITSAP CO -REGULATEDRESIDENTIAL20RW1</v>
          </cell>
        </row>
      </sheetData>
      <sheetData sheetId="22">
        <row r="2">
          <cell r="A2" t="str">
            <v>KITSAP CO -REGULATEDRESIDENTIAL20RW1</v>
          </cell>
        </row>
      </sheetData>
      <sheetData sheetId="23">
        <row r="6">
          <cell r="D6">
            <v>10000</v>
          </cell>
        </row>
        <row r="8">
          <cell r="J8" t="str">
            <v>2019-10</v>
          </cell>
        </row>
        <row r="12">
          <cell r="I12" t="str">
            <v>2018-09</v>
          </cell>
        </row>
        <row r="13">
          <cell r="I13" t="str">
            <v>2019-08</v>
          </cell>
        </row>
      </sheetData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 refreshError="1"/>
      <sheetData sheetId="2">
        <row r="27">
          <cell r="I27" t="str">
            <v>Act</v>
          </cell>
        </row>
      </sheetData>
      <sheetData sheetId="3" refreshError="1"/>
      <sheetData sheetId="4">
        <row r="25">
          <cell r="F25" t="str">
            <v>Act</v>
          </cell>
        </row>
      </sheetData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9 IS (C)"/>
      <sheetName val="2188 IS"/>
      <sheetName val="Master IS (C)"/>
      <sheetName val="Lewis LOB (C)"/>
      <sheetName val="Joe's LOB (C)"/>
      <sheetName val="Restating Adj (C)"/>
      <sheetName val="Pro forma Adj (C)"/>
      <sheetName val="Allocators (C)"/>
      <sheetName val="Lewis Co. Regulated - Price Out"/>
      <sheetName val="Joe's Reg- Price Out "/>
      <sheetName val="Rate Sheet"/>
      <sheetName val="Deprec. Summary"/>
      <sheetName val="Lewis Payroll"/>
      <sheetName val="40131 Allocation"/>
      <sheetName val="2188_BS 5.2019 (C)"/>
      <sheetName val="2189_BS 5.2019 (C)"/>
      <sheetName val="2188_BS 5.2020"/>
      <sheetName val="2189_BS 5.2020"/>
      <sheetName val="LG Total"/>
      <sheetName val="LG Lewis"/>
      <sheetName val="LG Lewis MSW"/>
      <sheetName val="LG Lewis Recycling"/>
      <sheetName val="LG Lewis Yard Waste"/>
      <sheetName val="LG Joe's"/>
      <sheetName val="LG Joe's MSW"/>
      <sheetName val="LG Joe's Recycling"/>
      <sheetName val="LG Joe's Yard Waste"/>
      <sheetName val="Interject_LastPulledValues"/>
      <sheetName val="40861 JE Query"/>
      <sheetName val="41121 JE Query - Brokerage"/>
      <sheetName val="70195 - Dues &amp; Subs (C)"/>
      <sheetName val="2188 43001 JE Query"/>
      <sheetName val="2189 43001 JE Query (C)"/>
      <sheetName val="57175 JE Query"/>
      <sheetName val="59343, 59341 - CY Claims (C)"/>
      <sheetName val="59342 - PY CLaims (C)"/>
      <sheetName val="70095 - Employ &amp; Comm (C)"/>
      <sheetName val="91010 JE Query"/>
      <sheetName val="DVP-DivCon Allocs  (C)"/>
      <sheetName val="Region OH (C)"/>
      <sheetName val="Corp-OH (C)"/>
      <sheetName val="Corp IS-B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0">
          <cell r="J20">
            <v>250988.11822452303</v>
          </cell>
        </row>
      </sheetData>
      <sheetData sheetId="21">
        <row r="20">
          <cell r="J20">
            <v>335059.81988950807</v>
          </cell>
        </row>
      </sheetData>
      <sheetData sheetId="22">
        <row r="20">
          <cell r="J20">
            <v>48199.553649100642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9 IS (C)"/>
      <sheetName val="2188 IS (C)"/>
      <sheetName val="Master IS (C)"/>
      <sheetName val="Lewis LOB (C)"/>
      <sheetName val="Joe's LOB (C)"/>
      <sheetName val="Restating Adj (C)"/>
      <sheetName val="Staff Restating"/>
      <sheetName val="Pro forma Adj (C)"/>
      <sheetName val="Allocators (C)"/>
      <sheetName val="Lewis Co. Regulated - Price Out"/>
      <sheetName val="Joe's Reg- Price Out "/>
      <sheetName val="Rate Sheet"/>
      <sheetName val="Deprec. Summary"/>
      <sheetName val="Lewis Payroll (C)"/>
      <sheetName val="40131 Allocation"/>
      <sheetName val="2188_BS 5.2019 (C)"/>
      <sheetName val="2189_BS 5.2019 (C)"/>
      <sheetName val="2188_BS 5.2020 (C)"/>
      <sheetName val="2189_BS 5.2020 (C)"/>
      <sheetName val="LG Total"/>
      <sheetName val="LG Lewis"/>
      <sheetName val="LG Lewis MSW"/>
      <sheetName val="LG Lewis Recycling"/>
      <sheetName val="LG Lewis Yard Waste"/>
      <sheetName val="LG Joe's"/>
      <sheetName val="LG Joe's MSW"/>
      <sheetName val="LG Joe's Recycling"/>
      <sheetName val="LG Joe's Yard Waste"/>
      <sheetName val="Interject_LastPulledValues"/>
      <sheetName val="40861 JE Query"/>
      <sheetName val="41121 JE Query - Brokerage"/>
      <sheetName val="70195 - Dues &amp; Subs (C)"/>
      <sheetName val="2188 43001 JE Query"/>
      <sheetName val="2189 43001 JE Query (C)"/>
      <sheetName val="57175 JE Query"/>
      <sheetName val="59343, 59341 - CY Claims (C)"/>
      <sheetName val="59342 - PY CLaims (C)"/>
      <sheetName val="70095 - Employ &amp; Comm (C)"/>
      <sheetName val="91010 JE Query"/>
      <sheetName val="DVP-DivCon Allocs  (C)"/>
      <sheetName val="Region OH (C)"/>
      <sheetName val="Corp-OH (C)"/>
      <sheetName val="Corp IS-BS"/>
      <sheetName val="59341 prior 4 yrs"/>
      <sheetName val="59342 prior 4 yrs"/>
      <sheetName val="59343 prior 4 yrs"/>
    </sheetNames>
    <sheetDataSet>
      <sheetData sheetId="0" refreshError="1"/>
      <sheetData sheetId="1" refreshError="1"/>
      <sheetData sheetId="2">
        <row r="15">
          <cell r="Q15">
            <v>0.40400480925359361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39">
          <cell r="C39">
            <v>0.46940356662598409</v>
          </cell>
        </row>
      </sheetData>
      <sheetData sheetId="9" refreshError="1"/>
      <sheetData sheetId="10" refreshError="1"/>
      <sheetData sheetId="11" refreshError="1"/>
      <sheetData sheetId="12">
        <row r="55">
          <cell r="P55">
            <v>3272495.6541567221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1:H70"/>
  <sheetViews>
    <sheetView tabSelected="1" view="pageBreakPreview" zoomScale="85" zoomScaleNormal="90" zoomScaleSheetLayoutView="85" zoomScalePageLayoutView="60" workbookViewId="0">
      <pane ySplit="3" topLeftCell="A4" activePane="bottomLeft" state="frozen"/>
      <selection pane="bottomLeft" activeCell="A42" sqref="A42"/>
    </sheetView>
  </sheetViews>
  <sheetFormatPr defaultColWidth="9.140625" defaultRowHeight="15"/>
  <cols>
    <col min="1" max="1" width="42.5703125" style="165" customWidth="1"/>
    <col min="2" max="2" width="16.7109375" style="165" customWidth="1"/>
    <col min="3" max="3" width="15" style="165" customWidth="1"/>
    <col min="4" max="4" width="7.42578125" style="165" bestFit="1" customWidth="1"/>
    <col min="5" max="5" width="9.140625" style="165"/>
    <col min="6" max="7" width="12.42578125" style="165" customWidth="1"/>
    <col min="8" max="16384" width="9.140625" style="165"/>
  </cols>
  <sheetData>
    <row r="1" spans="1:8">
      <c r="A1" s="441" t="s">
        <v>207</v>
      </c>
    </row>
    <row r="2" spans="1:8">
      <c r="A2" s="441" t="s">
        <v>740</v>
      </c>
    </row>
    <row r="3" spans="1:8">
      <c r="A3" s="441" t="s">
        <v>158</v>
      </c>
      <c r="G3" s="234" t="s">
        <v>120</v>
      </c>
    </row>
    <row r="5" spans="1:8">
      <c r="A5" s="561" t="s">
        <v>15</v>
      </c>
      <c r="B5" s="561"/>
      <c r="C5" s="561"/>
      <c r="D5" s="561"/>
      <c r="E5" s="561"/>
      <c r="F5" s="561"/>
      <c r="G5" s="561"/>
      <c r="H5" s="561"/>
    </row>
    <row r="6" spans="1:8">
      <c r="A6" s="166" t="s">
        <v>48</v>
      </c>
      <c r="B6" s="2" t="s">
        <v>35</v>
      </c>
      <c r="C6" s="2" t="s">
        <v>36</v>
      </c>
      <c r="D6" s="2" t="s">
        <v>37</v>
      </c>
      <c r="E6" s="3" t="s">
        <v>39</v>
      </c>
      <c r="F6" s="3" t="s">
        <v>40</v>
      </c>
      <c r="G6" s="3" t="s">
        <v>41</v>
      </c>
      <c r="H6" s="2" t="s">
        <v>44</v>
      </c>
    </row>
    <row r="7" spans="1:8">
      <c r="A7" s="166" t="s">
        <v>45</v>
      </c>
      <c r="B7" s="167">
        <f>52*5/12</f>
        <v>21.666666666666668</v>
      </c>
      <c r="C7" s="4">
        <f>$B$7*2</f>
        <v>43.333333333333336</v>
      </c>
      <c r="D7" s="4">
        <f>$B$7*3</f>
        <v>65</v>
      </c>
      <c r="E7" s="4">
        <f>$B$7*4</f>
        <v>86.666666666666671</v>
      </c>
      <c r="F7" s="4">
        <f>$B$7*5</f>
        <v>108.33333333333334</v>
      </c>
      <c r="G7" s="4">
        <f>$B$7*6</f>
        <v>130</v>
      </c>
      <c r="H7" s="4">
        <f>$B$7*7</f>
        <v>151.66666666666669</v>
      </c>
    </row>
    <row r="8" spans="1:8">
      <c r="A8" s="166" t="s">
        <v>78</v>
      </c>
      <c r="B8" s="167">
        <f>52*4/12</f>
        <v>17.333333333333332</v>
      </c>
      <c r="C8" s="4">
        <f>$B$8*2</f>
        <v>34.666666666666664</v>
      </c>
      <c r="D8" s="4">
        <f>$B$8*3</f>
        <v>52</v>
      </c>
      <c r="E8" s="4">
        <f>$B$8*4</f>
        <v>69.333333333333329</v>
      </c>
      <c r="F8" s="4">
        <f>$B$8*5</f>
        <v>86.666666666666657</v>
      </c>
      <c r="G8" s="4">
        <f>$B$8*6</f>
        <v>104</v>
      </c>
      <c r="H8" s="4">
        <f>$B$8*7</f>
        <v>121.33333333333333</v>
      </c>
    </row>
    <row r="9" spans="1:8">
      <c r="A9" s="166" t="s">
        <v>46</v>
      </c>
      <c r="B9" s="167">
        <f>52*3/12</f>
        <v>13</v>
      </c>
      <c r="C9" s="4">
        <f>$B$9*2</f>
        <v>26</v>
      </c>
      <c r="D9" s="4">
        <f>$B$9*3</f>
        <v>39</v>
      </c>
      <c r="E9" s="4">
        <f>$B$9*4</f>
        <v>52</v>
      </c>
      <c r="F9" s="4">
        <f>$B$9*5</f>
        <v>65</v>
      </c>
      <c r="G9" s="4">
        <f>$B$9*6</f>
        <v>78</v>
      </c>
      <c r="H9" s="4">
        <f>$B$9*7</f>
        <v>91</v>
      </c>
    </row>
    <row r="10" spans="1:8">
      <c r="A10" s="166" t="s">
        <v>47</v>
      </c>
      <c r="B10" s="167">
        <f>52*2/12</f>
        <v>8.6666666666666661</v>
      </c>
      <c r="C10" s="168">
        <f>$B$10*2</f>
        <v>17.333333333333332</v>
      </c>
      <c r="D10" s="168">
        <f>$B$10*3</f>
        <v>26</v>
      </c>
      <c r="E10" s="168">
        <f>$B$10*4</f>
        <v>34.666666666666664</v>
      </c>
      <c r="F10" s="168">
        <f>$B$10*5</f>
        <v>43.333333333333329</v>
      </c>
      <c r="G10" s="168">
        <f>$B$10*6</f>
        <v>52</v>
      </c>
      <c r="H10" s="168">
        <f>$B$10*7</f>
        <v>60.666666666666664</v>
      </c>
    </row>
    <row r="11" spans="1:8">
      <c r="A11" s="166" t="s">
        <v>18</v>
      </c>
      <c r="B11" s="167">
        <f>52/12</f>
        <v>4.333333333333333</v>
      </c>
      <c r="C11" s="168">
        <f>$B$11*2</f>
        <v>8.6666666666666661</v>
      </c>
      <c r="D11" s="168">
        <f>$B$11*3</f>
        <v>13</v>
      </c>
      <c r="E11" s="168">
        <f>$B$11*4</f>
        <v>17.333333333333332</v>
      </c>
      <c r="F11" s="168">
        <f>$B$11*5</f>
        <v>21.666666666666664</v>
      </c>
      <c r="G11" s="168">
        <f>$B$11*6</f>
        <v>26</v>
      </c>
      <c r="H11" s="168">
        <f>$B$11*7</f>
        <v>30.333333333333332</v>
      </c>
    </row>
    <row r="12" spans="1:8">
      <c r="A12" s="166" t="s">
        <v>20</v>
      </c>
      <c r="B12" s="167">
        <f>26/12</f>
        <v>2.1666666666666665</v>
      </c>
      <c r="C12" s="168">
        <f>$B$12*2</f>
        <v>4.333333333333333</v>
      </c>
      <c r="D12" s="168">
        <f>$B$12*3</f>
        <v>6.5</v>
      </c>
      <c r="E12" s="168">
        <f>$B$12*4</f>
        <v>8.6666666666666661</v>
      </c>
      <c r="F12" s="168">
        <f>$B$12*5</f>
        <v>10.833333333333332</v>
      </c>
      <c r="G12" s="168">
        <f>$B$12*6</f>
        <v>13</v>
      </c>
      <c r="H12" s="168">
        <f>$B$12*7</f>
        <v>15.166666666666666</v>
      </c>
    </row>
    <row r="13" spans="1:8">
      <c r="A13" s="166" t="s">
        <v>19</v>
      </c>
      <c r="B13" s="167">
        <f>12/12</f>
        <v>1</v>
      </c>
      <c r="C13" s="168">
        <f>$B$13*2</f>
        <v>2</v>
      </c>
      <c r="D13" s="168">
        <f>$B$13*3</f>
        <v>3</v>
      </c>
      <c r="E13" s="168">
        <f>$B$13*4</f>
        <v>4</v>
      </c>
      <c r="F13" s="168">
        <f>$B$13*5</f>
        <v>5</v>
      </c>
      <c r="G13" s="168">
        <f>$B$13*6</f>
        <v>6</v>
      </c>
      <c r="H13" s="168">
        <f>$B$13*7</f>
        <v>7</v>
      </c>
    </row>
    <row r="14" spans="1:8">
      <c r="A14" s="166"/>
      <c r="B14" s="167"/>
      <c r="C14" s="168"/>
      <c r="D14" s="168"/>
      <c r="E14" s="168"/>
      <c r="F14" s="168"/>
      <c r="G14" s="168"/>
      <c r="H14" s="168"/>
    </row>
    <row r="15" spans="1:8">
      <c r="A15" s="561" t="s">
        <v>9</v>
      </c>
      <c r="B15" s="561"/>
      <c r="C15" s="168"/>
      <c r="D15" s="168"/>
      <c r="E15" s="168"/>
      <c r="F15" s="168"/>
      <c r="G15" s="168"/>
      <c r="H15" s="168"/>
    </row>
    <row r="16" spans="1:8">
      <c r="A16" s="164" t="s">
        <v>43</v>
      </c>
      <c r="B16" s="169" t="s">
        <v>70</v>
      </c>
      <c r="C16" s="168"/>
      <c r="D16" s="168"/>
      <c r="E16" s="168"/>
      <c r="F16" s="168"/>
      <c r="G16" s="168"/>
      <c r="H16" s="168"/>
    </row>
    <row r="17" spans="1:8">
      <c r="A17" s="15" t="s">
        <v>71</v>
      </c>
      <c r="B17" s="170">
        <v>20</v>
      </c>
      <c r="C17" s="168"/>
      <c r="D17" s="168"/>
      <c r="E17" s="168"/>
      <c r="F17" s="168"/>
      <c r="G17" s="168"/>
      <c r="H17" s="168"/>
    </row>
    <row r="18" spans="1:8">
      <c r="A18" s="15" t="s">
        <v>49</v>
      </c>
      <c r="B18" s="170">
        <v>34</v>
      </c>
      <c r="C18" s="168"/>
      <c r="D18" s="168"/>
      <c r="E18" s="168"/>
      <c r="F18" s="168"/>
      <c r="G18" s="168"/>
      <c r="H18" s="168"/>
    </row>
    <row r="19" spans="1:8">
      <c r="A19" s="15" t="s">
        <v>50</v>
      </c>
      <c r="B19" s="170">
        <v>51</v>
      </c>
      <c r="C19" s="168"/>
      <c r="D19" s="168"/>
      <c r="E19" s="168"/>
      <c r="F19" s="168"/>
      <c r="G19" s="168"/>
      <c r="H19" s="168"/>
    </row>
    <row r="20" spans="1:8">
      <c r="A20" s="15" t="s">
        <v>51</v>
      </c>
      <c r="B20" s="170">
        <v>77</v>
      </c>
      <c r="C20" s="168"/>
      <c r="D20" s="168"/>
      <c r="E20" s="168"/>
      <c r="F20" s="166" t="s">
        <v>16</v>
      </c>
      <c r="G20" s="170">
        <v>2000</v>
      </c>
      <c r="H20" s="168"/>
    </row>
    <row r="21" spans="1:8">
      <c r="A21" s="15" t="s">
        <v>52</v>
      </c>
      <c r="B21" s="170">
        <v>97</v>
      </c>
      <c r="C21" s="168"/>
      <c r="D21" s="168"/>
      <c r="E21" s="168"/>
      <c r="F21" s="166" t="s">
        <v>17</v>
      </c>
      <c r="G21" s="123" t="s">
        <v>38</v>
      </c>
      <c r="H21" s="168"/>
    </row>
    <row r="22" spans="1:8">
      <c r="A22" s="15" t="s">
        <v>53</v>
      </c>
      <c r="B22" s="170">
        <v>117</v>
      </c>
      <c r="C22" s="168"/>
      <c r="D22" s="168"/>
      <c r="E22" s="168"/>
      <c r="F22" s="166"/>
      <c r="G22" s="166"/>
      <c r="H22" s="168"/>
    </row>
    <row r="23" spans="1:8">
      <c r="A23" s="15" t="s">
        <v>54</v>
      </c>
      <c r="B23" s="170">
        <v>157</v>
      </c>
      <c r="C23" s="168"/>
      <c r="D23" s="168"/>
      <c r="E23" s="168"/>
      <c r="F23" s="171" t="s">
        <v>73</v>
      </c>
      <c r="G23" s="116">
        <v>12</v>
      </c>
      <c r="H23" s="168"/>
    </row>
    <row r="24" spans="1:8">
      <c r="A24" s="15" t="s">
        <v>159</v>
      </c>
      <c r="B24" s="170">
        <v>37</v>
      </c>
      <c r="C24" s="168" t="s">
        <v>72</v>
      </c>
      <c r="D24" s="168"/>
      <c r="E24" s="168"/>
      <c r="F24" s="172"/>
      <c r="G24" s="1"/>
      <c r="H24" s="168"/>
    </row>
    <row r="25" spans="1:8">
      <c r="A25" s="15" t="s">
        <v>160</v>
      </c>
      <c r="B25" s="173">
        <v>48</v>
      </c>
      <c r="C25" s="174"/>
      <c r="D25" s="174"/>
      <c r="E25" s="168"/>
      <c r="F25" s="172"/>
      <c r="G25" s="1"/>
      <c r="H25" s="168"/>
    </row>
    <row r="26" spans="1:8">
      <c r="A26" s="15" t="s">
        <v>161</v>
      </c>
      <c r="B26" s="170">
        <v>51</v>
      </c>
      <c r="C26" s="168"/>
      <c r="D26" s="168"/>
      <c r="E26" s="168"/>
      <c r="F26" s="168"/>
      <c r="G26" s="168"/>
      <c r="H26" s="168"/>
    </row>
    <row r="27" spans="1:8">
      <c r="A27" s="15" t="s">
        <v>162</v>
      </c>
      <c r="B27" s="170">
        <v>77</v>
      </c>
      <c r="C27" s="168"/>
      <c r="D27" s="168"/>
      <c r="E27" s="168"/>
      <c r="F27" s="168"/>
      <c r="G27" s="168"/>
      <c r="H27" s="168"/>
    </row>
    <row r="28" spans="1:8">
      <c r="A28" s="15" t="s">
        <v>55</v>
      </c>
      <c r="B28" s="170">
        <v>34</v>
      </c>
      <c r="C28" s="168"/>
      <c r="D28" s="168"/>
      <c r="E28" s="168"/>
      <c r="F28" s="168"/>
      <c r="G28" s="168"/>
      <c r="H28" s="168"/>
    </row>
    <row r="29" spans="1:8">
      <c r="A29" s="15" t="s">
        <v>27</v>
      </c>
      <c r="B29" s="170">
        <v>34</v>
      </c>
      <c r="C29" s="168"/>
      <c r="D29" s="168"/>
      <c r="E29" s="168"/>
      <c r="F29" s="168"/>
      <c r="G29" s="168"/>
      <c r="H29" s="168"/>
    </row>
    <row r="30" spans="1:8">
      <c r="A30" s="164" t="s">
        <v>56</v>
      </c>
      <c r="B30" s="170"/>
      <c r="C30" s="168"/>
      <c r="D30" s="168"/>
      <c r="E30" s="168"/>
      <c r="F30" s="168"/>
      <c r="G30" s="168"/>
      <c r="H30" s="168"/>
    </row>
    <row r="31" spans="1:8">
      <c r="A31" s="15" t="s">
        <v>57</v>
      </c>
      <c r="B31" s="170">
        <v>29</v>
      </c>
      <c r="C31" s="168"/>
      <c r="D31" s="168"/>
      <c r="E31" s="168"/>
      <c r="F31" s="168"/>
      <c r="G31" s="168"/>
      <c r="H31" s="168"/>
    </row>
    <row r="32" spans="1:8">
      <c r="A32" s="15" t="s">
        <v>58</v>
      </c>
      <c r="B32" s="170">
        <v>175</v>
      </c>
      <c r="C32" s="168"/>
      <c r="D32" s="168"/>
      <c r="E32" s="168"/>
      <c r="F32" s="168"/>
      <c r="G32" s="168"/>
      <c r="H32" s="168"/>
    </row>
    <row r="33" spans="1:8">
      <c r="A33" s="15" t="s">
        <v>59</v>
      </c>
      <c r="B33" s="170">
        <v>250</v>
      </c>
      <c r="C33" s="168"/>
      <c r="D33" s="168"/>
      <c r="E33" s="168"/>
      <c r="F33" s="168"/>
      <c r="G33" s="168"/>
      <c r="H33" s="168"/>
    </row>
    <row r="34" spans="1:8">
      <c r="A34" s="15" t="s">
        <v>60</v>
      </c>
      <c r="B34" s="170">
        <v>324</v>
      </c>
      <c r="C34" s="168"/>
      <c r="D34" s="168"/>
      <c r="E34" s="168"/>
      <c r="F34" s="168"/>
      <c r="G34" s="168"/>
      <c r="H34" s="168"/>
    </row>
    <row r="35" spans="1:8">
      <c r="A35" s="15" t="s">
        <v>61</v>
      </c>
      <c r="B35" s="170">
        <v>473</v>
      </c>
      <c r="C35" s="168"/>
      <c r="D35" s="168"/>
      <c r="E35" s="168"/>
      <c r="F35" s="168"/>
      <c r="G35" s="168"/>
      <c r="H35" s="168"/>
    </row>
    <row r="36" spans="1:8">
      <c r="A36" s="15" t="s">
        <v>62</v>
      </c>
      <c r="B36" s="170">
        <v>613</v>
      </c>
      <c r="C36" s="168"/>
      <c r="D36" s="168"/>
      <c r="E36" s="168"/>
      <c r="F36" s="168"/>
      <c r="G36" s="168"/>
      <c r="H36" s="168"/>
    </row>
    <row r="37" spans="1:8">
      <c r="A37" s="15" t="s">
        <v>63</v>
      </c>
      <c r="B37" s="170">
        <v>840</v>
      </c>
      <c r="C37" s="168"/>
      <c r="D37" s="168"/>
      <c r="E37" s="168"/>
      <c r="F37" s="168"/>
      <c r="G37" s="168"/>
      <c r="H37" s="168"/>
    </row>
    <row r="38" spans="1:8">
      <c r="A38" s="15" t="s">
        <v>64</v>
      </c>
      <c r="B38" s="170">
        <v>980</v>
      </c>
      <c r="C38" s="168"/>
      <c r="D38" s="168"/>
      <c r="E38" s="168"/>
      <c r="F38" s="168"/>
      <c r="G38" s="168"/>
      <c r="H38" s="168"/>
    </row>
    <row r="39" spans="1:8">
      <c r="A39" s="15" t="s">
        <v>163</v>
      </c>
      <c r="B39" s="170">
        <v>482</v>
      </c>
      <c r="C39" s="168" t="s">
        <v>72</v>
      </c>
      <c r="D39" s="168"/>
      <c r="E39" s="168"/>
      <c r="F39" s="168"/>
      <c r="G39" s="168"/>
      <c r="H39" s="168"/>
    </row>
    <row r="40" spans="1:8">
      <c r="A40" s="15" t="s">
        <v>164</v>
      </c>
      <c r="B40" s="170">
        <v>689</v>
      </c>
      <c r="C40" s="168" t="s">
        <v>72</v>
      </c>
      <c r="D40" s="168"/>
      <c r="E40" s="168"/>
      <c r="F40" s="168"/>
      <c r="G40" s="168"/>
      <c r="H40" s="168"/>
    </row>
    <row r="41" spans="1:8">
      <c r="A41" s="15" t="s">
        <v>66</v>
      </c>
      <c r="B41" s="170">
        <v>892</v>
      </c>
      <c r="C41" s="168" t="s">
        <v>72</v>
      </c>
      <c r="D41" s="168"/>
      <c r="E41" s="168"/>
      <c r="F41" s="168"/>
      <c r="G41" s="168"/>
      <c r="H41" s="168"/>
    </row>
    <row r="42" spans="1:8">
      <c r="A42" s="15" t="s">
        <v>65</v>
      </c>
      <c r="B42" s="170">
        <v>1301</v>
      </c>
      <c r="C42" s="168"/>
      <c r="D42" s="168"/>
      <c r="E42" s="168"/>
      <c r="F42" s="168"/>
      <c r="G42" s="168"/>
      <c r="H42" s="168"/>
    </row>
    <row r="43" spans="1:8">
      <c r="A43" s="15" t="s">
        <v>67</v>
      </c>
      <c r="B43" s="170">
        <v>1686</v>
      </c>
      <c r="C43" s="168"/>
      <c r="D43" s="168"/>
      <c r="E43" s="168"/>
      <c r="F43" s="168"/>
      <c r="G43" s="168"/>
      <c r="H43" s="168"/>
    </row>
    <row r="44" spans="1:8">
      <c r="A44" s="15" t="s">
        <v>165</v>
      </c>
      <c r="B44" s="170">
        <v>2046</v>
      </c>
      <c r="C44" s="168"/>
      <c r="D44" s="168"/>
      <c r="E44" s="168"/>
      <c r="F44" s="168"/>
      <c r="G44" s="168"/>
      <c r="H44" s="168"/>
    </row>
    <row r="45" spans="1:8">
      <c r="A45" s="15" t="s">
        <v>68</v>
      </c>
      <c r="B45" s="170">
        <v>2310</v>
      </c>
      <c r="C45" s="168"/>
      <c r="D45" s="168"/>
      <c r="E45" s="168"/>
      <c r="F45" s="168"/>
      <c r="G45" s="168"/>
      <c r="H45" s="168"/>
    </row>
    <row r="46" spans="1:8">
      <c r="A46" s="15" t="s">
        <v>166</v>
      </c>
      <c r="B46" s="170">
        <v>2800</v>
      </c>
      <c r="C46" s="168" t="s">
        <v>72</v>
      </c>
      <c r="D46" s="168"/>
      <c r="E46" s="168"/>
      <c r="F46" s="168"/>
      <c r="G46" s="168"/>
      <c r="H46" s="168"/>
    </row>
    <row r="47" spans="1:8">
      <c r="A47" s="15" t="s">
        <v>69</v>
      </c>
      <c r="B47" s="170">
        <v>125</v>
      </c>
      <c r="C47" s="168"/>
      <c r="D47" s="168"/>
      <c r="E47" s="168"/>
      <c r="F47" s="168"/>
      <c r="G47" s="168"/>
      <c r="H47" s="168"/>
    </row>
    <row r="48" spans="1:8">
      <c r="A48" s="166"/>
      <c r="B48" s="166" t="s">
        <v>167</v>
      </c>
      <c r="C48" s="166"/>
      <c r="D48" s="166"/>
      <c r="E48" s="166"/>
      <c r="F48" s="166"/>
      <c r="G48" s="166"/>
      <c r="H48" s="166"/>
    </row>
    <row r="49" spans="1:8">
      <c r="A49" s="166"/>
      <c r="B49" s="166"/>
      <c r="C49" s="166"/>
      <c r="D49" s="166"/>
      <c r="E49" s="166"/>
      <c r="F49" s="166"/>
      <c r="G49" s="166"/>
      <c r="H49" s="166"/>
    </row>
    <row r="50" spans="1:8">
      <c r="A50" s="166"/>
      <c r="B50" s="166"/>
      <c r="C50" s="166"/>
      <c r="D50" s="166"/>
      <c r="E50" s="166"/>
      <c r="F50" s="166"/>
      <c r="G50" s="166"/>
      <c r="H50" s="166"/>
    </row>
    <row r="51" spans="1:8">
      <c r="A51" s="236" t="s">
        <v>527</v>
      </c>
      <c r="B51" s="237" t="s">
        <v>4</v>
      </c>
      <c r="C51" s="238" t="s">
        <v>5</v>
      </c>
      <c r="D51" s="166"/>
      <c r="E51" s="166"/>
      <c r="F51" s="562" t="s">
        <v>23</v>
      </c>
      <c r="G51" s="562"/>
      <c r="H51" s="166"/>
    </row>
    <row r="52" spans="1:8">
      <c r="A52" s="163" t="s">
        <v>6</v>
      </c>
      <c r="B52" s="235">
        <f>G60</f>
        <v>90</v>
      </c>
      <c r="C52" s="175">
        <f>B52/2000</f>
        <v>4.4999999999999998E-2</v>
      </c>
      <c r="D52" s="166"/>
      <c r="E52" s="166"/>
      <c r="F52" s="166" t="s">
        <v>24</v>
      </c>
      <c r="G52" s="176">
        <f>0.0175</f>
        <v>1.7500000000000002E-2</v>
      </c>
      <c r="H52" s="166"/>
    </row>
    <row r="53" spans="1:8">
      <c r="A53" s="163" t="s">
        <v>7</v>
      </c>
      <c r="B53" s="273">
        <f>G62</f>
        <v>100</v>
      </c>
      <c r="C53" s="177">
        <f>B53/2000</f>
        <v>0.05</v>
      </c>
      <c r="D53" s="178"/>
      <c r="E53" s="166"/>
      <c r="F53" s="166" t="s">
        <v>25</v>
      </c>
      <c r="G53" s="179">
        <v>5.1000000000000004E-3</v>
      </c>
      <c r="H53" s="166"/>
    </row>
    <row r="54" spans="1:8">
      <c r="A54" s="15" t="s">
        <v>169</v>
      </c>
      <c r="B54" s="180">
        <f>B53-B52</f>
        <v>10</v>
      </c>
      <c r="C54" s="181">
        <f>C53-C52</f>
        <v>5.0000000000000044E-3</v>
      </c>
      <c r="D54" s="247">
        <f>B54/B52</f>
        <v>0.1111111111111111</v>
      </c>
      <c r="E54" s="166"/>
      <c r="F54" s="166" t="s">
        <v>42</v>
      </c>
      <c r="G54" s="182"/>
      <c r="H54" s="166"/>
    </row>
    <row r="55" spans="1:8">
      <c r="A55" s="166"/>
      <c r="B55" s="183"/>
      <c r="C55" s="166"/>
      <c r="D55" s="166"/>
      <c r="E55" s="166"/>
      <c r="F55" s="166" t="s">
        <v>14</v>
      </c>
      <c r="G55" s="184">
        <f>SUM(G52:G54)</f>
        <v>2.2600000000000002E-2</v>
      </c>
      <c r="H55" s="166"/>
    </row>
    <row r="56" spans="1:8">
      <c r="A56" s="185"/>
      <c r="B56" s="186"/>
      <c r="C56" s="186"/>
      <c r="D56" s="26"/>
      <c r="E56" s="166"/>
      <c r="F56" s="166"/>
      <c r="G56" s="166"/>
      <c r="H56" s="166"/>
    </row>
    <row r="57" spans="1:8">
      <c r="A57" s="166"/>
      <c r="B57" s="239" t="s">
        <v>168</v>
      </c>
      <c r="C57" s="187"/>
      <c r="D57" s="26"/>
      <c r="E57" s="166"/>
      <c r="F57" s="166" t="s">
        <v>26</v>
      </c>
      <c r="G57" s="188">
        <f>1-G55</f>
        <v>0.97740000000000005</v>
      </c>
      <c r="H57" s="166"/>
    </row>
    <row r="58" spans="1:8">
      <c r="A58" s="166" t="s">
        <v>2</v>
      </c>
      <c r="B58" s="189">
        <f>B54</f>
        <v>10</v>
      </c>
      <c r="C58" s="187"/>
      <c r="D58" s="26"/>
      <c r="E58" s="166"/>
      <c r="F58" s="166"/>
      <c r="G58" s="166"/>
      <c r="H58" s="166"/>
    </row>
    <row r="59" spans="1:8">
      <c r="A59" s="166" t="s">
        <v>22</v>
      </c>
      <c r="B59" s="190">
        <f>B58/$G$57</f>
        <v>10.23122570083896</v>
      </c>
      <c r="C59" s="191"/>
      <c r="D59" s="26"/>
      <c r="E59" s="166"/>
      <c r="F59" s="166"/>
      <c r="G59" s="166"/>
      <c r="H59" s="166"/>
    </row>
    <row r="60" spans="1:8">
      <c r="A60" s="166" t="s">
        <v>21</v>
      </c>
      <c r="B60" s="249">
        <f>'DF Calculation'!D60</f>
        <v>19065.772900633248</v>
      </c>
      <c r="C60" s="26"/>
      <c r="D60" s="26"/>
      <c r="E60" s="248"/>
      <c r="F60" s="166" t="s">
        <v>198</v>
      </c>
      <c r="G60" s="258">
        <v>90</v>
      </c>
      <c r="H60" s="166"/>
    </row>
    <row r="61" spans="1:8">
      <c r="A61" s="164" t="s">
        <v>170</v>
      </c>
      <c r="B61" s="254">
        <f>B59*B60</f>
        <v>195066.22570731788</v>
      </c>
      <c r="C61" s="192"/>
      <c r="D61" s="26"/>
      <c r="E61" s="166"/>
      <c r="F61" s="256" t="s">
        <v>197</v>
      </c>
      <c r="G61" s="259">
        <f>(G62-G60)/G60</f>
        <v>0.1111111111111111</v>
      </c>
      <c r="H61" s="166"/>
    </row>
    <row r="62" spans="1:8">
      <c r="A62" s="192"/>
      <c r="B62" s="192"/>
      <c r="C62" s="192"/>
      <c r="D62" s="26"/>
      <c r="E62" s="166"/>
      <c r="F62" s="166"/>
      <c r="G62" s="257">
        <v>100</v>
      </c>
      <c r="H62" s="166"/>
    </row>
    <row r="63" spans="1:8" ht="15.75" thickBot="1">
      <c r="D63" s="190"/>
      <c r="E63" s="166"/>
      <c r="F63" s="166"/>
      <c r="G63" s="166"/>
      <c r="H63" s="166"/>
    </row>
    <row r="64" spans="1:8">
      <c r="A64" s="193" t="s">
        <v>76</v>
      </c>
      <c r="B64" s="240" t="s">
        <v>74</v>
      </c>
      <c r="C64" s="166"/>
      <c r="D64" s="166"/>
      <c r="E64" s="166"/>
      <c r="F64" s="166"/>
      <c r="G64" s="166"/>
      <c r="H64" s="166"/>
    </row>
    <row r="65" spans="1:8">
      <c r="A65" s="194" t="s">
        <v>75</v>
      </c>
      <c r="B65" s="255">
        <f>'DF Calculation'!L63-'DF Calculation'!J63</f>
        <v>194665.13509002142</v>
      </c>
      <c r="C65" s="166"/>
      <c r="D65" s="166"/>
      <c r="E65" s="166"/>
      <c r="F65" s="166"/>
      <c r="G65" s="166"/>
      <c r="H65" s="166"/>
    </row>
    <row r="66" spans="1:8" ht="15.75" thickBot="1">
      <c r="A66" s="195" t="s">
        <v>11</v>
      </c>
      <c r="B66" s="266">
        <f>B61-B65</f>
        <v>401.09061729646055</v>
      </c>
      <c r="C66" s="260" t="s">
        <v>121</v>
      </c>
      <c r="D66" s="166"/>
      <c r="E66" s="166"/>
      <c r="F66" s="166"/>
      <c r="G66" s="166"/>
      <c r="H66" s="166"/>
    </row>
    <row r="67" spans="1:8">
      <c r="A67" s="265"/>
      <c r="B67" s="265"/>
      <c r="C67" s="517"/>
    </row>
    <row r="70" spans="1:8">
      <c r="A70" s="52"/>
      <c r="B70" s="196"/>
      <c r="C70" s="197"/>
    </row>
  </sheetData>
  <mergeCells count="3">
    <mergeCell ref="A5:H5"/>
    <mergeCell ref="A15:B15"/>
    <mergeCell ref="F51:G51"/>
  </mergeCells>
  <pageMargins left="0.7" right="0.7" top="0.75" bottom="0.75" header="0.3" footer="0.3"/>
  <pageSetup scale="68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59999389629810485"/>
  </sheetPr>
  <dimension ref="A1:V121"/>
  <sheetViews>
    <sheetView view="pageBreakPreview" zoomScale="80" zoomScaleNormal="85" zoomScaleSheetLayoutView="80" workbookViewId="0">
      <pane xSplit="1" ySplit="7" topLeftCell="B8" activePane="bottomRight" state="frozen"/>
      <selection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8.85546875" defaultRowHeight="15" outlineLevelCol="1"/>
  <cols>
    <col min="1" max="1" width="5.85546875" style="42" customWidth="1"/>
    <col min="2" max="2" width="7.5703125" style="25" customWidth="1"/>
    <col min="3" max="3" width="36.140625" style="52" customWidth="1"/>
    <col min="4" max="4" width="44.5703125" style="48" bestFit="1" customWidth="1"/>
    <col min="5" max="5" width="12.85546875" style="23" customWidth="1" outlineLevel="1"/>
    <col min="6" max="8" width="12.85546875" style="48" customWidth="1" outlineLevel="1"/>
    <col min="9" max="9" width="12.85546875" style="22" customWidth="1" outlineLevel="1"/>
    <col min="10" max="11" width="12.85546875" style="48" customWidth="1" outlineLevel="1"/>
    <col min="12" max="14" width="12.85546875" style="48" customWidth="1"/>
    <col min="15" max="16" width="12.85546875" style="90" customWidth="1"/>
    <col min="17" max="18" width="15" style="48" bestFit="1" customWidth="1"/>
    <col min="19" max="19" width="12.85546875" style="30" customWidth="1"/>
    <col min="20" max="20" width="9.42578125" style="48" customWidth="1"/>
    <col min="21" max="21" width="12.42578125" style="93" customWidth="1"/>
    <col min="22" max="22" width="11.7109375" style="90" bestFit="1" customWidth="1"/>
    <col min="23" max="16384" width="8.85546875" style="90"/>
  </cols>
  <sheetData>
    <row r="1" spans="1:21">
      <c r="A1" s="122" t="s">
        <v>207</v>
      </c>
      <c r="B1" s="186"/>
      <c r="C1" s="34"/>
      <c r="D1" s="90"/>
      <c r="H1" s="54"/>
      <c r="O1" s="58"/>
    </row>
    <row r="2" spans="1:21">
      <c r="A2" s="122" t="s">
        <v>740</v>
      </c>
      <c r="B2" s="186"/>
      <c r="C2" s="34"/>
      <c r="D2" s="118" t="s">
        <v>156</v>
      </c>
      <c r="H2" s="54"/>
    </row>
    <row r="3" spans="1:21">
      <c r="A3" s="42" t="s">
        <v>83</v>
      </c>
      <c r="D3" s="124" t="s">
        <v>157</v>
      </c>
      <c r="H3" s="54"/>
      <c r="I3" s="113"/>
      <c r="O3" s="58"/>
    </row>
    <row r="4" spans="1:21">
      <c r="A4" s="42" t="s">
        <v>171</v>
      </c>
      <c r="D4" s="133" t="s">
        <v>149</v>
      </c>
      <c r="H4" s="54"/>
      <c r="N4" s="6"/>
      <c r="O4" s="58"/>
    </row>
    <row r="5" spans="1:21">
      <c r="D5" s="128" t="s">
        <v>120</v>
      </c>
      <c r="I5" s="113"/>
      <c r="N5" s="6"/>
      <c r="O5" s="6"/>
    </row>
    <row r="6" spans="1:21">
      <c r="E6" s="45"/>
      <c r="F6" s="44"/>
      <c r="G6" s="44"/>
      <c r="H6" s="45"/>
      <c r="I6" s="44"/>
      <c r="J6" s="45"/>
      <c r="K6" s="44"/>
      <c r="L6" s="271"/>
      <c r="M6" s="271"/>
      <c r="N6" s="272"/>
      <c r="O6" s="271"/>
      <c r="P6" s="271"/>
    </row>
    <row r="7" spans="1:21" s="111" customFormat="1" ht="60">
      <c r="A7" s="96"/>
      <c r="B7" s="61" t="s">
        <v>13</v>
      </c>
      <c r="C7" s="61" t="s">
        <v>151</v>
      </c>
      <c r="D7" s="61" t="s">
        <v>97</v>
      </c>
      <c r="E7" s="61" t="s">
        <v>98</v>
      </c>
      <c r="F7" s="61" t="s">
        <v>9</v>
      </c>
      <c r="G7" s="61" t="s">
        <v>181</v>
      </c>
      <c r="H7" s="61" t="s">
        <v>30</v>
      </c>
      <c r="I7" s="62" t="s">
        <v>31</v>
      </c>
      <c r="J7" s="61" t="s">
        <v>8</v>
      </c>
      <c r="K7" s="61" t="s">
        <v>0</v>
      </c>
      <c r="L7" s="125" t="s">
        <v>154</v>
      </c>
      <c r="M7" s="98" t="s">
        <v>152</v>
      </c>
      <c r="N7" s="61" t="s">
        <v>33</v>
      </c>
      <c r="O7" s="125" t="s">
        <v>155</v>
      </c>
      <c r="P7" s="98" t="s">
        <v>153</v>
      </c>
      <c r="Q7" s="61" t="s">
        <v>32</v>
      </c>
      <c r="R7" s="61" t="s">
        <v>81</v>
      </c>
      <c r="S7" s="63" t="s">
        <v>34</v>
      </c>
      <c r="T7" s="109" t="s">
        <v>116</v>
      </c>
      <c r="U7" s="110"/>
    </row>
    <row r="8" spans="1:21">
      <c r="A8" s="566" t="s">
        <v>143</v>
      </c>
      <c r="B8" s="88">
        <v>21</v>
      </c>
      <c r="C8" s="54" t="s">
        <v>219</v>
      </c>
      <c r="D8" s="59" t="str">
        <f>VLOOKUP(C8,Mapping!$F$2:$J$78,5,FALSE)</f>
        <v>1-65 gal cart MG</v>
      </c>
      <c r="E8" s="92">
        <f>SUMIFS(Mapping!O:O,Mapping!A:A,"Residential",Mapping!J:J,'DF Calculation'!D8)</f>
        <v>15549.010957324106</v>
      </c>
      <c r="F8" s="92">
        <f>VLOOKUP($C8,Mapping!F:N,7,FALSE)</f>
        <v>51</v>
      </c>
      <c r="G8" s="93">
        <f>VLOOKUP($C8,Mapping!$F$2:$M$37,8,FALSE)</f>
        <v>1</v>
      </c>
      <c r="H8" s="92">
        <f>E8*F8</f>
        <v>792999.5588235294</v>
      </c>
      <c r="I8" s="16">
        <f t="shared" ref="I8:I19" si="0">$D$63*H8</f>
        <v>694037.28167842934</v>
      </c>
      <c r="J8" s="60">
        <f>(References!$C$54*I8)</f>
        <v>3470.1864083921496</v>
      </c>
      <c r="K8" s="60">
        <f>J8/References!$G$57</f>
        <v>3550.4260368243804</v>
      </c>
      <c r="L8" s="119">
        <v>9.06</v>
      </c>
      <c r="M8" s="126">
        <v>9.02</v>
      </c>
      <c r="N8" s="91">
        <f>IFERROR((K8/E8),0)*G8</f>
        <v>0.22833774100287776</v>
      </c>
      <c r="O8" s="119">
        <f t="shared" ref="O8:O19" si="1">ROUND(N8+L8,2)</f>
        <v>9.2899999999999991</v>
      </c>
      <c r="P8" s="126">
        <f>ROUND(N8+M8,2)</f>
        <v>9.25</v>
      </c>
      <c r="Q8" s="60">
        <f>(E8/G8)*'DF Calculation'!L8</f>
        <v>140874.03927335641</v>
      </c>
      <c r="R8" s="60">
        <f>(E8/G8)*'DF Calculation'!O8</f>
        <v>144450.31179354092</v>
      </c>
      <c r="S8" s="60">
        <f>R8-Q8</f>
        <v>3576.2725201845169</v>
      </c>
      <c r="T8" s="267">
        <f>(((F8*$D$63)*(References!$C$54/References!$G$57))*$G8)-N8</f>
        <v>0</v>
      </c>
      <c r="U8" s="114"/>
    </row>
    <row r="9" spans="1:21" ht="15" customHeight="1">
      <c r="A9" s="566"/>
      <c r="B9" s="17">
        <v>21</v>
      </c>
      <c r="C9" s="54" t="s">
        <v>223</v>
      </c>
      <c r="D9" s="59" t="str">
        <f>VLOOKUP(C9,Mapping!$F$2:$J$78,5,FALSE)</f>
        <v>1-65 gal cart WG</v>
      </c>
      <c r="E9" s="92">
        <f>SUMIFS(Mapping!O:O,Mapping!A:A,"Residential",Mapping!J:J,'DF Calculation'!D9)</f>
        <v>195766.61066094693</v>
      </c>
      <c r="F9" s="92">
        <f>VLOOKUP(C9,Mapping!F:N,7,FALSE)</f>
        <v>51</v>
      </c>
      <c r="G9" s="93">
        <f>VLOOKUP($C9,Mapping!$F$2:$M$37,8,FALSE)</f>
        <v>4.333333333333333</v>
      </c>
      <c r="H9" s="92">
        <f t="shared" ref="H9:H19" si="2">E9*F9</f>
        <v>9984097.1437082924</v>
      </c>
      <c r="I9" s="16">
        <f t="shared" si="0"/>
        <v>8738133.0349197555</v>
      </c>
      <c r="J9" s="60">
        <f>(References!$C$54*I9)</f>
        <v>43690.665174598813</v>
      </c>
      <c r="K9" s="60">
        <f>J9/References!$G$57</f>
        <v>44700.905642110505</v>
      </c>
      <c r="L9" s="119">
        <v>21.93</v>
      </c>
      <c r="M9" s="126">
        <v>21.83</v>
      </c>
      <c r="N9" s="91">
        <f t="shared" ref="N9:N18" si="3">IFERROR((K9/E9),0)*G9</f>
        <v>0.98946354434580341</v>
      </c>
      <c r="O9" s="119">
        <f t="shared" si="1"/>
        <v>22.92</v>
      </c>
      <c r="P9" s="126">
        <f>ROUND(N9+M9,2)</f>
        <v>22.82</v>
      </c>
      <c r="Q9" s="60">
        <f>(E9/G9)*'DF Calculation'!L9</f>
        <v>990729.63964489987</v>
      </c>
      <c r="R9" s="60">
        <f>(E9/G9)*'DF Calculation'!O9</f>
        <v>1035454.7806959009</v>
      </c>
      <c r="S9" s="60">
        <f t="shared" ref="S9" si="4">R9-Q9</f>
        <v>44725.141051001032</v>
      </c>
      <c r="T9" s="267">
        <f>(((F9*$D$63)*(References!$C$54/References!$G$57))*$G9)-N9</f>
        <v>0</v>
      </c>
      <c r="U9" s="114"/>
    </row>
    <row r="10" spans="1:21">
      <c r="A10" s="566"/>
      <c r="B10" s="88">
        <v>21</v>
      </c>
      <c r="C10" s="54" t="s">
        <v>227</v>
      </c>
      <c r="D10" s="59" t="str">
        <f>VLOOKUP(C10,Mapping!$F$2:$J$78,5,FALSE)</f>
        <v>1-65 gal cart EOWG</v>
      </c>
      <c r="E10" s="92">
        <f>SUMIFS(Mapping!O:O,Mapping!A:A,"Residential",Mapping!J:J,'DF Calculation'!D10)</f>
        <v>137599.99210903872</v>
      </c>
      <c r="F10" s="92">
        <f>VLOOKUP(C10,Mapping!F:N,7,FALSE)</f>
        <v>51</v>
      </c>
      <c r="G10" s="93">
        <f>VLOOKUP($C10,Mapping!$F$2:$M$37,8,FALSE)</f>
        <v>2.1666666666666665</v>
      </c>
      <c r="H10" s="92">
        <f t="shared" si="2"/>
        <v>7017599.5975609748</v>
      </c>
      <c r="I10" s="16">
        <f t="shared" si="0"/>
        <v>6141839.1654902706</v>
      </c>
      <c r="J10" s="60">
        <f>(References!$C$54*I10)</f>
        <v>30709.195827451382</v>
      </c>
      <c r="K10" s="60">
        <f>J10/References!$G$57</f>
        <v>31419.271360191713</v>
      </c>
      <c r="L10" s="119">
        <v>14.56</v>
      </c>
      <c r="M10" s="126">
        <v>14.5</v>
      </c>
      <c r="N10" s="91">
        <f t="shared" si="3"/>
        <v>0.49473177217290187</v>
      </c>
      <c r="O10" s="119">
        <f t="shared" si="1"/>
        <v>15.05</v>
      </c>
      <c r="P10" s="126">
        <f t="shared" ref="P10:P18" si="5">ROUND(N10+M10,2)</f>
        <v>14.99</v>
      </c>
      <c r="Q10" s="60">
        <f>(E10/G10)*'DF Calculation'!L10</f>
        <v>924671.94697274035</v>
      </c>
      <c r="R10" s="60">
        <f>(E10/G10)*'DF Calculation'!O10</f>
        <v>955790.71441893838</v>
      </c>
      <c r="S10" s="60">
        <f t="shared" ref="S10:S19" si="6">R10-Q10</f>
        <v>31118.767446198035</v>
      </c>
      <c r="T10" s="267">
        <f>(((F10*$D$63)*(References!$C$54/References!$G$57))*$G10)-N10</f>
        <v>0</v>
      </c>
      <c r="U10" s="114"/>
    </row>
    <row r="11" spans="1:21">
      <c r="A11" s="566"/>
      <c r="B11" s="88">
        <v>21</v>
      </c>
      <c r="C11" s="54" t="s">
        <v>231</v>
      </c>
      <c r="D11" s="59" t="str">
        <f>VLOOKUP(C11,Mapping!$F$2:$J$78,5,FALSE)</f>
        <v>1-95 gal cart MG</v>
      </c>
      <c r="E11" s="92">
        <f>SUMIFS(Mapping!O:O,Mapping!A:A,"Residential",Mapping!J:J,'DF Calculation'!D11)</f>
        <v>1883.2251162790699</v>
      </c>
      <c r="F11" s="92">
        <f>VLOOKUP(C11,Mapping!F:N,7,FALSE)</f>
        <v>77</v>
      </c>
      <c r="G11" s="93">
        <f>VLOOKUP($C11,Mapping!$F$2:$M$37,8,FALSE)</f>
        <v>1</v>
      </c>
      <c r="H11" s="92">
        <f t="shared" si="2"/>
        <v>145008.33395348839</v>
      </c>
      <c r="I11" s="16">
        <f t="shared" si="0"/>
        <v>126912.03771551304</v>
      </c>
      <c r="J11" s="60">
        <f>(References!$C$54*I11)</f>
        <v>634.56018857756578</v>
      </c>
      <c r="K11" s="60">
        <f>J11/References!$G$57</f>
        <v>649.23285101040085</v>
      </c>
      <c r="L11" s="119">
        <v>11.23</v>
      </c>
      <c r="M11" s="126">
        <v>11.18</v>
      </c>
      <c r="N11" s="91">
        <f t="shared" si="3"/>
        <v>0.34474521680826653</v>
      </c>
      <c r="O11" s="119">
        <f t="shared" si="1"/>
        <v>11.57</v>
      </c>
      <c r="P11" s="126">
        <f t="shared" si="5"/>
        <v>11.52</v>
      </c>
      <c r="Q11" s="60">
        <f>(E11/G11)*'DF Calculation'!L11</f>
        <v>21148.618055813957</v>
      </c>
      <c r="R11" s="60">
        <f>(E11/G11)*'DF Calculation'!O11</f>
        <v>21788.914595348841</v>
      </c>
      <c r="S11" s="60">
        <f t="shared" si="6"/>
        <v>640.29653953488378</v>
      </c>
      <c r="T11" s="267">
        <f>(((F11*$D$63)*(References!$C$54/References!$G$57))*$G11)-N11</f>
        <v>0</v>
      </c>
      <c r="U11" s="114"/>
    </row>
    <row r="12" spans="1:21">
      <c r="A12" s="566"/>
      <c r="B12" s="88">
        <v>21</v>
      </c>
      <c r="C12" s="54" t="s">
        <v>235</v>
      </c>
      <c r="D12" s="59" t="str">
        <f>VLOOKUP(C12,Mapping!$F$2:$J$78,5,FALSE)</f>
        <v>1-95 gal cart WG</v>
      </c>
      <c r="E12" s="92">
        <f>SUMIFS(Mapping!O:O,Mapping!A:A,"Residential",Mapping!J:J,'DF Calculation'!D12)</f>
        <v>46746.850018201672</v>
      </c>
      <c r="F12" s="92">
        <f>VLOOKUP(C12,Mapping!F:N,7,FALSE)</f>
        <v>77</v>
      </c>
      <c r="G12" s="93">
        <f>VLOOKUP($C12,Mapping!$F$2:$M$37,8,FALSE)</f>
        <v>4.333333333333333</v>
      </c>
      <c r="H12" s="92">
        <f t="shared" si="2"/>
        <v>3599507.4514015289</v>
      </c>
      <c r="I12" s="16">
        <f t="shared" si="0"/>
        <v>3150307.3856159667</v>
      </c>
      <c r="J12" s="60">
        <f>(References!$C$54*I12)</f>
        <v>15751.536928079848</v>
      </c>
      <c r="K12" s="60">
        <f>J12/References!$G$57</f>
        <v>16115.75294462845</v>
      </c>
      <c r="L12" s="119">
        <v>28.71</v>
      </c>
      <c r="M12" s="126">
        <v>28.58</v>
      </c>
      <c r="N12" s="91">
        <f t="shared" si="3"/>
        <v>1.4938959395024878</v>
      </c>
      <c r="O12" s="119">
        <f t="shared" si="1"/>
        <v>30.2</v>
      </c>
      <c r="P12" s="126">
        <f t="shared" si="5"/>
        <v>30.07</v>
      </c>
      <c r="Q12" s="60">
        <f>(E12/G12)*'DF Calculation'!L12</f>
        <v>309715.8609282854</v>
      </c>
      <c r="R12" s="60">
        <f>(E12/G12)*'DF Calculation'!O12</f>
        <v>325789.58551146707</v>
      </c>
      <c r="S12" s="60">
        <f t="shared" si="6"/>
        <v>16073.724583181669</v>
      </c>
      <c r="T12" s="267">
        <f>(((F12*$D$63)*(References!$C$54/References!$G$57))*$G12)-N12</f>
        <v>0</v>
      </c>
      <c r="U12" s="114"/>
    </row>
    <row r="13" spans="1:21">
      <c r="A13" s="566"/>
      <c r="B13" s="88">
        <v>21</v>
      </c>
      <c r="C13" s="54" t="s">
        <v>239</v>
      </c>
      <c r="D13" s="59" t="str">
        <f>VLOOKUP(C13,Mapping!$F$2:$J$78,5,FALSE)</f>
        <v>1-95 gal cart EOWG</v>
      </c>
      <c r="E13" s="92">
        <f>SUMIFS(Mapping!O:O,Mapping!A:A,"Residential",Mapping!J:J,'DF Calculation'!D13)</f>
        <v>8472.7125564378002</v>
      </c>
      <c r="F13" s="92">
        <f>VLOOKUP(C13,Mapping!F:N,7,FALSE)</f>
        <v>77</v>
      </c>
      <c r="G13" s="93">
        <f>VLOOKUP($C13,Mapping!$F$2:$M$37,8,FALSE)</f>
        <v>2.1666666666666665</v>
      </c>
      <c r="H13" s="92">
        <f t="shared" si="2"/>
        <v>652398.86684571067</v>
      </c>
      <c r="I13" s="16">
        <f t="shared" si="0"/>
        <v>570982.8348296046</v>
      </c>
      <c r="J13" s="60">
        <f>(References!$C$54*I13)</f>
        <v>2854.9141741480257</v>
      </c>
      <c r="K13" s="60">
        <f>J13/References!$G$57</f>
        <v>2920.9271272232713</v>
      </c>
      <c r="L13" s="119">
        <v>22.37</v>
      </c>
      <c r="M13" s="126">
        <v>22.27</v>
      </c>
      <c r="N13" s="91">
        <f t="shared" si="3"/>
        <v>0.746947969751244</v>
      </c>
      <c r="O13" s="119">
        <f t="shared" si="1"/>
        <v>23.12</v>
      </c>
      <c r="P13" s="126">
        <f t="shared" si="5"/>
        <v>23.02</v>
      </c>
      <c r="Q13" s="60">
        <f>(E13/G13)*'DF Calculation'!L13</f>
        <v>87477.498409621665</v>
      </c>
      <c r="R13" s="60">
        <f>(E13/G13)*'DF Calculation'!O13</f>
        <v>90410.360448388601</v>
      </c>
      <c r="S13" s="60">
        <f t="shared" si="6"/>
        <v>2932.8620387669362</v>
      </c>
      <c r="T13" s="267">
        <f>(((F13*$D$63)*(References!$C$54/References!$G$57))*$G13)-N13</f>
        <v>0</v>
      </c>
      <c r="U13" s="114"/>
    </row>
    <row r="14" spans="1:21">
      <c r="A14" s="566"/>
      <c r="B14" s="88">
        <v>22</v>
      </c>
      <c r="C14" s="54" t="s">
        <v>241</v>
      </c>
      <c r="D14" s="59" t="str">
        <f>VLOOKUP(C14,Mapping!$F$2:$J$78,5,FALSE)</f>
        <v>1-65 gal cart On call</v>
      </c>
      <c r="E14" s="92">
        <f>SUMIFS(Mapping!O:O,Mapping!A:A,"Residential",Mapping!J:J,'DF Calculation'!D14)</f>
        <v>125</v>
      </c>
      <c r="F14" s="92">
        <f>VLOOKUP(C14,Mapping!F:N,7,FALSE)</f>
        <v>51</v>
      </c>
      <c r="G14" s="93">
        <f>VLOOKUP($C14,Mapping!$F$2:$M$37,8,FALSE)</f>
        <v>1</v>
      </c>
      <c r="H14" s="92">
        <f t="shared" si="2"/>
        <v>6375</v>
      </c>
      <c r="I14" s="16">
        <f t="shared" si="0"/>
        <v>5579.4327014053142</v>
      </c>
      <c r="J14" s="60">
        <f>(References!$C$54*I14)</f>
        <v>27.897163507026598</v>
      </c>
      <c r="K14" s="60">
        <f>J14/References!$G$57</f>
        <v>28.542217625359726</v>
      </c>
      <c r="L14" s="119">
        <v>11.06</v>
      </c>
      <c r="M14" s="126">
        <v>11.02</v>
      </c>
      <c r="N14" s="91">
        <f t="shared" si="3"/>
        <v>0.22833774100287779</v>
      </c>
      <c r="O14" s="119">
        <f t="shared" si="1"/>
        <v>11.29</v>
      </c>
      <c r="P14" s="126">
        <f t="shared" si="5"/>
        <v>11.25</v>
      </c>
      <c r="Q14" s="60">
        <f>(E14/G14)*'DF Calculation'!L14</f>
        <v>1382.5</v>
      </c>
      <c r="R14" s="60">
        <f>(E14/G14)*'DF Calculation'!O14</f>
        <v>1411.25</v>
      </c>
      <c r="S14" s="60">
        <f t="shared" si="6"/>
        <v>28.75</v>
      </c>
      <c r="T14" s="267">
        <f>(((F14*$D$63)*(References!$C$54/References!$G$57))*$G14)-N14</f>
        <v>0</v>
      </c>
      <c r="U14" s="114"/>
    </row>
    <row r="15" spans="1:21">
      <c r="A15" s="566"/>
      <c r="B15" s="88">
        <v>22</v>
      </c>
      <c r="C15" s="54" t="s">
        <v>243</v>
      </c>
      <c r="D15" s="59" t="str">
        <f>VLOOKUP(C15,Mapping!$F$2:$J$78,5,FALSE)</f>
        <v>1-65 gal cart Special</v>
      </c>
      <c r="E15" s="92">
        <f>SUMIFS(Mapping!O:O,Mapping!A:A,"Residential",Mapping!J:J,'DF Calculation'!D15)</f>
        <v>923.95253164556959</v>
      </c>
      <c r="F15" s="92">
        <f>VLOOKUP(C15,Mapping!F:N,7,FALSE)</f>
        <v>51</v>
      </c>
      <c r="G15" s="93">
        <f>VLOOKUP($C15,Mapping!$F$2:$M$37,8,FALSE)</f>
        <v>1</v>
      </c>
      <c r="H15" s="92">
        <f t="shared" si="2"/>
        <v>47121.579113924046</v>
      </c>
      <c r="I15" s="16">
        <f t="shared" si="0"/>
        <v>41241.047756876149</v>
      </c>
      <c r="J15" s="60">
        <f>(References!$C$54*I15)</f>
        <v>206.20523878438092</v>
      </c>
      <c r="K15" s="60">
        <f>J15/References!$G$57</f>
        <v>210.97323386983928</v>
      </c>
      <c r="L15" s="119">
        <v>14.06</v>
      </c>
      <c r="M15" s="126">
        <v>14.02</v>
      </c>
      <c r="N15" s="91">
        <f t="shared" si="3"/>
        <v>0.22833774100287774</v>
      </c>
      <c r="O15" s="119">
        <f t="shared" si="1"/>
        <v>14.29</v>
      </c>
      <c r="P15" s="126">
        <f t="shared" si="5"/>
        <v>14.25</v>
      </c>
      <c r="Q15" s="60">
        <f>(E15/G15)*'DF Calculation'!L15</f>
        <v>12990.772594936709</v>
      </c>
      <c r="R15" s="60">
        <f>(E15/G15)*'DF Calculation'!O15</f>
        <v>13203.281677215189</v>
      </c>
      <c r="S15" s="60">
        <f t="shared" si="6"/>
        <v>212.50908227848049</v>
      </c>
      <c r="T15" s="267">
        <f>(((F15*$D$63)*(References!$C$54/References!$G$57))*$G15)-N15</f>
        <v>0</v>
      </c>
      <c r="U15" s="114"/>
    </row>
    <row r="16" spans="1:21">
      <c r="A16" s="566"/>
      <c r="B16" s="88">
        <v>22</v>
      </c>
      <c r="C16" s="54" t="s">
        <v>245</v>
      </c>
      <c r="D16" s="59" t="str">
        <f>VLOOKUP(C16,Mapping!$F$2:$J$78,5,FALSE)</f>
        <v>1-95 gal cart Special</v>
      </c>
      <c r="E16" s="92">
        <f>SUMIFS(Mapping!O:O,Mapping!A:A,"Residential",Mapping!J:J,'DF Calculation'!D16)</f>
        <v>388.55379746835445</v>
      </c>
      <c r="F16" s="92">
        <f>VLOOKUP(C16,Mapping!F:N,7,FALSE)</f>
        <v>77</v>
      </c>
      <c r="G16" s="93">
        <f>VLOOKUP($C16,Mapping!$F$2:$M$37,8,FALSE)</f>
        <v>1</v>
      </c>
      <c r="H16" s="92">
        <f t="shared" si="2"/>
        <v>29918.642405063292</v>
      </c>
      <c r="I16" s="16">
        <f t="shared" si="0"/>
        <v>26184.949304543035</v>
      </c>
      <c r="J16" s="60">
        <f>(References!$C$54*I16)</f>
        <v>130.92474652271528</v>
      </c>
      <c r="K16" s="60">
        <f>J16/References!$G$57</f>
        <v>133.9520631499031</v>
      </c>
      <c r="L16" s="119">
        <v>16.23</v>
      </c>
      <c r="M16" s="126">
        <v>16.18</v>
      </c>
      <c r="N16" s="91">
        <f t="shared" si="3"/>
        <v>0.34474521680826642</v>
      </c>
      <c r="O16" s="119">
        <f t="shared" si="1"/>
        <v>16.57</v>
      </c>
      <c r="P16" s="126">
        <f t="shared" si="5"/>
        <v>16.52</v>
      </c>
      <c r="Q16" s="60">
        <f>(E16/G16)*'DF Calculation'!L16</f>
        <v>6306.228132911393</v>
      </c>
      <c r="R16" s="60">
        <f>(E16/G16)*'DF Calculation'!O16</f>
        <v>6438.3364240506335</v>
      </c>
      <c r="S16" s="60">
        <f t="shared" si="6"/>
        <v>132.10829113924046</v>
      </c>
      <c r="T16" s="267">
        <f>(((F16*$D$63)*(References!$C$54/References!$G$57))*$G16)-N16</f>
        <v>0</v>
      </c>
      <c r="U16" s="114"/>
    </row>
    <row r="17" spans="1:21">
      <c r="A17" s="566"/>
      <c r="B17" s="88">
        <v>22</v>
      </c>
      <c r="C17" s="54" t="s">
        <v>257</v>
      </c>
      <c r="D17" s="59" t="str">
        <f>VLOOKUP(C17,Mapping!$F$2:$J$78,5,FALSE)</f>
        <v>Extra pickup - 32 gal Extra</v>
      </c>
      <c r="E17" s="92">
        <f>SUMIFS(Mapping!O:O,Mapping!A:A,"Residential",Mapping!J:J,'DF Calculation'!D17)</f>
        <v>4256.4044444444444</v>
      </c>
      <c r="F17" s="92">
        <f>VLOOKUP(C17,Mapping!F:N,7,FALSE)</f>
        <v>34</v>
      </c>
      <c r="G17" s="93">
        <f>VLOOKUP($C17,Mapping!$F$2:$M$37,8,FALSE)</f>
        <v>1</v>
      </c>
      <c r="H17" s="92">
        <f t="shared" si="2"/>
        <v>144717.75111111111</v>
      </c>
      <c r="I17" s="16">
        <f t="shared" si="0"/>
        <v>126657.71812128133</v>
      </c>
      <c r="J17" s="60">
        <f>(References!$C$54*I17)</f>
        <v>633.28859060640718</v>
      </c>
      <c r="K17" s="60">
        <f>J17/References!$G$57</f>
        <v>647.93185042603557</v>
      </c>
      <c r="L17" s="119">
        <v>4.7</v>
      </c>
      <c r="M17" s="126">
        <v>4.68</v>
      </c>
      <c r="N17" s="91">
        <f t="shared" si="3"/>
        <v>0.15222516066858519</v>
      </c>
      <c r="O17" s="119">
        <f t="shared" si="1"/>
        <v>4.8499999999999996</v>
      </c>
      <c r="P17" s="126">
        <f t="shared" si="5"/>
        <v>4.83</v>
      </c>
      <c r="Q17" s="60">
        <f>(E17/G17)*'DF Calculation'!L17</f>
        <v>20005.10088888889</v>
      </c>
      <c r="R17" s="60">
        <f>(E17/G17)*'DF Calculation'!O17</f>
        <v>20643.561555555552</v>
      </c>
      <c r="S17" s="60">
        <f t="shared" si="6"/>
        <v>638.46066666666229</v>
      </c>
      <c r="T17" s="267">
        <f>(((F17*$D$63)*(References!$C$54/References!$G$57))*$G17)-N17</f>
        <v>0</v>
      </c>
      <c r="U17" s="114"/>
    </row>
    <row r="18" spans="1:21">
      <c r="A18" s="566"/>
      <c r="B18" s="88">
        <v>22</v>
      </c>
      <c r="C18" s="54" t="s">
        <v>261</v>
      </c>
      <c r="D18" s="59" t="str">
        <f>VLOOKUP(C18,Mapping!$F$2:$J$78,5,FALSE)</f>
        <v>Prepaid bag Extra</v>
      </c>
      <c r="E18" s="92">
        <f>SUMIFS(Mapping!O:O,Mapping!A:A,"Residential",Mapping!J:J,'DF Calculation'!D18)</f>
        <v>19</v>
      </c>
      <c r="F18" s="92">
        <f>VLOOKUP(C18,Mapping!F:N,7,FALSE)</f>
        <v>34</v>
      </c>
      <c r="G18" s="93">
        <f>VLOOKUP($C18,Mapping!$F$2:$M$37,8,FALSE)</f>
        <v>1</v>
      </c>
      <c r="H18" s="92">
        <f t="shared" si="2"/>
        <v>646</v>
      </c>
      <c r="I18" s="16">
        <f t="shared" si="0"/>
        <v>565.38251374240508</v>
      </c>
      <c r="J18" s="60">
        <f>(References!$C$54*I18)</f>
        <v>2.8269125687120278</v>
      </c>
      <c r="K18" s="60">
        <f>J18/References!$G$57</f>
        <v>2.892278052703118</v>
      </c>
      <c r="L18" s="119">
        <v>4.7</v>
      </c>
      <c r="M18" s="126">
        <v>4.68</v>
      </c>
      <c r="N18" s="91">
        <f t="shared" si="3"/>
        <v>0.15222516066858516</v>
      </c>
      <c r="O18" s="119">
        <f t="shared" si="1"/>
        <v>4.8499999999999996</v>
      </c>
      <c r="P18" s="126">
        <f t="shared" si="5"/>
        <v>4.83</v>
      </c>
      <c r="Q18" s="60">
        <f>(E18/G18)*'DF Calculation'!L18</f>
        <v>89.3</v>
      </c>
      <c r="R18" s="60">
        <f>(E18/G18)*'DF Calculation'!O18</f>
        <v>92.149999999999991</v>
      </c>
      <c r="S18" s="60">
        <f t="shared" si="6"/>
        <v>2.8499999999999943</v>
      </c>
      <c r="T18" s="267">
        <f>(((F18*$D$63)*(References!$C$54/References!$G$57))*$G18)-N18</f>
        <v>0</v>
      </c>
      <c r="U18" s="114"/>
    </row>
    <row r="19" spans="1:21">
      <c r="A19" s="508"/>
      <c r="B19" s="88">
        <v>31</v>
      </c>
      <c r="C19" s="54" t="s">
        <v>251</v>
      </c>
      <c r="D19" s="59" t="str">
        <f>VLOOKUP(C19,Mapping!$F$2:$J$78,5,FALSE)</f>
        <v>1 - 4 yards Bulky Material</v>
      </c>
      <c r="E19" s="92">
        <f>SUMIFS(Mapping!O:O,Mapping!A:A,"Residential",Mapping!J:J,'DF Calculation'!D19)</f>
        <v>350.83512544802869</v>
      </c>
      <c r="F19" s="92">
        <f>VLOOKUP(C19,Mapping!F:N,7,FALSE)</f>
        <v>125</v>
      </c>
      <c r="G19" s="93">
        <f>VLOOKUP($C19,Mapping!$F$2:$M$37,8,FALSE)</f>
        <v>1</v>
      </c>
      <c r="H19" s="92">
        <f t="shared" si="2"/>
        <v>43854.390681003584</v>
      </c>
      <c r="I19" s="16">
        <f t="shared" si="0"/>
        <v>38381.58768090915</v>
      </c>
      <c r="J19" s="60">
        <f>(References!$C$54*I19)</f>
        <v>191.90793840454592</v>
      </c>
      <c r="K19" s="60">
        <f>J19/References!$G$57</f>
        <v>196.34534315996103</v>
      </c>
      <c r="L19" s="119">
        <v>32.07</v>
      </c>
      <c r="M19" s="126">
        <v>31.93</v>
      </c>
      <c r="N19" s="91">
        <f t="shared" ref="N19" si="7">IFERROR((K19/E19),0)</f>
        <v>0.55965132598744549</v>
      </c>
      <c r="O19" s="119">
        <f t="shared" si="1"/>
        <v>32.630000000000003</v>
      </c>
      <c r="P19" s="126">
        <f t="shared" ref="P19" si="8">ROUND(N19+M19,2)</f>
        <v>32.49</v>
      </c>
      <c r="Q19" s="60">
        <f t="shared" ref="Q19" si="9">E19*L19</f>
        <v>11251.282473118281</v>
      </c>
      <c r="R19" s="60">
        <f t="shared" ref="R19" si="10">E19*O19</f>
        <v>11447.750143369178</v>
      </c>
      <c r="S19" s="60">
        <f t="shared" si="6"/>
        <v>196.46767025089684</v>
      </c>
      <c r="T19" s="267">
        <f>(((F19*$D$63)*(References!$C$54/References!$G$57))*$G19)-N19</f>
        <v>0</v>
      </c>
      <c r="U19" s="114"/>
    </row>
    <row r="20" spans="1:21">
      <c r="A20" s="71"/>
      <c r="B20" s="39"/>
      <c r="C20" s="487"/>
      <c r="D20" s="40" t="s">
        <v>14</v>
      </c>
      <c r="E20" s="38">
        <f>SUM(E8:E19)</f>
        <v>412082.14731723478</v>
      </c>
      <c r="F20" s="41"/>
      <c r="G20" s="85"/>
      <c r="H20" s="38">
        <f>SUM(H8:H19)</f>
        <v>22464244.315604627</v>
      </c>
      <c r="I20" s="38">
        <f t="shared" ref="I20:K20" si="11">SUM(I8:I19)</f>
        <v>19660821.858328301</v>
      </c>
      <c r="J20" s="38">
        <f t="shared" si="11"/>
        <v>98304.10929164158</v>
      </c>
      <c r="K20" s="38">
        <f t="shared" si="11"/>
        <v>100577.15294827252</v>
      </c>
      <c r="L20" s="38"/>
      <c r="M20" s="94"/>
      <c r="N20" s="38"/>
      <c r="O20" s="75"/>
      <c r="P20" s="86"/>
      <c r="Q20" s="134">
        <f>SUM(Q8:Q19)</f>
        <v>2526642.7873745733</v>
      </c>
      <c r="R20" s="134">
        <f t="shared" ref="R20:S20" si="12">SUM(R8:R19)</f>
        <v>2626920.9972637752</v>
      </c>
      <c r="S20" s="134">
        <f t="shared" si="12"/>
        <v>100278.20988920238</v>
      </c>
      <c r="T20" s="507">
        <f>S20/Q20</f>
        <v>3.9688320957075675E-2</v>
      </c>
      <c r="U20" s="107"/>
    </row>
    <row r="21" spans="1:21" ht="15" customHeight="1">
      <c r="A21" s="567"/>
      <c r="B21" s="88">
        <v>38</v>
      </c>
      <c r="C21" s="54" t="s">
        <v>287</v>
      </c>
      <c r="D21" s="509" t="s">
        <v>789</v>
      </c>
      <c r="E21" s="510">
        <f>SUMIFS(Mapping!N:N,Mapping!A:A,"Commercial",Mapping!F:F,'DF Calculation'!C21)</f>
        <v>7228.0836265041089</v>
      </c>
      <c r="F21" s="92">
        <f>VLOOKUP(C21,Mapping!F:N,7,FALSE)</f>
        <v>175</v>
      </c>
      <c r="G21" s="93">
        <f>References!$B$13</f>
        <v>1</v>
      </c>
      <c r="H21" s="92">
        <f t="shared" ref="H21:H52" si="13">E21*F21</f>
        <v>1264914.6346382191</v>
      </c>
      <c r="I21" s="16">
        <f>$D$63*H21</f>
        <v>1107059.7767822172</v>
      </c>
      <c r="J21" s="60">
        <f>(References!$C$54*I21)</f>
        <v>5535.2988839110913</v>
      </c>
      <c r="K21" s="60">
        <f>J21/References!$G$57</f>
        <v>5663.2892202896364</v>
      </c>
      <c r="L21" s="119">
        <v>25.18</v>
      </c>
      <c r="M21" s="126">
        <v>25.07</v>
      </c>
      <c r="N21" s="91">
        <f t="shared" ref="N21:N52" si="14">IFERROR((K21/E21),0)</f>
        <v>0.78351185638242382</v>
      </c>
      <c r="O21" s="119">
        <f t="shared" ref="O21:O52" si="15">ROUND(N21+L21,2)</f>
        <v>25.96</v>
      </c>
      <c r="P21" s="126">
        <f t="shared" ref="P21:P52" si="16">ROUND(N21+M21,2)</f>
        <v>25.85</v>
      </c>
      <c r="Q21" s="60">
        <f t="shared" ref="Q21:Q52" si="17">E21*L21</f>
        <v>182003.14571537345</v>
      </c>
      <c r="R21" s="60">
        <f t="shared" ref="R21:R52" si="18">E21*O21</f>
        <v>187641.05094404667</v>
      </c>
      <c r="S21" s="60">
        <f t="shared" ref="S21:S52" si="19">R21-Q21</f>
        <v>5637.9052286732185</v>
      </c>
      <c r="T21" s="267">
        <f>(((F21*$D$63)*(References!$C$54/References!$G$57))*$G21)-N21</f>
        <v>0</v>
      </c>
      <c r="U21" s="92"/>
    </row>
    <row r="22" spans="1:21" ht="15" customHeight="1">
      <c r="A22" s="567"/>
      <c r="B22" s="88">
        <v>38</v>
      </c>
      <c r="C22" s="54" t="s">
        <v>287</v>
      </c>
      <c r="D22" s="509" t="s">
        <v>790</v>
      </c>
      <c r="E22" s="510">
        <f>SUMIFS(Mapping!O:O,Mapping!A:A,"Commercial",Mapping!F:F,'DF Calculation'!C22)-E21</f>
        <v>12138.90887495033</v>
      </c>
      <c r="F22" s="92">
        <f>VLOOKUP(C22,Mapping!F:N,7,FALSE)</f>
        <v>175</v>
      </c>
      <c r="G22" s="93">
        <f>References!$B$13</f>
        <v>1</v>
      </c>
      <c r="H22" s="92">
        <f t="shared" ref="H22:H32" si="20">E22*F22</f>
        <v>2124309.0531163076</v>
      </c>
      <c r="I22" s="16">
        <f t="shared" ref="I22:I32" si="21">$D$63*H22</f>
        <v>1859206.180211527</v>
      </c>
      <c r="J22" s="60">
        <f>(References!$C$54*I22)</f>
        <v>9296.0309010576439</v>
      </c>
      <c r="K22" s="60">
        <f>J22/References!$G$57</f>
        <v>9510.979027069412</v>
      </c>
      <c r="L22" s="119">
        <v>17.940000000000001</v>
      </c>
      <c r="M22" s="126">
        <v>17.86</v>
      </c>
      <c r="N22" s="91">
        <f t="shared" si="14"/>
        <v>0.78351185638242371</v>
      </c>
      <c r="O22" s="119">
        <f t="shared" ref="O22:O42" si="22">ROUND(N22+L22,2)</f>
        <v>18.72</v>
      </c>
      <c r="P22" s="126">
        <f t="shared" ref="P22:P42" si="23">ROUND(N22+M22,2)</f>
        <v>18.64</v>
      </c>
      <c r="Q22" s="60">
        <f t="shared" ref="Q22:Q42" si="24">E22*L22</f>
        <v>217772.02521660892</v>
      </c>
      <c r="R22" s="60">
        <f t="shared" ref="R22:R42" si="25">E22*O22</f>
        <v>227240.37413907016</v>
      </c>
      <c r="S22" s="60">
        <f t="shared" ref="S22:S42" si="26">R22-Q22</f>
        <v>9468.3489224612422</v>
      </c>
      <c r="T22" s="267">
        <f>(((F22*$D$63)*(References!$C$54/References!$G$57))*$G22)-N22</f>
        <v>0</v>
      </c>
      <c r="U22" s="92"/>
    </row>
    <row r="23" spans="1:21" ht="15" customHeight="1">
      <c r="A23" s="567"/>
      <c r="B23" s="88">
        <v>38</v>
      </c>
      <c r="C23" s="54" t="s">
        <v>293</v>
      </c>
      <c r="D23" s="509" t="s">
        <v>791</v>
      </c>
      <c r="E23" s="510">
        <f>SUMIFS(Mapping!N:N,Mapping!A:A,"Commercial",Mapping!F:F,'DF Calculation'!C23)</f>
        <v>1900.5925218030709</v>
      </c>
      <c r="F23" s="92">
        <f>VLOOKUP(C23,Mapping!F:N,7,FALSE)</f>
        <v>250</v>
      </c>
      <c r="G23" s="93">
        <f>References!$B$13</f>
        <v>1</v>
      </c>
      <c r="H23" s="92">
        <f t="shared" si="20"/>
        <v>475148.1304507677</v>
      </c>
      <c r="I23" s="16">
        <f t="shared" si="21"/>
        <v>415852.08110566449</v>
      </c>
      <c r="J23" s="60">
        <f>(References!$C$54*I23)</f>
        <v>2079.2604055283241</v>
      </c>
      <c r="K23" s="60">
        <f>J23/References!$G$57</f>
        <v>2127.3382499778227</v>
      </c>
      <c r="L23" s="119">
        <v>35.19</v>
      </c>
      <c r="M23" s="126">
        <v>35.04</v>
      </c>
      <c r="N23" s="91">
        <f t="shared" si="14"/>
        <v>1.1193026519748908</v>
      </c>
      <c r="O23" s="119">
        <f t="shared" si="22"/>
        <v>36.31</v>
      </c>
      <c r="P23" s="126">
        <f t="shared" si="23"/>
        <v>36.159999999999997</v>
      </c>
      <c r="Q23" s="60">
        <f t="shared" si="24"/>
        <v>66881.85084225006</v>
      </c>
      <c r="R23" s="60">
        <f t="shared" si="25"/>
        <v>69010.514466669512</v>
      </c>
      <c r="S23" s="60">
        <f t="shared" si="26"/>
        <v>2128.6636244194524</v>
      </c>
      <c r="T23" s="267">
        <f>(((F23*$D$63)*(References!$C$54/References!$G$57))*$G23)-N23</f>
        <v>0</v>
      </c>
      <c r="U23" s="92"/>
    </row>
    <row r="24" spans="1:21" ht="15" customHeight="1">
      <c r="A24" s="567"/>
      <c r="B24" s="88">
        <v>38</v>
      </c>
      <c r="C24" s="54" t="s">
        <v>293</v>
      </c>
      <c r="D24" s="509" t="s">
        <v>792</v>
      </c>
      <c r="E24" s="510">
        <f>SUMIFS(Mapping!O:O,Mapping!A:A,"Commercial",Mapping!F:F,'DF Calculation'!C24)-E23</f>
        <v>3962.9866574952284</v>
      </c>
      <c r="F24" s="92">
        <f>VLOOKUP(C24,Mapping!F:N,7,FALSE)</f>
        <v>250</v>
      </c>
      <c r="G24" s="93">
        <f>References!$B$13</f>
        <v>1</v>
      </c>
      <c r="H24" s="92">
        <f t="shared" si="20"/>
        <v>990746.66437380714</v>
      </c>
      <c r="I24" s="16">
        <f t="shared" si="21"/>
        <v>867106.5628259537</v>
      </c>
      <c r="J24" s="60">
        <f>(References!$C$54*I24)</f>
        <v>4335.5328141297723</v>
      </c>
      <c r="K24" s="60">
        <f>J24/References!$G$57</f>
        <v>4435.7814754755191</v>
      </c>
      <c r="L24" s="119">
        <v>24.71</v>
      </c>
      <c r="M24" s="126">
        <v>24.6</v>
      </c>
      <c r="N24" s="91">
        <f t="shared" si="14"/>
        <v>1.1193026519748912</v>
      </c>
      <c r="O24" s="119">
        <f t="shared" si="22"/>
        <v>25.83</v>
      </c>
      <c r="P24" s="126">
        <f t="shared" si="23"/>
        <v>25.72</v>
      </c>
      <c r="Q24" s="60">
        <f t="shared" si="24"/>
        <v>97925.400306707103</v>
      </c>
      <c r="R24" s="60">
        <f t="shared" si="25"/>
        <v>102363.94536310174</v>
      </c>
      <c r="S24" s="60">
        <f t="shared" si="26"/>
        <v>4438.545056394636</v>
      </c>
      <c r="T24" s="267">
        <f>(((F24*$D$63)*(References!$C$54/References!$G$57))*$G24)-N24</f>
        <v>0</v>
      </c>
      <c r="U24" s="92"/>
    </row>
    <row r="25" spans="1:21" ht="15" customHeight="1">
      <c r="A25" s="567"/>
      <c r="B25" s="88">
        <v>38</v>
      </c>
      <c r="C25" s="54" t="s">
        <v>301</v>
      </c>
      <c r="D25" s="509" t="s">
        <v>793</v>
      </c>
      <c r="E25" s="510">
        <f>SUMIFS(Mapping!N:N,Mapping!A:A,"Commercial",Mapping!F:F,'DF Calculation'!C25)</f>
        <v>3829.3393401738103</v>
      </c>
      <c r="F25" s="92">
        <f>VLOOKUP(C25,Mapping!F:N,7,FALSE)</f>
        <v>324</v>
      </c>
      <c r="G25" s="93">
        <f>References!$B$13</f>
        <v>1</v>
      </c>
      <c r="H25" s="92">
        <f t="shared" si="20"/>
        <v>1240705.9462163146</v>
      </c>
      <c r="I25" s="16">
        <f t="shared" si="21"/>
        <v>1085872.2084936986</v>
      </c>
      <c r="J25" s="60">
        <f>(References!$C$54*I25)</f>
        <v>5429.3610424684975</v>
      </c>
      <c r="K25" s="60">
        <f>J25/References!$G$57</f>
        <v>5554.9018236837501</v>
      </c>
      <c r="L25" s="119">
        <v>44.42</v>
      </c>
      <c r="M25" s="126">
        <v>44.23</v>
      </c>
      <c r="N25" s="91">
        <f t="shared" si="14"/>
        <v>1.4506162369594588</v>
      </c>
      <c r="O25" s="119">
        <f t="shared" si="22"/>
        <v>45.87</v>
      </c>
      <c r="P25" s="126">
        <f t="shared" si="23"/>
        <v>45.68</v>
      </c>
      <c r="Q25" s="60">
        <f t="shared" si="24"/>
        <v>170099.25349052067</v>
      </c>
      <c r="R25" s="60">
        <f t="shared" si="25"/>
        <v>175651.79553377267</v>
      </c>
      <c r="S25" s="60">
        <f t="shared" si="26"/>
        <v>5552.5420432520041</v>
      </c>
      <c r="T25" s="267">
        <f>(((F25*$D$63)*(References!$C$54/References!$G$57))*$G25)-N25</f>
        <v>0</v>
      </c>
      <c r="U25" s="92"/>
    </row>
    <row r="26" spans="1:21" ht="15" customHeight="1">
      <c r="A26" s="567"/>
      <c r="B26" s="88">
        <v>38</v>
      </c>
      <c r="C26" s="54" t="s">
        <v>301</v>
      </c>
      <c r="D26" s="509" t="s">
        <v>794</v>
      </c>
      <c r="E26" s="510">
        <f>SUMIFS(Mapping!O:O,Mapping!A:A,"Commercial",Mapping!F:F,'DF Calculation'!C26)-E25</f>
        <v>9369.8518352207029</v>
      </c>
      <c r="F26" s="92">
        <f>VLOOKUP(C26,Mapping!F:N,7,FALSE)</f>
        <v>324</v>
      </c>
      <c r="G26" s="93">
        <f>References!$B$13</f>
        <v>1</v>
      </c>
      <c r="H26" s="92">
        <f t="shared" si="20"/>
        <v>3035831.9946115077</v>
      </c>
      <c r="I26" s="16">
        <f t="shared" si="21"/>
        <v>2656975.7343855635</v>
      </c>
      <c r="J26" s="60">
        <f>(References!$C$54*I26)</f>
        <v>13284.878671927829</v>
      </c>
      <c r="K26" s="60">
        <f>J26/References!$G$57</f>
        <v>13592.059210075535</v>
      </c>
      <c r="L26" s="119">
        <v>30.81</v>
      </c>
      <c r="M26" s="126">
        <v>30.68</v>
      </c>
      <c r="N26" s="91">
        <f t="shared" si="14"/>
        <v>1.4506162369594588</v>
      </c>
      <c r="O26" s="119">
        <f t="shared" si="22"/>
        <v>32.26</v>
      </c>
      <c r="P26" s="126">
        <f t="shared" si="23"/>
        <v>32.130000000000003</v>
      </c>
      <c r="Q26" s="60">
        <f t="shared" si="24"/>
        <v>288685.13504314987</v>
      </c>
      <c r="R26" s="60">
        <f t="shared" si="25"/>
        <v>302271.42020421987</v>
      </c>
      <c r="S26" s="60">
        <f t="shared" si="26"/>
        <v>13586.285161070002</v>
      </c>
      <c r="T26" s="267">
        <f>(((F26*$D$63)*(References!$C$54/References!$G$57))*$G26)-N26</f>
        <v>0</v>
      </c>
      <c r="U26" s="92"/>
    </row>
    <row r="27" spans="1:21" ht="15" customHeight="1">
      <c r="A27" s="567"/>
      <c r="B27" s="88">
        <v>38</v>
      </c>
      <c r="C27" s="54" t="s">
        <v>313</v>
      </c>
      <c r="D27" s="509" t="s">
        <v>795</v>
      </c>
      <c r="E27" s="510">
        <f>SUMIFS(Mapping!N:N,Mapping!A:A,"Commercial",Mapping!F:F,'DF Calculation'!C27)</f>
        <v>735.50876068563673</v>
      </c>
      <c r="F27" s="92">
        <f>VLOOKUP(C27,Mapping!F:N,7,FALSE)</f>
        <v>473</v>
      </c>
      <c r="G27" s="93">
        <f>References!$B$13</f>
        <v>1</v>
      </c>
      <c r="H27" s="92">
        <f t="shared" si="20"/>
        <v>347895.64380430616</v>
      </c>
      <c r="I27" s="16">
        <f t="shared" si="21"/>
        <v>304480.05203422758</v>
      </c>
      <c r="J27" s="60">
        <f>(References!$C$54*I27)</f>
        <v>1522.4002601711393</v>
      </c>
      <c r="K27" s="60">
        <f>J27/References!$G$57</f>
        <v>1557.602066882688</v>
      </c>
      <c r="L27" s="119">
        <v>61.2</v>
      </c>
      <c r="M27" s="126">
        <v>60.93</v>
      </c>
      <c r="N27" s="91">
        <f t="shared" si="14"/>
        <v>2.1177206175364938</v>
      </c>
      <c r="O27" s="119">
        <f t="shared" si="22"/>
        <v>63.32</v>
      </c>
      <c r="P27" s="126">
        <f t="shared" si="23"/>
        <v>63.05</v>
      </c>
      <c r="Q27" s="60">
        <f t="shared" si="24"/>
        <v>45013.136153960972</v>
      </c>
      <c r="R27" s="60">
        <f t="shared" si="25"/>
        <v>46572.414726614516</v>
      </c>
      <c r="S27" s="60">
        <f t="shared" si="26"/>
        <v>1559.278572653544</v>
      </c>
      <c r="T27" s="267">
        <f>(((F27*$D$63)*(References!$C$54/References!$G$57))*$G27)-N27</f>
        <v>0</v>
      </c>
      <c r="U27" s="92"/>
    </row>
    <row r="28" spans="1:21" ht="15" customHeight="1">
      <c r="A28" s="567"/>
      <c r="B28" s="88">
        <v>38</v>
      </c>
      <c r="C28" s="54" t="s">
        <v>313</v>
      </c>
      <c r="D28" s="509" t="s">
        <v>796</v>
      </c>
      <c r="E28" s="510">
        <f>SUMIFS(Mapping!O:O,Mapping!A:A,"Commercial",Mapping!F:F,'DF Calculation'!C28)-E27</f>
        <v>2143.8479541313582</v>
      </c>
      <c r="F28" s="92">
        <f>VLOOKUP(C28,Mapping!F:N,7,FALSE)</f>
        <v>473</v>
      </c>
      <c r="G28" s="93">
        <f>References!$B$13</f>
        <v>1</v>
      </c>
      <c r="H28" s="92">
        <f t="shared" si="20"/>
        <v>1014040.0823041324</v>
      </c>
      <c r="I28" s="16">
        <f t="shared" si="21"/>
        <v>887493.08168524108</v>
      </c>
      <c r="J28" s="60">
        <f>(References!$C$54*I28)</f>
        <v>4437.4654084262093</v>
      </c>
      <c r="K28" s="60">
        <f>J28/References!$G$57</f>
        <v>4540.0710133274088</v>
      </c>
      <c r="L28" s="119">
        <v>45</v>
      </c>
      <c r="M28" s="126">
        <v>44.8</v>
      </c>
      <c r="N28" s="91">
        <f t="shared" si="14"/>
        <v>2.1177206175364938</v>
      </c>
      <c r="O28" s="119">
        <f t="shared" si="22"/>
        <v>47.12</v>
      </c>
      <c r="P28" s="126">
        <f t="shared" si="23"/>
        <v>46.92</v>
      </c>
      <c r="Q28" s="60">
        <f t="shared" si="24"/>
        <v>96473.15793591112</v>
      </c>
      <c r="R28" s="60">
        <f t="shared" si="25"/>
        <v>101018.1155986696</v>
      </c>
      <c r="S28" s="60">
        <f t="shared" si="26"/>
        <v>4544.9576627584756</v>
      </c>
      <c r="T28" s="267">
        <f>(((F28*$D$63)*(References!$C$54/References!$G$57))*$G28)-N28</f>
        <v>0</v>
      </c>
      <c r="U28" s="92"/>
    </row>
    <row r="29" spans="1:21" ht="15" customHeight="1">
      <c r="A29" s="567"/>
      <c r="B29" s="88">
        <v>38</v>
      </c>
      <c r="C29" s="54" t="s">
        <v>321</v>
      </c>
      <c r="D29" s="509" t="s">
        <v>797</v>
      </c>
      <c r="E29" s="510">
        <f>SUMIFS(Mapping!N:N,Mapping!A:A,"Commercial",Mapping!F:F,'DF Calculation'!C29)</f>
        <v>1082.4362787629821</v>
      </c>
      <c r="F29" s="92">
        <f>VLOOKUP(C29,Mapping!F:N,7,FALSE)</f>
        <v>613</v>
      </c>
      <c r="G29" s="93">
        <f>References!$B$13</f>
        <v>1</v>
      </c>
      <c r="H29" s="92">
        <f t="shared" si="20"/>
        <v>663533.43888170796</v>
      </c>
      <c r="I29" s="16">
        <f t="shared" si="21"/>
        <v>580727.86939176871</v>
      </c>
      <c r="J29" s="60">
        <f>(References!$C$54*I29)</f>
        <v>2903.6393469588461</v>
      </c>
      <c r="K29" s="60">
        <f>J29/References!$G$57</f>
        <v>2970.7789512572599</v>
      </c>
      <c r="L29" s="119">
        <v>71.55</v>
      </c>
      <c r="M29" s="126">
        <v>71.239999999999995</v>
      </c>
      <c r="N29" s="91">
        <f t="shared" si="14"/>
        <v>2.7445301026424325</v>
      </c>
      <c r="O29" s="119">
        <f t="shared" si="22"/>
        <v>74.290000000000006</v>
      </c>
      <c r="P29" s="126">
        <f t="shared" si="23"/>
        <v>73.98</v>
      </c>
      <c r="Q29" s="60">
        <f t="shared" si="24"/>
        <v>77448.31574549136</v>
      </c>
      <c r="R29" s="60">
        <f t="shared" si="25"/>
        <v>80414.191149301943</v>
      </c>
      <c r="S29" s="60">
        <f t="shared" si="26"/>
        <v>2965.8754038105835</v>
      </c>
      <c r="T29" s="267">
        <f>(((F29*$D$63)*(References!$C$54/References!$G$57))*$G29)-N29</f>
        <v>0</v>
      </c>
      <c r="U29" s="92"/>
    </row>
    <row r="30" spans="1:21" ht="15" customHeight="1">
      <c r="A30" s="567"/>
      <c r="B30" s="88">
        <v>38</v>
      </c>
      <c r="C30" s="54" t="s">
        <v>321</v>
      </c>
      <c r="D30" s="509" t="s">
        <v>798</v>
      </c>
      <c r="E30" s="510">
        <f>SUMIFS(Mapping!O:O,Mapping!A:A,"Commercial",Mapping!F:F,'DF Calculation'!C30)-E29</f>
        <v>3127.9038275630114</v>
      </c>
      <c r="F30" s="92">
        <f>VLOOKUP(C30,Mapping!F:N,7,FALSE)</f>
        <v>613</v>
      </c>
      <c r="G30" s="93">
        <f>References!$B$13</f>
        <v>1</v>
      </c>
      <c r="H30" s="92">
        <f t="shared" si="20"/>
        <v>1917405.046296126</v>
      </c>
      <c r="I30" s="16">
        <f t="shared" si="21"/>
        <v>1678122.7321010469</v>
      </c>
      <c r="J30" s="60">
        <f>(References!$C$54*I30)</f>
        <v>8390.6136605052416</v>
      </c>
      <c r="K30" s="60">
        <f>J30/References!$G$57</f>
        <v>8584.6262129171701</v>
      </c>
      <c r="L30" s="119">
        <v>54.07</v>
      </c>
      <c r="M30" s="126">
        <v>53.83</v>
      </c>
      <c r="N30" s="91">
        <f t="shared" si="14"/>
        <v>2.7445301026424329</v>
      </c>
      <c r="O30" s="119">
        <f t="shared" si="22"/>
        <v>56.81</v>
      </c>
      <c r="P30" s="126">
        <f t="shared" si="23"/>
        <v>56.57</v>
      </c>
      <c r="Q30" s="60">
        <f t="shared" si="24"/>
        <v>169125.75995633204</v>
      </c>
      <c r="R30" s="60">
        <f t="shared" si="25"/>
        <v>177696.21644385468</v>
      </c>
      <c r="S30" s="60">
        <f t="shared" si="26"/>
        <v>8570.4564875226351</v>
      </c>
      <c r="T30" s="267">
        <f>(((F30*$D$63)*(References!$C$54/References!$G$57))*$G30)-N30</f>
        <v>0</v>
      </c>
      <c r="U30" s="92"/>
    </row>
    <row r="31" spans="1:21" ht="15" customHeight="1">
      <c r="A31" s="567"/>
      <c r="B31" s="88">
        <v>38</v>
      </c>
      <c r="C31" s="54" t="s">
        <v>329</v>
      </c>
      <c r="D31" s="509" t="s">
        <v>799</v>
      </c>
      <c r="E31" s="510">
        <f>SUMIFS(Mapping!N:N,Mapping!A:A,"Commercial",Mapping!F:F,'DF Calculation'!C31)</f>
        <v>7.7500176093540887</v>
      </c>
      <c r="F31" s="92">
        <f>VLOOKUP(C31,Mapping!F:N,7,FALSE)</f>
        <v>726.5</v>
      </c>
      <c r="G31" s="93">
        <f>References!$B$13</f>
        <v>1</v>
      </c>
      <c r="H31" s="92">
        <f t="shared" si="20"/>
        <v>5630.3877931957459</v>
      </c>
      <c r="I31" s="16">
        <f t="shared" si="21"/>
        <v>4927.7442784234736</v>
      </c>
      <c r="J31" s="60">
        <f>(References!$C$54*I31)</f>
        <v>24.63872139211739</v>
      </c>
      <c r="K31" s="60">
        <f>J31/References!$G$57</f>
        <v>25.208431954284212</v>
      </c>
      <c r="L31" s="119">
        <v>84.05</v>
      </c>
      <c r="M31" s="126">
        <v>83.68</v>
      </c>
      <c r="N31" s="91">
        <f t="shared" si="14"/>
        <v>3.2526935066390337</v>
      </c>
      <c r="O31" s="119">
        <f t="shared" si="22"/>
        <v>87.3</v>
      </c>
      <c r="P31" s="126">
        <f t="shared" si="23"/>
        <v>86.93</v>
      </c>
      <c r="Q31" s="60">
        <f t="shared" si="24"/>
        <v>651.38898006621116</v>
      </c>
      <c r="R31" s="60">
        <f t="shared" si="25"/>
        <v>676.57653729661195</v>
      </c>
      <c r="S31" s="60">
        <f t="shared" si="26"/>
        <v>25.187557230400785</v>
      </c>
      <c r="T31" s="267">
        <f>(((F31*$D$63)*(References!$C$54/References!$G$57))*$G31)-N31</f>
        <v>0</v>
      </c>
      <c r="U31" s="92"/>
    </row>
    <row r="32" spans="1:21" ht="15" customHeight="1">
      <c r="A32" s="567"/>
      <c r="B32" s="88">
        <v>38</v>
      </c>
      <c r="C32" s="54" t="s">
        <v>329</v>
      </c>
      <c r="D32" s="509" t="s">
        <v>800</v>
      </c>
      <c r="E32" s="510">
        <f>SUMIFS(Mapping!O:O,Mapping!A:A,"Commercial",Mapping!F:F,'DF Calculation'!C32)-E31</f>
        <v>25.833392031180296</v>
      </c>
      <c r="F32" s="92">
        <f>VLOOKUP(C32,Mapping!F:N,7,FALSE)</f>
        <v>726.5</v>
      </c>
      <c r="G32" s="93">
        <f>References!$B$13</f>
        <v>1</v>
      </c>
      <c r="H32" s="92">
        <f t="shared" si="20"/>
        <v>18767.959310652484</v>
      </c>
      <c r="I32" s="16">
        <f t="shared" si="21"/>
        <v>16425.814261411579</v>
      </c>
      <c r="J32" s="60">
        <f>(References!$C$54*I32)</f>
        <v>82.12907130705797</v>
      </c>
      <c r="K32" s="60">
        <f>J32/References!$G$57</f>
        <v>84.028106514280708</v>
      </c>
      <c r="L32" s="119">
        <v>63.85</v>
      </c>
      <c r="M32" s="126">
        <v>63.57</v>
      </c>
      <c r="N32" s="91">
        <f t="shared" si="14"/>
        <v>3.2526935066390337</v>
      </c>
      <c r="O32" s="119">
        <f t="shared" si="22"/>
        <v>67.099999999999994</v>
      </c>
      <c r="P32" s="126">
        <f t="shared" si="23"/>
        <v>66.819999999999993</v>
      </c>
      <c r="Q32" s="60">
        <f t="shared" si="24"/>
        <v>1649.4620811908619</v>
      </c>
      <c r="R32" s="60">
        <f t="shared" si="25"/>
        <v>1733.4206052921977</v>
      </c>
      <c r="S32" s="60">
        <f t="shared" si="26"/>
        <v>83.958524101335797</v>
      </c>
      <c r="T32" s="267">
        <f>(((F32*$D$63)*(References!$C$54/References!$G$57))*$G32)-N32</f>
        <v>0</v>
      </c>
      <c r="U32" s="92"/>
    </row>
    <row r="33" spans="1:21" ht="15" customHeight="1">
      <c r="A33" s="567"/>
      <c r="B33" s="88">
        <v>38</v>
      </c>
      <c r="C33" s="54" t="s">
        <v>331</v>
      </c>
      <c r="D33" s="509" t="s">
        <v>801</v>
      </c>
      <c r="E33" s="510">
        <f>SUMIFS(Mapping!N:N,Mapping!A:A,"Commercial",Mapping!F:F,'DF Calculation'!C33)</f>
        <v>1629.4738637076512</v>
      </c>
      <c r="F33" s="92">
        <f>VLOOKUP(C33,Mapping!F:N,7,FALSE)</f>
        <v>840</v>
      </c>
      <c r="G33" s="93">
        <f>References!$B$13</f>
        <v>1</v>
      </c>
      <c r="H33" s="92">
        <f t="shared" si="13"/>
        <v>1368758.0455144269</v>
      </c>
      <c r="I33" s="16">
        <f t="shared" ref="I33:I52" si="27">$D$63*H33</f>
        <v>1197944.0626595791</v>
      </c>
      <c r="J33" s="60">
        <f>(References!$C$54*I33)</f>
        <v>5989.7203132979012</v>
      </c>
      <c r="K33" s="60">
        <f>J33/References!$G$57</f>
        <v>6128.2180410250676</v>
      </c>
      <c r="L33" s="119">
        <v>100.18</v>
      </c>
      <c r="M33" s="126">
        <v>99.74</v>
      </c>
      <c r="N33" s="91">
        <f t="shared" si="14"/>
        <v>3.7608569106356344</v>
      </c>
      <c r="O33" s="119">
        <f t="shared" si="22"/>
        <v>103.94</v>
      </c>
      <c r="P33" s="126">
        <f t="shared" si="23"/>
        <v>103.5</v>
      </c>
      <c r="Q33" s="60">
        <f t="shared" si="24"/>
        <v>163240.69166623251</v>
      </c>
      <c r="R33" s="60">
        <f t="shared" si="25"/>
        <v>169367.51339377326</v>
      </c>
      <c r="S33" s="60">
        <f t="shared" si="26"/>
        <v>6126.8217275407515</v>
      </c>
      <c r="T33" s="267">
        <f>(((F33*$D$63)*(References!$C$54/References!$G$57))*$G33)-N33</f>
        <v>0</v>
      </c>
      <c r="U33" s="92"/>
    </row>
    <row r="34" spans="1:21" ht="15" customHeight="1">
      <c r="A34" s="567"/>
      <c r="B34" s="88">
        <v>38</v>
      </c>
      <c r="C34" s="54" t="s">
        <v>331</v>
      </c>
      <c r="D34" s="509" t="s">
        <v>802</v>
      </c>
      <c r="E34" s="510">
        <f>SUMIFS(Mapping!O:O,Mapping!A:A,"Commercial",Mapping!F:F,'DF Calculation'!C34)-E33</f>
        <v>6247.6741278837799</v>
      </c>
      <c r="F34" s="92">
        <f>VLOOKUP(C34,Mapping!F:N,7,FALSE)</f>
        <v>840</v>
      </c>
      <c r="G34" s="93">
        <f>References!$B$13</f>
        <v>1</v>
      </c>
      <c r="H34" s="92">
        <f t="shared" ref="H34" si="28">E34*F34</f>
        <v>5248046.2674223753</v>
      </c>
      <c r="I34" s="16">
        <f t="shared" si="27"/>
        <v>4593117.0137952156</v>
      </c>
      <c r="J34" s="60">
        <f>(References!$C$54*I34)</f>
        <v>22965.585068976099</v>
      </c>
      <c r="K34" s="60">
        <f>J34/References!$G$57</f>
        <v>23496.608419251173</v>
      </c>
      <c r="L34" s="119">
        <v>77.39</v>
      </c>
      <c r="M34" s="126">
        <v>77.05</v>
      </c>
      <c r="N34" s="91">
        <f t="shared" si="14"/>
        <v>3.7608569106356344</v>
      </c>
      <c r="O34" s="119">
        <f t="shared" si="22"/>
        <v>81.150000000000006</v>
      </c>
      <c r="P34" s="126">
        <f t="shared" si="23"/>
        <v>80.81</v>
      </c>
      <c r="Q34" s="60">
        <f t="shared" si="24"/>
        <v>483507.50075692573</v>
      </c>
      <c r="R34" s="60">
        <f t="shared" si="25"/>
        <v>506998.75547776878</v>
      </c>
      <c r="S34" s="60">
        <f t="shared" si="26"/>
        <v>23491.254720843048</v>
      </c>
      <c r="T34" s="267">
        <f>(((F34*$D$63)*(References!$C$54/References!$G$57))*$G34)-N34</f>
        <v>0</v>
      </c>
      <c r="U34" s="92"/>
    </row>
    <row r="35" spans="1:21" ht="15" customHeight="1">
      <c r="A35" s="567"/>
      <c r="B35" s="88">
        <v>38</v>
      </c>
      <c r="C35" s="54" t="s">
        <v>364</v>
      </c>
      <c r="D35" s="59" t="str">
        <f>VLOOKUP(C35,Mapping!$F$2:$J$78,5,FALSE)</f>
        <v>1 yard Temporary Pickup</v>
      </c>
      <c r="E35" s="92">
        <f>SUMIFS(Mapping!O:O,Mapping!A:A,"Commercial",Mapping!F:F,'DF Calculation'!C35)</f>
        <v>14</v>
      </c>
      <c r="F35" s="92">
        <f>VLOOKUP(C35,Mapping!F:N,7,FALSE)</f>
        <v>175</v>
      </c>
      <c r="G35" s="93">
        <f>References!$B$13</f>
        <v>1</v>
      </c>
      <c r="H35" s="92">
        <f t="shared" si="13"/>
        <v>2450</v>
      </c>
      <c r="I35" s="16">
        <f t="shared" si="27"/>
        <v>2144.252567598905</v>
      </c>
      <c r="J35" s="60">
        <f>(References!$C$54*I35)</f>
        <v>10.721262837994534</v>
      </c>
      <c r="K35" s="60">
        <f>J35/References!$G$57</f>
        <v>10.969165989353932</v>
      </c>
      <c r="L35" s="119">
        <v>25.5</v>
      </c>
      <c r="M35" s="126">
        <v>25.39</v>
      </c>
      <c r="N35" s="91">
        <f t="shared" si="14"/>
        <v>0.78351185638242371</v>
      </c>
      <c r="O35" s="119">
        <f t="shared" si="22"/>
        <v>26.28</v>
      </c>
      <c r="P35" s="126">
        <f t="shared" si="23"/>
        <v>26.17</v>
      </c>
      <c r="Q35" s="60">
        <f t="shared" si="24"/>
        <v>357</v>
      </c>
      <c r="R35" s="60">
        <f t="shared" si="25"/>
        <v>367.92</v>
      </c>
      <c r="S35" s="60">
        <f t="shared" si="26"/>
        <v>10.920000000000016</v>
      </c>
      <c r="T35" s="267">
        <f>(((F35*$D$63)*(References!$C$54/References!$G$57))*$G35)-N35</f>
        <v>0</v>
      </c>
      <c r="U35" s="92"/>
    </row>
    <row r="36" spans="1:21" ht="15" customHeight="1">
      <c r="A36" s="567"/>
      <c r="B36" s="88">
        <v>38</v>
      </c>
      <c r="C36" s="54" t="s">
        <v>368</v>
      </c>
      <c r="D36" s="59" t="str">
        <f>VLOOKUP(C36,Mapping!$F$2:$J$78,5,FALSE)</f>
        <v>1.5 yard Temporary Pickup</v>
      </c>
      <c r="E36" s="92">
        <f>SUMIFS(Mapping!O:O,Mapping!A:A,"Commercial",Mapping!F:F,'DF Calculation'!C36)</f>
        <v>7</v>
      </c>
      <c r="F36" s="92">
        <f>VLOOKUP(C36,Mapping!F:N,7,FALSE)</f>
        <v>250</v>
      </c>
      <c r="G36" s="93">
        <f>References!$B$13</f>
        <v>1</v>
      </c>
      <c r="H36" s="92">
        <f t="shared" si="13"/>
        <v>1750</v>
      </c>
      <c r="I36" s="16">
        <f t="shared" si="27"/>
        <v>1531.6089768563606</v>
      </c>
      <c r="J36" s="60">
        <f>(References!$C$54*I36)</f>
        <v>7.6580448842818098</v>
      </c>
      <c r="K36" s="60">
        <f>J36/References!$G$57</f>
        <v>7.8351185638242375</v>
      </c>
      <c r="L36" s="119">
        <v>34.14</v>
      </c>
      <c r="M36" s="126">
        <v>33.99</v>
      </c>
      <c r="N36" s="91">
        <f t="shared" si="14"/>
        <v>1.119302651974891</v>
      </c>
      <c r="O36" s="119">
        <f t="shared" si="22"/>
        <v>35.26</v>
      </c>
      <c r="P36" s="126">
        <f t="shared" si="23"/>
        <v>35.11</v>
      </c>
      <c r="Q36" s="60">
        <f t="shared" si="24"/>
        <v>238.98000000000002</v>
      </c>
      <c r="R36" s="60">
        <f t="shared" si="25"/>
        <v>246.82</v>
      </c>
      <c r="S36" s="60">
        <f t="shared" si="26"/>
        <v>7.839999999999975</v>
      </c>
      <c r="T36" s="267">
        <f>(((F36*$D$63)*(References!$C$54/References!$G$57))*$G36)-N36</f>
        <v>0</v>
      </c>
      <c r="U36" s="92"/>
    </row>
    <row r="37" spans="1:21" ht="15" customHeight="1">
      <c r="A37" s="567"/>
      <c r="B37" s="88">
        <v>38</v>
      </c>
      <c r="C37" s="54" t="s">
        <v>370</v>
      </c>
      <c r="D37" s="59" t="str">
        <f>VLOOKUP(C37,Mapping!$F$2:$J$78,5,FALSE)</f>
        <v>2 yard Temporary Pickup</v>
      </c>
      <c r="E37" s="92">
        <f>SUMIFS(Mapping!O:O,Mapping!A:A,"Commercial",Mapping!F:F,'DF Calculation'!C37)</f>
        <v>133</v>
      </c>
      <c r="F37" s="92">
        <f>VLOOKUP(C37,Mapping!F:N,7,FALSE)</f>
        <v>324</v>
      </c>
      <c r="G37" s="93">
        <f>References!$B$13</f>
        <v>1</v>
      </c>
      <c r="H37" s="92">
        <f t="shared" si="13"/>
        <v>43092</v>
      </c>
      <c r="I37" s="16">
        <f t="shared" si="27"/>
        <v>37714.339446111022</v>
      </c>
      <c r="J37" s="60">
        <f>(References!$C$54*I37)</f>
        <v>188.57169723055529</v>
      </c>
      <c r="K37" s="60">
        <f>J37/References!$G$57</f>
        <v>192.93195951560801</v>
      </c>
      <c r="L37" s="119">
        <v>45.47</v>
      </c>
      <c r="M37" s="126">
        <v>45.27</v>
      </c>
      <c r="N37" s="91">
        <f t="shared" si="14"/>
        <v>1.4506162369594588</v>
      </c>
      <c r="O37" s="119">
        <f t="shared" si="22"/>
        <v>46.92</v>
      </c>
      <c r="P37" s="126">
        <f t="shared" si="23"/>
        <v>46.72</v>
      </c>
      <c r="Q37" s="60">
        <f t="shared" si="24"/>
        <v>6047.51</v>
      </c>
      <c r="R37" s="60">
        <f t="shared" si="25"/>
        <v>6240.3600000000006</v>
      </c>
      <c r="S37" s="60">
        <f t="shared" si="26"/>
        <v>192.85000000000036</v>
      </c>
      <c r="T37" s="267">
        <f>(((F37*$D$63)*(References!$C$54/References!$G$57))*$G37)-N37</f>
        <v>0</v>
      </c>
      <c r="U37" s="92"/>
    </row>
    <row r="38" spans="1:21" ht="15" customHeight="1">
      <c r="A38" s="567"/>
      <c r="B38" s="88">
        <v>38</v>
      </c>
      <c r="C38" s="54" t="s">
        <v>374</v>
      </c>
      <c r="D38" s="59" t="str">
        <f>VLOOKUP(C38,Mapping!$F$2:$J$78,5,FALSE)</f>
        <v>3 yard Temporary Pickup</v>
      </c>
      <c r="E38" s="92">
        <f>SUMIFS(Mapping!O:O,Mapping!A:A,"Commercial",Mapping!F:F,'DF Calculation'!C38)</f>
        <v>49</v>
      </c>
      <c r="F38" s="92">
        <f>VLOOKUP(C38,Mapping!F:N,7,FALSE)</f>
        <v>473</v>
      </c>
      <c r="G38" s="93">
        <f>References!$B$13</f>
        <v>1</v>
      </c>
      <c r="H38" s="92">
        <f t="shared" si="13"/>
        <v>23177</v>
      </c>
      <c r="I38" s="16">
        <f t="shared" si="27"/>
        <v>20284.629289485641</v>
      </c>
      <c r="J38" s="60">
        <f>(References!$C$54*I38)</f>
        <v>101.42314644742829</v>
      </c>
      <c r="K38" s="60">
        <f>J38/References!$G$57</f>
        <v>103.7683102592882</v>
      </c>
      <c r="L38" s="119">
        <v>56.55</v>
      </c>
      <c r="M38" s="126">
        <v>56.3</v>
      </c>
      <c r="N38" s="91">
        <f t="shared" si="14"/>
        <v>2.1177206175364938</v>
      </c>
      <c r="O38" s="119">
        <f t="shared" si="22"/>
        <v>58.67</v>
      </c>
      <c r="P38" s="126">
        <f t="shared" si="23"/>
        <v>58.42</v>
      </c>
      <c r="Q38" s="60">
        <f t="shared" si="24"/>
        <v>2770.95</v>
      </c>
      <c r="R38" s="60">
        <f t="shared" si="25"/>
        <v>2874.83</v>
      </c>
      <c r="S38" s="60">
        <f t="shared" si="26"/>
        <v>103.88000000000011</v>
      </c>
      <c r="T38" s="267">
        <f>(((F38*$D$63)*(References!$C$54/References!$G$57))*$G38)-N38</f>
        <v>0</v>
      </c>
      <c r="U38" s="92"/>
    </row>
    <row r="39" spans="1:21" ht="15" customHeight="1">
      <c r="A39" s="567"/>
      <c r="B39" s="88">
        <v>38</v>
      </c>
      <c r="C39" s="54" t="s">
        <v>376</v>
      </c>
      <c r="D39" s="59" t="str">
        <f>VLOOKUP(C39,Mapping!$F$2:$J$78,5,FALSE)</f>
        <v>4 yard Temporary Pickup</v>
      </c>
      <c r="E39" s="92">
        <f>SUMIFS(Mapping!O:O,Mapping!A:A,"Commercial",Mapping!F:F,'DF Calculation'!C39)</f>
        <v>23</v>
      </c>
      <c r="F39" s="92">
        <f>VLOOKUP(C39,Mapping!F:N,7,FALSE)</f>
        <v>613</v>
      </c>
      <c r="G39" s="93">
        <f>References!$B$13</f>
        <v>1</v>
      </c>
      <c r="H39" s="92">
        <f t="shared" si="13"/>
        <v>14099</v>
      </c>
      <c r="I39" s="16">
        <f t="shared" si="27"/>
        <v>12339.517122684474</v>
      </c>
      <c r="J39" s="60">
        <f>(References!$C$54*I39)</f>
        <v>61.697585613422426</v>
      </c>
      <c r="K39" s="60">
        <f>J39/References!$G$57</f>
        <v>63.124192360775957</v>
      </c>
      <c r="L39" s="119">
        <v>68.62</v>
      </c>
      <c r="M39" s="126">
        <v>68.319999999999993</v>
      </c>
      <c r="N39" s="91">
        <f t="shared" si="14"/>
        <v>2.7445301026424329</v>
      </c>
      <c r="O39" s="119">
        <f t="shared" si="22"/>
        <v>71.36</v>
      </c>
      <c r="P39" s="126">
        <f t="shared" si="23"/>
        <v>71.06</v>
      </c>
      <c r="Q39" s="60">
        <f t="shared" si="24"/>
        <v>1578.2600000000002</v>
      </c>
      <c r="R39" s="60">
        <f t="shared" si="25"/>
        <v>1641.28</v>
      </c>
      <c r="S39" s="60">
        <f t="shared" si="26"/>
        <v>63.019999999999754</v>
      </c>
      <c r="T39" s="267">
        <f>(((F39*$D$63)*(References!$C$54/References!$G$57))*$G39)-N39</f>
        <v>0</v>
      </c>
      <c r="U39" s="92"/>
    </row>
    <row r="40" spans="1:21" ht="15" customHeight="1">
      <c r="A40" s="567"/>
      <c r="B40" s="88">
        <v>38</v>
      </c>
      <c r="C40" s="54" t="s">
        <v>378</v>
      </c>
      <c r="D40" s="59" t="str">
        <f>VLOOKUP(C40,Mapping!$F$2:$J$78,5,FALSE)</f>
        <v>6 yard Temporary Pickup</v>
      </c>
      <c r="E40" s="92">
        <f>SUMIFS(Mapping!O:O,Mapping!A:A,"Commercial",Mapping!F:F,'DF Calculation'!C40)</f>
        <v>219.69124423963135</v>
      </c>
      <c r="F40" s="92">
        <f>VLOOKUP(C40,Mapping!F:N,7,FALSE)</f>
        <v>840</v>
      </c>
      <c r="G40" s="93">
        <f>References!$B$13</f>
        <v>1</v>
      </c>
      <c r="H40" s="92">
        <f t="shared" si="13"/>
        <v>184540.64516129033</v>
      </c>
      <c r="I40" s="16">
        <f t="shared" si="27"/>
        <v>161510.91927079804</v>
      </c>
      <c r="J40" s="60">
        <f>(References!$C$54*I40)</f>
        <v>807.55459635399097</v>
      </c>
      <c r="K40" s="60">
        <f>J40/References!$G$57</f>
        <v>826.22733410475848</v>
      </c>
      <c r="L40" s="119">
        <v>92.78</v>
      </c>
      <c r="M40" s="126">
        <v>92.38</v>
      </c>
      <c r="N40" s="91">
        <f t="shared" si="14"/>
        <v>3.760856910635634</v>
      </c>
      <c r="O40" s="119">
        <f t="shared" si="22"/>
        <v>96.54</v>
      </c>
      <c r="P40" s="126">
        <f t="shared" si="23"/>
        <v>96.14</v>
      </c>
      <c r="Q40" s="60">
        <f t="shared" si="24"/>
        <v>20382.953640552998</v>
      </c>
      <c r="R40" s="60">
        <f t="shared" si="25"/>
        <v>21208.992718894013</v>
      </c>
      <c r="S40" s="60">
        <f t="shared" si="26"/>
        <v>826.03907834101483</v>
      </c>
      <c r="T40" s="267">
        <f>(((F40*$D$63)*(References!$C$54/References!$G$57))*$G40)-N40</f>
        <v>0</v>
      </c>
      <c r="U40" s="92"/>
    </row>
    <row r="41" spans="1:21" ht="15" customHeight="1">
      <c r="A41" s="567"/>
      <c r="B41" s="88">
        <v>38</v>
      </c>
      <c r="C41" s="54" t="s">
        <v>380</v>
      </c>
      <c r="D41" s="59" t="str">
        <f>VLOOKUP(C41,Mapping!$F$2:$J$78,5,FALSE)</f>
        <v>1.5 yard Special Pickup</v>
      </c>
      <c r="E41" s="92">
        <f>SUMIFS(Mapping!O:O,Mapping!A:A,"Commercial",Mapping!F:F,'DF Calculation'!C41)</f>
        <v>18</v>
      </c>
      <c r="F41" s="92">
        <f>VLOOKUP(C41,Mapping!F:N,7,FALSE)</f>
        <v>250</v>
      </c>
      <c r="G41" s="93">
        <f>References!$B$13</f>
        <v>1</v>
      </c>
      <c r="H41" s="92">
        <f t="shared" si="13"/>
        <v>4500</v>
      </c>
      <c r="I41" s="16">
        <f t="shared" si="27"/>
        <v>3938.4230833449274</v>
      </c>
      <c r="J41" s="60">
        <f>(References!$C$54*I41)</f>
        <v>19.692115416724654</v>
      </c>
      <c r="K41" s="60">
        <f>J41/References!$G$57</f>
        <v>20.147447735548038</v>
      </c>
      <c r="L41" s="119">
        <v>44.16</v>
      </c>
      <c r="M41" s="126">
        <v>43.97</v>
      </c>
      <c r="N41" s="91">
        <f t="shared" si="14"/>
        <v>1.119302651974891</v>
      </c>
      <c r="O41" s="119">
        <f t="shared" si="22"/>
        <v>45.28</v>
      </c>
      <c r="P41" s="126">
        <f t="shared" si="23"/>
        <v>45.09</v>
      </c>
      <c r="Q41" s="60">
        <f t="shared" si="24"/>
        <v>794.87999999999988</v>
      </c>
      <c r="R41" s="60">
        <f t="shared" si="25"/>
        <v>815.04</v>
      </c>
      <c r="S41" s="60">
        <f t="shared" si="26"/>
        <v>20.160000000000082</v>
      </c>
      <c r="T41" s="267">
        <f>(((F41*$D$63)*(References!$C$54/References!$G$57))*$G41)-N41</f>
        <v>0</v>
      </c>
      <c r="U41" s="92"/>
    </row>
    <row r="42" spans="1:21" ht="15" customHeight="1">
      <c r="A42" s="567"/>
      <c r="B42" s="88">
        <v>38</v>
      </c>
      <c r="C42" s="54" t="s">
        <v>382</v>
      </c>
      <c r="D42" s="59" t="str">
        <f>VLOOKUP(C42,Mapping!$F$2:$J$78,5,FALSE)</f>
        <v>1 yard Special Pickup</v>
      </c>
      <c r="E42" s="92">
        <f>SUMIFS(Mapping!O:O,Mapping!A:A,"Commercial",Mapping!F:F,'DF Calculation'!C42)</f>
        <v>60</v>
      </c>
      <c r="F42" s="92">
        <f>VLOOKUP(C42,Mapping!F:N,7,FALSE)</f>
        <v>175</v>
      </c>
      <c r="G42" s="93">
        <f>References!$B$13</f>
        <v>1</v>
      </c>
      <c r="H42" s="92">
        <f t="shared" si="13"/>
        <v>10500</v>
      </c>
      <c r="I42" s="16">
        <f t="shared" si="27"/>
        <v>9189.6538611381638</v>
      </c>
      <c r="J42" s="60">
        <f>(References!$C$54*I42)</f>
        <v>45.948269305690857</v>
      </c>
      <c r="K42" s="60">
        <f>J42/References!$G$57</f>
        <v>47.010711382945424</v>
      </c>
      <c r="L42" s="119">
        <v>35.229999999999997</v>
      </c>
      <c r="M42" s="126">
        <v>35.08</v>
      </c>
      <c r="N42" s="91">
        <f t="shared" si="14"/>
        <v>0.78351185638242371</v>
      </c>
      <c r="O42" s="119">
        <f t="shared" si="22"/>
        <v>36.01</v>
      </c>
      <c r="P42" s="126">
        <f t="shared" si="23"/>
        <v>35.86</v>
      </c>
      <c r="Q42" s="60">
        <f t="shared" si="24"/>
        <v>2113.7999999999997</v>
      </c>
      <c r="R42" s="60">
        <f t="shared" si="25"/>
        <v>2160.6</v>
      </c>
      <c r="S42" s="60">
        <f t="shared" si="26"/>
        <v>46.800000000000182</v>
      </c>
      <c r="T42" s="267">
        <f>(((F42*$D$63)*(References!$C$54/References!$G$57))*$G42)-N42</f>
        <v>0</v>
      </c>
      <c r="U42" s="92"/>
    </row>
    <row r="43" spans="1:21" ht="15" customHeight="1">
      <c r="A43" s="567"/>
      <c r="B43" s="88">
        <v>38</v>
      </c>
      <c r="C43" s="54" t="s">
        <v>384</v>
      </c>
      <c r="D43" s="59" t="str">
        <f>VLOOKUP(C43,Mapping!$F$2:$J$78,5,FALSE)</f>
        <v>2 yard Special Pickup</v>
      </c>
      <c r="E43" s="92">
        <f>SUMIFS(Mapping!O:O,Mapping!A:A,"Commercial",Mapping!F:F,'DF Calculation'!C43)</f>
        <v>91.707066470958267</v>
      </c>
      <c r="F43" s="92">
        <f>VLOOKUP(C43,Mapping!F:N,7,FALSE)</f>
        <v>324</v>
      </c>
      <c r="G43" s="93">
        <f>References!$B$13</f>
        <v>1</v>
      </c>
      <c r="H43" s="92">
        <f t="shared" si="13"/>
        <v>29713.08953659048</v>
      </c>
      <c r="I43" s="16">
        <f t="shared" si="27"/>
        <v>26005.048379645017</v>
      </c>
      <c r="J43" s="60">
        <f>(References!$C$54*I43)</f>
        <v>130.0252418982252</v>
      </c>
      <c r="K43" s="60">
        <f>J43/References!$G$57</f>
        <v>133.03175966669244</v>
      </c>
      <c r="L43" s="119">
        <v>49.83</v>
      </c>
      <c r="M43" s="126">
        <v>49.61</v>
      </c>
      <c r="N43" s="91">
        <f t="shared" si="14"/>
        <v>1.4506162369594588</v>
      </c>
      <c r="O43" s="119">
        <f t="shared" si="15"/>
        <v>51.28</v>
      </c>
      <c r="P43" s="126">
        <f t="shared" si="16"/>
        <v>51.06</v>
      </c>
      <c r="Q43" s="60">
        <f t="shared" si="17"/>
        <v>4569.7631222478503</v>
      </c>
      <c r="R43" s="60">
        <f t="shared" si="18"/>
        <v>4702.7383686307403</v>
      </c>
      <c r="S43" s="60">
        <f t="shared" si="19"/>
        <v>132.97524638288996</v>
      </c>
      <c r="T43" s="267">
        <f>(((F43*$D$63)*(References!$C$54/References!$G$57))*$G43)-N43</f>
        <v>0</v>
      </c>
      <c r="U43" s="92"/>
    </row>
    <row r="44" spans="1:21" ht="15" customHeight="1">
      <c r="A44" s="567"/>
      <c r="B44" s="88">
        <v>38</v>
      </c>
      <c r="C44" s="54" t="s">
        <v>386</v>
      </c>
      <c r="D44" s="59" t="str">
        <f>VLOOKUP(C44,Mapping!$F$2:$J$78,5,FALSE)</f>
        <v>3 yard Special Pickup</v>
      </c>
      <c r="E44" s="92">
        <f>SUMIFS(Mapping!O:O,Mapping!A:A,"Commercial",Mapping!F:F,'DF Calculation'!C44)</f>
        <v>7</v>
      </c>
      <c r="F44" s="92">
        <f>VLOOKUP(C44,Mapping!F:N,7,FALSE)</f>
        <v>473</v>
      </c>
      <c r="G44" s="93">
        <f>References!$B$13</f>
        <v>1</v>
      </c>
      <c r="H44" s="92">
        <f t="shared" si="13"/>
        <v>3311</v>
      </c>
      <c r="I44" s="16">
        <f t="shared" si="27"/>
        <v>2897.8041842122343</v>
      </c>
      <c r="J44" s="60">
        <f>(References!$C$54*I44)</f>
        <v>14.489020921061185</v>
      </c>
      <c r="K44" s="60">
        <f>J44/References!$G$57</f>
        <v>14.824044322755457</v>
      </c>
      <c r="L44" s="119">
        <v>56.85</v>
      </c>
      <c r="M44" s="126">
        <v>56.6</v>
      </c>
      <c r="N44" s="91">
        <f t="shared" si="14"/>
        <v>2.1177206175364938</v>
      </c>
      <c r="O44" s="119">
        <f t="shared" si="15"/>
        <v>58.97</v>
      </c>
      <c r="P44" s="126">
        <f t="shared" si="16"/>
        <v>58.72</v>
      </c>
      <c r="Q44" s="60">
        <f t="shared" si="17"/>
        <v>397.95</v>
      </c>
      <c r="R44" s="60">
        <f t="shared" si="18"/>
        <v>412.78999999999996</v>
      </c>
      <c r="S44" s="60">
        <f t="shared" si="19"/>
        <v>14.839999999999975</v>
      </c>
      <c r="T44" s="267">
        <f>(((F44*$D$63)*(References!$C$54/References!$G$57))*$G44)-N44</f>
        <v>0</v>
      </c>
      <c r="U44" s="92"/>
    </row>
    <row r="45" spans="1:21" ht="15" customHeight="1">
      <c r="A45" s="567"/>
      <c r="B45" s="88">
        <v>38</v>
      </c>
      <c r="C45" s="54" t="s">
        <v>388</v>
      </c>
      <c r="D45" s="59" t="str">
        <f>VLOOKUP(C45,Mapping!$F$2:$J$78,5,FALSE)</f>
        <v>4 yard Special Pickup</v>
      </c>
      <c r="E45" s="92">
        <f>SUMIFS(Mapping!O:O,Mapping!A:A,"Commercial",Mapping!F:F,'DF Calculation'!C45)</f>
        <v>21</v>
      </c>
      <c r="F45" s="92">
        <f>VLOOKUP(C45,Mapping!F:N,7,FALSE)</f>
        <v>613</v>
      </c>
      <c r="G45" s="93">
        <f>References!$B$13</f>
        <v>1</v>
      </c>
      <c r="H45" s="92">
        <f t="shared" si="13"/>
        <v>12873</v>
      </c>
      <c r="I45" s="16">
        <f t="shared" si="27"/>
        <v>11266.515633755389</v>
      </c>
      <c r="J45" s="60">
        <f>(References!$C$54*I45)</f>
        <v>56.332578168776998</v>
      </c>
      <c r="K45" s="60">
        <f>J45/References!$G$57</f>
        <v>57.635132155491092</v>
      </c>
      <c r="L45" s="119">
        <v>67.11</v>
      </c>
      <c r="M45" s="126">
        <v>66.819999999999993</v>
      </c>
      <c r="N45" s="91">
        <f t="shared" si="14"/>
        <v>2.7445301026424329</v>
      </c>
      <c r="O45" s="119">
        <f t="shared" si="15"/>
        <v>69.849999999999994</v>
      </c>
      <c r="P45" s="126">
        <f t="shared" si="16"/>
        <v>69.56</v>
      </c>
      <c r="Q45" s="60">
        <f t="shared" si="17"/>
        <v>1409.31</v>
      </c>
      <c r="R45" s="60">
        <f t="shared" si="18"/>
        <v>1466.85</v>
      </c>
      <c r="S45" s="60">
        <f t="shared" si="19"/>
        <v>57.539999999999964</v>
      </c>
      <c r="T45" s="267">
        <f>(((F45*$D$63)*(References!$C$54/References!$G$57))*$G45)-N45</f>
        <v>0</v>
      </c>
      <c r="U45" s="92"/>
    </row>
    <row r="46" spans="1:21" ht="15" customHeight="1">
      <c r="A46" s="567"/>
      <c r="B46" s="88">
        <v>38</v>
      </c>
      <c r="C46" s="54" t="s">
        <v>390</v>
      </c>
      <c r="D46" s="59" t="str">
        <f>VLOOKUP(C46,Mapping!$F$2:$J$78,5,FALSE)</f>
        <v>6 yard Special Pickup</v>
      </c>
      <c r="E46" s="92">
        <f>SUMIFS(Mapping!O:O,Mapping!A:A,"Commercial",Mapping!F:F,'DF Calculation'!C46)</f>
        <v>40</v>
      </c>
      <c r="F46" s="92">
        <f>VLOOKUP(C46,Mapping!F:N,7,FALSE)</f>
        <v>840</v>
      </c>
      <c r="G46" s="93">
        <f>References!$B$13</f>
        <v>1</v>
      </c>
      <c r="H46" s="92">
        <f t="shared" si="13"/>
        <v>33600</v>
      </c>
      <c r="I46" s="16">
        <f t="shared" si="27"/>
        <v>29406.892355642125</v>
      </c>
      <c r="J46" s="60">
        <f>(References!$C$54*I46)</f>
        <v>147.03446177821075</v>
      </c>
      <c r="K46" s="60">
        <f>J46/References!$G$57</f>
        <v>150.43427642542537</v>
      </c>
      <c r="L46" s="119">
        <v>95</v>
      </c>
      <c r="M46" s="126">
        <v>94.59</v>
      </c>
      <c r="N46" s="91">
        <f t="shared" si="14"/>
        <v>3.760856910635634</v>
      </c>
      <c r="O46" s="119">
        <f t="shared" si="15"/>
        <v>98.76</v>
      </c>
      <c r="P46" s="126">
        <f t="shared" si="16"/>
        <v>98.35</v>
      </c>
      <c r="Q46" s="60">
        <f t="shared" si="17"/>
        <v>3800</v>
      </c>
      <c r="R46" s="60">
        <f t="shared" si="18"/>
        <v>3950.4</v>
      </c>
      <c r="S46" s="60">
        <f t="shared" si="19"/>
        <v>150.40000000000009</v>
      </c>
      <c r="T46" s="267">
        <f>(((F46*$D$63)*(References!$C$54/References!$G$57))*$G46)-N46</f>
        <v>0</v>
      </c>
      <c r="U46" s="92"/>
    </row>
    <row r="47" spans="1:21" ht="15" customHeight="1">
      <c r="A47" s="567"/>
      <c r="B47" s="88">
        <v>40</v>
      </c>
      <c r="C47" s="54" t="s">
        <v>392</v>
      </c>
      <c r="D47" s="59" t="str">
        <f>VLOOKUP(C47,Mapping!$F$2:$J$78,5,FALSE)</f>
        <v>65 gal Company Provided One Unit</v>
      </c>
      <c r="E47" s="92">
        <f>SUMIFS(Mapping!O:O,Mapping!A:A,"Commercial",Mapping!F:F,'DF Calculation'!C47)</f>
        <v>10</v>
      </c>
      <c r="F47" s="92">
        <f>VLOOKUP(C47,Mapping!F:N,7,FALSE)</f>
        <v>51</v>
      </c>
      <c r="G47" s="93">
        <f>References!$B$13</f>
        <v>1</v>
      </c>
      <c r="H47" s="92">
        <f t="shared" si="13"/>
        <v>510</v>
      </c>
      <c r="I47" s="16">
        <f t="shared" si="27"/>
        <v>446.35461611242511</v>
      </c>
      <c r="J47" s="60">
        <f>(References!$C$54*I47)</f>
        <v>2.2317730805621276</v>
      </c>
      <c r="K47" s="60">
        <f>J47/References!$G$57</f>
        <v>2.2833774100287778</v>
      </c>
      <c r="L47" s="119">
        <v>7.8</v>
      </c>
      <c r="M47" s="126">
        <v>7.77</v>
      </c>
      <c r="N47" s="91">
        <f t="shared" si="14"/>
        <v>0.22833774100287779</v>
      </c>
      <c r="O47" s="119">
        <f t="shared" si="15"/>
        <v>8.0299999999999994</v>
      </c>
      <c r="P47" s="126">
        <f t="shared" si="16"/>
        <v>8</v>
      </c>
      <c r="Q47" s="60">
        <f t="shared" si="17"/>
        <v>78</v>
      </c>
      <c r="R47" s="60">
        <f t="shared" si="18"/>
        <v>80.3</v>
      </c>
      <c r="S47" s="60">
        <f t="shared" si="19"/>
        <v>2.2999999999999972</v>
      </c>
      <c r="T47" s="267">
        <f>(((F47*$D$63)*(References!$C$54/References!$G$57))*$G47)-N47</f>
        <v>0</v>
      </c>
      <c r="U47" s="92"/>
    </row>
    <row r="48" spans="1:21" ht="15" customHeight="1">
      <c r="A48" s="567"/>
      <c r="B48" s="88">
        <v>40</v>
      </c>
      <c r="C48" s="54" t="s">
        <v>345</v>
      </c>
      <c r="D48" s="59" t="str">
        <f>VLOOKUP(C48,Mapping!$F$2:$J$78,5,FALSE)</f>
        <v>65 gal Company Provided Single Can</v>
      </c>
      <c r="E48" s="92">
        <f>SUMIFS(Mapping!O:O,Mapping!A:A,"Commercial",Mapping!F:F,'DF Calculation'!C48)</f>
        <v>1847</v>
      </c>
      <c r="F48" s="92">
        <f>VLOOKUP(C48,Mapping!F:N,7,FALSE)</f>
        <v>51</v>
      </c>
      <c r="G48" s="93">
        <f>References!$B$13</f>
        <v>1</v>
      </c>
      <c r="H48" s="92">
        <f t="shared" si="13"/>
        <v>94197</v>
      </c>
      <c r="I48" s="16">
        <f t="shared" si="27"/>
        <v>82441.697595964913</v>
      </c>
      <c r="J48" s="60">
        <f>(References!$C$54*I48)</f>
        <v>412.20848797982495</v>
      </c>
      <c r="K48" s="60">
        <f>J48/References!$G$57</f>
        <v>421.73980763231526</v>
      </c>
      <c r="L48" s="119">
        <v>5.8</v>
      </c>
      <c r="M48" s="126">
        <v>5.77</v>
      </c>
      <c r="N48" s="91">
        <f t="shared" si="14"/>
        <v>0.22833774100287779</v>
      </c>
      <c r="O48" s="119">
        <f t="shared" si="15"/>
        <v>6.03</v>
      </c>
      <c r="P48" s="126">
        <f t="shared" si="16"/>
        <v>6</v>
      </c>
      <c r="Q48" s="60">
        <f t="shared" si="17"/>
        <v>10712.6</v>
      </c>
      <c r="R48" s="60">
        <f t="shared" si="18"/>
        <v>11137.41</v>
      </c>
      <c r="S48" s="60">
        <f t="shared" si="19"/>
        <v>424.80999999999949</v>
      </c>
      <c r="T48" s="267">
        <f>(((F48*$D$63)*(References!$C$54/References!$G$57))*$G48)-N48</f>
        <v>0</v>
      </c>
      <c r="U48" s="92"/>
    </row>
    <row r="49" spans="1:22" ht="15" customHeight="1">
      <c r="A49" s="567"/>
      <c r="B49" s="88">
        <v>40</v>
      </c>
      <c r="C49" s="54" t="s">
        <v>348</v>
      </c>
      <c r="D49" s="59" t="str">
        <f>VLOOKUP(C49,Mapping!$F$2:$J$78,5,FALSE)</f>
        <v>95 gal Company Provided Single Can</v>
      </c>
      <c r="E49" s="92">
        <f>SUMIFS(Mapping!O:O,Mapping!A:A,"Commercial",Mapping!F:F,'DF Calculation'!C49)</f>
        <v>664</v>
      </c>
      <c r="F49" s="92">
        <f>VLOOKUP(C49,Mapping!F:N,7,FALSE)</f>
        <v>77</v>
      </c>
      <c r="G49" s="93">
        <f>References!$B$13</f>
        <v>1</v>
      </c>
      <c r="H49" s="92">
        <f t="shared" si="13"/>
        <v>51128</v>
      </c>
      <c r="I49" s="16">
        <f t="shared" si="27"/>
        <v>44747.487867835436</v>
      </c>
      <c r="J49" s="60">
        <f>(References!$C$54*I49)</f>
        <v>223.73743933917737</v>
      </c>
      <c r="K49" s="60">
        <f>J49/References!$G$57</f>
        <v>228.91082396068893</v>
      </c>
      <c r="L49" s="119">
        <v>7.98</v>
      </c>
      <c r="M49" s="126">
        <v>7.95</v>
      </c>
      <c r="N49" s="91">
        <f t="shared" si="14"/>
        <v>0.34474521680826647</v>
      </c>
      <c r="O49" s="119">
        <f t="shared" si="15"/>
        <v>8.32</v>
      </c>
      <c r="P49" s="126">
        <f t="shared" si="16"/>
        <v>8.2899999999999991</v>
      </c>
      <c r="Q49" s="60">
        <f t="shared" si="17"/>
        <v>5298.72</v>
      </c>
      <c r="R49" s="60">
        <f t="shared" si="18"/>
        <v>5524.4800000000005</v>
      </c>
      <c r="S49" s="60">
        <f t="shared" si="19"/>
        <v>225.76000000000022</v>
      </c>
      <c r="T49" s="267">
        <f>(((F49*$D$63)*(References!$C$54/References!$G$57))*$G49)-N49</f>
        <v>0</v>
      </c>
      <c r="U49" s="92"/>
    </row>
    <row r="50" spans="1:22" s="117" customFormat="1" ht="15" customHeight="1">
      <c r="A50" s="567"/>
      <c r="B50" s="525">
        <v>40</v>
      </c>
      <c r="C50" s="526" t="s">
        <v>354</v>
      </c>
      <c r="D50" s="509" t="str">
        <f>VLOOKUP(C50,Mapping!$F$2:$J$78,5,FALSE)</f>
        <v>65 gal Company Provided Minimum Monthly</v>
      </c>
      <c r="E50" s="510">
        <f>SUMIFS(Mapping!O:O,Mapping!A:A,"Commercial",Mapping!F:F,'DF Calculation'!C50)</f>
        <v>5856.9706811550368</v>
      </c>
      <c r="F50" s="510">
        <f>VLOOKUP(C50,Mapping!F:N,7,FALSE)</f>
        <v>51</v>
      </c>
      <c r="G50" s="527">
        <f>References!$B$11</f>
        <v>4.333333333333333</v>
      </c>
      <c r="H50" s="510">
        <f t="shared" si="13"/>
        <v>298705.50473890686</v>
      </c>
      <c r="I50" s="528">
        <f t="shared" si="27"/>
        <v>261428.58999686854</v>
      </c>
      <c r="J50" s="529">
        <f>(References!$C$54*I50)</f>
        <v>1307.1429499843439</v>
      </c>
      <c r="K50" s="529">
        <f>J50/References!$G$57</f>
        <v>1337.3674544550274</v>
      </c>
      <c r="L50" s="530">
        <v>25.11</v>
      </c>
      <c r="M50" s="530">
        <v>24.98</v>
      </c>
      <c r="N50" s="530">
        <f>IFERROR((K50/E50),0)*References!$B$11</f>
        <v>0.98946354434580353</v>
      </c>
      <c r="O50" s="530">
        <f t="shared" si="15"/>
        <v>26.1</v>
      </c>
      <c r="P50" s="530">
        <f t="shared" si="16"/>
        <v>25.97</v>
      </c>
      <c r="Q50" s="529">
        <f>(E50/References!$B$11)*L50</f>
        <v>33938.892416262228</v>
      </c>
      <c r="R50" s="529">
        <f>(E50/References!$B$11)*O50</f>
        <v>35276.98494880303</v>
      </c>
      <c r="S50" s="529">
        <f t="shared" si="19"/>
        <v>1338.0925325408025</v>
      </c>
      <c r="T50" s="531">
        <f>(((F50*$D$63)*(References!$C$54/References!$G$57))*$G50)-N50</f>
        <v>0</v>
      </c>
      <c r="U50" s="515"/>
    </row>
    <row r="51" spans="1:22" ht="15" customHeight="1">
      <c r="A51" s="567"/>
      <c r="B51" s="525">
        <v>40</v>
      </c>
      <c r="C51" s="526" t="s">
        <v>360</v>
      </c>
      <c r="D51" s="509" t="str">
        <f>VLOOKUP(C51,Mapping!$F$2:$J$78,5,FALSE)</f>
        <v>95 gal Company Provided Minimum Monthly</v>
      </c>
      <c r="E51" s="510">
        <f>SUMIFS(Mapping!O:O,Mapping!A:A,"Commercial",Mapping!F:F,'DF Calculation'!C51)</f>
        <v>6587.0302027655434</v>
      </c>
      <c r="F51" s="510">
        <f>VLOOKUP(C51,Mapping!F:N,7,FALSE)</f>
        <v>77</v>
      </c>
      <c r="G51" s="527">
        <f>References!$B$11</f>
        <v>4.333333333333333</v>
      </c>
      <c r="H51" s="510">
        <f t="shared" si="13"/>
        <v>507201.32561294682</v>
      </c>
      <c r="I51" s="528">
        <f t="shared" si="27"/>
        <v>443905.20193270588</v>
      </c>
      <c r="J51" s="529">
        <f>(References!$C$54*I51)</f>
        <v>2219.5260096635316</v>
      </c>
      <c r="K51" s="529">
        <f>J51/References!$G$57</f>
        <v>2270.8471553750064</v>
      </c>
      <c r="L51" s="530">
        <v>34.549999999999997</v>
      </c>
      <c r="M51" s="530">
        <v>34.42</v>
      </c>
      <c r="N51" s="533">
        <f>IFERROR((K51/E51),0)*References!$B$11</f>
        <v>1.4938959395024878</v>
      </c>
      <c r="O51" s="530">
        <f t="shared" si="15"/>
        <v>36.04</v>
      </c>
      <c r="P51" s="530">
        <f t="shared" si="16"/>
        <v>35.909999999999997</v>
      </c>
      <c r="Q51" s="529">
        <f>(E51/References!$B$11)*L51</f>
        <v>52518.898501280659</v>
      </c>
      <c r="R51" s="529">
        <f>(E51/References!$B$11)*O51</f>
        <v>54783.82350177005</v>
      </c>
      <c r="S51" s="529">
        <f t="shared" si="19"/>
        <v>2264.9250004893911</v>
      </c>
      <c r="T51" s="531">
        <f>(((F51*$D$63)*(References!$C$54/References!$G$57))*$G51)-N51</f>
        <v>0</v>
      </c>
      <c r="U51" s="92"/>
    </row>
    <row r="52" spans="1:22" ht="15" customHeight="1">
      <c r="A52" s="567"/>
      <c r="B52" s="88">
        <v>40</v>
      </c>
      <c r="C52" s="54" t="s">
        <v>416</v>
      </c>
      <c r="D52" s="59" t="str">
        <f>VLOOKUP(C52,Mapping!$F$2:$J$78,5,FALSE)</f>
        <v>32 gal or equivalent Extra</v>
      </c>
      <c r="E52" s="92">
        <f>SUMIFS(Mapping!O:O,Mapping!A:A,"Commercial",Mapping!F:F,'DF Calculation'!C52)</f>
        <v>2157.9510022271716</v>
      </c>
      <c r="F52" s="92">
        <f>VLOOKUP(C52,Mapping!F:N,7,FALSE)</f>
        <v>34</v>
      </c>
      <c r="G52" s="93">
        <f>References!$B$13</f>
        <v>1</v>
      </c>
      <c r="H52" s="92">
        <f t="shared" si="13"/>
        <v>73370.334075723833</v>
      </c>
      <c r="I52" s="16">
        <f t="shared" si="27"/>
        <v>64214.092745902148</v>
      </c>
      <c r="J52" s="60">
        <f>(References!$C$54*I52)</f>
        <v>321.070463729511</v>
      </c>
      <c r="K52" s="60">
        <f>J52/References!$G$57</f>
        <v>328.49443802896559</v>
      </c>
      <c r="L52" s="119">
        <v>4.6900000000000004</v>
      </c>
      <c r="M52" s="126">
        <v>4.67</v>
      </c>
      <c r="N52" s="91">
        <f t="shared" si="14"/>
        <v>0.15222516066858519</v>
      </c>
      <c r="O52" s="119">
        <f t="shared" si="15"/>
        <v>4.84</v>
      </c>
      <c r="P52" s="126">
        <f t="shared" si="16"/>
        <v>4.82</v>
      </c>
      <c r="Q52" s="60">
        <f t="shared" si="17"/>
        <v>10120.790200445435</v>
      </c>
      <c r="R52" s="60">
        <f t="shared" si="18"/>
        <v>10444.48285077951</v>
      </c>
      <c r="S52" s="60">
        <f t="shared" si="19"/>
        <v>323.69265033407464</v>
      </c>
      <c r="T52" s="267">
        <f>(((F52*$D$63)*(References!$C$54/References!$G$57))*$G52)-N52</f>
        <v>0</v>
      </c>
      <c r="U52" s="92"/>
    </row>
    <row r="53" spans="1:22">
      <c r="A53" s="72"/>
      <c r="B53" s="82"/>
      <c r="C53" s="488"/>
      <c r="D53" s="83" t="s">
        <v>14</v>
      </c>
      <c r="E53" s="86">
        <f>SUM(E21:E52)</f>
        <v>71236.541275380543</v>
      </c>
      <c r="F53" s="85"/>
      <c r="G53" s="85"/>
      <c r="H53" s="86">
        <f>SUM(H21:H52)</f>
        <v>21104451.193859305</v>
      </c>
      <c r="I53" s="86">
        <f>SUM(I21:I52)</f>
        <v>18470723.942938209</v>
      </c>
      <c r="J53" s="270">
        <f>SUM(J21:J52)</f>
        <v>92353.619714691085</v>
      </c>
      <c r="K53" s="270">
        <f>SUM(K21:K52)</f>
        <v>94489.072759045521</v>
      </c>
      <c r="L53" s="84"/>
      <c r="M53" s="94"/>
      <c r="N53" s="84"/>
      <c r="O53" s="94"/>
      <c r="P53" s="94"/>
      <c r="Q53" s="270">
        <f>SUM(Q21:Q52)</f>
        <v>2217605.4817715101</v>
      </c>
      <c r="R53" s="270">
        <f>SUM(R21:R52)</f>
        <v>2311992.4069723291</v>
      </c>
      <c r="S53" s="270">
        <f>SUM(S21:S52)</f>
        <v>94386.925200819489</v>
      </c>
      <c r="T53" s="507">
        <f>S53/Q53</f>
        <v>4.2562541433393067E-2</v>
      </c>
    </row>
    <row r="54" spans="1:22">
      <c r="A54" s="72"/>
      <c r="B54" s="50"/>
      <c r="C54" s="489"/>
      <c r="D54" s="18" t="s">
        <v>1</v>
      </c>
      <c r="E54" s="19">
        <f>E53+E20</f>
        <v>483318.6885926153</v>
      </c>
      <c r="F54" s="20"/>
      <c r="G54" s="20"/>
      <c r="H54" s="89">
        <f>H53+H20</f>
        <v>43568695.509463936</v>
      </c>
      <c r="I54" s="89">
        <f>I53+I20</f>
        <v>38131545.801266506</v>
      </c>
      <c r="J54" s="135">
        <f>J53+J20</f>
        <v>190657.72900633267</v>
      </c>
      <c r="K54" s="135">
        <f>K53+K20</f>
        <v>195066.22570731805</v>
      </c>
      <c r="L54" s="19"/>
      <c r="M54" s="89"/>
      <c r="N54" s="19"/>
      <c r="O54" s="89"/>
      <c r="P54" s="89"/>
      <c r="Q54" s="135">
        <f>Q53+Q20</f>
        <v>4744248.2691460829</v>
      </c>
      <c r="R54" s="135">
        <f>R53+R20</f>
        <v>4938913.4042361043</v>
      </c>
      <c r="S54" s="135">
        <f>S53+S20</f>
        <v>194665.13509002188</v>
      </c>
      <c r="T54" s="37">
        <f>S54/Q54</f>
        <v>4.1031818751142139E-2</v>
      </c>
    </row>
    <row r="55" spans="1:22" ht="18.75" customHeight="1">
      <c r="D55" s="516" t="s">
        <v>150</v>
      </c>
      <c r="E55" s="523">
        <f>E54-Mapping!R4</f>
        <v>0</v>
      </c>
      <c r="H55" s="30"/>
      <c r="J55" s="21"/>
      <c r="K55" s="12"/>
      <c r="T55" s="90"/>
    </row>
    <row r="56" spans="1:22">
      <c r="E56" s="32"/>
      <c r="J56" s="21"/>
      <c r="Q56" s="12"/>
      <c r="R56" s="12"/>
    </row>
    <row r="57" spans="1:22">
      <c r="A57" s="73"/>
      <c r="B57" s="17"/>
      <c r="C57" s="54"/>
      <c r="D57" s="28"/>
      <c r="E57" s="30"/>
      <c r="F57" s="29"/>
      <c r="G57" s="29"/>
      <c r="H57" s="29"/>
      <c r="I57" s="16"/>
      <c r="J57" s="57"/>
      <c r="K57" s="57"/>
      <c r="L57" s="57"/>
      <c r="M57" s="91"/>
      <c r="N57" s="57"/>
      <c r="O57" s="91"/>
      <c r="P57" s="91"/>
      <c r="Q57" s="58"/>
      <c r="R57" s="58"/>
      <c r="S57" s="51"/>
    </row>
    <row r="58" spans="1:22" ht="15" customHeight="1">
      <c r="B58" s="563" t="s">
        <v>77</v>
      </c>
      <c r="C58" s="564"/>
      <c r="D58" s="565"/>
      <c r="E58" s="26"/>
      <c r="H58" s="34"/>
      <c r="I58" s="49"/>
      <c r="J58" s="563" t="s">
        <v>117</v>
      </c>
      <c r="K58" s="564"/>
      <c r="L58" s="565"/>
      <c r="M58" s="233"/>
      <c r="Q58" s="57"/>
      <c r="R58" s="57"/>
      <c r="S58" s="31"/>
      <c r="T58" s="58"/>
      <c r="V58" s="90" t="s">
        <v>145</v>
      </c>
    </row>
    <row r="59" spans="1:22" s="101" customFormat="1" ht="25.5" customHeight="1">
      <c r="A59" s="99"/>
      <c r="B59" s="100"/>
      <c r="C59" s="490"/>
      <c r="D59" s="69" t="s">
        <v>14</v>
      </c>
      <c r="E59" s="99"/>
      <c r="F59" s="100"/>
      <c r="G59" s="100"/>
      <c r="I59" s="102"/>
      <c r="J59" s="106" t="s">
        <v>118</v>
      </c>
      <c r="K59" s="105" t="s">
        <v>8</v>
      </c>
      <c r="L59" s="105" t="s">
        <v>81</v>
      </c>
      <c r="M59" s="252"/>
      <c r="N59" s="100"/>
      <c r="Q59" s="103"/>
      <c r="R59" s="103"/>
      <c r="S59" s="104"/>
      <c r="U59" s="120" t="s">
        <v>85</v>
      </c>
      <c r="V59" s="102">
        <v>12000</v>
      </c>
    </row>
    <row r="60" spans="1:22">
      <c r="B60" s="48" t="s">
        <v>28</v>
      </c>
      <c r="D60" s="127">
        <f>'Lewis LOB (C) - For Disposal $'!E136/References!$B$52</f>
        <v>19065.772900633248</v>
      </c>
      <c r="E60" s="246" t="s">
        <v>528</v>
      </c>
      <c r="F60" s="14"/>
      <c r="G60" s="14"/>
      <c r="H60" s="27"/>
      <c r="I60" s="77" t="s">
        <v>85</v>
      </c>
      <c r="J60" s="60">
        <f>Q20</f>
        <v>2526642.7873745733</v>
      </c>
      <c r="K60" s="76">
        <f>(L60-J60)/J60</f>
        <v>3.9688320957075494E-2</v>
      </c>
      <c r="L60" s="60">
        <f>R20</f>
        <v>2626920.9972637752</v>
      </c>
      <c r="M60" s="60"/>
      <c r="Q60" s="57"/>
      <c r="R60" s="57"/>
      <c r="S60" s="31"/>
      <c r="T60" s="58"/>
      <c r="U60" s="120" t="s">
        <v>119</v>
      </c>
      <c r="V60" s="102">
        <v>1700</v>
      </c>
    </row>
    <row r="61" spans="1:22">
      <c r="B61" s="48" t="s">
        <v>29</v>
      </c>
      <c r="D61" s="245">
        <f>D60*References!$G$20</f>
        <v>38131545.801266499</v>
      </c>
      <c r="E61" s="9"/>
      <c r="F61" s="9"/>
      <c r="G61" s="9"/>
      <c r="H61" s="35"/>
      <c r="I61" s="77"/>
      <c r="J61" s="60"/>
      <c r="K61" s="76"/>
      <c r="L61" s="60"/>
      <c r="M61" s="60"/>
      <c r="Q61" s="57"/>
      <c r="R61" s="57"/>
      <c r="S61" s="31"/>
      <c r="T61" s="58"/>
      <c r="U61" s="120" t="s">
        <v>144</v>
      </c>
      <c r="V61" s="102">
        <v>80</v>
      </c>
    </row>
    <row r="62" spans="1:22">
      <c r="B62" s="48" t="s">
        <v>3</v>
      </c>
      <c r="D62" s="77">
        <f>E54</f>
        <v>483318.6885926153</v>
      </c>
      <c r="E62" s="22"/>
      <c r="F62" s="22"/>
      <c r="G62" s="22"/>
      <c r="H62" s="36"/>
      <c r="I62" s="77" t="s">
        <v>119</v>
      </c>
      <c r="J62" s="60">
        <f>Q53</f>
        <v>2217605.4817715101</v>
      </c>
      <c r="K62" s="76">
        <f t="shared" ref="K62" si="29">(L62-J62)/J62</f>
        <v>4.2562541433392859E-2</v>
      </c>
      <c r="L62" s="60">
        <f>R53</f>
        <v>2311992.4069723291</v>
      </c>
      <c r="M62" s="60"/>
      <c r="Q62" s="57"/>
      <c r="R62" s="57"/>
      <c r="S62" s="31"/>
      <c r="T62" s="58"/>
      <c r="U62" s="120"/>
      <c r="V62" s="241"/>
    </row>
    <row r="63" spans="1:22">
      <c r="B63" s="52" t="s">
        <v>10</v>
      </c>
      <c r="D63" s="534">
        <f>D61/$H$54</f>
        <v>0.87520512963220609</v>
      </c>
      <c r="E63" s="8"/>
      <c r="F63" s="8"/>
      <c r="G63" s="8"/>
      <c r="H63" s="37"/>
      <c r="I63" s="77" t="s">
        <v>14</v>
      </c>
      <c r="J63" s="78">
        <f>SUM(J60:J62)</f>
        <v>4744248.2691460829</v>
      </c>
      <c r="K63" s="37">
        <f>(L63-J63)/J63</f>
        <v>4.1031818751142042E-2</v>
      </c>
      <c r="L63" s="78">
        <f>SUM(L60:L62)</f>
        <v>4938913.4042361043</v>
      </c>
      <c r="M63" s="253">
        <f>L63-J63</f>
        <v>194665.13509002142</v>
      </c>
      <c r="N63" s="514">
        <f>+M63-S54</f>
        <v>-4.6566128730773926E-10</v>
      </c>
      <c r="O63" s="87"/>
      <c r="P63" s="87"/>
      <c r="Q63" s="57"/>
      <c r="R63" s="57"/>
      <c r="S63" s="31"/>
      <c r="T63" s="58"/>
    </row>
    <row r="64" spans="1:22">
      <c r="D64" s="90"/>
      <c r="F64" s="13"/>
      <c r="G64" s="13"/>
      <c r="H64" s="5"/>
      <c r="I64" s="49"/>
      <c r="J64" s="53"/>
      <c r="L64" s="12"/>
      <c r="M64" s="12"/>
      <c r="O64" s="60"/>
      <c r="P64" s="60"/>
      <c r="Q64" s="57"/>
      <c r="R64" s="57"/>
      <c r="S64" s="31"/>
      <c r="T64" s="58"/>
    </row>
    <row r="65" spans="1:21" ht="15" customHeight="1">
      <c r="E65" s="7"/>
      <c r="F65" s="13"/>
      <c r="G65" s="13"/>
      <c r="H65" s="5"/>
      <c r="I65" s="77" t="s">
        <v>82</v>
      </c>
      <c r="J65" s="127">
        <f>'Lewis LOB (C) - For Disposal $'!E138/References!$B$52</f>
        <v>6831.5711111111113</v>
      </c>
      <c r="K65" s="246" t="s">
        <v>528</v>
      </c>
      <c r="Q65" s="57"/>
      <c r="R65" s="57"/>
      <c r="S65" s="31"/>
      <c r="T65" s="58"/>
    </row>
    <row r="66" spans="1:21">
      <c r="E66" s="7"/>
      <c r="F66" s="13"/>
      <c r="G66" s="13"/>
      <c r="H66" s="6"/>
      <c r="J66" s="11"/>
      <c r="L66" s="12"/>
      <c r="M66" s="12"/>
      <c r="O66" s="60"/>
      <c r="P66" s="60"/>
      <c r="Q66" s="57"/>
      <c r="R66" s="57"/>
      <c r="S66" s="31"/>
      <c r="T66" s="58"/>
    </row>
    <row r="67" spans="1:21">
      <c r="E67" s="48"/>
      <c r="I67" s="77" t="s">
        <v>122</v>
      </c>
      <c r="J67" s="250">
        <f>J65*References!$B$54</f>
        <v>68315.711111111115</v>
      </c>
      <c r="Q67" s="57"/>
      <c r="R67" s="57"/>
      <c r="S67" s="31"/>
      <c r="T67" s="58"/>
    </row>
    <row r="68" spans="1:21" ht="15.75">
      <c r="B68" s="112" t="s">
        <v>125</v>
      </c>
      <c r="E68" s="48"/>
      <c r="I68" s="48"/>
      <c r="L68" s="271"/>
      <c r="M68" s="271"/>
      <c r="N68" s="90"/>
      <c r="O68" s="271"/>
      <c r="P68" s="271"/>
      <c r="Q68" s="91"/>
      <c r="R68" s="57"/>
      <c r="S68" s="31"/>
      <c r="T68" s="58"/>
    </row>
    <row r="69" spans="1:21" ht="60">
      <c r="A69" s="96"/>
      <c r="B69" s="61" t="s">
        <v>13</v>
      </c>
      <c r="C69" s="61" t="s">
        <v>84</v>
      </c>
      <c r="D69" s="61" t="s">
        <v>97</v>
      </c>
      <c r="E69" s="61" t="s">
        <v>98</v>
      </c>
      <c r="F69" s="61" t="s">
        <v>9</v>
      </c>
      <c r="G69" s="61" t="s">
        <v>181</v>
      </c>
      <c r="H69" s="61" t="s">
        <v>30</v>
      </c>
      <c r="I69" s="62" t="s">
        <v>31</v>
      </c>
      <c r="J69" s="61" t="s">
        <v>8</v>
      </c>
      <c r="K69" s="61" t="s">
        <v>0</v>
      </c>
      <c r="L69" s="125" t="s">
        <v>154</v>
      </c>
      <c r="M69" s="98" t="s">
        <v>152</v>
      </c>
      <c r="N69" s="61" t="s">
        <v>33</v>
      </c>
      <c r="O69" s="125" t="s">
        <v>155</v>
      </c>
      <c r="P69" s="98" t="s">
        <v>153</v>
      </c>
      <c r="Q69" s="61" t="s">
        <v>32</v>
      </c>
      <c r="R69" s="61" t="s">
        <v>81</v>
      </c>
      <c r="S69" s="63" t="s">
        <v>34</v>
      </c>
      <c r="T69" s="58"/>
    </row>
    <row r="70" spans="1:21" s="558" customFormat="1">
      <c r="A70" s="568" t="s">
        <v>143</v>
      </c>
      <c r="B70" s="548">
        <v>16</v>
      </c>
      <c r="C70" s="549" t="s">
        <v>806</v>
      </c>
      <c r="D70" s="549" t="s">
        <v>806</v>
      </c>
      <c r="E70" s="550">
        <f>References!$B$13*References!$G$23</f>
        <v>12</v>
      </c>
      <c r="F70" s="548">
        <f>References!$B$18</f>
        <v>34</v>
      </c>
      <c r="G70" s="551">
        <f>References!$B$13</f>
        <v>1</v>
      </c>
      <c r="H70" s="552">
        <f t="shared" ref="H70:H71" si="30">E70*F70</f>
        <v>408</v>
      </c>
      <c r="I70" s="553">
        <f t="shared" ref="I70:I71" si="31">$D$63*H70</f>
        <v>357.0836928899401</v>
      </c>
      <c r="J70" s="554">
        <f>(References!$C$54*I70)</f>
        <v>1.785418464449702</v>
      </c>
      <c r="K70" s="554">
        <f>J70/References!$G$57</f>
        <v>1.8267019280230221</v>
      </c>
      <c r="L70" s="548">
        <v>5.94</v>
      </c>
      <c r="M70" s="548">
        <v>5.91</v>
      </c>
      <c r="N70" s="555">
        <f>IFERROR((K70/E70),0)*G70</f>
        <v>0.15222516066858519</v>
      </c>
      <c r="O70" s="555">
        <f t="shared" ref="O70" si="32">ROUND(N70+L70,2)</f>
        <v>6.09</v>
      </c>
      <c r="P70" s="555">
        <f t="shared" ref="P70" si="33">ROUND(N70+M70,2)</f>
        <v>6.06</v>
      </c>
      <c r="Q70" s="548"/>
      <c r="R70" s="548"/>
      <c r="S70" s="556"/>
      <c r="T70" s="267">
        <f>(((F70*$D$63)*(References!$C$54/References!$G$57))*$G70)-N70</f>
        <v>0</v>
      </c>
      <c r="U70" s="557"/>
    </row>
    <row r="71" spans="1:21" s="558" customFormat="1">
      <c r="A71" s="568"/>
      <c r="B71" s="548">
        <v>23</v>
      </c>
      <c r="C71" s="549" t="s">
        <v>807</v>
      </c>
      <c r="D71" s="549" t="s">
        <v>807</v>
      </c>
      <c r="E71" s="550">
        <f>References!$B$11*References!$G$23</f>
        <v>52</v>
      </c>
      <c r="F71" s="548">
        <f>References!$B$17</f>
        <v>20</v>
      </c>
      <c r="G71" s="551">
        <f>References!$B$11</f>
        <v>4.333333333333333</v>
      </c>
      <c r="H71" s="552">
        <f t="shared" si="30"/>
        <v>1040</v>
      </c>
      <c r="I71" s="553">
        <f t="shared" si="31"/>
        <v>910.21333481749434</v>
      </c>
      <c r="J71" s="554">
        <f>(References!$C$54*I71)</f>
        <v>4.5510666740874761</v>
      </c>
      <c r="K71" s="554">
        <f>J71/References!$G$57</f>
        <v>4.6562990322155473</v>
      </c>
      <c r="L71" s="548">
        <v>11.34</v>
      </c>
      <c r="M71" s="548">
        <v>11.29</v>
      </c>
      <c r="N71" s="555">
        <f t="shared" ref="N71:N102" si="34">IFERROR((K71/E71),0)*G71</f>
        <v>0.38802491935129563</v>
      </c>
      <c r="O71" s="555">
        <f t="shared" ref="O71" si="35">ROUND(N71+L71,2)</f>
        <v>11.73</v>
      </c>
      <c r="P71" s="555">
        <f t="shared" ref="P71" si="36">ROUND(N71+M71,2)</f>
        <v>11.68</v>
      </c>
      <c r="Q71" s="548"/>
      <c r="R71" s="548"/>
      <c r="S71" s="556"/>
      <c r="T71" s="267">
        <f>(((F71*$D$63)*(References!$C$54/References!$G$57))*$G71)-N71</f>
        <v>0</v>
      </c>
      <c r="U71" s="557"/>
    </row>
    <row r="72" spans="1:21" s="558" customFormat="1">
      <c r="A72" s="568"/>
      <c r="B72" s="548">
        <v>23</v>
      </c>
      <c r="C72" s="549" t="s">
        <v>808</v>
      </c>
      <c r="D72" s="549" t="s">
        <v>808</v>
      </c>
      <c r="E72" s="550">
        <f>References!$B$13*References!$G$23</f>
        <v>12</v>
      </c>
      <c r="F72" s="548">
        <f>References!$B$26</f>
        <v>51</v>
      </c>
      <c r="G72" s="551">
        <f>References!$B$13</f>
        <v>1</v>
      </c>
      <c r="H72" s="552">
        <f t="shared" ref="H72" si="37">E72*F72</f>
        <v>612</v>
      </c>
      <c r="I72" s="553">
        <f t="shared" ref="I72" si="38">$D$63*H72</f>
        <v>535.62553933491017</v>
      </c>
      <c r="J72" s="554">
        <f>(References!$C$54*I72)</f>
        <v>2.6781276966745531</v>
      </c>
      <c r="K72" s="554">
        <f>J72/References!$G$57</f>
        <v>2.7400528920345333</v>
      </c>
      <c r="L72" s="548">
        <v>9.06</v>
      </c>
      <c r="M72" s="559">
        <v>9.02</v>
      </c>
      <c r="N72" s="555">
        <f t="shared" si="34"/>
        <v>0.22833774100287776</v>
      </c>
      <c r="O72" s="555">
        <f t="shared" ref="O72" si="39">ROUND(N72+L72,2)</f>
        <v>9.2899999999999991</v>
      </c>
      <c r="P72" s="555">
        <f t="shared" ref="P72" si="40">ROUND(N72+M72,2)</f>
        <v>9.25</v>
      </c>
      <c r="Q72" s="548"/>
      <c r="R72" s="548"/>
      <c r="S72" s="556"/>
      <c r="T72" s="267">
        <f>(((F72*$D$63)*(References!$C$54/References!$G$57))*$G72)-N72</f>
        <v>0</v>
      </c>
      <c r="U72" s="557"/>
    </row>
    <row r="73" spans="1:21" s="558" customFormat="1">
      <c r="A73" s="568"/>
      <c r="B73" s="548">
        <v>23</v>
      </c>
      <c r="C73" s="549" t="s">
        <v>809</v>
      </c>
      <c r="D73" s="549" t="s">
        <v>809</v>
      </c>
      <c r="E73" s="550">
        <f>References!$B$12*12</f>
        <v>26</v>
      </c>
      <c r="F73" s="548">
        <f>References!$B$26</f>
        <v>51</v>
      </c>
      <c r="G73" s="551">
        <f>References!$B$12</f>
        <v>2.1666666666666665</v>
      </c>
      <c r="H73" s="552">
        <f t="shared" ref="H73" si="41">E73*F73</f>
        <v>1326</v>
      </c>
      <c r="I73" s="553">
        <f t="shared" ref="I73" si="42">$D$63*H73</f>
        <v>1160.5220018923053</v>
      </c>
      <c r="J73" s="554">
        <f>(References!$C$54*I73)</f>
        <v>5.8026100094615316</v>
      </c>
      <c r="K73" s="554">
        <f>J73/References!$G$57</f>
        <v>5.9367812660748225</v>
      </c>
      <c r="L73" s="548">
        <v>14.56</v>
      </c>
      <c r="M73" s="559">
        <v>14.5</v>
      </c>
      <c r="N73" s="555">
        <f t="shared" si="34"/>
        <v>0.49473177217290187</v>
      </c>
      <c r="O73" s="555">
        <f t="shared" ref="O73" si="43">ROUND(N73+L73,2)</f>
        <v>15.05</v>
      </c>
      <c r="P73" s="555">
        <f t="shared" ref="P73" si="44">ROUND(N73+M73,2)</f>
        <v>14.99</v>
      </c>
      <c r="Q73" s="548"/>
      <c r="R73" s="548"/>
      <c r="S73" s="556"/>
      <c r="T73" s="267">
        <f>(((F73*$D$63)*(References!$C$54/References!$G$57))*$G73)-N73</f>
        <v>0</v>
      </c>
      <c r="U73" s="557"/>
    </row>
    <row r="74" spans="1:21" s="558" customFormat="1">
      <c r="A74" s="568"/>
      <c r="B74" s="548">
        <v>23</v>
      </c>
      <c r="C74" s="549" t="s">
        <v>810</v>
      </c>
      <c r="D74" s="549" t="s">
        <v>810</v>
      </c>
      <c r="E74" s="550">
        <f>References!$B$11*12</f>
        <v>52</v>
      </c>
      <c r="F74" s="548">
        <f>References!$B$26</f>
        <v>51</v>
      </c>
      <c r="G74" s="551">
        <f>References!$B$11</f>
        <v>4.333333333333333</v>
      </c>
      <c r="H74" s="552">
        <f t="shared" ref="H74" si="45">E74*F74</f>
        <v>2652</v>
      </c>
      <c r="I74" s="553">
        <f t="shared" ref="I74" si="46">$D$63*H74</f>
        <v>2321.0440037846106</v>
      </c>
      <c r="J74" s="554">
        <f>(References!$C$54*I74)</f>
        <v>11.605220018923063</v>
      </c>
      <c r="K74" s="554">
        <f>J74/References!$G$57</f>
        <v>11.873562532149645</v>
      </c>
      <c r="L74" s="548">
        <v>21.93</v>
      </c>
      <c r="M74" s="559">
        <v>21.83</v>
      </c>
      <c r="N74" s="555">
        <f t="shared" si="34"/>
        <v>0.98946354434580375</v>
      </c>
      <c r="O74" s="555">
        <f t="shared" ref="O74" si="47">ROUND(N74+L74,2)</f>
        <v>22.92</v>
      </c>
      <c r="P74" s="555">
        <f t="shared" ref="P74" si="48">ROUND(N74+M74,2)</f>
        <v>22.82</v>
      </c>
      <c r="Q74" s="548"/>
      <c r="R74" s="548"/>
      <c r="S74" s="556"/>
      <c r="T74" s="267">
        <f>(((F74*$D$63)*(References!$C$54/References!$G$57))*$G74)-N74</f>
        <v>0</v>
      </c>
      <c r="U74" s="557"/>
    </row>
    <row r="75" spans="1:21" s="558" customFormat="1">
      <c r="A75" s="568"/>
      <c r="B75" s="548">
        <v>23</v>
      </c>
      <c r="C75" s="549" t="s">
        <v>811</v>
      </c>
      <c r="D75" s="549" t="s">
        <v>811</v>
      </c>
      <c r="E75" s="550">
        <f>References!$B$13*References!$G$23</f>
        <v>12</v>
      </c>
      <c r="F75" s="548">
        <f>References!$B$27</f>
        <v>77</v>
      </c>
      <c r="G75" s="551">
        <f>References!$B$13</f>
        <v>1</v>
      </c>
      <c r="H75" s="552">
        <f t="shared" ref="H75" si="49">E75*F75</f>
        <v>924</v>
      </c>
      <c r="I75" s="553">
        <f t="shared" ref="I75" si="50">$D$63*H75</f>
        <v>808.68953978015838</v>
      </c>
      <c r="J75" s="554">
        <f>(References!$C$54*I75)</f>
        <v>4.0434476989007955</v>
      </c>
      <c r="K75" s="554">
        <f>J75/References!$G$57</f>
        <v>4.1369426016991975</v>
      </c>
      <c r="L75" s="548">
        <v>11.23</v>
      </c>
      <c r="M75" s="559">
        <v>11.18</v>
      </c>
      <c r="N75" s="555">
        <f t="shared" si="34"/>
        <v>0.34474521680826647</v>
      </c>
      <c r="O75" s="555">
        <f t="shared" ref="O75" si="51">ROUND(N75+L75,2)</f>
        <v>11.57</v>
      </c>
      <c r="P75" s="555">
        <f t="shared" ref="P75" si="52">ROUND(N75+M75,2)</f>
        <v>11.52</v>
      </c>
      <c r="Q75" s="548"/>
      <c r="R75" s="548"/>
      <c r="S75" s="556"/>
      <c r="T75" s="267">
        <f>(((F75*$D$63)*(References!$C$54/References!$G$57))*$G75)-N75</f>
        <v>0</v>
      </c>
      <c r="U75" s="557"/>
    </row>
    <row r="76" spans="1:21" s="558" customFormat="1">
      <c r="A76" s="568"/>
      <c r="B76" s="548">
        <v>23</v>
      </c>
      <c r="C76" s="549" t="s">
        <v>812</v>
      </c>
      <c r="D76" s="549" t="s">
        <v>812</v>
      </c>
      <c r="E76" s="550">
        <f>References!$B$12*12</f>
        <v>26</v>
      </c>
      <c r="F76" s="548">
        <f>References!$B$27</f>
        <v>77</v>
      </c>
      <c r="G76" s="551">
        <f>References!$B$12</f>
        <v>2.1666666666666665</v>
      </c>
      <c r="H76" s="552">
        <f t="shared" ref="H76" si="53">E76*F76</f>
        <v>2002</v>
      </c>
      <c r="I76" s="553">
        <f t="shared" ref="I76" si="54">$D$63*H76</f>
        <v>1752.1606695236767</v>
      </c>
      <c r="J76" s="554">
        <f>(References!$C$54*I76)</f>
        <v>8.760803347618392</v>
      </c>
      <c r="K76" s="554">
        <f>J76/References!$G$57</f>
        <v>8.9633756370149289</v>
      </c>
      <c r="L76" s="548">
        <v>22.37</v>
      </c>
      <c r="M76" s="559">
        <v>22.27</v>
      </c>
      <c r="N76" s="555">
        <f t="shared" si="34"/>
        <v>0.746947969751244</v>
      </c>
      <c r="O76" s="555">
        <f t="shared" ref="O76" si="55">ROUND(N76+L76,2)</f>
        <v>23.12</v>
      </c>
      <c r="P76" s="555">
        <f t="shared" ref="P76" si="56">ROUND(N76+M76,2)</f>
        <v>23.02</v>
      </c>
      <c r="Q76" s="548"/>
      <c r="R76" s="548"/>
      <c r="S76" s="556"/>
      <c r="T76" s="267">
        <f>(((F76*$D$63)*(References!$C$54/References!$G$57))*$G76)-N76</f>
        <v>0</v>
      </c>
      <c r="U76" s="557"/>
    </row>
    <row r="77" spans="1:21" s="558" customFormat="1">
      <c r="A77" s="568"/>
      <c r="B77" s="548">
        <v>23</v>
      </c>
      <c r="C77" s="549" t="s">
        <v>813</v>
      </c>
      <c r="D77" s="549" t="s">
        <v>813</v>
      </c>
      <c r="E77" s="550">
        <f>References!$B$11*12</f>
        <v>52</v>
      </c>
      <c r="F77" s="548">
        <f>References!$B$27</f>
        <v>77</v>
      </c>
      <c r="G77" s="551">
        <f>References!$B$11</f>
        <v>4.333333333333333</v>
      </c>
      <c r="H77" s="552">
        <f t="shared" ref="H77" si="57">E77*F77</f>
        <v>4004</v>
      </c>
      <c r="I77" s="553">
        <f t="shared" ref="I77" si="58">$D$63*H77</f>
        <v>3504.3213390473534</v>
      </c>
      <c r="J77" s="554">
        <f>(References!$C$54*I77)</f>
        <v>17.521606695236784</v>
      </c>
      <c r="K77" s="554">
        <f>J77/References!$G$57</f>
        <v>17.926751274029858</v>
      </c>
      <c r="L77" s="548">
        <v>28.71</v>
      </c>
      <c r="M77" s="548">
        <v>28.58</v>
      </c>
      <c r="N77" s="555">
        <f t="shared" si="34"/>
        <v>1.493895939502488</v>
      </c>
      <c r="O77" s="555">
        <f t="shared" ref="O77" si="59">ROUND(N77+L77,2)</f>
        <v>30.2</v>
      </c>
      <c r="P77" s="555">
        <f t="shared" ref="P77" si="60">ROUND(N77+M77,2)</f>
        <v>30.07</v>
      </c>
      <c r="Q77" s="548"/>
      <c r="R77" s="548"/>
      <c r="S77" s="556"/>
      <c r="T77" s="267">
        <f>(((F77*$D$63)*(References!$C$54/References!$G$57))*$G77)-N77</f>
        <v>0</v>
      </c>
      <c r="U77" s="557"/>
    </row>
    <row r="78" spans="1:21" s="558" customFormat="1">
      <c r="A78" s="568"/>
      <c r="B78" s="548">
        <v>24</v>
      </c>
      <c r="C78" s="549" t="s">
        <v>814</v>
      </c>
      <c r="D78" s="549" t="s">
        <v>814</v>
      </c>
      <c r="E78" s="550">
        <f>References!$B$13*References!$G$23</f>
        <v>12</v>
      </c>
      <c r="F78" s="548">
        <f>References!$B$18</f>
        <v>34</v>
      </c>
      <c r="G78" s="551">
        <f>References!$B$13</f>
        <v>1</v>
      </c>
      <c r="H78" s="552">
        <f t="shared" ref="H78" si="61">E78*F78</f>
        <v>408</v>
      </c>
      <c r="I78" s="553">
        <f t="shared" ref="I78" si="62">$D$63*H78</f>
        <v>357.0836928899401</v>
      </c>
      <c r="J78" s="554">
        <f>(References!$C$54*I78)</f>
        <v>1.785418464449702</v>
      </c>
      <c r="K78" s="554">
        <f>J78/References!$G$57</f>
        <v>1.8267019280230221</v>
      </c>
      <c r="L78" s="559">
        <v>4.7</v>
      </c>
      <c r="M78" s="548">
        <v>4.68</v>
      </c>
      <c r="N78" s="555">
        <f t="shared" si="34"/>
        <v>0.15222516066858519</v>
      </c>
      <c r="O78" s="555">
        <f t="shared" ref="O78" si="63">ROUND(N78+L78,2)</f>
        <v>4.8499999999999996</v>
      </c>
      <c r="P78" s="555">
        <f t="shared" ref="P78" si="64">ROUND(N78+M78,2)</f>
        <v>4.83</v>
      </c>
      <c r="Q78" s="548"/>
      <c r="R78" s="548"/>
      <c r="S78" s="556"/>
      <c r="T78" s="267">
        <f>(((F78*$D$63)*(References!$C$54/References!$G$57))*$G78)-N78</f>
        <v>0</v>
      </c>
      <c r="U78" s="557"/>
    </row>
    <row r="79" spans="1:21" s="558" customFormat="1">
      <c r="A79" s="568"/>
      <c r="B79" s="548">
        <v>24</v>
      </c>
      <c r="C79" s="549" t="s">
        <v>815</v>
      </c>
      <c r="D79" s="549" t="s">
        <v>815</v>
      </c>
      <c r="E79" s="550">
        <f>References!$B$13*References!$G$23</f>
        <v>12</v>
      </c>
      <c r="F79" s="548">
        <f>References!$B$26</f>
        <v>51</v>
      </c>
      <c r="G79" s="551">
        <f>References!$B$13</f>
        <v>1</v>
      </c>
      <c r="H79" s="552">
        <f t="shared" ref="H79" si="65">E79*F79</f>
        <v>612</v>
      </c>
      <c r="I79" s="553">
        <f t="shared" ref="I79" si="66">$D$63*H79</f>
        <v>535.62553933491017</v>
      </c>
      <c r="J79" s="554">
        <f>(References!$C$54*I79)</f>
        <v>2.6781276966745531</v>
      </c>
      <c r="K79" s="554">
        <f>J79/References!$G$57</f>
        <v>2.7400528920345333</v>
      </c>
      <c r="L79" s="559">
        <v>9.25</v>
      </c>
      <c r="M79" s="548">
        <v>9.2100000000000009</v>
      </c>
      <c r="N79" s="555">
        <f t="shared" si="34"/>
        <v>0.22833774100287776</v>
      </c>
      <c r="O79" s="555">
        <f t="shared" ref="O79" si="67">ROUND(N79+L79,2)</f>
        <v>9.48</v>
      </c>
      <c r="P79" s="555">
        <f t="shared" ref="P79" si="68">ROUND(N79+M79,2)</f>
        <v>9.44</v>
      </c>
      <c r="Q79" s="548"/>
      <c r="R79" s="548"/>
      <c r="S79" s="556"/>
      <c r="T79" s="267">
        <f>(((F79*$D$63)*(References!$C$54/References!$G$57))*$G79)-N79</f>
        <v>0</v>
      </c>
      <c r="U79" s="557"/>
    </row>
    <row r="80" spans="1:21" s="558" customFormat="1">
      <c r="A80" s="568"/>
      <c r="B80" s="548">
        <v>24</v>
      </c>
      <c r="C80" s="549" t="s">
        <v>816</v>
      </c>
      <c r="D80" s="549" t="s">
        <v>816</v>
      </c>
      <c r="E80" s="550">
        <f>References!$B$13*References!$G$23</f>
        <v>12</v>
      </c>
      <c r="F80" s="548">
        <f>References!$B$27</f>
        <v>77</v>
      </c>
      <c r="G80" s="551">
        <f>References!$B$13</f>
        <v>1</v>
      </c>
      <c r="H80" s="552">
        <f t="shared" ref="H80" si="69">E80*F80</f>
        <v>924</v>
      </c>
      <c r="I80" s="553">
        <f t="shared" ref="I80" si="70">$D$63*H80</f>
        <v>808.68953978015838</v>
      </c>
      <c r="J80" s="554">
        <f>(References!$C$54*I80)</f>
        <v>4.0434476989007955</v>
      </c>
      <c r="K80" s="554">
        <f>J80/References!$G$57</f>
        <v>4.1369426016991975</v>
      </c>
      <c r="L80" s="559">
        <v>13.88</v>
      </c>
      <c r="M80" s="548">
        <v>13.82</v>
      </c>
      <c r="N80" s="555">
        <f t="shared" si="34"/>
        <v>0.34474521680826647</v>
      </c>
      <c r="O80" s="555">
        <f t="shared" ref="O80" si="71">ROUND(N80+L80,2)</f>
        <v>14.22</v>
      </c>
      <c r="P80" s="555">
        <f t="shared" ref="P80" si="72">ROUND(N80+M80,2)</f>
        <v>14.16</v>
      </c>
      <c r="Q80" s="548"/>
      <c r="R80" s="548"/>
      <c r="S80" s="556"/>
      <c r="T80" s="267">
        <f>(((F80*$D$63)*(References!$C$54/References!$G$57))*$G80)-N80</f>
        <v>0</v>
      </c>
      <c r="U80" s="557"/>
    </row>
    <row r="81" spans="1:21" s="558" customFormat="1">
      <c r="A81" s="568"/>
      <c r="B81" s="548">
        <v>24</v>
      </c>
      <c r="C81" s="549" t="s">
        <v>817</v>
      </c>
      <c r="D81" s="549" t="s">
        <v>817</v>
      </c>
      <c r="E81" s="550">
        <f>References!$B$13*References!$G$23</f>
        <v>12</v>
      </c>
      <c r="F81" s="548">
        <f>References!$B$18</f>
        <v>34</v>
      </c>
      <c r="G81" s="551">
        <f>References!$B$13</f>
        <v>1</v>
      </c>
      <c r="H81" s="552">
        <f t="shared" ref="H81" si="73">E81*F81</f>
        <v>408</v>
      </c>
      <c r="I81" s="553">
        <f t="shared" ref="I81" si="74">$D$63*H81</f>
        <v>357.0836928899401</v>
      </c>
      <c r="J81" s="554">
        <f>(References!$C$54*I81)</f>
        <v>1.785418464449702</v>
      </c>
      <c r="K81" s="554">
        <f>J81/References!$G$57</f>
        <v>1.8267019280230221</v>
      </c>
      <c r="L81" s="559">
        <v>4.7</v>
      </c>
      <c r="M81" s="548">
        <v>4.68</v>
      </c>
      <c r="N81" s="555">
        <f t="shared" si="34"/>
        <v>0.15222516066858519</v>
      </c>
      <c r="O81" s="555">
        <f t="shared" ref="O81" si="75">ROUND(N81+L81,2)</f>
        <v>4.8499999999999996</v>
      </c>
      <c r="P81" s="555">
        <f t="shared" ref="P81" si="76">ROUND(N81+M81,2)</f>
        <v>4.83</v>
      </c>
      <c r="Q81" s="548"/>
      <c r="R81" s="548"/>
      <c r="S81" s="556"/>
      <c r="T81" s="267">
        <f>(((F81*$D$63)*(References!$C$54/References!$G$57))*$G81)-N81</f>
        <v>0</v>
      </c>
      <c r="U81" s="557"/>
    </row>
    <row r="82" spans="1:21" s="558" customFormat="1">
      <c r="A82" s="568"/>
      <c r="B82" s="548">
        <v>24</v>
      </c>
      <c r="C82" s="549" t="s">
        <v>820</v>
      </c>
      <c r="D82" s="549" t="s">
        <v>820</v>
      </c>
      <c r="E82" s="550">
        <f>References!$B$13*References!$G$23</f>
        <v>12</v>
      </c>
      <c r="F82" s="548">
        <f>References!$B$26</f>
        <v>51</v>
      </c>
      <c r="G82" s="551">
        <f>References!$B$13</f>
        <v>1</v>
      </c>
      <c r="H82" s="552">
        <f t="shared" ref="H82:H85" si="77">E82*F82</f>
        <v>612</v>
      </c>
      <c r="I82" s="553">
        <f t="shared" ref="I82:I85" si="78">$D$63*H82</f>
        <v>535.62553933491017</v>
      </c>
      <c r="J82" s="554">
        <f>(References!$C$54*I82)</f>
        <v>2.6781276966745531</v>
      </c>
      <c r="K82" s="554">
        <f>J82/References!$G$57</f>
        <v>2.7400528920345333</v>
      </c>
      <c r="L82" s="559">
        <v>11.06</v>
      </c>
      <c r="M82" s="548">
        <v>11.02</v>
      </c>
      <c r="N82" s="555">
        <f t="shared" si="34"/>
        <v>0.22833774100287776</v>
      </c>
      <c r="O82" s="555">
        <f t="shared" ref="O82:O85" si="79">ROUND(N82+L82,2)</f>
        <v>11.29</v>
      </c>
      <c r="P82" s="555">
        <f t="shared" ref="P82:P85" si="80">ROUND(N82+M82,2)</f>
        <v>11.25</v>
      </c>
      <c r="Q82" s="548"/>
      <c r="R82" s="548"/>
      <c r="S82" s="556"/>
      <c r="T82" s="267">
        <f>(((F82*$D$63)*(References!$C$54/References!$G$57))*$G82)-N82</f>
        <v>0</v>
      </c>
      <c r="U82" s="557"/>
    </row>
    <row r="83" spans="1:21" s="558" customFormat="1">
      <c r="A83" s="568"/>
      <c r="B83" s="548">
        <v>24</v>
      </c>
      <c r="C83" s="549" t="s">
        <v>821</v>
      </c>
      <c r="D83" s="549" t="s">
        <v>821</v>
      </c>
      <c r="E83" s="550">
        <f>References!$B$13*References!$G$23</f>
        <v>12</v>
      </c>
      <c r="F83" s="548">
        <f>References!$B$26</f>
        <v>51</v>
      </c>
      <c r="G83" s="551">
        <f>References!$B$13</f>
        <v>1</v>
      </c>
      <c r="H83" s="552">
        <f t="shared" si="77"/>
        <v>612</v>
      </c>
      <c r="I83" s="553">
        <f t="shared" si="78"/>
        <v>535.62553933491017</v>
      </c>
      <c r="J83" s="554">
        <f>(References!$C$54*I83)</f>
        <v>2.6781276966745531</v>
      </c>
      <c r="K83" s="554">
        <f>J83/References!$G$57</f>
        <v>2.7400528920345333</v>
      </c>
      <c r="L83" s="559">
        <v>14.06</v>
      </c>
      <c r="M83" s="548">
        <v>14.02</v>
      </c>
      <c r="N83" s="555">
        <f t="shared" si="34"/>
        <v>0.22833774100287776</v>
      </c>
      <c r="O83" s="555">
        <f t="shared" si="79"/>
        <v>14.29</v>
      </c>
      <c r="P83" s="555">
        <f t="shared" si="80"/>
        <v>14.25</v>
      </c>
      <c r="Q83" s="548"/>
      <c r="R83" s="548"/>
      <c r="S83" s="556"/>
      <c r="T83" s="267">
        <f>(((F83*$D$63)*(References!$C$54/References!$G$57))*$G83)-N83</f>
        <v>0</v>
      </c>
      <c r="U83" s="557"/>
    </row>
    <row r="84" spans="1:21" s="558" customFormat="1">
      <c r="A84" s="568"/>
      <c r="B84" s="548">
        <v>24</v>
      </c>
      <c r="C84" s="549" t="s">
        <v>818</v>
      </c>
      <c r="D84" s="549" t="s">
        <v>818</v>
      </c>
      <c r="E84" s="550">
        <f>References!$B$13*References!$G$23</f>
        <v>12</v>
      </c>
      <c r="F84" s="548">
        <f>References!$B$27</f>
        <v>77</v>
      </c>
      <c r="G84" s="551">
        <f>References!$B$13</f>
        <v>1</v>
      </c>
      <c r="H84" s="552">
        <f t="shared" si="77"/>
        <v>924</v>
      </c>
      <c r="I84" s="553">
        <f t="shared" si="78"/>
        <v>808.68953978015838</v>
      </c>
      <c r="J84" s="554">
        <f>(References!$C$54*I84)</f>
        <v>4.0434476989007955</v>
      </c>
      <c r="K84" s="554">
        <f>J84/References!$G$57</f>
        <v>4.1369426016991975</v>
      </c>
      <c r="L84" s="559">
        <v>13.23</v>
      </c>
      <c r="M84" s="548">
        <v>13.18</v>
      </c>
      <c r="N84" s="555">
        <f t="shared" si="34"/>
        <v>0.34474521680826647</v>
      </c>
      <c r="O84" s="555">
        <f t="shared" si="79"/>
        <v>13.57</v>
      </c>
      <c r="P84" s="555">
        <f t="shared" si="80"/>
        <v>13.52</v>
      </c>
      <c r="Q84" s="548"/>
      <c r="R84" s="548"/>
      <c r="S84" s="556"/>
      <c r="T84" s="267">
        <f>(((F84*$D$63)*(References!$C$54/References!$G$57))*$G84)-N84</f>
        <v>0</v>
      </c>
      <c r="U84" s="557"/>
    </row>
    <row r="85" spans="1:21" s="558" customFormat="1">
      <c r="A85" s="568"/>
      <c r="B85" s="548">
        <v>24</v>
      </c>
      <c r="C85" s="549" t="s">
        <v>819</v>
      </c>
      <c r="D85" s="549" t="s">
        <v>819</v>
      </c>
      <c r="E85" s="550">
        <f>References!$B$13*References!$G$23</f>
        <v>12</v>
      </c>
      <c r="F85" s="548">
        <f>References!$B$27</f>
        <v>77</v>
      </c>
      <c r="G85" s="551">
        <f>References!$B$13</f>
        <v>1</v>
      </c>
      <c r="H85" s="552">
        <f t="shared" si="77"/>
        <v>924</v>
      </c>
      <c r="I85" s="553">
        <f t="shared" si="78"/>
        <v>808.68953978015838</v>
      </c>
      <c r="J85" s="554">
        <f>(References!$C$54*I85)</f>
        <v>4.0434476989007955</v>
      </c>
      <c r="K85" s="554">
        <f>J85/References!$G$57</f>
        <v>4.1369426016991975</v>
      </c>
      <c r="L85" s="559">
        <v>16.23</v>
      </c>
      <c r="M85" s="548">
        <v>16.18</v>
      </c>
      <c r="N85" s="555">
        <f t="shared" si="34"/>
        <v>0.34474521680826647</v>
      </c>
      <c r="O85" s="555">
        <f t="shared" si="79"/>
        <v>16.57</v>
      </c>
      <c r="P85" s="555">
        <f t="shared" si="80"/>
        <v>16.52</v>
      </c>
      <c r="Q85" s="548"/>
      <c r="R85" s="548"/>
      <c r="S85" s="556"/>
      <c r="T85" s="267">
        <f>(((F85*$D$63)*(References!$C$54/References!$G$57))*$G85)-N85</f>
        <v>0</v>
      </c>
      <c r="U85" s="557"/>
    </row>
    <row r="86" spans="1:21" ht="15" customHeight="1">
      <c r="A86" s="568"/>
      <c r="B86" s="101">
        <v>21</v>
      </c>
      <c r="C86" s="491" t="s">
        <v>759</v>
      </c>
      <c r="D86" s="491" t="s">
        <v>759</v>
      </c>
      <c r="E86" s="475">
        <f>References!$B$11*References!$G$23</f>
        <v>52</v>
      </c>
      <c r="F86" s="101">
        <f>References!$B$17</f>
        <v>20</v>
      </c>
      <c r="G86" s="483">
        <f>References!$B$11</f>
        <v>4.333333333333333</v>
      </c>
      <c r="H86" s="476">
        <f t="shared" ref="H86" si="81">E86*F86</f>
        <v>1040</v>
      </c>
      <c r="I86" s="477">
        <f t="shared" ref="I86" si="82">$D$63*H86</f>
        <v>910.21333481749434</v>
      </c>
      <c r="J86" s="478">
        <f>(References!$C$54*I86)</f>
        <v>4.5510666740874761</v>
      </c>
      <c r="K86" s="478">
        <f>J86/References!$G$57</f>
        <v>4.6562990322155473</v>
      </c>
      <c r="L86" s="479">
        <v>11.34</v>
      </c>
      <c r="M86" s="480">
        <v>11.29</v>
      </c>
      <c r="N86" s="555">
        <f t="shared" si="34"/>
        <v>0.38802491935129563</v>
      </c>
      <c r="O86" s="481">
        <f t="shared" ref="O86" si="83">ROUND(N86+L86,2)</f>
        <v>11.73</v>
      </c>
      <c r="P86" s="482">
        <f t="shared" ref="P86" si="84">ROUND(N86+M86,2)</f>
        <v>11.68</v>
      </c>
      <c r="Q86" s="484"/>
      <c r="R86" s="484"/>
      <c r="S86" s="485"/>
      <c r="T86" s="267">
        <f>(((F86*$D$63)*(References!$C$54/References!$G$57))*$G86)-N86</f>
        <v>0</v>
      </c>
    </row>
    <row r="87" spans="1:21">
      <c r="A87" s="568"/>
      <c r="B87" s="101">
        <v>22</v>
      </c>
      <c r="C87" s="491" t="s">
        <v>763</v>
      </c>
      <c r="D87" s="491" t="s">
        <v>763</v>
      </c>
      <c r="E87" s="475">
        <f>References!$B$13*References!$G$23</f>
        <v>12</v>
      </c>
      <c r="F87" s="101">
        <f>References!$B$17</f>
        <v>20</v>
      </c>
      <c r="G87" s="483">
        <f>References!$B$13</f>
        <v>1</v>
      </c>
      <c r="H87" s="476">
        <f>E87*F87</f>
        <v>240</v>
      </c>
      <c r="I87" s="477">
        <f>$D$63*H87</f>
        <v>210.04923111172945</v>
      </c>
      <c r="J87" s="478">
        <f>(References!$C$54*I87)</f>
        <v>1.0502461555586482</v>
      </c>
      <c r="K87" s="478">
        <f>J87/References!$G$57</f>
        <v>1.0745305458958954</v>
      </c>
      <c r="L87" s="479">
        <v>4.6500000000000004</v>
      </c>
      <c r="M87" s="480">
        <v>4.63</v>
      </c>
      <c r="N87" s="555">
        <f t="shared" si="34"/>
        <v>8.9544212157991285E-2</v>
      </c>
      <c r="O87" s="481">
        <f>ROUND(N87+L87,2)</f>
        <v>4.74</v>
      </c>
      <c r="P87" s="482">
        <f>ROUND(N87+M87,2)</f>
        <v>4.72</v>
      </c>
      <c r="Q87" s="484"/>
      <c r="R87" s="484"/>
      <c r="S87" s="485"/>
      <c r="T87" s="267">
        <f>(((F87*$D$63)*(References!$C$54/References!$G$57))*$G87)-N87</f>
        <v>0</v>
      </c>
    </row>
    <row r="88" spans="1:21">
      <c r="A88" s="568"/>
      <c r="B88" s="101">
        <v>22</v>
      </c>
      <c r="C88" s="491" t="s">
        <v>765</v>
      </c>
      <c r="D88" s="491" t="s">
        <v>766</v>
      </c>
      <c r="E88" s="475">
        <f>References!$B$13*References!$G$23</f>
        <v>12</v>
      </c>
      <c r="F88" s="101">
        <f>References!$B$26</f>
        <v>51</v>
      </c>
      <c r="G88" s="483">
        <f>References!$B$13</f>
        <v>1</v>
      </c>
      <c r="H88" s="476">
        <f>E88*F88</f>
        <v>612</v>
      </c>
      <c r="I88" s="477">
        <f>$D$63*H88</f>
        <v>535.62553933491017</v>
      </c>
      <c r="J88" s="478">
        <f>(References!$C$54*I88)</f>
        <v>2.6781276966745531</v>
      </c>
      <c r="K88" s="478">
        <f>J88/References!$G$57</f>
        <v>2.7400528920345333</v>
      </c>
      <c r="L88" s="479">
        <v>9.25</v>
      </c>
      <c r="M88" s="480">
        <v>9.2100000000000009</v>
      </c>
      <c r="N88" s="555">
        <f t="shared" si="34"/>
        <v>0.22833774100287776</v>
      </c>
      <c r="O88" s="481">
        <f>ROUND(N88+L88,2)</f>
        <v>9.48</v>
      </c>
      <c r="P88" s="482">
        <f>ROUND(N88+M88,2)</f>
        <v>9.44</v>
      </c>
      <c r="Q88" s="484"/>
      <c r="R88" s="484"/>
      <c r="S88" s="485"/>
      <c r="T88" s="267">
        <f>(((F88*$D$63)*(References!$C$54/References!$G$57))*$G88)-N88</f>
        <v>0</v>
      </c>
    </row>
    <row r="89" spans="1:21">
      <c r="A89" s="568"/>
      <c r="B89" s="101">
        <v>22</v>
      </c>
      <c r="C89" s="491" t="s">
        <v>767</v>
      </c>
      <c r="D89" s="491" t="s">
        <v>767</v>
      </c>
      <c r="E89" s="475">
        <f>References!$B$13*References!$G$23</f>
        <v>12</v>
      </c>
      <c r="F89" s="101">
        <f>References!$B$27</f>
        <v>77</v>
      </c>
      <c r="G89" s="483">
        <f>References!$B$13</f>
        <v>1</v>
      </c>
      <c r="H89" s="476">
        <f>E89*F89</f>
        <v>924</v>
      </c>
      <c r="I89" s="477">
        <f t="shared" ref="I89:I95" si="85">$D$63*H89</f>
        <v>808.68953978015838</v>
      </c>
      <c r="J89" s="478">
        <f>(References!$C$54*I89)</f>
        <v>4.0434476989007955</v>
      </c>
      <c r="K89" s="478">
        <f>J89/References!$G$57</f>
        <v>4.1369426016991975</v>
      </c>
      <c r="L89" s="479">
        <v>13.88</v>
      </c>
      <c r="M89" s="480">
        <v>13.82</v>
      </c>
      <c r="N89" s="555">
        <f t="shared" si="34"/>
        <v>0.34474521680826647</v>
      </c>
      <c r="O89" s="481">
        <f t="shared" ref="O89:O95" si="86">ROUND(N89+L89,2)</f>
        <v>14.22</v>
      </c>
      <c r="P89" s="482">
        <f t="shared" ref="P89:P95" si="87">ROUND(N89+M89,2)</f>
        <v>14.16</v>
      </c>
      <c r="Q89" s="484"/>
      <c r="R89" s="484"/>
      <c r="S89" s="485"/>
      <c r="T89" s="267">
        <f>(((F89*$D$63)*(References!$C$54/References!$G$57))*$G89)-N89</f>
        <v>0</v>
      </c>
    </row>
    <row r="90" spans="1:21">
      <c r="A90" s="568"/>
      <c r="B90" s="101">
        <v>22</v>
      </c>
      <c r="C90" s="491" t="s">
        <v>764</v>
      </c>
      <c r="D90" s="491" t="s">
        <v>760</v>
      </c>
      <c r="E90" s="475">
        <f>References!$B$13*References!$G$23</f>
        <v>12</v>
      </c>
      <c r="F90" s="101">
        <f>References!$B$27</f>
        <v>77</v>
      </c>
      <c r="G90" s="483">
        <f>References!$B$13</f>
        <v>1</v>
      </c>
      <c r="H90" s="476">
        <f t="shared" ref="H90" si="88">E90*F90</f>
        <v>924</v>
      </c>
      <c r="I90" s="477">
        <f t="shared" si="85"/>
        <v>808.68953978015838</v>
      </c>
      <c r="J90" s="478">
        <f>(References!$C$54*I90)</f>
        <v>4.0434476989007955</v>
      </c>
      <c r="K90" s="478">
        <f>J90/References!$G$57</f>
        <v>4.1369426016991975</v>
      </c>
      <c r="L90" s="479">
        <v>13.23</v>
      </c>
      <c r="M90" s="480">
        <v>13.18</v>
      </c>
      <c r="N90" s="555">
        <f t="shared" si="34"/>
        <v>0.34474521680826647</v>
      </c>
      <c r="O90" s="481">
        <f t="shared" si="86"/>
        <v>13.57</v>
      </c>
      <c r="P90" s="482">
        <f t="shared" si="87"/>
        <v>13.52</v>
      </c>
      <c r="Q90" s="484"/>
      <c r="R90" s="484"/>
      <c r="S90" s="485"/>
      <c r="T90" s="267">
        <f>(((F90*$D$63)*(References!$C$54/References!$G$57))*$G90)-N90</f>
        <v>0</v>
      </c>
    </row>
    <row r="91" spans="1:21">
      <c r="A91" s="568"/>
      <c r="B91" s="101">
        <v>31</v>
      </c>
      <c r="C91" s="491" t="s">
        <v>772</v>
      </c>
      <c r="D91" s="491" t="s">
        <v>772</v>
      </c>
      <c r="E91" s="475">
        <f>References!$B$13*References!$G$23</f>
        <v>12</v>
      </c>
      <c r="F91" s="101">
        <v>125</v>
      </c>
      <c r="G91" s="483">
        <v>1</v>
      </c>
      <c r="H91" s="476">
        <f t="shared" ref="H91:H95" si="89">E91*F91</f>
        <v>1500</v>
      </c>
      <c r="I91" s="477">
        <f t="shared" si="85"/>
        <v>1312.8076944483091</v>
      </c>
      <c r="J91" s="478">
        <f>(References!$C$54*I91)</f>
        <v>6.5640384722415517</v>
      </c>
      <c r="K91" s="478">
        <f>J91/References!$G$57</f>
        <v>6.7158159118493463</v>
      </c>
      <c r="L91" s="479">
        <v>13.57</v>
      </c>
      <c r="M91" s="480">
        <v>13.51</v>
      </c>
      <c r="N91" s="555">
        <f t="shared" si="34"/>
        <v>0.55965132598744549</v>
      </c>
      <c r="O91" s="481">
        <f t="shared" si="86"/>
        <v>14.13</v>
      </c>
      <c r="P91" s="482">
        <f t="shared" si="87"/>
        <v>14.07</v>
      </c>
      <c r="Q91" s="484"/>
      <c r="R91" s="484"/>
      <c r="S91" s="485"/>
      <c r="T91" s="267">
        <f>(((F91*$D$63)*(References!$C$54/References!$G$57))*$G91)-N91</f>
        <v>0</v>
      </c>
    </row>
    <row r="92" spans="1:21">
      <c r="A92" s="568"/>
      <c r="B92" s="101">
        <v>31</v>
      </c>
      <c r="C92" s="491" t="s">
        <v>775</v>
      </c>
      <c r="D92" s="491" t="s">
        <v>775</v>
      </c>
      <c r="E92" s="475">
        <f>References!$B$13*References!$G$23</f>
        <v>12</v>
      </c>
      <c r="F92" s="101">
        <v>125</v>
      </c>
      <c r="G92" s="483">
        <v>1</v>
      </c>
      <c r="H92" s="476">
        <f t="shared" si="89"/>
        <v>1500</v>
      </c>
      <c r="I92" s="477">
        <f t="shared" si="85"/>
        <v>1312.8076944483091</v>
      </c>
      <c r="J92" s="478">
        <f>(References!$C$54*I92)</f>
        <v>6.5640384722415517</v>
      </c>
      <c r="K92" s="478">
        <f>J92/References!$G$57</f>
        <v>6.7158159118493463</v>
      </c>
      <c r="L92" s="479">
        <v>32.07</v>
      </c>
      <c r="M92" s="480">
        <v>31.93</v>
      </c>
      <c r="N92" s="555">
        <f t="shared" si="34"/>
        <v>0.55965132598744549</v>
      </c>
      <c r="O92" s="481">
        <f t="shared" si="86"/>
        <v>32.630000000000003</v>
      </c>
      <c r="P92" s="482">
        <f t="shared" si="87"/>
        <v>32.49</v>
      </c>
      <c r="Q92" s="484"/>
      <c r="R92" s="484"/>
      <c r="S92" s="485"/>
      <c r="T92" s="267">
        <f>(((F92*$D$63)*(References!$C$54/References!$G$57))*$G92)-N92</f>
        <v>0</v>
      </c>
    </row>
    <row r="93" spans="1:21">
      <c r="A93" s="568"/>
      <c r="B93" s="101">
        <v>31</v>
      </c>
      <c r="C93" s="491" t="s">
        <v>771</v>
      </c>
      <c r="D93" s="491" t="s">
        <v>771</v>
      </c>
      <c r="E93" s="475">
        <f>References!$B$13*References!$G$23</f>
        <v>12</v>
      </c>
      <c r="F93" s="101">
        <v>125</v>
      </c>
      <c r="G93" s="483">
        <v>1</v>
      </c>
      <c r="H93" s="476">
        <f t="shared" si="89"/>
        <v>1500</v>
      </c>
      <c r="I93" s="477">
        <f t="shared" si="85"/>
        <v>1312.8076944483091</v>
      </c>
      <c r="J93" s="478">
        <f>(References!$C$54*I93)</f>
        <v>6.5640384722415517</v>
      </c>
      <c r="K93" s="478">
        <f>J93/References!$G$57</f>
        <v>6.7158159118493463</v>
      </c>
      <c r="L93" s="479">
        <v>32.07</v>
      </c>
      <c r="M93" s="480">
        <v>31.93</v>
      </c>
      <c r="N93" s="555">
        <f t="shared" si="34"/>
        <v>0.55965132598744549</v>
      </c>
      <c r="O93" s="481">
        <f t="shared" si="86"/>
        <v>32.630000000000003</v>
      </c>
      <c r="P93" s="482">
        <f t="shared" si="87"/>
        <v>32.49</v>
      </c>
      <c r="Q93" s="484"/>
      <c r="R93" s="484"/>
      <c r="S93" s="485"/>
      <c r="T93" s="267">
        <f>(((F93*$D$63)*(References!$C$54/References!$G$57))*$G93)-N93</f>
        <v>0</v>
      </c>
    </row>
    <row r="94" spans="1:21">
      <c r="A94" s="568"/>
      <c r="B94" s="101">
        <v>31</v>
      </c>
      <c r="C94" s="491" t="s">
        <v>773</v>
      </c>
      <c r="D94" s="491" t="s">
        <v>773</v>
      </c>
      <c r="E94" s="475">
        <f>References!$B$13*References!$G$23</f>
        <v>12</v>
      </c>
      <c r="F94" s="101">
        <v>125</v>
      </c>
      <c r="G94" s="483">
        <v>1</v>
      </c>
      <c r="H94" s="476">
        <f t="shared" si="89"/>
        <v>1500</v>
      </c>
      <c r="I94" s="477">
        <f t="shared" si="85"/>
        <v>1312.8076944483091</v>
      </c>
      <c r="J94" s="478">
        <f>(References!$C$54*I94)</f>
        <v>6.5640384722415517</v>
      </c>
      <c r="K94" s="478">
        <f>J94/References!$G$57</f>
        <v>6.7158159118493463</v>
      </c>
      <c r="L94" s="479">
        <v>13.57</v>
      </c>
      <c r="M94" s="480">
        <v>13.51</v>
      </c>
      <c r="N94" s="555">
        <f t="shared" si="34"/>
        <v>0.55965132598744549</v>
      </c>
      <c r="O94" s="481">
        <f t="shared" si="86"/>
        <v>14.13</v>
      </c>
      <c r="P94" s="482">
        <f t="shared" si="87"/>
        <v>14.07</v>
      </c>
      <c r="Q94" s="484"/>
      <c r="R94" s="484"/>
      <c r="S94" s="485"/>
      <c r="T94" s="267">
        <f>(((F94*$D$63)*(References!$C$54/References!$G$57))*$G94)-N94</f>
        <v>0</v>
      </c>
    </row>
    <row r="95" spans="1:21">
      <c r="A95" s="568"/>
      <c r="B95" s="101">
        <v>31</v>
      </c>
      <c r="C95" s="491" t="s">
        <v>774</v>
      </c>
      <c r="D95" s="491" t="s">
        <v>774</v>
      </c>
      <c r="E95" s="475">
        <f>References!$B$13*References!$G$23</f>
        <v>12</v>
      </c>
      <c r="F95" s="101">
        <v>125</v>
      </c>
      <c r="G95" s="483">
        <v>1</v>
      </c>
      <c r="H95" s="476">
        <f t="shared" si="89"/>
        <v>1500</v>
      </c>
      <c r="I95" s="477">
        <f t="shared" si="85"/>
        <v>1312.8076944483091</v>
      </c>
      <c r="J95" s="478">
        <f>(References!$C$54*I95)</f>
        <v>6.5640384722415517</v>
      </c>
      <c r="K95" s="478">
        <f>J95/References!$G$57</f>
        <v>6.7158159118493463</v>
      </c>
      <c r="L95" s="479">
        <v>32.07</v>
      </c>
      <c r="M95" s="480">
        <v>31.93</v>
      </c>
      <c r="N95" s="555">
        <f t="shared" si="34"/>
        <v>0.55965132598744549</v>
      </c>
      <c r="O95" s="481">
        <f t="shared" si="86"/>
        <v>32.630000000000003</v>
      </c>
      <c r="P95" s="482">
        <f t="shared" si="87"/>
        <v>32.49</v>
      </c>
      <c r="Q95" s="484"/>
      <c r="R95" s="484"/>
      <c r="S95" s="485"/>
      <c r="T95" s="267">
        <f>(((F95*$D$63)*(References!$C$54/References!$G$57))*$G95)-N95</f>
        <v>0</v>
      </c>
    </row>
    <row r="96" spans="1:21" s="502" customFormat="1">
      <c r="A96" s="492"/>
      <c r="B96" s="484"/>
      <c r="C96" s="493"/>
      <c r="D96" s="493"/>
      <c r="E96" s="494"/>
      <c r="F96" s="484"/>
      <c r="G96" s="495"/>
      <c r="H96" s="496"/>
      <c r="I96" s="497"/>
      <c r="J96" s="498"/>
      <c r="K96" s="498"/>
      <c r="L96" s="484"/>
      <c r="M96" s="484"/>
      <c r="N96" s="499"/>
      <c r="O96" s="499"/>
      <c r="P96" s="499"/>
      <c r="Q96" s="484"/>
      <c r="R96" s="484"/>
      <c r="S96" s="485"/>
      <c r="T96" s="500"/>
      <c r="U96" s="501"/>
    </row>
    <row r="97" spans="1:21">
      <c r="A97" s="567" t="s">
        <v>12</v>
      </c>
      <c r="B97" s="101">
        <v>40</v>
      </c>
      <c r="C97" s="491" t="s">
        <v>784</v>
      </c>
      <c r="D97" s="491" t="s">
        <v>784</v>
      </c>
      <c r="E97" s="475">
        <f>References!$B$13*References!$G$23</f>
        <v>12</v>
      </c>
      <c r="F97" s="101">
        <f>References!$B$27</f>
        <v>77</v>
      </c>
      <c r="G97" s="483">
        <v>1</v>
      </c>
      <c r="H97" s="476">
        <f t="shared" ref="H97:H98" si="90">E97*F97</f>
        <v>924</v>
      </c>
      <c r="I97" s="477">
        <f t="shared" ref="I97:I98" si="91">$D$63*H97</f>
        <v>808.68953978015838</v>
      </c>
      <c r="J97" s="478">
        <f>(References!$C$54*I97)</f>
        <v>4.0434476989007955</v>
      </c>
      <c r="K97" s="478">
        <f>J97/References!$G$57</f>
        <v>4.1369426016991975</v>
      </c>
      <c r="L97" s="479">
        <v>9.98</v>
      </c>
      <c r="M97" s="480">
        <v>9.9499999999999993</v>
      </c>
      <c r="N97" s="555">
        <f t="shared" si="34"/>
        <v>0.34474521680826647</v>
      </c>
      <c r="O97" s="481">
        <f t="shared" ref="O97:O98" si="92">ROUND(N97+L97,2)</f>
        <v>10.32</v>
      </c>
      <c r="P97" s="482">
        <f t="shared" ref="P97:P98" si="93">ROUND(N97+M97,2)</f>
        <v>10.29</v>
      </c>
      <c r="Q97" s="484"/>
      <c r="R97" s="484"/>
      <c r="S97" s="485"/>
      <c r="T97" s="267">
        <f>(((F97*$D$63)*(References!$C$54/References!$G$57))*$G97)-N97</f>
        <v>0</v>
      </c>
      <c r="U97" s="92"/>
    </row>
    <row r="98" spans="1:21">
      <c r="A98" s="567"/>
      <c r="B98" s="101">
        <v>38</v>
      </c>
      <c r="C98" s="491" t="s">
        <v>787</v>
      </c>
      <c r="D98" s="491" t="s">
        <v>787</v>
      </c>
      <c r="E98" s="475">
        <f>References!$B$13*References!$G$23</f>
        <v>12</v>
      </c>
      <c r="F98" s="101">
        <f>(References!$B$36+References!$B$37)/2</f>
        <v>726.5</v>
      </c>
      <c r="G98" s="483">
        <v>1</v>
      </c>
      <c r="H98" s="476">
        <f t="shared" si="90"/>
        <v>8718</v>
      </c>
      <c r="I98" s="477">
        <f t="shared" si="91"/>
        <v>7630.0383201335726</v>
      </c>
      <c r="J98" s="478">
        <f>(References!$C$54*I98)</f>
        <v>38.150191600667895</v>
      </c>
      <c r="K98" s="478">
        <f>J98/References!$G$57</f>
        <v>39.032322079668397</v>
      </c>
      <c r="L98" s="505">
        <v>78.44</v>
      </c>
      <c r="M98" s="506">
        <v>78.099999999999994</v>
      </c>
      <c r="N98" s="555">
        <f t="shared" si="34"/>
        <v>3.2526935066390332</v>
      </c>
      <c r="O98" s="481">
        <f t="shared" si="92"/>
        <v>81.69</v>
      </c>
      <c r="P98" s="482">
        <f t="shared" si="93"/>
        <v>81.349999999999994</v>
      </c>
      <c r="Q98" s="484"/>
      <c r="R98" s="484"/>
      <c r="S98" s="485"/>
      <c r="T98" s="267">
        <f>(((F98*$D$63)*(References!$C$54/References!$G$57))*$G98)-N98</f>
        <v>0</v>
      </c>
      <c r="U98" s="92"/>
    </row>
    <row r="99" spans="1:21">
      <c r="A99" s="567"/>
      <c r="B99" s="101">
        <v>38</v>
      </c>
      <c r="C99" s="491" t="s">
        <v>788</v>
      </c>
      <c r="D99" s="491" t="s">
        <v>788</v>
      </c>
      <c r="E99" s="475">
        <f>References!$B$13*References!$G$23</f>
        <v>12</v>
      </c>
      <c r="F99" s="101">
        <f>(References!$B$36+References!$B$37)/2</f>
        <v>726.5</v>
      </c>
      <c r="G99" s="483">
        <v>1</v>
      </c>
      <c r="H99" s="476">
        <f t="shared" ref="H99:H100" si="94">E99*F99</f>
        <v>8718</v>
      </c>
      <c r="I99" s="477">
        <f t="shared" ref="I99:I100" si="95">$D$63*H99</f>
        <v>7630.0383201335726</v>
      </c>
      <c r="J99" s="478">
        <f>(References!$C$54*I99)</f>
        <v>38.150191600667895</v>
      </c>
      <c r="K99" s="478">
        <f>J99/References!$G$57</f>
        <v>39.032322079668397</v>
      </c>
      <c r="L99" s="479">
        <v>80.77</v>
      </c>
      <c r="M99" s="480">
        <v>80.42</v>
      </c>
      <c r="N99" s="555">
        <f t="shared" si="34"/>
        <v>3.2526935066390332</v>
      </c>
      <c r="O99" s="481">
        <f t="shared" ref="O99:O100" si="96">ROUND(N99+L99,2)</f>
        <v>84.02</v>
      </c>
      <c r="P99" s="482">
        <f t="shared" ref="P99:P100" si="97">ROUND(N99+M99,2)</f>
        <v>83.67</v>
      </c>
      <c r="Q99" s="484"/>
      <c r="R99" s="484"/>
      <c r="S99" s="485"/>
      <c r="T99" s="267">
        <f>(((F99*$D$63)*(References!$C$54/References!$G$57))*$G99)-N99</f>
        <v>0</v>
      </c>
      <c r="U99" s="92"/>
    </row>
    <row r="100" spans="1:21">
      <c r="A100" s="567"/>
      <c r="B100" s="154"/>
      <c r="C100" s="153"/>
      <c r="D100" s="153"/>
      <c r="E100" s="92"/>
      <c r="F100" s="92"/>
      <c r="G100" s="93"/>
      <c r="H100" s="92">
        <f t="shared" si="94"/>
        <v>0</v>
      </c>
      <c r="I100" s="16">
        <f t="shared" si="95"/>
        <v>0</v>
      </c>
      <c r="J100" s="60">
        <f>(References!$C$54*I100)</f>
        <v>0</v>
      </c>
      <c r="K100" s="60">
        <f>J100/References!$G$57</f>
        <v>0</v>
      </c>
      <c r="L100" s="119"/>
      <c r="M100" s="126"/>
      <c r="N100" s="555">
        <f t="shared" si="34"/>
        <v>0</v>
      </c>
      <c r="O100" s="119">
        <f t="shared" si="96"/>
        <v>0</v>
      </c>
      <c r="P100" s="126">
        <f t="shared" si="97"/>
        <v>0</v>
      </c>
      <c r="Q100" s="486"/>
      <c r="R100" s="486"/>
      <c r="S100" s="486"/>
      <c r="T100" s="267">
        <f>(((F100*$D$63)*(References!$C$54/References!$G$57))*$G100)-N100</f>
        <v>0</v>
      </c>
      <c r="U100" s="92"/>
    </row>
    <row r="101" spans="1:21">
      <c r="A101" s="567"/>
      <c r="B101" s="154"/>
      <c r="C101" s="153"/>
      <c r="D101" s="153"/>
      <c r="E101" s="92"/>
      <c r="F101" s="92"/>
      <c r="G101" s="93"/>
      <c r="H101" s="92">
        <f t="shared" ref="H101" si="98">E101*F101</f>
        <v>0</v>
      </c>
      <c r="I101" s="16">
        <f t="shared" ref="I101" si="99">$D$63*H101</f>
        <v>0</v>
      </c>
      <c r="J101" s="60">
        <f>(References!$C$54*I101)</f>
        <v>0</v>
      </c>
      <c r="K101" s="60">
        <f>J101/References!$G$57</f>
        <v>0</v>
      </c>
      <c r="L101" s="119"/>
      <c r="M101" s="126"/>
      <c r="N101" s="555">
        <f t="shared" si="34"/>
        <v>0</v>
      </c>
      <c r="O101" s="119">
        <f t="shared" ref="O101" si="100">ROUND(N101+L101,2)</f>
        <v>0</v>
      </c>
      <c r="P101" s="126">
        <f t="shared" ref="P101" si="101">ROUND(N101+M101,2)</f>
        <v>0</v>
      </c>
      <c r="Q101" s="486"/>
      <c r="R101" s="486"/>
      <c r="S101" s="486"/>
      <c r="T101" s="267">
        <f>(((F101*$D$63)*(References!$C$54/References!$G$57))*$G101)-N101</f>
        <v>0</v>
      </c>
      <c r="U101" s="92"/>
    </row>
    <row r="102" spans="1:21" ht="15.75" thickBot="1">
      <c r="A102" s="567"/>
      <c r="B102" s="154"/>
      <c r="C102" s="153"/>
      <c r="D102" s="153"/>
      <c r="E102" s="92"/>
      <c r="F102" s="92"/>
      <c r="G102" s="93"/>
      <c r="H102" s="92">
        <f t="shared" ref="H102" si="102">E102*F102</f>
        <v>0</v>
      </c>
      <c r="I102" s="16">
        <f t="shared" ref="I102" si="103">$D$63*H102</f>
        <v>0</v>
      </c>
      <c r="J102" s="60">
        <f>(References!$C$54*I102)</f>
        <v>0</v>
      </c>
      <c r="K102" s="60">
        <f>J102/References!$G$57</f>
        <v>0</v>
      </c>
      <c r="L102" s="119"/>
      <c r="M102" s="126"/>
      <c r="N102" s="555">
        <f t="shared" si="34"/>
        <v>0</v>
      </c>
      <c r="O102" s="119">
        <f t="shared" ref="O102" si="104">ROUND(N102+L102,2)</f>
        <v>0</v>
      </c>
      <c r="P102" s="126">
        <f t="shared" ref="P102" si="105">ROUND(N102+M102,2)</f>
        <v>0</v>
      </c>
      <c r="Q102" s="486"/>
      <c r="R102" s="486"/>
      <c r="S102" s="486"/>
      <c r="T102" s="267">
        <f>(((F102*$D$63)*(References!$C$54/References!$G$57))*$G102)-N102</f>
        <v>0</v>
      </c>
      <c r="U102" s="92"/>
    </row>
    <row r="103" spans="1:21">
      <c r="A103" s="97"/>
      <c r="B103" s="39"/>
      <c r="C103" s="487"/>
      <c r="D103" s="40" t="s">
        <v>14</v>
      </c>
      <c r="E103" s="38">
        <f>SUM(E97:E102)</f>
        <v>36</v>
      </c>
      <c r="F103" s="41"/>
      <c r="G103" s="85"/>
      <c r="H103" s="38">
        <f>SUM(H97:H102)</f>
        <v>18360</v>
      </c>
      <c r="I103" s="38">
        <f>SUM(I97:I102)</f>
        <v>16068.766180047303</v>
      </c>
      <c r="J103" s="38">
        <f>SUM(J97:J102)</f>
        <v>80.343830900236583</v>
      </c>
      <c r="K103" s="38">
        <f>SUM(K97:K102)</f>
        <v>82.201586761035998</v>
      </c>
      <c r="L103" s="38"/>
      <c r="M103" s="94"/>
      <c r="N103" s="38"/>
      <c r="O103" s="75"/>
      <c r="P103" s="86"/>
      <c r="Q103" s="38"/>
      <c r="R103" s="38">
        <f>SUM(R97:R102)</f>
        <v>0</v>
      </c>
      <c r="S103" s="38">
        <f>SUM(S97:S102)</f>
        <v>0</v>
      </c>
      <c r="T103" s="37"/>
      <c r="U103" s="92"/>
    </row>
    <row r="104" spans="1:21">
      <c r="D104" s="56"/>
      <c r="E104" s="108"/>
      <c r="Q104" s="57"/>
      <c r="R104" s="57"/>
      <c r="S104" s="31"/>
      <c r="T104" s="58"/>
    </row>
    <row r="105" spans="1:21">
      <c r="D105" s="56"/>
      <c r="E105" s="56"/>
      <c r="Q105" s="57"/>
      <c r="R105" s="57"/>
      <c r="S105" s="31"/>
      <c r="T105" s="58"/>
    </row>
    <row r="106" spans="1:21">
      <c r="D106" s="56"/>
      <c r="E106" s="56"/>
      <c r="Q106" s="57"/>
      <c r="R106" s="57"/>
      <c r="S106" s="31"/>
      <c r="T106" s="58"/>
    </row>
    <row r="107" spans="1:21">
      <c r="D107" s="56"/>
      <c r="E107" s="56"/>
      <c r="Q107" s="57"/>
      <c r="R107" s="57"/>
      <c r="S107" s="31"/>
      <c r="T107" s="58"/>
    </row>
    <row r="108" spans="1:21">
      <c r="D108" s="56"/>
      <c r="E108" s="56"/>
      <c r="Q108" s="57"/>
      <c r="R108" s="57"/>
      <c r="S108" s="31"/>
      <c r="T108" s="58"/>
    </row>
    <row r="109" spans="1:21">
      <c r="Q109" s="57"/>
      <c r="R109" s="57"/>
      <c r="S109" s="31"/>
      <c r="T109" s="58"/>
    </row>
    <row r="110" spans="1:21">
      <c r="Q110" s="57"/>
      <c r="R110" s="57"/>
      <c r="S110" s="31"/>
      <c r="T110" s="58"/>
    </row>
    <row r="111" spans="1:21">
      <c r="R111" s="74"/>
      <c r="S111" s="31"/>
      <c r="T111" s="58"/>
    </row>
    <row r="112" spans="1:21">
      <c r="Q112" s="57"/>
      <c r="R112" s="74"/>
      <c r="S112" s="43"/>
      <c r="T112" s="58"/>
    </row>
    <row r="113" spans="17:20">
      <c r="S113" s="43"/>
      <c r="T113" s="58"/>
    </row>
    <row r="114" spans="17:20">
      <c r="Q114" s="23"/>
      <c r="S114" s="43"/>
      <c r="T114" s="58"/>
    </row>
    <row r="115" spans="17:20">
      <c r="Q115" s="23"/>
      <c r="S115" s="43"/>
      <c r="T115" s="58"/>
    </row>
    <row r="116" spans="17:20">
      <c r="S116" s="43"/>
      <c r="T116" s="58"/>
    </row>
    <row r="117" spans="17:20">
      <c r="Q117" s="23"/>
    </row>
    <row r="118" spans="17:20">
      <c r="Q118" s="10"/>
    </row>
    <row r="119" spans="17:20">
      <c r="Q119" s="24"/>
    </row>
    <row r="120" spans="17:20">
      <c r="Q120" s="24"/>
    </row>
    <row r="121" spans="17:20">
      <c r="Q121" s="24"/>
    </row>
  </sheetData>
  <autoFilter ref="A7:T55"/>
  <sortState ref="B27:T33">
    <sortCondition ref="B27:B33"/>
  </sortState>
  <mergeCells count="6">
    <mergeCell ref="J58:L58"/>
    <mergeCell ref="A8:A18"/>
    <mergeCell ref="A21:A52"/>
    <mergeCell ref="A97:A102"/>
    <mergeCell ref="B58:D58"/>
    <mergeCell ref="A70:A95"/>
  </mergeCells>
  <pageMargins left="0.25" right="0.25" top="0.75" bottom="0.75" header="0.3" footer="0.3"/>
  <pageSetup scale="40" fitToHeight="4" pageOrder="overThenDown" orientation="landscape" r:id="rId1"/>
  <headerFooter>
    <oddFooter>&amp;L&amp;F - &amp;A&amp;R&amp;P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7" tint="0.59999389629810485"/>
    <pageSetUpPr fitToPage="1"/>
  </sheetPr>
  <dimension ref="A1:U78"/>
  <sheetViews>
    <sheetView zoomScale="85" zoomScaleNormal="85" zoomScaleSheetLayoutView="90" workbookViewId="0">
      <pane ySplit="1" topLeftCell="A29" activePane="bottomLeft" state="frozen"/>
      <selection activeCell="A42" sqref="A42"/>
      <selection pane="bottomLeft" activeCell="A42" sqref="A42"/>
    </sheetView>
  </sheetViews>
  <sheetFormatPr defaultRowHeight="15"/>
  <cols>
    <col min="1" max="1" width="13.140625" style="65" bestFit="1" customWidth="1"/>
    <col min="2" max="2" width="15.5703125" style="65" bestFit="1" customWidth="1"/>
    <col min="3" max="3" width="9.7109375" style="244" customWidth="1"/>
    <col min="4" max="4" width="22.42578125" style="65" bestFit="1" customWidth="1"/>
    <col min="5" max="5" width="27" style="65" bestFit="1" customWidth="1"/>
    <col min="6" max="6" width="28.5703125" style="65" bestFit="1" customWidth="1"/>
    <col min="7" max="7" width="23.28515625" style="65" bestFit="1" customWidth="1"/>
    <col min="8" max="8" width="13" style="46" bestFit="1" customWidth="1"/>
    <col min="9" max="9" width="17.7109375" style="47" bestFit="1" customWidth="1"/>
    <col min="10" max="10" width="42.5703125" style="65" bestFit="1" customWidth="1"/>
    <col min="11" max="11" width="9.140625" style="47" bestFit="1" customWidth="1"/>
    <col min="12" max="12" width="12.85546875" style="47" bestFit="1" customWidth="1"/>
    <col min="13" max="13" width="18.7109375" style="47" customWidth="1"/>
    <col min="14" max="14" width="29.140625" style="513" bestFit="1" customWidth="1"/>
    <col min="15" max="15" width="25.7109375" style="513" customWidth="1"/>
    <col min="16" max="16" width="4" style="66" customWidth="1"/>
    <col min="17" max="17" width="40" style="55" bestFit="1" customWidth="1"/>
    <col min="18" max="18" width="15.42578125" style="55" bestFit="1" customWidth="1"/>
    <col min="19" max="19" width="11" style="55" customWidth="1"/>
    <col min="20" max="20" width="12.42578125" style="55" bestFit="1" customWidth="1"/>
    <col min="21" max="16384" width="9.140625" style="55"/>
  </cols>
  <sheetData>
    <row r="1" spans="1:21" s="70" customFormat="1" ht="35.25" customHeight="1">
      <c r="A1" s="64" t="s">
        <v>86</v>
      </c>
      <c r="B1" s="64" t="s">
        <v>195</v>
      </c>
      <c r="C1" s="64" t="s">
        <v>182</v>
      </c>
      <c r="D1" s="64" t="s">
        <v>202</v>
      </c>
      <c r="E1" s="64" t="s">
        <v>87</v>
      </c>
      <c r="F1" s="64" t="s">
        <v>93</v>
      </c>
      <c r="G1" s="64" t="s">
        <v>88</v>
      </c>
      <c r="H1" s="67" t="s">
        <v>89</v>
      </c>
      <c r="I1" s="64" t="s">
        <v>94</v>
      </c>
      <c r="J1" s="64" t="s">
        <v>126</v>
      </c>
      <c r="K1" s="68" t="s">
        <v>92</v>
      </c>
      <c r="L1" s="64" t="s">
        <v>91</v>
      </c>
      <c r="M1" s="64" t="s">
        <v>90</v>
      </c>
      <c r="N1" s="511" t="s">
        <v>95</v>
      </c>
      <c r="O1" s="511" t="s">
        <v>96</v>
      </c>
      <c r="P1" s="95"/>
      <c r="Q1" s="79"/>
      <c r="R1" s="159"/>
      <c r="S1" s="79"/>
      <c r="T1" s="81"/>
      <c r="U1" s="80"/>
    </row>
    <row r="2" spans="1:21" s="142" customFormat="1">
      <c r="A2" s="136" t="s">
        <v>143</v>
      </c>
      <c r="B2" s="136" t="s">
        <v>189</v>
      </c>
      <c r="C2" s="242">
        <v>21</v>
      </c>
      <c r="D2" s="136" t="s">
        <v>216</v>
      </c>
      <c r="E2" s="136" t="s">
        <v>217</v>
      </c>
      <c r="F2" s="136" t="s">
        <v>219</v>
      </c>
      <c r="G2" s="136" t="s">
        <v>741</v>
      </c>
      <c r="H2" s="137" t="s">
        <v>124</v>
      </c>
      <c r="I2" s="137" t="s">
        <v>192</v>
      </c>
      <c r="J2" s="138" t="str">
        <f>CONCATENATE(G2," ",I2)</f>
        <v>1-65 gal cart MG</v>
      </c>
      <c r="K2" s="139" t="s">
        <v>747</v>
      </c>
      <c r="L2" s="139">
        <f>References!$B$26</f>
        <v>51</v>
      </c>
      <c r="M2" s="140">
        <f>References!$B$13</f>
        <v>1</v>
      </c>
      <c r="N2" s="512">
        <f>SUMIF('Lewis Co. Regulated - Price Out'!$C$10:$C$200,Mapping!D2,'Lewis Co. Regulated - Price Out'!$AF$10:$AF$201)</f>
        <v>944.5</v>
      </c>
      <c r="O2" s="512">
        <f>IF(N2&lt;0.99,M2*12,M2*N2)</f>
        <v>944.5</v>
      </c>
      <c r="P2" s="141"/>
    </row>
    <row r="3" spans="1:21" s="142" customFormat="1">
      <c r="A3" s="136" t="s">
        <v>143</v>
      </c>
      <c r="B3" s="136" t="s">
        <v>189</v>
      </c>
      <c r="C3" s="242">
        <v>21</v>
      </c>
      <c r="D3" s="136" t="s">
        <v>218</v>
      </c>
      <c r="E3" s="136" t="s">
        <v>219</v>
      </c>
      <c r="F3" s="136" t="s">
        <v>219</v>
      </c>
      <c r="G3" s="136" t="s">
        <v>741</v>
      </c>
      <c r="H3" s="137" t="s">
        <v>124</v>
      </c>
      <c r="I3" s="137" t="s">
        <v>192</v>
      </c>
      <c r="J3" s="138" t="str">
        <f t="shared" ref="J3:J65" si="0">CONCATENATE(G3," ",I3)</f>
        <v>1-65 gal cart MG</v>
      </c>
      <c r="K3" s="139" t="s">
        <v>747</v>
      </c>
      <c r="L3" s="139">
        <f>References!$B$26</f>
        <v>51</v>
      </c>
      <c r="M3" s="140">
        <f>References!$B$13</f>
        <v>1</v>
      </c>
      <c r="N3" s="512">
        <f>SUMIF('Lewis Co. Regulated - Price Out'!$C$10:$C$200,Mapping!D3,'Lewis Co. Regulated - Price Out'!$AF$10:$AF$201)</f>
        <v>14604.510957324106</v>
      </c>
      <c r="O3" s="512">
        <f t="shared" ref="O3:O65" si="1">IF(N3&lt;0.99,M3*12,M3*N3)</f>
        <v>14604.510957324106</v>
      </c>
      <c r="P3" s="141"/>
    </row>
    <row r="4" spans="1:21" s="142" customFormat="1" ht="15.75" thickBot="1">
      <c r="A4" s="136" t="s">
        <v>143</v>
      </c>
      <c r="B4" s="136" t="s">
        <v>189</v>
      </c>
      <c r="C4" s="242">
        <v>21</v>
      </c>
      <c r="D4" s="136" t="s">
        <v>220</v>
      </c>
      <c r="E4" s="136" t="s">
        <v>221</v>
      </c>
      <c r="F4" s="136" t="s">
        <v>223</v>
      </c>
      <c r="G4" s="136" t="s">
        <v>741</v>
      </c>
      <c r="H4" s="137" t="s">
        <v>186</v>
      </c>
      <c r="I4" s="137" t="s">
        <v>190</v>
      </c>
      <c r="J4" s="138" t="str">
        <f t="shared" si="0"/>
        <v>1-65 gal cart WG</v>
      </c>
      <c r="K4" s="139" t="s">
        <v>747</v>
      </c>
      <c r="L4" s="139">
        <f>References!$B$26</f>
        <v>51</v>
      </c>
      <c r="M4" s="140">
        <f>References!$B$11</f>
        <v>4.333333333333333</v>
      </c>
      <c r="N4" s="512">
        <f>SUMIF('Lewis Co. Regulated - Price Out'!$C$10:$C$200,Mapping!D4,'Lewis Co. Regulated - Price Out'!$AF$10:$AF$201)</f>
        <v>3145.2297426120122</v>
      </c>
      <c r="O4" s="512">
        <f t="shared" si="1"/>
        <v>13629.328884652052</v>
      </c>
      <c r="P4" s="141"/>
      <c r="Q4" s="129" t="s">
        <v>204</v>
      </c>
      <c r="R4" s="130">
        <f>SUM(O2:O78)</f>
        <v>483318.6885926153</v>
      </c>
    </row>
    <row r="5" spans="1:21" s="142" customFormat="1" ht="15.75" thickTop="1">
      <c r="A5" s="136" t="s">
        <v>143</v>
      </c>
      <c r="B5" s="136" t="s">
        <v>189</v>
      </c>
      <c r="C5" s="242">
        <v>21</v>
      </c>
      <c r="D5" s="136" t="s">
        <v>222</v>
      </c>
      <c r="E5" s="136" t="s">
        <v>223</v>
      </c>
      <c r="F5" s="136" t="s">
        <v>223</v>
      </c>
      <c r="G5" s="136" t="s">
        <v>741</v>
      </c>
      <c r="H5" s="137" t="s">
        <v>186</v>
      </c>
      <c r="I5" s="137" t="s">
        <v>190</v>
      </c>
      <c r="J5" s="138" t="str">
        <f t="shared" si="0"/>
        <v>1-65 gal cart WG</v>
      </c>
      <c r="K5" s="139" t="s">
        <v>747</v>
      </c>
      <c r="L5" s="139">
        <f>References!$B$26</f>
        <v>51</v>
      </c>
      <c r="M5" s="140">
        <f>References!$B$11</f>
        <v>4.333333333333333</v>
      </c>
      <c r="N5" s="512">
        <f>SUMIF('Lewis Co. Regulated - Price Out'!$C$10:$C$200,Mapping!D5,'Lewis Co. Regulated - Price Out'!$AF$10:$AF$201)</f>
        <v>42031.680409914203</v>
      </c>
      <c r="O5" s="512">
        <f t="shared" si="1"/>
        <v>182137.28177629487</v>
      </c>
      <c r="P5" s="141"/>
      <c r="S5" s="148"/>
    </row>
    <row r="6" spans="1:21" s="142" customFormat="1">
      <c r="A6" s="136" t="s">
        <v>143</v>
      </c>
      <c r="B6" s="136" t="s">
        <v>189</v>
      </c>
      <c r="C6" s="242">
        <v>21</v>
      </c>
      <c r="D6" s="136" t="s">
        <v>224</v>
      </c>
      <c r="E6" s="136" t="s">
        <v>225</v>
      </c>
      <c r="F6" s="136" t="s">
        <v>227</v>
      </c>
      <c r="G6" s="136" t="s">
        <v>741</v>
      </c>
      <c r="H6" s="137" t="s">
        <v>183</v>
      </c>
      <c r="I6" s="137" t="s">
        <v>191</v>
      </c>
      <c r="J6" s="138" t="str">
        <f t="shared" si="0"/>
        <v>1-65 gal cart EOWG</v>
      </c>
      <c r="K6" s="139" t="s">
        <v>747</v>
      </c>
      <c r="L6" s="139">
        <f>References!$B$26</f>
        <v>51</v>
      </c>
      <c r="M6" s="140">
        <f>References!$B$12</f>
        <v>2.1666666666666665</v>
      </c>
      <c r="N6" s="512">
        <f>SUMIF('Lewis Co. Regulated - Price Out'!$C$10:$C$200,Mapping!D6,'Lewis Co. Regulated - Price Out'!$AF$10:$AF$201)</f>
        <v>3045.3974175035873</v>
      </c>
      <c r="O6" s="512">
        <f t="shared" si="1"/>
        <v>6598.361071257772</v>
      </c>
      <c r="P6" s="141"/>
      <c r="Q6" s="131" t="s">
        <v>203</v>
      </c>
      <c r="R6" s="245">
        <f>SUM(N2:N78)</f>
        <v>172178.69222900717</v>
      </c>
      <c r="S6" s="148"/>
    </row>
    <row r="7" spans="1:21" s="142" customFormat="1">
      <c r="A7" s="136" t="s">
        <v>143</v>
      </c>
      <c r="B7" s="136" t="s">
        <v>189</v>
      </c>
      <c r="C7" s="242">
        <v>21</v>
      </c>
      <c r="D7" s="136" t="s">
        <v>226</v>
      </c>
      <c r="E7" s="136" t="s">
        <v>227</v>
      </c>
      <c r="F7" s="136" t="s">
        <v>227</v>
      </c>
      <c r="G7" s="136" t="s">
        <v>741</v>
      </c>
      <c r="H7" s="137" t="s">
        <v>183</v>
      </c>
      <c r="I7" s="137" t="s">
        <v>191</v>
      </c>
      <c r="J7" s="138" t="str">
        <f t="shared" si="0"/>
        <v>1-65 gal cart EOWG</v>
      </c>
      <c r="K7" s="139" t="s">
        <v>747</v>
      </c>
      <c r="L7" s="139">
        <f>References!$B$26</f>
        <v>51</v>
      </c>
      <c r="M7" s="140">
        <f>References!$B$12</f>
        <v>2.1666666666666665</v>
      </c>
      <c r="N7" s="512">
        <f>SUMIF('Lewis Co. Regulated - Price Out'!$C$10:$C$200,Mapping!D7,'Lewis Co. Regulated - Price Out'!$AF$10:$AF$201)</f>
        <v>60462.291248206602</v>
      </c>
      <c r="O7" s="512">
        <f t="shared" si="1"/>
        <v>131001.63103778096</v>
      </c>
      <c r="P7" s="141"/>
      <c r="Q7" s="262" t="s">
        <v>205</v>
      </c>
      <c r="R7" s="245">
        <f>SUM('Lewis Co. Regulated - Price Out'!AF10:AF25,'Lewis Co. Regulated - Price Out'!AF27,'Lewis Co. Regulated - Price Out'!AF30:AF32,'Lewis Co. Regulated - Price Out'!AF60:AF115,'Lewis Co. Regulated - Price Out'!AF127:AF128)</f>
        <v>172190.69222900717</v>
      </c>
      <c r="S7" s="148"/>
    </row>
    <row r="8" spans="1:21" s="142" customFormat="1" ht="15.75" thickBot="1">
      <c r="A8" s="136" t="s">
        <v>143</v>
      </c>
      <c r="B8" s="136" t="s">
        <v>189</v>
      </c>
      <c r="C8" s="242">
        <v>21</v>
      </c>
      <c r="D8" s="136" t="s">
        <v>228</v>
      </c>
      <c r="E8" s="136" t="s">
        <v>229</v>
      </c>
      <c r="F8" s="136" t="s">
        <v>231</v>
      </c>
      <c r="G8" s="136" t="s">
        <v>742</v>
      </c>
      <c r="H8" s="137" t="s">
        <v>124</v>
      </c>
      <c r="I8" s="137" t="s">
        <v>192</v>
      </c>
      <c r="J8" s="138" t="str">
        <f t="shared" si="0"/>
        <v>1-95 gal cart MG</v>
      </c>
      <c r="K8" s="139" t="s">
        <v>748</v>
      </c>
      <c r="L8" s="139">
        <f>References!$B$27</f>
        <v>77</v>
      </c>
      <c r="M8" s="140">
        <f>References!$B$13</f>
        <v>1</v>
      </c>
      <c r="N8" s="512">
        <f>SUMIF('Lewis Co. Regulated - Price Out'!$C$10:$C$200,Mapping!D8,'Lewis Co. Regulated - Price Out'!$AF$10:$AF$201)</f>
        <v>159.5</v>
      </c>
      <c r="O8" s="512">
        <f t="shared" si="1"/>
        <v>159.5</v>
      </c>
      <c r="P8" s="141"/>
      <c r="Q8" s="261" t="s">
        <v>116</v>
      </c>
      <c r="R8" s="263">
        <f>R6-R7</f>
        <v>-12</v>
      </c>
      <c r="S8" s="156"/>
      <c r="T8" s="157"/>
    </row>
    <row r="9" spans="1:21" s="142" customFormat="1" ht="15.75" thickTop="1">
      <c r="A9" s="136" t="s">
        <v>143</v>
      </c>
      <c r="B9" s="136" t="s">
        <v>189</v>
      </c>
      <c r="C9" s="242">
        <v>21</v>
      </c>
      <c r="D9" s="136" t="s">
        <v>230</v>
      </c>
      <c r="E9" s="136" t="s">
        <v>231</v>
      </c>
      <c r="F9" s="136" t="s">
        <v>231</v>
      </c>
      <c r="G9" s="136" t="s">
        <v>742</v>
      </c>
      <c r="H9" s="137" t="s">
        <v>124</v>
      </c>
      <c r="I9" s="137" t="s">
        <v>192</v>
      </c>
      <c r="J9" s="138" t="str">
        <f t="shared" si="0"/>
        <v>1-95 gal cart MG</v>
      </c>
      <c r="K9" s="139" t="s">
        <v>748</v>
      </c>
      <c r="L9" s="139">
        <f>References!$B$27</f>
        <v>77</v>
      </c>
      <c r="M9" s="140">
        <f>References!$B$13</f>
        <v>1</v>
      </c>
      <c r="N9" s="512">
        <f>SUMIF('Lewis Co. Regulated - Price Out'!$C$10:$C$200,Mapping!D9,'Lewis Co. Regulated - Price Out'!$AF$10:$AF$201)</f>
        <v>1723.7251162790699</v>
      </c>
      <c r="O9" s="512">
        <f t="shared" si="1"/>
        <v>1723.7251162790699</v>
      </c>
      <c r="P9" s="141"/>
      <c r="Q9" s="158"/>
      <c r="R9" s="156"/>
      <c r="S9" s="156"/>
      <c r="T9" s="157"/>
    </row>
    <row r="10" spans="1:21" s="142" customFormat="1">
      <c r="A10" s="136" t="s">
        <v>143</v>
      </c>
      <c r="B10" s="136" t="s">
        <v>189</v>
      </c>
      <c r="C10" s="242">
        <v>21</v>
      </c>
      <c r="D10" s="136" t="s">
        <v>232</v>
      </c>
      <c r="E10" s="136" t="s">
        <v>233</v>
      </c>
      <c r="F10" s="136" t="s">
        <v>235</v>
      </c>
      <c r="G10" s="136" t="s">
        <v>742</v>
      </c>
      <c r="H10" s="137" t="s">
        <v>186</v>
      </c>
      <c r="I10" s="137" t="s">
        <v>190</v>
      </c>
      <c r="J10" s="138" t="str">
        <f t="shared" si="0"/>
        <v>1-95 gal cart WG</v>
      </c>
      <c r="K10" s="139" t="s">
        <v>748</v>
      </c>
      <c r="L10" s="139">
        <f>References!$B$27</f>
        <v>77</v>
      </c>
      <c r="M10" s="140">
        <f>References!$B$11</f>
        <v>4.333333333333333</v>
      </c>
      <c r="N10" s="512">
        <f>SUMIF('Lewis Co. Regulated - Price Out'!$C$10:$C$200,Mapping!D10,'Lewis Co. Regulated - Price Out'!$AF$10:$AF$201)</f>
        <v>1255.1150345831818</v>
      </c>
      <c r="O10" s="512">
        <f t="shared" si="1"/>
        <v>5438.8318165271212</v>
      </c>
      <c r="P10" s="141"/>
      <c r="Q10" s="264"/>
      <c r="R10" s="148"/>
      <c r="S10" s="148"/>
    </row>
    <row r="11" spans="1:21" s="142" customFormat="1">
      <c r="A11" s="136" t="s">
        <v>143</v>
      </c>
      <c r="B11" s="136" t="s">
        <v>189</v>
      </c>
      <c r="C11" s="242">
        <v>21</v>
      </c>
      <c r="D11" s="136" t="s">
        <v>234</v>
      </c>
      <c r="E11" s="136" t="s">
        <v>235</v>
      </c>
      <c r="F11" s="136" t="s">
        <v>235</v>
      </c>
      <c r="G11" s="136" t="s">
        <v>742</v>
      </c>
      <c r="H11" s="137" t="s">
        <v>186</v>
      </c>
      <c r="I11" s="137" t="s">
        <v>190</v>
      </c>
      <c r="J11" s="138" t="str">
        <f t="shared" si="0"/>
        <v>1-95 gal cart WG</v>
      </c>
      <c r="K11" s="139" t="s">
        <v>748</v>
      </c>
      <c r="L11" s="139">
        <f>References!$B$27</f>
        <v>77</v>
      </c>
      <c r="M11" s="140">
        <f>References!$B$11</f>
        <v>4.333333333333333</v>
      </c>
      <c r="N11" s="512">
        <f>SUMIF('Lewis Co. Regulated - Price Out'!$C$10:$C$200,Mapping!D11,'Lewis Co. Regulated - Price Out'!$AF$10:$AF$201)</f>
        <v>9532.6195850018212</v>
      </c>
      <c r="O11" s="512">
        <f t="shared" si="1"/>
        <v>41308.018201674553</v>
      </c>
      <c r="P11" s="141"/>
      <c r="R11" s="148"/>
      <c r="S11" s="148"/>
    </row>
    <row r="12" spans="1:21" s="142" customFormat="1">
      <c r="A12" s="136" t="s">
        <v>143</v>
      </c>
      <c r="B12" s="136" t="s">
        <v>189</v>
      </c>
      <c r="C12" s="242">
        <v>21</v>
      </c>
      <c r="D12" s="136" t="s">
        <v>236</v>
      </c>
      <c r="E12" s="136" t="s">
        <v>237</v>
      </c>
      <c r="F12" s="136" t="s">
        <v>239</v>
      </c>
      <c r="G12" s="136" t="s">
        <v>742</v>
      </c>
      <c r="H12" s="137" t="s">
        <v>183</v>
      </c>
      <c r="I12" s="137" t="s">
        <v>191</v>
      </c>
      <c r="J12" s="138" t="str">
        <f t="shared" si="0"/>
        <v>1-95 gal cart EOWG</v>
      </c>
      <c r="K12" s="139" t="s">
        <v>748</v>
      </c>
      <c r="L12" s="139">
        <f>References!$B$27</f>
        <v>77</v>
      </c>
      <c r="M12" s="140">
        <f>References!$B$12</f>
        <v>2.1666666666666665</v>
      </c>
      <c r="N12" s="512">
        <f>SUMIF('Lewis Co. Regulated - Price Out'!$C$10:$C$200,Mapping!D12,'Lewis Co. Regulated - Price Out'!$AF$10:$AF$201)</f>
        <v>343.94441849602987</v>
      </c>
      <c r="O12" s="512">
        <f t="shared" si="1"/>
        <v>745.212906741398</v>
      </c>
      <c r="P12" s="141"/>
      <c r="R12" s="143" t="s">
        <v>123</v>
      </c>
      <c r="S12" s="143" t="s">
        <v>124</v>
      </c>
    </row>
    <row r="13" spans="1:21" s="142" customFormat="1">
      <c r="A13" s="136" t="s">
        <v>143</v>
      </c>
      <c r="B13" s="136" t="s">
        <v>189</v>
      </c>
      <c r="C13" s="242">
        <v>21</v>
      </c>
      <c r="D13" s="136" t="s">
        <v>238</v>
      </c>
      <c r="E13" s="136" t="s">
        <v>239</v>
      </c>
      <c r="F13" s="136" t="s">
        <v>239</v>
      </c>
      <c r="G13" s="136" t="s">
        <v>742</v>
      </c>
      <c r="H13" s="137" t="s">
        <v>183</v>
      </c>
      <c r="I13" s="137" t="s">
        <v>191</v>
      </c>
      <c r="J13" s="138" t="str">
        <f t="shared" si="0"/>
        <v>1-95 gal cart EOWG</v>
      </c>
      <c r="K13" s="139" t="s">
        <v>748</v>
      </c>
      <c r="L13" s="139">
        <f>References!$B$27</f>
        <v>77</v>
      </c>
      <c r="M13" s="140">
        <f>References!$B$12</f>
        <v>2.1666666666666665</v>
      </c>
      <c r="N13" s="512">
        <f>SUMIF('Lewis Co. Regulated - Price Out'!$C$10:$C$200,Mapping!D13,'Lewis Co. Regulated - Price Out'!$AF$10:$AF$201)</f>
        <v>3566.5382998598784</v>
      </c>
      <c r="O13" s="512">
        <f t="shared" si="1"/>
        <v>7727.4996496964031</v>
      </c>
      <c r="P13" s="141"/>
      <c r="Q13" s="144" t="s">
        <v>79</v>
      </c>
      <c r="R13" s="145">
        <f>SUMIF(A:A,Q13,N:N)</f>
        <v>146878.79812878688</v>
      </c>
      <c r="S13" s="145">
        <f t="shared" ref="S13" si="2">R13/12</f>
        <v>12239.899844065572</v>
      </c>
    </row>
    <row r="14" spans="1:21" s="142" customFormat="1">
      <c r="A14" s="136" t="s">
        <v>143</v>
      </c>
      <c r="B14" s="136" t="s">
        <v>189</v>
      </c>
      <c r="C14" s="242">
        <v>22</v>
      </c>
      <c r="D14" s="136" t="s">
        <v>240</v>
      </c>
      <c r="E14" s="136" t="s">
        <v>241</v>
      </c>
      <c r="F14" s="136" t="s">
        <v>241</v>
      </c>
      <c r="G14" s="136" t="s">
        <v>741</v>
      </c>
      <c r="H14" s="137" t="s">
        <v>744</v>
      </c>
      <c r="I14" s="137" t="s">
        <v>744</v>
      </c>
      <c r="J14" s="138" t="str">
        <f t="shared" si="0"/>
        <v>1-65 gal cart On call</v>
      </c>
      <c r="K14" s="139" t="s">
        <v>747</v>
      </c>
      <c r="L14" s="139">
        <f>References!$B$26</f>
        <v>51</v>
      </c>
      <c r="M14" s="140">
        <f>References!$B$13</f>
        <v>1</v>
      </c>
      <c r="N14" s="512">
        <f>SUMIF('Lewis Co. Regulated - Price Out'!$C$10:$C$200,Mapping!D14,'Lewis Co. Regulated - Price Out'!$AF$10:$AF$201)</f>
        <v>125</v>
      </c>
      <c r="O14" s="512">
        <f t="shared" si="1"/>
        <v>125</v>
      </c>
      <c r="P14" s="141"/>
      <c r="Q14" s="147" t="s">
        <v>80</v>
      </c>
      <c r="R14" s="145">
        <f>SUMIF(A:A,Q14,N:N)</f>
        <v>25299.894100220306</v>
      </c>
      <c r="S14" s="145">
        <f t="shared" ref="S14" si="3">R14/12</f>
        <v>2108.3245083516922</v>
      </c>
    </row>
    <row r="15" spans="1:21" s="142" customFormat="1">
      <c r="A15" s="136" t="s">
        <v>143</v>
      </c>
      <c r="B15" s="136" t="s">
        <v>189</v>
      </c>
      <c r="C15" s="242">
        <v>22</v>
      </c>
      <c r="D15" s="136" t="s">
        <v>242</v>
      </c>
      <c r="E15" s="136" t="s">
        <v>243</v>
      </c>
      <c r="F15" s="136" t="s">
        <v>243</v>
      </c>
      <c r="G15" s="136" t="s">
        <v>741</v>
      </c>
      <c r="H15" s="137" t="s">
        <v>185</v>
      </c>
      <c r="I15" s="137" t="s">
        <v>746</v>
      </c>
      <c r="J15" s="138" t="str">
        <f t="shared" si="0"/>
        <v>1-65 gal cart Special</v>
      </c>
      <c r="K15" s="139" t="s">
        <v>747</v>
      </c>
      <c r="L15" s="139">
        <f>References!$B$26</f>
        <v>51</v>
      </c>
      <c r="M15" s="140">
        <f>References!$B$13</f>
        <v>1</v>
      </c>
      <c r="N15" s="512">
        <f>SUMIF('Lewis Co. Regulated - Price Out'!$C$10:$C$200,Mapping!D15,'Lewis Co. Regulated - Price Out'!$AF$10:$AF$201)</f>
        <v>906.95253164556959</v>
      </c>
      <c r="O15" s="512">
        <f t="shared" si="1"/>
        <v>906.95253164556959</v>
      </c>
      <c r="P15" s="141"/>
      <c r="R15" s="148"/>
      <c r="S15" s="148"/>
    </row>
    <row r="16" spans="1:21" s="142" customFormat="1">
      <c r="A16" s="136" t="s">
        <v>143</v>
      </c>
      <c r="B16" s="136" t="s">
        <v>189</v>
      </c>
      <c r="C16" s="242">
        <v>22</v>
      </c>
      <c r="D16" s="136" t="s">
        <v>244</v>
      </c>
      <c r="E16" s="136" t="s">
        <v>245</v>
      </c>
      <c r="F16" s="136" t="s">
        <v>245</v>
      </c>
      <c r="G16" s="136" t="s">
        <v>742</v>
      </c>
      <c r="H16" s="137" t="s">
        <v>185</v>
      </c>
      <c r="I16" s="137" t="s">
        <v>746</v>
      </c>
      <c r="J16" s="138" t="str">
        <f t="shared" si="0"/>
        <v>1-95 gal cart Special</v>
      </c>
      <c r="K16" s="139" t="s">
        <v>748</v>
      </c>
      <c r="L16" s="139">
        <f>References!$B$27</f>
        <v>77</v>
      </c>
      <c r="M16" s="140">
        <f>References!$B$13</f>
        <v>1</v>
      </c>
      <c r="N16" s="512">
        <f>SUMIF('Lewis Co. Regulated - Price Out'!$C$10:$C$200,Mapping!D16,'Lewis Co. Regulated - Price Out'!$AF$10:$AF$201)</f>
        <v>388.55379746835445</v>
      </c>
      <c r="O16" s="512">
        <f t="shared" si="1"/>
        <v>388.55379746835445</v>
      </c>
      <c r="P16" s="141"/>
      <c r="R16" s="148"/>
      <c r="S16" s="148"/>
    </row>
    <row r="17" spans="1:19" s="142" customFormat="1">
      <c r="A17" s="136" t="s">
        <v>143</v>
      </c>
      <c r="B17" s="136" t="s">
        <v>189</v>
      </c>
      <c r="C17" s="242">
        <v>22</v>
      </c>
      <c r="D17" s="136" t="s">
        <v>246</v>
      </c>
      <c r="E17" s="136" t="s">
        <v>247</v>
      </c>
      <c r="F17" s="136" t="s">
        <v>243</v>
      </c>
      <c r="G17" s="136" t="s">
        <v>741</v>
      </c>
      <c r="H17" s="137" t="s">
        <v>185</v>
      </c>
      <c r="I17" s="137" t="s">
        <v>746</v>
      </c>
      <c r="J17" s="138" t="str">
        <f t="shared" si="0"/>
        <v>1-65 gal cart Special</v>
      </c>
      <c r="K17" s="139" t="s">
        <v>747</v>
      </c>
      <c r="L17" s="139">
        <f>References!$B$26</f>
        <v>51</v>
      </c>
      <c r="M17" s="140">
        <f>References!$B$13</f>
        <v>1</v>
      </c>
      <c r="N17" s="512">
        <f>SUMIF('Lewis Co. Regulated - Price Out'!$C$10:$C$200,Mapping!D17,'Lewis Co. Regulated - Price Out'!$AF$10:$AF$201)</f>
        <v>17</v>
      </c>
      <c r="O17" s="512">
        <f t="shared" si="1"/>
        <v>17</v>
      </c>
      <c r="P17" s="141"/>
      <c r="R17" s="148"/>
      <c r="S17" s="148"/>
    </row>
    <row r="18" spans="1:19" s="142" customFormat="1">
      <c r="A18" s="136" t="s">
        <v>143</v>
      </c>
      <c r="B18" s="136" t="s">
        <v>193</v>
      </c>
      <c r="C18" s="242">
        <v>31</v>
      </c>
      <c r="D18" s="136" t="s">
        <v>250</v>
      </c>
      <c r="E18" s="136" t="s">
        <v>251</v>
      </c>
      <c r="F18" s="519" t="s">
        <v>251</v>
      </c>
      <c r="G18" s="136" t="s">
        <v>769</v>
      </c>
      <c r="H18" s="137" t="s">
        <v>185</v>
      </c>
      <c r="I18" s="137" t="s">
        <v>770</v>
      </c>
      <c r="J18" s="138" t="str">
        <f t="shared" si="0"/>
        <v>1 - 4 yards Bulky Material</v>
      </c>
      <c r="K18" s="136" t="s">
        <v>768</v>
      </c>
      <c r="L18" s="139">
        <f>References!$B$47</f>
        <v>125</v>
      </c>
      <c r="M18" s="140">
        <f>References!$B$13</f>
        <v>1</v>
      </c>
      <c r="N18" s="512">
        <f>SUMIF('Lewis Co. Regulated - Price Out'!$C$10:$C$200,Mapping!D18,'Lewis Co. Regulated - Price Out'!$AF$10:$AF$201)</f>
        <v>2.606712284131639</v>
      </c>
      <c r="O18" s="512">
        <f t="shared" si="1"/>
        <v>2.606712284131639</v>
      </c>
      <c r="P18" s="141"/>
      <c r="R18" s="148"/>
      <c r="S18" s="148"/>
    </row>
    <row r="19" spans="1:19" s="142" customFormat="1">
      <c r="A19" s="136" t="s">
        <v>143</v>
      </c>
      <c r="B19" s="136" t="s">
        <v>189</v>
      </c>
      <c r="C19" s="242">
        <v>22</v>
      </c>
      <c r="D19" s="136" t="s">
        <v>256</v>
      </c>
      <c r="E19" s="136" t="s">
        <v>257</v>
      </c>
      <c r="F19" s="136" t="s">
        <v>257</v>
      </c>
      <c r="G19" s="136" t="s">
        <v>761</v>
      </c>
      <c r="H19" s="137" t="s">
        <v>185</v>
      </c>
      <c r="I19" s="137" t="s">
        <v>184</v>
      </c>
      <c r="J19" s="138" t="str">
        <f t="shared" si="0"/>
        <v>Extra pickup - 32 gal Extra</v>
      </c>
      <c r="K19" s="139" t="s">
        <v>754</v>
      </c>
      <c r="L19" s="139">
        <f>References!$B$18</f>
        <v>34</v>
      </c>
      <c r="M19" s="140">
        <f>References!$B$13</f>
        <v>1</v>
      </c>
      <c r="N19" s="512">
        <f>SUMIF('Lewis Co. Regulated - Price Out'!$C$10:$C$200,Mapping!D19,'Lewis Co. Regulated - Price Out'!$AF$10:$AF$201)</f>
        <v>4256.4044444444444</v>
      </c>
      <c r="O19" s="512">
        <f t="shared" si="1"/>
        <v>4256.4044444444444</v>
      </c>
      <c r="P19" s="141"/>
      <c r="R19" s="148"/>
      <c r="S19" s="148"/>
    </row>
    <row r="20" spans="1:19" s="142" customFormat="1">
      <c r="A20" s="136" t="s">
        <v>143</v>
      </c>
      <c r="B20" s="136" t="s">
        <v>189</v>
      </c>
      <c r="C20" s="242">
        <v>22</v>
      </c>
      <c r="D20" s="136" t="s">
        <v>258</v>
      </c>
      <c r="E20" s="136" t="s">
        <v>259</v>
      </c>
      <c r="F20" s="136" t="s">
        <v>261</v>
      </c>
      <c r="G20" s="136" t="s">
        <v>745</v>
      </c>
      <c r="H20" s="137" t="s">
        <v>185</v>
      </c>
      <c r="I20" s="137" t="s">
        <v>184</v>
      </c>
      <c r="J20" s="138" t="str">
        <f t="shared" si="0"/>
        <v>Prepaid bag Extra</v>
      </c>
      <c r="K20" s="139" t="s">
        <v>754</v>
      </c>
      <c r="L20" s="139">
        <f>References!$B$18</f>
        <v>34</v>
      </c>
      <c r="M20" s="140">
        <f>References!$B$13</f>
        <v>1</v>
      </c>
      <c r="N20" s="512">
        <f>SUMIF('Lewis Co. Regulated - Price Out'!$C$10:$C$200,Mapping!D20,'Lewis Co. Regulated - Price Out'!$AF$10:$AF$201)</f>
        <v>5</v>
      </c>
      <c r="O20" s="512">
        <f t="shared" si="1"/>
        <v>5</v>
      </c>
      <c r="P20" s="141"/>
      <c r="R20" s="148"/>
      <c r="S20" s="148"/>
    </row>
    <row r="21" spans="1:19" s="142" customFormat="1">
      <c r="A21" s="136" t="s">
        <v>143</v>
      </c>
      <c r="B21" s="136" t="s">
        <v>189</v>
      </c>
      <c r="C21" s="242">
        <v>22</v>
      </c>
      <c r="D21" s="136" t="s">
        <v>260</v>
      </c>
      <c r="E21" s="136" t="s">
        <v>261</v>
      </c>
      <c r="F21" s="136" t="s">
        <v>261</v>
      </c>
      <c r="G21" s="136" t="s">
        <v>745</v>
      </c>
      <c r="H21" s="137" t="s">
        <v>185</v>
      </c>
      <c r="I21" s="137" t="s">
        <v>184</v>
      </c>
      <c r="J21" s="138" t="str">
        <f t="shared" si="0"/>
        <v>Prepaid bag Extra</v>
      </c>
      <c r="K21" s="139" t="s">
        <v>762</v>
      </c>
      <c r="L21" s="139">
        <f>References!$B$18</f>
        <v>34</v>
      </c>
      <c r="M21" s="140">
        <f>References!$B$13</f>
        <v>1</v>
      </c>
      <c r="N21" s="512">
        <f>SUMIF('Lewis Co. Regulated - Price Out'!$C$10:$C$200,Mapping!D21,'Lewis Co. Regulated - Price Out'!$AF$10:$AF$201)</f>
        <v>14</v>
      </c>
      <c r="O21" s="512">
        <f t="shared" si="1"/>
        <v>14</v>
      </c>
      <c r="P21" s="141"/>
      <c r="R21" s="148"/>
      <c r="S21" s="148"/>
    </row>
    <row r="22" spans="1:19" s="142" customFormat="1">
      <c r="A22" s="149" t="s">
        <v>12</v>
      </c>
      <c r="B22" s="149" t="s">
        <v>194</v>
      </c>
      <c r="C22" s="243">
        <v>38</v>
      </c>
      <c r="D22" s="149" t="s">
        <v>286</v>
      </c>
      <c r="E22" s="149" t="s">
        <v>287</v>
      </c>
      <c r="F22" s="149" t="s">
        <v>287</v>
      </c>
      <c r="G22" s="149" t="s">
        <v>199</v>
      </c>
      <c r="H22" s="150" t="s">
        <v>186</v>
      </c>
      <c r="I22" s="146" t="s">
        <v>196</v>
      </c>
      <c r="J22" s="251" t="str">
        <f t="shared" si="0"/>
        <v>1 yard Permanent</v>
      </c>
      <c r="K22" s="146" t="s">
        <v>187</v>
      </c>
      <c r="L22" s="146">
        <f>References!$B$32</f>
        <v>175</v>
      </c>
      <c r="M22" s="151">
        <f>References!$B$11</f>
        <v>4.333333333333333</v>
      </c>
      <c r="N22" s="269">
        <f>SUMIF('Lewis Co. Regulated - Price Out'!$C$10:$C$200,Mapping!D22,'Lewis Co. Regulated - Price Out'!$AF$10:$AF$201)</f>
        <v>242.25</v>
      </c>
      <c r="O22" s="269">
        <f t="shared" si="1"/>
        <v>1049.75</v>
      </c>
      <c r="P22" s="141"/>
    </row>
    <row r="23" spans="1:19" s="142" customFormat="1">
      <c r="A23" s="149" t="s">
        <v>12</v>
      </c>
      <c r="B23" s="149" t="s">
        <v>194</v>
      </c>
      <c r="C23" s="243">
        <v>38</v>
      </c>
      <c r="D23" s="149" t="s">
        <v>288</v>
      </c>
      <c r="E23" s="149" t="s">
        <v>287</v>
      </c>
      <c r="F23" s="149" t="s">
        <v>287</v>
      </c>
      <c r="G23" s="149" t="s">
        <v>199</v>
      </c>
      <c r="H23" s="150" t="s">
        <v>186</v>
      </c>
      <c r="I23" s="146" t="s">
        <v>196</v>
      </c>
      <c r="J23" s="251" t="str">
        <f t="shared" si="0"/>
        <v>1 yard Permanent</v>
      </c>
      <c r="K23" s="146" t="s">
        <v>187</v>
      </c>
      <c r="L23" s="146">
        <f>References!$B$32</f>
        <v>175</v>
      </c>
      <c r="M23" s="151">
        <f>References!$B$11</f>
        <v>4.333333333333333</v>
      </c>
      <c r="N23" s="269">
        <f>SUMIF('Lewis Co. Regulated - Price Out'!$C$10:$C$200,Mapping!D23,'Lewis Co. Regulated - Price Out'!$AF$10:$AF$201)</f>
        <v>1468.2782972440946</v>
      </c>
      <c r="O23" s="269">
        <f t="shared" si="1"/>
        <v>6362.5392880577429</v>
      </c>
      <c r="P23" s="141"/>
      <c r="S23" s="152"/>
    </row>
    <row r="24" spans="1:19" s="142" customFormat="1">
      <c r="A24" s="149" t="s">
        <v>12</v>
      </c>
      <c r="B24" s="149" t="s">
        <v>194</v>
      </c>
      <c r="C24" s="243">
        <v>38</v>
      </c>
      <c r="D24" s="149" t="s">
        <v>289</v>
      </c>
      <c r="E24" s="149" t="s">
        <v>290</v>
      </c>
      <c r="F24" s="149" t="s">
        <v>287</v>
      </c>
      <c r="G24" s="149" t="s">
        <v>199</v>
      </c>
      <c r="H24" s="150" t="s">
        <v>183</v>
      </c>
      <c r="I24" s="146" t="s">
        <v>196</v>
      </c>
      <c r="J24" s="251" t="str">
        <f t="shared" si="0"/>
        <v>1 yard Permanent</v>
      </c>
      <c r="K24" s="146" t="s">
        <v>187</v>
      </c>
      <c r="L24" s="146">
        <f>References!$B$32</f>
        <v>175</v>
      </c>
      <c r="M24" s="151">
        <f>References!$B$12</f>
        <v>2.1666666666666665</v>
      </c>
      <c r="N24" s="269">
        <f>SUMIF('Lewis Co. Regulated - Price Out'!$C$10:$C$200,Mapping!D24,'Lewis Co. Regulated - Price Out'!$AF$10:$AF$201)</f>
        <v>608.00090518216791</v>
      </c>
      <c r="O24" s="269">
        <f t="shared" si="1"/>
        <v>1317.3352945613638</v>
      </c>
      <c r="P24" s="141"/>
      <c r="S24" s="152"/>
    </row>
    <row r="25" spans="1:19" s="142" customFormat="1">
      <c r="A25" s="149" t="s">
        <v>12</v>
      </c>
      <c r="B25" s="149" t="s">
        <v>194</v>
      </c>
      <c r="C25" s="243">
        <v>38</v>
      </c>
      <c r="D25" s="149" t="s">
        <v>291</v>
      </c>
      <c r="E25" s="149" t="s">
        <v>290</v>
      </c>
      <c r="F25" s="149" t="s">
        <v>287</v>
      </c>
      <c r="G25" s="149" t="s">
        <v>199</v>
      </c>
      <c r="H25" s="150" t="s">
        <v>183</v>
      </c>
      <c r="I25" s="146" t="s">
        <v>196</v>
      </c>
      <c r="J25" s="251" t="str">
        <f t="shared" si="0"/>
        <v>1 yard Permanent</v>
      </c>
      <c r="K25" s="146" t="s">
        <v>187</v>
      </c>
      <c r="L25" s="146">
        <f>References!$B$32</f>
        <v>175</v>
      </c>
      <c r="M25" s="151">
        <f>References!$B$12</f>
        <v>2.1666666666666665</v>
      </c>
      <c r="N25" s="269">
        <f>SUMIF('Lewis Co. Regulated - Price Out'!$C$10:$C$200,Mapping!D25,'Lewis Co. Regulated - Price Out'!$AF$10:$AF$201)</f>
        <v>4909.5544240778463</v>
      </c>
      <c r="O25" s="269">
        <f t="shared" si="1"/>
        <v>10637.367918835333</v>
      </c>
      <c r="P25" s="141"/>
      <c r="S25" s="152"/>
    </row>
    <row r="26" spans="1:19" s="142" customFormat="1">
      <c r="A26" s="149" t="s">
        <v>12</v>
      </c>
      <c r="B26" s="149" t="s">
        <v>194</v>
      </c>
      <c r="C26" s="243">
        <v>38</v>
      </c>
      <c r="D26" s="149" t="s">
        <v>292</v>
      </c>
      <c r="E26" s="149" t="s">
        <v>293</v>
      </c>
      <c r="F26" s="149" t="s">
        <v>293</v>
      </c>
      <c r="G26" s="149" t="s">
        <v>200</v>
      </c>
      <c r="H26" s="150" t="s">
        <v>186</v>
      </c>
      <c r="I26" s="146" t="s">
        <v>196</v>
      </c>
      <c r="J26" s="251" t="str">
        <f t="shared" si="0"/>
        <v>1.5 yard Permanent</v>
      </c>
      <c r="K26" s="146" t="s">
        <v>188</v>
      </c>
      <c r="L26" s="146">
        <f>References!$B$33</f>
        <v>250</v>
      </c>
      <c r="M26" s="151">
        <f>References!$B$11</f>
        <v>4.333333333333333</v>
      </c>
      <c r="N26" s="269">
        <f>SUMIF('Lewis Co. Regulated - Price Out'!$C$10:$C$200,Mapping!D26,'Lewis Co. Regulated - Price Out'!$AF$10:$AF$201)</f>
        <v>110.65009339144358</v>
      </c>
      <c r="O26" s="269">
        <f t="shared" si="1"/>
        <v>479.48373802958878</v>
      </c>
      <c r="P26" s="141"/>
      <c r="S26" s="152"/>
    </row>
    <row r="27" spans="1:19" s="142" customFormat="1">
      <c r="A27" s="149" t="s">
        <v>12</v>
      </c>
      <c r="B27" s="149" t="s">
        <v>194</v>
      </c>
      <c r="C27" s="243">
        <v>38</v>
      </c>
      <c r="D27" s="149" t="s">
        <v>294</v>
      </c>
      <c r="E27" s="149" t="s">
        <v>293</v>
      </c>
      <c r="F27" s="149" t="s">
        <v>293</v>
      </c>
      <c r="G27" s="149" t="s">
        <v>200</v>
      </c>
      <c r="H27" s="150" t="s">
        <v>186</v>
      </c>
      <c r="I27" s="146" t="s">
        <v>196</v>
      </c>
      <c r="J27" s="251" t="str">
        <f t="shared" si="0"/>
        <v>1.5 yard Permanent</v>
      </c>
      <c r="K27" s="146" t="s">
        <v>188</v>
      </c>
      <c r="L27" s="146">
        <f>References!$B$33</f>
        <v>250</v>
      </c>
      <c r="M27" s="151">
        <f>References!$B$11</f>
        <v>4.333333333333333</v>
      </c>
      <c r="N27" s="269">
        <f>SUMIF('Lewis Co. Regulated - Price Out'!$C$10:$C$200,Mapping!D27,'Lewis Co. Regulated - Price Out'!$AF$10:$AF$201)</f>
        <v>691.89958196210978</v>
      </c>
      <c r="O27" s="269">
        <f t="shared" si="1"/>
        <v>2998.231521835809</v>
      </c>
      <c r="P27" s="141"/>
      <c r="S27" s="152"/>
    </row>
    <row r="28" spans="1:19" s="142" customFormat="1">
      <c r="A28" s="149" t="s">
        <v>12</v>
      </c>
      <c r="B28" s="149" t="s">
        <v>194</v>
      </c>
      <c r="C28" s="243">
        <v>38</v>
      </c>
      <c r="D28" s="149" t="s">
        <v>295</v>
      </c>
      <c r="E28" s="149" t="s">
        <v>296</v>
      </c>
      <c r="F28" s="149" t="s">
        <v>293</v>
      </c>
      <c r="G28" s="149" t="s">
        <v>200</v>
      </c>
      <c r="H28" s="150" t="s">
        <v>186</v>
      </c>
      <c r="I28" s="146" t="s">
        <v>196</v>
      </c>
      <c r="J28" s="251" t="str">
        <f t="shared" si="0"/>
        <v>1.5 yard Permanent</v>
      </c>
      <c r="K28" s="146" t="s">
        <v>188</v>
      </c>
      <c r="L28" s="146">
        <f>References!$B$33</f>
        <v>250</v>
      </c>
      <c r="M28" s="151">
        <f>References!$B$10</f>
        <v>8.6666666666666661</v>
      </c>
      <c r="N28" s="269">
        <f>SUMIF('Lewis Co. Regulated - Price Out'!$C$10:$C$200,Mapping!D28,'Lewis Co. Regulated - Price Out'!$AF$10:$AF$201)</f>
        <v>1.0417054552224911</v>
      </c>
      <c r="O28" s="269">
        <f t="shared" si="1"/>
        <v>9.0281139452615893</v>
      </c>
      <c r="P28" s="141"/>
      <c r="S28" s="152"/>
    </row>
    <row r="29" spans="1:19" s="142" customFormat="1">
      <c r="A29" s="149" t="s">
        <v>12</v>
      </c>
      <c r="B29" s="149" t="s">
        <v>194</v>
      </c>
      <c r="C29" s="243">
        <v>38</v>
      </c>
      <c r="D29" s="149" t="s">
        <v>297</v>
      </c>
      <c r="E29" s="149" t="s">
        <v>298</v>
      </c>
      <c r="F29" s="149" t="s">
        <v>293</v>
      </c>
      <c r="G29" s="149" t="s">
        <v>200</v>
      </c>
      <c r="H29" s="150" t="s">
        <v>183</v>
      </c>
      <c r="I29" s="146" t="s">
        <v>196</v>
      </c>
      <c r="J29" s="251" t="str">
        <f t="shared" si="0"/>
        <v>1.5 yard Permanent</v>
      </c>
      <c r="K29" s="146" t="s">
        <v>188</v>
      </c>
      <c r="L29" s="146">
        <f>References!$B$33</f>
        <v>250</v>
      </c>
      <c r="M29" s="151">
        <f>References!$B$12</f>
        <v>2.1666666666666665</v>
      </c>
      <c r="N29" s="269">
        <f>SUMIF('Lewis Co. Regulated - Price Out'!$C$10:$C$200,Mapping!D29,'Lewis Co. Regulated - Price Out'!$AF$10:$AF$201)</f>
        <v>205.50024449877753</v>
      </c>
      <c r="O29" s="269">
        <f t="shared" si="1"/>
        <v>445.25052974735127</v>
      </c>
      <c r="P29" s="141"/>
      <c r="S29" s="152"/>
    </row>
    <row r="30" spans="1:19" s="142" customFormat="1">
      <c r="A30" s="149" t="s">
        <v>12</v>
      </c>
      <c r="B30" s="149" t="s">
        <v>194</v>
      </c>
      <c r="C30" s="243">
        <v>38</v>
      </c>
      <c r="D30" s="149" t="s">
        <v>299</v>
      </c>
      <c r="E30" s="149" t="s">
        <v>298</v>
      </c>
      <c r="F30" s="149" t="s">
        <v>293</v>
      </c>
      <c r="G30" s="149" t="s">
        <v>200</v>
      </c>
      <c r="H30" s="150" t="s">
        <v>183</v>
      </c>
      <c r="I30" s="146" t="s">
        <v>196</v>
      </c>
      <c r="J30" s="251" t="str">
        <f t="shared" si="0"/>
        <v>1.5 yard Permanent</v>
      </c>
      <c r="K30" s="146" t="s">
        <v>188</v>
      </c>
      <c r="L30" s="146">
        <f>References!$B$33</f>
        <v>250</v>
      </c>
      <c r="M30" s="151">
        <f>References!$B$12</f>
        <v>2.1666666666666665</v>
      </c>
      <c r="N30" s="269">
        <f>SUMIF('Lewis Co. Regulated - Price Out'!$C$10:$C$200,Mapping!D30,'Lewis Co. Regulated - Price Out'!$AF$10:$AF$201)</f>
        <v>891.50089649551751</v>
      </c>
      <c r="O30" s="269">
        <f t="shared" si="1"/>
        <v>1931.5852757402879</v>
      </c>
      <c r="P30" s="141"/>
      <c r="S30" s="152"/>
    </row>
    <row r="31" spans="1:19" s="142" customFormat="1">
      <c r="A31" s="149" t="s">
        <v>12</v>
      </c>
      <c r="B31" s="149" t="s">
        <v>194</v>
      </c>
      <c r="C31" s="243">
        <v>38</v>
      </c>
      <c r="D31" s="149" t="s">
        <v>300</v>
      </c>
      <c r="E31" s="149" t="s">
        <v>301</v>
      </c>
      <c r="F31" s="149" t="s">
        <v>301</v>
      </c>
      <c r="G31" s="149" t="s">
        <v>201</v>
      </c>
      <c r="H31" s="150" t="s">
        <v>186</v>
      </c>
      <c r="I31" s="146" t="s">
        <v>196</v>
      </c>
      <c r="J31" s="251" t="str">
        <f t="shared" si="0"/>
        <v>2 yard Permanent</v>
      </c>
      <c r="K31" s="146" t="s">
        <v>749</v>
      </c>
      <c r="L31" s="146">
        <f>References!$B$34</f>
        <v>324</v>
      </c>
      <c r="M31" s="151">
        <f>References!$B$11</f>
        <v>4.333333333333333</v>
      </c>
      <c r="N31" s="269">
        <f>SUMIF('Lewis Co. Regulated - Price Out'!$C$10:$C$200,Mapping!D31,'Lewis Co. Regulated - Price Out'!$AF$10:$AF$201)</f>
        <v>445.09984366117112</v>
      </c>
      <c r="O31" s="269">
        <f t="shared" si="1"/>
        <v>1928.7659891984081</v>
      </c>
      <c r="P31" s="141"/>
      <c r="S31" s="152"/>
    </row>
    <row r="32" spans="1:19" s="142" customFormat="1">
      <c r="A32" s="149" t="s">
        <v>12</v>
      </c>
      <c r="B32" s="149" t="s">
        <v>194</v>
      </c>
      <c r="C32" s="243">
        <v>38</v>
      </c>
      <c r="D32" s="149" t="s">
        <v>302</v>
      </c>
      <c r="E32" s="149" t="s">
        <v>301</v>
      </c>
      <c r="F32" s="149" t="s">
        <v>301</v>
      </c>
      <c r="G32" s="149" t="s">
        <v>201</v>
      </c>
      <c r="H32" s="150" t="s">
        <v>186</v>
      </c>
      <c r="I32" s="146" t="s">
        <v>196</v>
      </c>
      <c r="J32" s="251" t="str">
        <f t="shared" si="0"/>
        <v>2 yard Permanent</v>
      </c>
      <c r="K32" s="146" t="s">
        <v>749</v>
      </c>
      <c r="L32" s="146">
        <f>References!$B$34</f>
        <v>324</v>
      </c>
      <c r="M32" s="151">
        <f>References!$B$11</f>
        <v>4.333333333333333</v>
      </c>
      <c r="N32" s="269">
        <f>SUMIF('Lewis Co. Regulated - Price Out'!$C$10:$C$200,Mapping!D32,'Lewis Co. Regulated - Price Out'!$AF$10:$AF$201)</f>
        <v>1471.9000852757249</v>
      </c>
      <c r="O32" s="269">
        <f t="shared" si="1"/>
        <v>6378.2337028614738</v>
      </c>
      <c r="P32" s="141"/>
      <c r="S32" s="152"/>
    </row>
    <row r="33" spans="1:19" s="142" customFormat="1" ht="16.5" customHeight="1">
      <c r="A33" s="149" t="s">
        <v>12</v>
      </c>
      <c r="B33" s="149" t="s">
        <v>194</v>
      </c>
      <c r="C33" s="243">
        <v>38</v>
      </c>
      <c r="D33" s="149" t="s">
        <v>303</v>
      </c>
      <c r="E33" s="149" t="s">
        <v>304</v>
      </c>
      <c r="F33" s="149" t="s">
        <v>301</v>
      </c>
      <c r="G33" s="149" t="s">
        <v>201</v>
      </c>
      <c r="H33" s="150" t="s">
        <v>186</v>
      </c>
      <c r="I33" s="146" t="s">
        <v>196</v>
      </c>
      <c r="J33" s="251" t="str">
        <f t="shared" si="0"/>
        <v>2 yard Permanent</v>
      </c>
      <c r="K33" s="146" t="s">
        <v>749</v>
      </c>
      <c r="L33" s="146">
        <f>References!$B$34</f>
        <v>324</v>
      </c>
      <c r="M33" s="151">
        <f>References!$B$10</f>
        <v>8.6666666666666661</v>
      </c>
      <c r="N33" s="269">
        <f>SUMIF('Lewis Co. Regulated - Price Out'!$C$10:$C$200,Mapping!D33,'Lewis Co. Regulated - Price Out'!$AF$10:$AF$201)</f>
        <v>84.579337580567042</v>
      </c>
      <c r="O33" s="269">
        <f t="shared" si="1"/>
        <v>733.02092569824765</v>
      </c>
      <c r="P33" s="141"/>
      <c r="S33" s="152"/>
    </row>
    <row r="34" spans="1:19" s="142" customFormat="1">
      <c r="A34" s="149" t="s">
        <v>12</v>
      </c>
      <c r="B34" s="149" t="s">
        <v>194</v>
      </c>
      <c r="C34" s="243">
        <v>38</v>
      </c>
      <c r="D34" s="149" t="s">
        <v>305</v>
      </c>
      <c r="E34" s="149" t="s">
        <v>306</v>
      </c>
      <c r="F34" s="149" t="s">
        <v>301</v>
      </c>
      <c r="G34" s="149" t="s">
        <v>201</v>
      </c>
      <c r="H34" s="150" t="s">
        <v>186</v>
      </c>
      <c r="I34" s="146" t="s">
        <v>196</v>
      </c>
      <c r="J34" s="251" t="str">
        <f t="shared" si="0"/>
        <v>2 yard Permanent</v>
      </c>
      <c r="K34" s="146" t="s">
        <v>749</v>
      </c>
      <c r="L34" s="146">
        <f>L33</f>
        <v>324</v>
      </c>
      <c r="M34" s="151">
        <f>References!$B$10*2</f>
        <v>17.333333333333332</v>
      </c>
      <c r="N34" s="269">
        <f>SUMIF('Lewis Co. Regulated - Price Out'!$C$10:$C$200,Mapping!D34,'Lewis Co. Regulated - Price Out'!$AF$10:$AF$201)</f>
        <v>12</v>
      </c>
      <c r="O34" s="269">
        <f t="shared" si="1"/>
        <v>208</v>
      </c>
      <c r="P34" s="141"/>
    </row>
    <row r="35" spans="1:19" s="142" customFormat="1">
      <c r="A35" s="149" t="s">
        <v>12</v>
      </c>
      <c r="B35" s="149" t="s">
        <v>194</v>
      </c>
      <c r="C35" s="243">
        <v>38</v>
      </c>
      <c r="D35" s="149" t="s">
        <v>307</v>
      </c>
      <c r="E35" s="149" t="s">
        <v>308</v>
      </c>
      <c r="F35" s="149" t="s">
        <v>301</v>
      </c>
      <c r="G35" s="149" t="s">
        <v>201</v>
      </c>
      <c r="H35" s="150" t="s">
        <v>186</v>
      </c>
      <c r="I35" s="146" t="s">
        <v>196</v>
      </c>
      <c r="J35" s="251" t="str">
        <f t="shared" si="0"/>
        <v>2 yard Permanent</v>
      </c>
      <c r="K35" s="146" t="s">
        <v>749</v>
      </c>
      <c r="L35" s="146">
        <f>References!$B$34</f>
        <v>324</v>
      </c>
      <c r="M35" s="151">
        <f>References!$B$9</f>
        <v>13</v>
      </c>
      <c r="N35" s="269">
        <f>SUMIF('Lewis Co. Regulated - Price Out'!$C$10:$C$200,Mapping!D35,'Lewis Co. Regulated - Price Out'!$AF$10:$AF$201)</f>
        <v>1.571421358242868</v>
      </c>
      <c r="O35" s="269">
        <f t="shared" si="1"/>
        <v>20.428477657157284</v>
      </c>
      <c r="P35" s="141"/>
    </row>
    <row r="36" spans="1:19" s="142" customFormat="1">
      <c r="A36" s="149" t="s">
        <v>12</v>
      </c>
      <c r="B36" s="149" t="s">
        <v>194</v>
      </c>
      <c r="C36" s="243">
        <v>38</v>
      </c>
      <c r="D36" s="149" t="s">
        <v>309</v>
      </c>
      <c r="E36" s="149" t="s">
        <v>310</v>
      </c>
      <c r="F36" s="149" t="s">
        <v>301</v>
      </c>
      <c r="G36" s="149" t="s">
        <v>201</v>
      </c>
      <c r="H36" s="150" t="s">
        <v>183</v>
      </c>
      <c r="I36" s="146" t="s">
        <v>196</v>
      </c>
      <c r="J36" s="251" t="str">
        <f t="shared" si="0"/>
        <v>2 yard Permanent</v>
      </c>
      <c r="K36" s="146" t="s">
        <v>749</v>
      </c>
      <c r="L36" s="146">
        <f>References!$B$34</f>
        <v>324</v>
      </c>
      <c r="M36" s="151">
        <f>References!$B$12</f>
        <v>2.1666666666666665</v>
      </c>
      <c r="N36" s="269">
        <f>SUMIF('Lewis Co. Regulated - Price Out'!$C$10:$C$200,Mapping!D36,'Lewis Co. Regulated - Price Out'!$AF$10:$AF$201)</f>
        <v>524.16606076343805</v>
      </c>
      <c r="O36" s="269">
        <f t="shared" si="1"/>
        <v>1135.6931316541156</v>
      </c>
      <c r="P36" s="141"/>
    </row>
    <row r="37" spans="1:19" s="142" customFormat="1">
      <c r="A37" s="149" t="s">
        <v>12</v>
      </c>
      <c r="B37" s="149" t="s">
        <v>194</v>
      </c>
      <c r="C37" s="243">
        <v>38</v>
      </c>
      <c r="D37" s="149" t="s">
        <v>311</v>
      </c>
      <c r="E37" s="149" t="s">
        <v>310</v>
      </c>
      <c r="F37" s="149" t="s">
        <v>301</v>
      </c>
      <c r="G37" s="149" t="s">
        <v>201</v>
      </c>
      <c r="H37" s="150" t="s">
        <v>183</v>
      </c>
      <c r="I37" s="146" t="s">
        <v>196</v>
      </c>
      <c r="J37" s="251" t="str">
        <f t="shared" si="0"/>
        <v>2 yard Permanent</v>
      </c>
      <c r="K37" s="146" t="s">
        <v>749</v>
      </c>
      <c r="L37" s="146">
        <f>References!$B$34</f>
        <v>324</v>
      </c>
      <c r="M37" s="151">
        <f>References!$B$12</f>
        <v>2.1666666666666665</v>
      </c>
      <c r="N37" s="269">
        <f>SUMIF('Lewis Co. Regulated - Price Out'!$C$10:$C$200,Mapping!D37,'Lewis Co. Regulated - Price Out'!$AF$10:$AF$201)</f>
        <v>1290.0225915346664</v>
      </c>
      <c r="O37" s="269">
        <f t="shared" si="1"/>
        <v>2795.0489483251104</v>
      </c>
      <c r="P37" s="141"/>
    </row>
    <row r="38" spans="1:19">
      <c r="A38" s="149" t="s">
        <v>12</v>
      </c>
      <c r="B38" s="149" t="s">
        <v>194</v>
      </c>
      <c r="C38" s="243">
        <v>38</v>
      </c>
      <c r="D38" s="149" t="s">
        <v>312</v>
      </c>
      <c r="E38" s="149" t="s">
        <v>313</v>
      </c>
      <c r="F38" s="149" t="s">
        <v>313</v>
      </c>
      <c r="G38" s="149" t="s">
        <v>755</v>
      </c>
      <c r="H38" s="150" t="s">
        <v>186</v>
      </c>
      <c r="I38" s="146" t="s">
        <v>196</v>
      </c>
      <c r="J38" s="251" t="str">
        <f t="shared" si="0"/>
        <v>3 yard Permanent</v>
      </c>
      <c r="K38" s="146" t="s">
        <v>750</v>
      </c>
      <c r="L38" s="146">
        <f>References!$B$35</f>
        <v>473</v>
      </c>
      <c r="M38" s="151">
        <f>References!$B$11</f>
        <v>4.333333333333333</v>
      </c>
      <c r="N38" s="269">
        <f>SUMIF('Lewis Co. Regulated - Price Out'!$C$10:$C$200,Mapping!D38,'Lewis Co. Regulated - Price Out'!$AF$10:$AF$201)</f>
        <v>469.30005941770645</v>
      </c>
      <c r="O38" s="269">
        <f t="shared" si="1"/>
        <v>2033.6335908100612</v>
      </c>
    </row>
    <row r="39" spans="1:19">
      <c r="A39" s="149" t="s">
        <v>12</v>
      </c>
      <c r="B39" s="149" t="s">
        <v>194</v>
      </c>
      <c r="C39" s="243">
        <v>38</v>
      </c>
      <c r="D39" s="149" t="s">
        <v>314</v>
      </c>
      <c r="E39" s="149" t="s">
        <v>315</v>
      </c>
      <c r="F39" s="149" t="s">
        <v>313</v>
      </c>
      <c r="G39" s="149" t="s">
        <v>755</v>
      </c>
      <c r="H39" s="150" t="s">
        <v>186</v>
      </c>
      <c r="I39" s="146" t="s">
        <v>196</v>
      </c>
      <c r="J39" s="251" t="str">
        <f t="shared" si="0"/>
        <v>3 yard Permanent</v>
      </c>
      <c r="K39" s="146" t="s">
        <v>750</v>
      </c>
      <c r="L39" s="146">
        <f>References!$B$35</f>
        <v>473</v>
      </c>
      <c r="M39" s="151">
        <f>References!$B$10</f>
        <v>8.6666666666666661</v>
      </c>
      <c r="N39" s="269">
        <f>SUMIF('Lewis Co. Regulated - Price Out'!$C$10:$C$200,Mapping!D39,'Lewis Co. Regulated - Price Out'!$AF$10:$AF$201)</f>
        <v>13.375016091243788</v>
      </c>
      <c r="O39" s="269">
        <f t="shared" si="1"/>
        <v>115.91680612411282</v>
      </c>
    </row>
    <row r="40" spans="1:19">
      <c r="A40" s="149" t="s">
        <v>12</v>
      </c>
      <c r="B40" s="149" t="s">
        <v>194</v>
      </c>
      <c r="C40" s="243">
        <v>38</v>
      </c>
      <c r="D40" s="465" t="s">
        <v>316</v>
      </c>
      <c r="E40" s="465" t="s">
        <v>317</v>
      </c>
      <c r="F40" s="149" t="s">
        <v>313</v>
      </c>
      <c r="G40" s="149" t="s">
        <v>755</v>
      </c>
      <c r="H40" s="150" t="s">
        <v>186</v>
      </c>
      <c r="I40" s="146" t="s">
        <v>196</v>
      </c>
      <c r="J40" s="251" t="str">
        <f t="shared" si="0"/>
        <v>3 yard Permanent</v>
      </c>
      <c r="K40" s="146" t="s">
        <v>750</v>
      </c>
      <c r="L40" s="146">
        <f>References!$B$35</f>
        <v>473</v>
      </c>
      <c r="M40" s="504">
        <f>References!$B$8</f>
        <v>17.333333333333332</v>
      </c>
      <c r="N40" s="269">
        <f>SUMIF('Lewis Co. Regulated - Price Out'!$C$10:$C$200,Mapping!D40,'Lewis Co. Regulated - Price Out'!$AF$10:$AF$201)</f>
        <v>12</v>
      </c>
      <c r="O40" s="269">
        <f t="shared" si="1"/>
        <v>208</v>
      </c>
    </row>
    <row r="41" spans="1:19">
      <c r="A41" s="149" t="s">
        <v>12</v>
      </c>
      <c r="B41" s="149" t="s">
        <v>194</v>
      </c>
      <c r="C41" s="243">
        <v>38</v>
      </c>
      <c r="D41" s="465" t="s">
        <v>318</v>
      </c>
      <c r="E41" s="465" t="s">
        <v>319</v>
      </c>
      <c r="F41" s="149" t="s">
        <v>313</v>
      </c>
      <c r="G41" s="149" t="s">
        <v>755</v>
      </c>
      <c r="H41" s="468" t="s">
        <v>183</v>
      </c>
      <c r="I41" s="146" t="s">
        <v>196</v>
      </c>
      <c r="J41" s="251" t="str">
        <f t="shared" si="0"/>
        <v>3 yard Permanent</v>
      </c>
      <c r="K41" s="146" t="s">
        <v>750</v>
      </c>
      <c r="L41" s="146">
        <f>References!$B$35</f>
        <v>473</v>
      </c>
      <c r="M41" s="151">
        <f>References!$B$12</f>
        <v>2.1666666666666665</v>
      </c>
      <c r="N41" s="269">
        <f>SUMIF('Lewis Co. Regulated - Price Out'!$C$10:$C$200,Mapping!D41,'Lewis Co. Regulated - Price Out'!$AF$10:$AF$201)</f>
        <v>240.83368517668654</v>
      </c>
      <c r="O41" s="269">
        <f t="shared" si="1"/>
        <v>521.80631788282085</v>
      </c>
    </row>
    <row r="42" spans="1:19">
      <c r="A42" s="149" t="s">
        <v>12</v>
      </c>
      <c r="B42" s="149" t="s">
        <v>194</v>
      </c>
      <c r="C42" s="243">
        <v>38</v>
      </c>
      <c r="D42" s="465" t="s">
        <v>320</v>
      </c>
      <c r="E42" s="465" t="s">
        <v>321</v>
      </c>
      <c r="F42" s="465" t="s">
        <v>321</v>
      </c>
      <c r="G42" s="465" t="s">
        <v>756</v>
      </c>
      <c r="H42" s="468" t="s">
        <v>186</v>
      </c>
      <c r="I42" s="146" t="s">
        <v>196</v>
      </c>
      <c r="J42" s="251" t="str">
        <f t="shared" si="0"/>
        <v>4 yard Permanent</v>
      </c>
      <c r="K42" s="146" t="s">
        <v>751</v>
      </c>
      <c r="L42" s="469">
        <f>References!$B$36</f>
        <v>613</v>
      </c>
      <c r="M42" s="151">
        <f>References!$B$11</f>
        <v>4.333333333333333</v>
      </c>
      <c r="N42" s="269">
        <f>SUMIF('Lewis Co. Regulated - Price Out'!$C$10:$C$200,Mapping!D42,'Lewis Co. Regulated - Price Out'!$AF$10:$AF$201)</f>
        <v>602.20023258711637</v>
      </c>
      <c r="O42" s="269">
        <f t="shared" si="1"/>
        <v>2609.5343412108373</v>
      </c>
    </row>
    <row r="43" spans="1:19">
      <c r="A43" s="149" t="s">
        <v>12</v>
      </c>
      <c r="B43" s="149" t="s">
        <v>194</v>
      </c>
      <c r="C43" s="243">
        <v>38</v>
      </c>
      <c r="D43" s="465" t="s">
        <v>322</v>
      </c>
      <c r="E43" s="465" t="s">
        <v>323</v>
      </c>
      <c r="F43" s="465" t="s">
        <v>321</v>
      </c>
      <c r="G43" s="465" t="s">
        <v>756</v>
      </c>
      <c r="H43" s="468" t="s">
        <v>186</v>
      </c>
      <c r="I43" s="146" t="s">
        <v>196</v>
      </c>
      <c r="J43" s="251" t="str">
        <f t="shared" si="0"/>
        <v>4 yard Permanent</v>
      </c>
      <c r="K43" s="146" t="s">
        <v>751</v>
      </c>
      <c r="L43" s="469">
        <f>References!$B$36</f>
        <v>613</v>
      </c>
      <c r="M43" s="151">
        <f>References!$B$10</f>
        <v>8.6666666666666661</v>
      </c>
      <c r="N43" s="269">
        <f>SUMIF('Lewis Co. Regulated - Price Out'!$C$10:$C$200,Mapping!D43,'Lewis Co. Regulated - Price Out'!$AF$10:$AF$201)</f>
        <v>45.430627568253698</v>
      </c>
      <c r="O43" s="269">
        <f t="shared" si="1"/>
        <v>393.73210559153205</v>
      </c>
    </row>
    <row r="44" spans="1:19">
      <c r="A44" s="149" t="s">
        <v>12</v>
      </c>
      <c r="B44" s="149" t="s">
        <v>194</v>
      </c>
      <c r="C44" s="243">
        <v>38</v>
      </c>
      <c r="D44" s="465" t="s">
        <v>324</v>
      </c>
      <c r="E44" s="465" t="s">
        <v>325</v>
      </c>
      <c r="F44" s="465" t="s">
        <v>321</v>
      </c>
      <c r="G44" s="465" t="s">
        <v>756</v>
      </c>
      <c r="H44" s="468" t="s">
        <v>186</v>
      </c>
      <c r="I44" s="146" t="s">
        <v>196</v>
      </c>
      <c r="J44" s="251" t="str">
        <f t="shared" si="0"/>
        <v>4 yard Permanent</v>
      </c>
      <c r="K44" s="146" t="s">
        <v>751</v>
      </c>
      <c r="L44" s="469">
        <f>References!$B$36</f>
        <v>613</v>
      </c>
      <c r="M44" s="151">
        <f>References!$B$10*2</f>
        <v>17.333333333333332</v>
      </c>
      <c r="N44" s="269">
        <f>SUMIF('Lewis Co. Regulated - Price Out'!$C$10:$C$200,Mapping!D44,'Lewis Co. Regulated - Price Out'!$AF$10:$AF$201)</f>
        <v>17.472214453217443</v>
      </c>
      <c r="O44" s="269">
        <f t="shared" si="1"/>
        <v>302.85171718910232</v>
      </c>
    </row>
    <row r="45" spans="1:19">
      <c r="A45" s="149" t="s">
        <v>12</v>
      </c>
      <c r="B45" s="149" t="s">
        <v>194</v>
      </c>
      <c r="C45" s="243">
        <v>38</v>
      </c>
      <c r="D45" s="465" t="s">
        <v>326</v>
      </c>
      <c r="E45" s="465" t="s">
        <v>327</v>
      </c>
      <c r="F45" s="465" t="s">
        <v>321</v>
      </c>
      <c r="G45" s="465" t="s">
        <v>756</v>
      </c>
      <c r="H45" s="468" t="s">
        <v>183</v>
      </c>
      <c r="I45" s="146" t="s">
        <v>196</v>
      </c>
      <c r="J45" s="251" t="str">
        <f t="shared" si="0"/>
        <v>4 yard Permanent</v>
      </c>
      <c r="K45" s="146" t="s">
        <v>751</v>
      </c>
      <c r="L45" s="469">
        <f>References!$B$36</f>
        <v>613</v>
      </c>
      <c r="M45" s="151">
        <f>References!$B$12</f>
        <v>2.1666666666666665</v>
      </c>
      <c r="N45" s="269">
        <f>SUMIF('Lewis Co. Regulated - Price Out'!$C$10:$C$200,Mapping!D45,'Lewis Co. Regulated - Price Out'!$AF$10:$AF$201)</f>
        <v>417.33320415439459</v>
      </c>
      <c r="O45" s="269">
        <f t="shared" si="1"/>
        <v>904.2219423345216</v>
      </c>
    </row>
    <row r="46" spans="1:19">
      <c r="A46" s="149" t="s">
        <v>12</v>
      </c>
      <c r="B46" s="149" t="s">
        <v>194</v>
      </c>
      <c r="C46" s="243">
        <v>38</v>
      </c>
      <c r="D46" s="465" t="s">
        <v>328</v>
      </c>
      <c r="E46" s="465" t="s">
        <v>329</v>
      </c>
      <c r="F46" s="465" t="s">
        <v>329</v>
      </c>
      <c r="G46" s="465" t="s">
        <v>757</v>
      </c>
      <c r="H46" s="468" t="s">
        <v>186</v>
      </c>
      <c r="I46" s="146" t="s">
        <v>196</v>
      </c>
      <c r="J46" s="251" t="str">
        <f t="shared" si="0"/>
        <v>5 yard Permanent</v>
      </c>
      <c r="K46" s="146" t="s">
        <v>752</v>
      </c>
      <c r="L46" s="469">
        <f>(References!$B$36+References!$B$37)/2</f>
        <v>726.5</v>
      </c>
      <c r="M46" s="151">
        <f>References!$B$11</f>
        <v>4.333333333333333</v>
      </c>
      <c r="N46" s="269">
        <f>SUMIF('Lewis Co. Regulated - Price Out'!$C$10:$C$200,Mapping!D46,'Lewis Co. Regulated - Price Out'!$AF$10:$AF$201)</f>
        <v>7.7500176093540887</v>
      </c>
      <c r="O46" s="269">
        <f t="shared" si="1"/>
        <v>33.583409640534384</v>
      </c>
    </row>
    <row r="47" spans="1:19">
      <c r="A47" s="149" t="s">
        <v>12</v>
      </c>
      <c r="B47" s="149" t="s">
        <v>194</v>
      </c>
      <c r="C47" s="243">
        <v>38</v>
      </c>
      <c r="D47" s="465" t="s">
        <v>330</v>
      </c>
      <c r="E47" s="465" t="s">
        <v>331</v>
      </c>
      <c r="F47" s="465" t="s">
        <v>331</v>
      </c>
      <c r="G47" s="465" t="s">
        <v>758</v>
      </c>
      <c r="H47" s="468" t="s">
        <v>186</v>
      </c>
      <c r="I47" s="146" t="s">
        <v>196</v>
      </c>
      <c r="J47" s="251" t="str">
        <f t="shared" si="0"/>
        <v>6 yard Permanent</v>
      </c>
      <c r="K47" s="146" t="s">
        <v>753</v>
      </c>
      <c r="L47" s="469">
        <f>References!$B$37</f>
        <v>840</v>
      </c>
      <c r="M47" s="151">
        <f>References!$B$11</f>
        <v>4.333333333333333</v>
      </c>
      <c r="N47" s="269">
        <f>SUMIF('Lewis Co. Regulated - Price Out'!$C$10:$C$200,Mapping!D47,'Lewis Co. Regulated - Price Out'!$AF$10:$AF$201)</f>
        <v>1050.6999036468217</v>
      </c>
      <c r="O47" s="269">
        <f t="shared" si="1"/>
        <v>4553.0329158028935</v>
      </c>
    </row>
    <row r="48" spans="1:19">
      <c r="A48" s="149" t="s">
        <v>12</v>
      </c>
      <c r="B48" s="149" t="s">
        <v>194</v>
      </c>
      <c r="C48" s="243">
        <v>38</v>
      </c>
      <c r="D48" s="465" t="s">
        <v>332</v>
      </c>
      <c r="E48" s="465" t="s">
        <v>333</v>
      </c>
      <c r="F48" s="465" t="s">
        <v>331</v>
      </c>
      <c r="G48" s="465" t="s">
        <v>758</v>
      </c>
      <c r="H48" s="468" t="s">
        <v>186</v>
      </c>
      <c r="I48" s="146" t="s">
        <v>196</v>
      </c>
      <c r="J48" s="251" t="str">
        <f t="shared" si="0"/>
        <v>6 yard Permanent</v>
      </c>
      <c r="K48" s="146" t="s">
        <v>753</v>
      </c>
      <c r="L48" s="469">
        <f>References!$B$37</f>
        <v>840</v>
      </c>
      <c r="M48" s="151">
        <f>References!$B$10</f>
        <v>8.6666666666666661</v>
      </c>
      <c r="N48" s="269">
        <f>SUMIF('Lewis Co. Regulated - Price Out'!$C$10:$C$200,Mapping!D48,'Lewis Co. Regulated - Price Out'!$AF$10:$AF$201)</f>
        <v>38.900026278139507</v>
      </c>
      <c r="O48" s="269">
        <f t="shared" si="1"/>
        <v>337.13356107720904</v>
      </c>
    </row>
    <row r="49" spans="1:15">
      <c r="A49" s="149" t="s">
        <v>12</v>
      </c>
      <c r="B49" s="149" t="s">
        <v>194</v>
      </c>
      <c r="C49" s="243">
        <v>38</v>
      </c>
      <c r="D49" s="465" t="s">
        <v>334</v>
      </c>
      <c r="E49" s="465" t="s">
        <v>335</v>
      </c>
      <c r="F49" s="465" t="s">
        <v>331</v>
      </c>
      <c r="G49" s="465" t="s">
        <v>758</v>
      </c>
      <c r="H49" s="468" t="s">
        <v>186</v>
      </c>
      <c r="I49" s="146" t="s">
        <v>196</v>
      </c>
      <c r="J49" s="251" t="str">
        <f t="shared" si="0"/>
        <v>6 yard Permanent</v>
      </c>
      <c r="K49" s="146" t="s">
        <v>753</v>
      </c>
      <c r="L49" s="469">
        <f>References!$B$37</f>
        <v>840</v>
      </c>
      <c r="M49" s="151">
        <f>References!$B$10</f>
        <v>8.6666666666666661</v>
      </c>
      <c r="N49" s="269">
        <f>SUMIF('Lewis Co. Regulated - Price Out'!$C$10:$C$200,Mapping!D49,'Lewis Co. Regulated - Price Out'!$AF$10:$AF$201)</f>
        <v>165.76282099612467</v>
      </c>
      <c r="O49" s="269">
        <f t="shared" si="1"/>
        <v>1436.6111152997471</v>
      </c>
    </row>
    <row r="50" spans="1:15">
      <c r="A50" s="149" t="s">
        <v>12</v>
      </c>
      <c r="B50" s="149" t="s">
        <v>194</v>
      </c>
      <c r="C50" s="243">
        <v>38</v>
      </c>
      <c r="D50" s="465" t="s">
        <v>336</v>
      </c>
      <c r="E50" s="465" t="s">
        <v>337</v>
      </c>
      <c r="F50" s="465" t="s">
        <v>331</v>
      </c>
      <c r="G50" s="465" t="s">
        <v>758</v>
      </c>
      <c r="H50" s="468" t="s">
        <v>186</v>
      </c>
      <c r="I50" s="146" t="s">
        <v>196</v>
      </c>
      <c r="J50" s="251" t="str">
        <f t="shared" si="0"/>
        <v>6 yard Permanent</v>
      </c>
      <c r="K50" s="146" t="s">
        <v>753</v>
      </c>
      <c r="L50" s="469">
        <f>References!$B$37</f>
        <v>840</v>
      </c>
      <c r="M50" s="151">
        <f>References!$B$10*2</f>
        <v>17.333333333333332</v>
      </c>
      <c r="N50" s="269">
        <f>SUMIF('Lewis Co. Regulated - Price Out'!$C$10:$C$200,Mapping!D50,'Lewis Co. Regulated - Price Out'!$AF$10:$AF$201)</f>
        <v>24.777779453232203</v>
      </c>
      <c r="O50" s="269">
        <f t="shared" si="1"/>
        <v>429.48151052269151</v>
      </c>
    </row>
    <row r="51" spans="1:15">
      <c r="A51" s="149" t="s">
        <v>12</v>
      </c>
      <c r="B51" s="149" t="s">
        <v>194</v>
      </c>
      <c r="C51" s="243">
        <v>38</v>
      </c>
      <c r="D51" s="465" t="s">
        <v>338</v>
      </c>
      <c r="E51" s="465" t="s">
        <v>339</v>
      </c>
      <c r="F51" s="465" t="s">
        <v>331</v>
      </c>
      <c r="G51" s="465" t="s">
        <v>758</v>
      </c>
      <c r="H51" s="468" t="s">
        <v>186</v>
      </c>
      <c r="I51" s="146" t="s">
        <v>196</v>
      </c>
      <c r="J51" s="251" t="str">
        <f t="shared" si="0"/>
        <v>6 yard Permanent</v>
      </c>
      <c r="K51" s="146" t="s">
        <v>753</v>
      </c>
      <c r="L51" s="469">
        <f>References!$B$37</f>
        <v>840</v>
      </c>
      <c r="M51" s="151">
        <f>References!$B$9</f>
        <v>13</v>
      </c>
      <c r="N51" s="269">
        <f>SUMIF('Lewis Co. Regulated - Price Out'!$C$10:$C$200,Mapping!D51,'Lewis Co. Regulated - Price Out'!$AF$10:$AF$201)</f>
        <v>12</v>
      </c>
      <c r="O51" s="269">
        <f t="shared" si="1"/>
        <v>156</v>
      </c>
    </row>
    <row r="52" spans="1:15">
      <c r="A52" s="149" t="s">
        <v>12</v>
      </c>
      <c r="B52" s="149" t="s">
        <v>194</v>
      </c>
      <c r="C52" s="243">
        <v>38</v>
      </c>
      <c r="D52" s="465" t="s">
        <v>340</v>
      </c>
      <c r="E52" s="465" t="s">
        <v>341</v>
      </c>
      <c r="F52" s="465" t="s">
        <v>331</v>
      </c>
      <c r="G52" s="465" t="s">
        <v>758</v>
      </c>
      <c r="H52" s="468" t="s">
        <v>186</v>
      </c>
      <c r="I52" s="146" t="s">
        <v>196</v>
      </c>
      <c r="J52" s="251" t="str">
        <f t="shared" si="0"/>
        <v>6 yard Permanent</v>
      </c>
      <c r="K52" s="146" t="s">
        <v>753</v>
      </c>
      <c r="L52" s="469">
        <f>References!$B$37</f>
        <v>840</v>
      </c>
      <c r="M52" s="504">
        <f>References!$B$7</f>
        <v>21.666666666666668</v>
      </c>
      <c r="N52" s="269">
        <f>SUMIF('Lewis Co. Regulated - Price Out'!$C$10:$C$200,Mapping!D52,'Lewis Co. Regulated - Price Out'!$AF$10:$AF$201)</f>
        <v>12</v>
      </c>
      <c r="O52" s="269">
        <f t="shared" si="1"/>
        <v>260</v>
      </c>
    </row>
    <row r="53" spans="1:15">
      <c r="A53" s="149" t="s">
        <v>12</v>
      </c>
      <c r="B53" s="149" t="s">
        <v>194</v>
      </c>
      <c r="C53" s="243">
        <v>38</v>
      </c>
      <c r="D53" s="465" t="s">
        <v>342</v>
      </c>
      <c r="E53" s="465" t="s">
        <v>343</v>
      </c>
      <c r="F53" s="465" t="s">
        <v>331</v>
      </c>
      <c r="G53" s="465" t="s">
        <v>758</v>
      </c>
      <c r="H53" s="468" t="s">
        <v>183</v>
      </c>
      <c r="I53" s="146" t="s">
        <v>196</v>
      </c>
      <c r="J53" s="251" t="str">
        <f t="shared" si="0"/>
        <v>6 yard Permanent</v>
      </c>
      <c r="K53" s="146" t="s">
        <v>753</v>
      </c>
      <c r="L53" s="469">
        <f>References!$B$37</f>
        <v>840</v>
      </c>
      <c r="M53" s="151">
        <f>References!$B$12</f>
        <v>2.1666666666666665</v>
      </c>
      <c r="N53" s="269">
        <f>SUMIF('Lewis Co. Regulated - Price Out'!$C$10:$C$200,Mapping!D53,'Lewis Co. Regulated - Price Out'!$AF$10:$AF$201)</f>
        <v>325.33333333333337</v>
      </c>
      <c r="O53" s="269">
        <f t="shared" si="1"/>
        <v>704.88888888888891</v>
      </c>
    </row>
    <row r="54" spans="1:15">
      <c r="A54" s="149" t="s">
        <v>12</v>
      </c>
      <c r="B54" s="465" t="s">
        <v>776</v>
      </c>
      <c r="C54" s="466">
        <v>40</v>
      </c>
      <c r="D54" s="465" t="s">
        <v>344</v>
      </c>
      <c r="E54" s="465" t="s">
        <v>345</v>
      </c>
      <c r="F54" s="465" t="s">
        <v>345</v>
      </c>
      <c r="G54" s="465" t="s">
        <v>778</v>
      </c>
      <c r="H54" s="468" t="s">
        <v>185</v>
      </c>
      <c r="I54" s="146" t="s">
        <v>777</v>
      </c>
      <c r="J54" s="251" t="str">
        <f t="shared" si="0"/>
        <v>65 gal Company Provided Single Can</v>
      </c>
      <c r="K54" s="146" t="s">
        <v>747</v>
      </c>
      <c r="L54" s="146">
        <f>References!$B$26</f>
        <v>51</v>
      </c>
      <c r="M54" s="504">
        <f>References!$B$13</f>
        <v>1</v>
      </c>
      <c r="N54" s="269">
        <f>SUMIF('Lewis Co. Regulated - Price Out'!$C$10:$C$200,Mapping!D54,'Lewis Co. Regulated - Price Out'!$AF$10:$AF$201)</f>
        <v>1847</v>
      </c>
      <c r="O54" s="269">
        <f t="shared" si="1"/>
        <v>1847</v>
      </c>
    </row>
    <row r="55" spans="1:15">
      <c r="A55" s="149" t="s">
        <v>12</v>
      </c>
      <c r="B55" s="465" t="s">
        <v>776</v>
      </c>
      <c r="C55" s="466">
        <v>40</v>
      </c>
      <c r="D55" s="465" t="s">
        <v>347</v>
      </c>
      <c r="E55" s="465" t="s">
        <v>348</v>
      </c>
      <c r="F55" s="465" t="s">
        <v>348</v>
      </c>
      <c r="G55" s="465" t="s">
        <v>779</v>
      </c>
      <c r="H55" s="468" t="s">
        <v>185</v>
      </c>
      <c r="I55" s="146" t="s">
        <v>777</v>
      </c>
      <c r="J55" s="251" t="str">
        <f t="shared" si="0"/>
        <v>95 gal Company Provided Single Can</v>
      </c>
      <c r="K55" s="146" t="s">
        <v>748</v>
      </c>
      <c r="L55" s="146">
        <f>References!$B$27</f>
        <v>77</v>
      </c>
      <c r="M55" s="504">
        <f>References!$B$13</f>
        <v>1</v>
      </c>
      <c r="N55" s="269">
        <f>SUMIF('Lewis Co. Regulated - Price Out'!$C$10:$C$200,Mapping!D55,'Lewis Co. Regulated - Price Out'!$AF$10:$AF$201)</f>
        <v>664</v>
      </c>
      <c r="O55" s="269">
        <f t="shared" si="1"/>
        <v>664</v>
      </c>
    </row>
    <row r="56" spans="1:15">
      <c r="A56" s="149" t="s">
        <v>12</v>
      </c>
      <c r="B56" s="465" t="s">
        <v>776</v>
      </c>
      <c r="C56" s="466">
        <v>40</v>
      </c>
      <c r="D56" s="465" t="s">
        <v>351</v>
      </c>
      <c r="E56" s="465" t="s">
        <v>352</v>
      </c>
      <c r="F56" s="465" t="s">
        <v>354</v>
      </c>
      <c r="G56" s="465" t="s">
        <v>778</v>
      </c>
      <c r="H56" s="468" t="s">
        <v>186</v>
      </c>
      <c r="I56" s="469" t="s">
        <v>780</v>
      </c>
      <c r="J56" s="251" t="str">
        <f t="shared" si="0"/>
        <v>65 gal Company Provided Minimum Monthly</v>
      </c>
      <c r="K56" s="146" t="s">
        <v>747</v>
      </c>
      <c r="L56" s="146">
        <f>References!$B$26</f>
        <v>51</v>
      </c>
      <c r="M56" s="524">
        <f>References!$B$11*2</f>
        <v>8.6666666666666661</v>
      </c>
      <c r="N56" s="269">
        <f>SUMIF('Lewis Co. Regulated - Price Out'!$C$10:$C$200,Mapping!D56,'Lewis Co. Regulated - Price Out'!$AF$10:$AF$201)</f>
        <v>7</v>
      </c>
      <c r="O56" s="269">
        <f t="shared" si="1"/>
        <v>60.666666666666664</v>
      </c>
    </row>
    <row r="57" spans="1:15">
      <c r="A57" s="149" t="s">
        <v>12</v>
      </c>
      <c r="B57" s="465" t="s">
        <v>776</v>
      </c>
      <c r="C57" s="466">
        <v>40</v>
      </c>
      <c r="D57" s="465" t="s">
        <v>353</v>
      </c>
      <c r="E57" s="465" t="s">
        <v>354</v>
      </c>
      <c r="F57" s="465" t="s">
        <v>354</v>
      </c>
      <c r="G57" s="465" t="s">
        <v>778</v>
      </c>
      <c r="H57" s="468" t="s">
        <v>186</v>
      </c>
      <c r="I57" s="469" t="s">
        <v>780</v>
      </c>
      <c r="J57" s="251" t="str">
        <f t="shared" si="0"/>
        <v>65 gal Company Provided Minimum Monthly</v>
      </c>
      <c r="K57" s="146" t="s">
        <v>747</v>
      </c>
      <c r="L57" s="146">
        <f>References!$B$26</f>
        <v>51</v>
      </c>
      <c r="M57" s="524">
        <f>References!$B$11</f>
        <v>4.333333333333333</v>
      </c>
      <c r="N57" s="269">
        <f>SUMIF('Lewis Co. Regulated - Price Out'!$C$10:$C$200,Mapping!D57,'Lewis Co. Regulated - Price Out'!$AF$10:$AF$201)</f>
        <v>871.02372034956295</v>
      </c>
      <c r="O57" s="269">
        <f t="shared" si="1"/>
        <v>3774.4361215147724</v>
      </c>
    </row>
    <row r="58" spans="1:15">
      <c r="A58" s="149" t="s">
        <v>12</v>
      </c>
      <c r="B58" s="465" t="s">
        <v>776</v>
      </c>
      <c r="C58" s="466">
        <v>40</v>
      </c>
      <c r="D58" s="465" t="s">
        <v>355</v>
      </c>
      <c r="E58" s="465" t="s">
        <v>356</v>
      </c>
      <c r="F58" s="465" t="s">
        <v>354</v>
      </c>
      <c r="G58" s="465" t="s">
        <v>778</v>
      </c>
      <c r="H58" s="468" t="s">
        <v>183</v>
      </c>
      <c r="I58" s="469" t="s">
        <v>780</v>
      </c>
      <c r="J58" s="251" t="str">
        <f t="shared" si="0"/>
        <v>65 gal Company Provided Minimum Monthly</v>
      </c>
      <c r="K58" s="146" t="s">
        <v>747</v>
      </c>
      <c r="L58" s="146">
        <f>References!$B$26</f>
        <v>51</v>
      </c>
      <c r="M58" s="524">
        <f>References!$B$12*2</f>
        <v>4.333333333333333</v>
      </c>
      <c r="N58" s="269">
        <f>SUMIF('Lewis Co. Regulated - Price Out'!$C$10:$C$200,Mapping!D58,'Lewis Co. Regulated - Price Out'!$AF$10:$AF$201)</f>
        <v>18.500622665006226</v>
      </c>
      <c r="O58" s="269">
        <f t="shared" si="1"/>
        <v>80.169364881693639</v>
      </c>
    </row>
    <row r="59" spans="1:15">
      <c r="A59" s="149" t="s">
        <v>12</v>
      </c>
      <c r="B59" s="465" t="s">
        <v>776</v>
      </c>
      <c r="C59" s="466">
        <v>40</v>
      </c>
      <c r="D59" s="465" t="s">
        <v>357</v>
      </c>
      <c r="E59" s="465" t="s">
        <v>358</v>
      </c>
      <c r="F59" s="465" t="s">
        <v>354</v>
      </c>
      <c r="G59" s="465" t="s">
        <v>778</v>
      </c>
      <c r="H59" s="468" t="s">
        <v>183</v>
      </c>
      <c r="I59" s="469" t="s">
        <v>780</v>
      </c>
      <c r="J59" s="251" t="str">
        <f t="shared" si="0"/>
        <v>65 gal Company Provided Minimum Monthly</v>
      </c>
      <c r="K59" s="146" t="s">
        <v>747</v>
      </c>
      <c r="L59" s="146">
        <f>References!$B$26</f>
        <v>51</v>
      </c>
      <c r="M59" s="524">
        <f>References!$B$12</f>
        <v>2.1666666666666665</v>
      </c>
      <c r="N59" s="269">
        <f>SUMIF('Lewis Co. Regulated - Price Out'!$C$10:$C$200,Mapping!D59,'Lewis Co. Regulated - Price Out'!$AF$10:$AF$201)</f>
        <v>896.16855142703287</v>
      </c>
      <c r="O59" s="269">
        <f t="shared" si="1"/>
        <v>1941.6985280919043</v>
      </c>
    </row>
    <row r="60" spans="1:15">
      <c r="A60" s="149" t="s">
        <v>12</v>
      </c>
      <c r="B60" s="465" t="s">
        <v>776</v>
      </c>
      <c r="C60" s="466">
        <v>40</v>
      </c>
      <c r="D60" s="465" t="s">
        <v>359</v>
      </c>
      <c r="E60" s="465" t="s">
        <v>360</v>
      </c>
      <c r="F60" s="465" t="s">
        <v>360</v>
      </c>
      <c r="G60" s="465" t="s">
        <v>779</v>
      </c>
      <c r="H60" s="468" t="s">
        <v>186</v>
      </c>
      <c r="I60" s="469" t="s">
        <v>780</v>
      </c>
      <c r="J60" s="251" t="str">
        <f t="shared" si="0"/>
        <v>95 gal Company Provided Minimum Monthly</v>
      </c>
      <c r="K60" s="146" t="s">
        <v>748</v>
      </c>
      <c r="L60" s="146">
        <f>References!$B$27</f>
        <v>77</v>
      </c>
      <c r="M60" s="524">
        <f>References!$B$11</f>
        <v>4.333333333333333</v>
      </c>
      <c r="N60" s="269">
        <f>SUMIF('Lewis Co. Regulated - Price Out'!$C$10:$C$200,Mapping!D60,'Lewis Co. Regulated - Price Out'!$AF$10:$AF$201)</f>
        <v>1308.5003022974606</v>
      </c>
      <c r="O60" s="269">
        <f t="shared" si="1"/>
        <v>5670.1679766223288</v>
      </c>
    </row>
    <row r="61" spans="1:15">
      <c r="A61" s="149" t="s">
        <v>12</v>
      </c>
      <c r="B61" s="465" t="s">
        <v>776</v>
      </c>
      <c r="C61" s="466">
        <v>40</v>
      </c>
      <c r="D61" s="465" t="s">
        <v>361</v>
      </c>
      <c r="E61" s="465" t="s">
        <v>362</v>
      </c>
      <c r="F61" s="465" t="s">
        <v>360</v>
      </c>
      <c r="G61" s="465" t="s">
        <v>779</v>
      </c>
      <c r="H61" s="468" t="s">
        <v>183</v>
      </c>
      <c r="I61" s="469" t="s">
        <v>780</v>
      </c>
      <c r="J61" s="251" t="str">
        <f t="shared" si="0"/>
        <v>95 gal Company Provided Minimum Monthly</v>
      </c>
      <c r="K61" s="146" t="s">
        <v>748</v>
      </c>
      <c r="L61" s="146">
        <f>References!$B$27</f>
        <v>77</v>
      </c>
      <c r="M61" s="524">
        <f>References!$B$12</f>
        <v>2.1666666666666665</v>
      </c>
      <c r="N61" s="269">
        <f>SUMIF('Lewis Co. Regulated - Price Out'!$C$10:$C$200,Mapping!D61,'Lewis Co. Regulated - Price Out'!$AF$10:$AF$201)</f>
        <v>423.16718129686814</v>
      </c>
      <c r="O61" s="269">
        <f t="shared" si="1"/>
        <v>916.86222614321423</v>
      </c>
    </row>
    <row r="62" spans="1:15">
      <c r="A62" s="149" t="s">
        <v>12</v>
      </c>
      <c r="B62" s="465" t="s">
        <v>194</v>
      </c>
      <c r="C62" s="466">
        <v>38</v>
      </c>
      <c r="D62" s="465" t="s">
        <v>363</v>
      </c>
      <c r="E62" s="465" t="s">
        <v>364</v>
      </c>
      <c r="F62" s="465" t="s">
        <v>364</v>
      </c>
      <c r="G62" s="465" t="s">
        <v>199</v>
      </c>
      <c r="H62" s="468" t="s">
        <v>185</v>
      </c>
      <c r="I62" s="469" t="s">
        <v>785</v>
      </c>
      <c r="J62" s="251" t="str">
        <f t="shared" si="0"/>
        <v>1 yard Temporary Pickup</v>
      </c>
      <c r="K62" s="146" t="s">
        <v>187</v>
      </c>
      <c r="L62" s="146">
        <f>References!$B$32</f>
        <v>175</v>
      </c>
      <c r="M62" s="151">
        <f>References!$B$13</f>
        <v>1</v>
      </c>
      <c r="N62" s="269">
        <f>SUMIF('Lewis Co. Regulated - Price Out'!$C$10:$C$200,Mapping!D62,'Lewis Co. Regulated - Price Out'!$AF$10:$AF$201)</f>
        <v>12</v>
      </c>
      <c r="O62" s="269">
        <f t="shared" si="1"/>
        <v>12</v>
      </c>
    </row>
    <row r="63" spans="1:15">
      <c r="A63" s="149" t="s">
        <v>12</v>
      </c>
      <c r="B63" s="465" t="s">
        <v>194</v>
      </c>
      <c r="C63" s="466">
        <v>38</v>
      </c>
      <c r="D63" s="465" t="s">
        <v>365</v>
      </c>
      <c r="E63" s="465" t="s">
        <v>366</v>
      </c>
      <c r="F63" s="465" t="s">
        <v>364</v>
      </c>
      <c r="G63" s="465" t="s">
        <v>199</v>
      </c>
      <c r="H63" s="468" t="s">
        <v>185</v>
      </c>
      <c r="I63" s="469" t="s">
        <v>785</v>
      </c>
      <c r="J63" s="251" t="str">
        <f t="shared" si="0"/>
        <v>1 yard Temporary Pickup</v>
      </c>
      <c r="K63" s="146" t="s">
        <v>187</v>
      </c>
      <c r="L63" s="146">
        <f>References!$B$32</f>
        <v>175</v>
      </c>
      <c r="M63" s="151">
        <f>References!$B$13</f>
        <v>1</v>
      </c>
      <c r="N63" s="269">
        <f>SUMIF('Lewis Co. Regulated - Price Out'!$C$10:$C$200,Mapping!D63,'Lewis Co. Regulated - Price Out'!$AF$10:$AF$201)</f>
        <v>2</v>
      </c>
      <c r="O63" s="269">
        <f t="shared" si="1"/>
        <v>2</v>
      </c>
    </row>
    <row r="64" spans="1:15">
      <c r="A64" s="149" t="s">
        <v>12</v>
      </c>
      <c r="B64" s="465" t="s">
        <v>194</v>
      </c>
      <c r="C64" s="466">
        <v>38</v>
      </c>
      <c r="D64" s="465" t="s">
        <v>367</v>
      </c>
      <c r="E64" s="465" t="s">
        <v>368</v>
      </c>
      <c r="F64" s="465" t="s">
        <v>368</v>
      </c>
      <c r="G64" s="465" t="s">
        <v>200</v>
      </c>
      <c r="H64" s="468" t="s">
        <v>185</v>
      </c>
      <c r="I64" s="469" t="s">
        <v>785</v>
      </c>
      <c r="J64" s="251" t="str">
        <f t="shared" si="0"/>
        <v>1.5 yard Temporary Pickup</v>
      </c>
      <c r="K64" s="146" t="s">
        <v>188</v>
      </c>
      <c r="L64" s="146">
        <f>References!$B$33</f>
        <v>250</v>
      </c>
      <c r="M64" s="151">
        <f>References!$B$13</f>
        <v>1</v>
      </c>
      <c r="N64" s="269">
        <f>SUMIF('Lewis Co. Regulated - Price Out'!$C$10:$C$200,Mapping!D64,'Lewis Co. Regulated - Price Out'!$AF$10:$AF$201)</f>
        <v>7</v>
      </c>
      <c r="O64" s="269">
        <f t="shared" si="1"/>
        <v>7</v>
      </c>
    </row>
    <row r="65" spans="1:16">
      <c r="A65" s="149" t="s">
        <v>12</v>
      </c>
      <c r="B65" s="465" t="s">
        <v>194</v>
      </c>
      <c r="C65" s="466">
        <v>38</v>
      </c>
      <c r="D65" s="465" t="s">
        <v>369</v>
      </c>
      <c r="E65" s="465" t="s">
        <v>370</v>
      </c>
      <c r="F65" s="465" t="s">
        <v>370</v>
      </c>
      <c r="G65" s="465" t="s">
        <v>201</v>
      </c>
      <c r="H65" s="468" t="s">
        <v>185</v>
      </c>
      <c r="I65" s="469" t="s">
        <v>785</v>
      </c>
      <c r="J65" s="251" t="str">
        <f t="shared" si="0"/>
        <v>2 yard Temporary Pickup</v>
      </c>
      <c r="K65" s="146" t="s">
        <v>749</v>
      </c>
      <c r="L65" s="146">
        <f>References!$B$34</f>
        <v>324</v>
      </c>
      <c r="M65" s="151">
        <f>References!$B$13</f>
        <v>1</v>
      </c>
      <c r="N65" s="269">
        <f>SUMIF('Lewis Co. Regulated - Price Out'!$C$10:$C$200,Mapping!D65,'Lewis Co. Regulated - Price Out'!$AF$10:$AF$201)</f>
        <v>130</v>
      </c>
      <c r="O65" s="269">
        <f t="shared" si="1"/>
        <v>130</v>
      </c>
    </row>
    <row r="66" spans="1:16">
      <c r="A66" s="149" t="s">
        <v>12</v>
      </c>
      <c r="B66" s="465" t="s">
        <v>194</v>
      </c>
      <c r="C66" s="466">
        <v>38</v>
      </c>
      <c r="D66" s="465" t="s">
        <v>371</v>
      </c>
      <c r="E66" s="465" t="s">
        <v>372</v>
      </c>
      <c r="F66" s="465" t="s">
        <v>370</v>
      </c>
      <c r="G66" s="465" t="s">
        <v>201</v>
      </c>
      <c r="H66" s="468" t="s">
        <v>185</v>
      </c>
      <c r="I66" s="469" t="s">
        <v>785</v>
      </c>
      <c r="J66" s="251" t="str">
        <f t="shared" ref="J66:J78" si="4">CONCATENATE(G66," ",I66)</f>
        <v>2 yard Temporary Pickup</v>
      </c>
      <c r="K66" s="146" t="s">
        <v>749</v>
      </c>
      <c r="L66" s="146">
        <f>References!$B$34</f>
        <v>324</v>
      </c>
      <c r="M66" s="151">
        <f>References!$B$13</f>
        <v>1</v>
      </c>
      <c r="N66" s="269">
        <f>SUMIF('Lewis Co. Regulated - Price Out'!$C$10:$C$200,Mapping!D66,'Lewis Co. Regulated - Price Out'!$AF$10:$AF$201)</f>
        <v>3</v>
      </c>
      <c r="O66" s="269">
        <f t="shared" ref="O66:O78" si="5">IF(N66&lt;0.99,M66*12,M66*N66)</f>
        <v>3</v>
      </c>
    </row>
    <row r="67" spans="1:16">
      <c r="A67" s="149" t="s">
        <v>12</v>
      </c>
      <c r="B67" s="465" t="s">
        <v>194</v>
      </c>
      <c r="C67" s="466">
        <v>38</v>
      </c>
      <c r="D67" s="465" t="s">
        <v>373</v>
      </c>
      <c r="E67" s="465" t="s">
        <v>374</v>
      </c>
      <c r="F67" s="465" t="s">
        <v>374</v>
      </c>
      <c r="G67" s="465" t="s">
        <v>755</v>
      </c>
      <c r="H67" s="468" t="s">
        <v>185</v>
      </c>
      <c r="I67" s="469" t="s">
        <v>785</v>
      </c>
      <c r="J67" s="251" t="str">
        <f t="shared" si="4"/>
        <v>3 yard Temporary Pickup</v>
      </c>
      <c r="K67" s="146" t="s">
        <v>750</v>
      </c>
      <c r="L67" s="146">
        <f>References!$B$35</f>
        <v>473</v>
      </c>
      <c r="M67" s="151">
        <f>References!$B$13</f>
        <v>1</v>
      </c>
      <c r="N67" s="269">
        <f>SUMIF('Lewis Co. Regulated - Price Out'!$C$10:$C$200,Mapping!D67,'Lewis Co. Regulated - Price Out'!$AF$10:$AF$201)</f>
        <v>49</v>
      </c>
      <c r="O67" s="269">
        <f t="shared" si="5"/>
        <v>49</v>
      </c>
    </row>
    <row r="68" spans="1:16">
      <c r="A68" s="149" t="s">
        <v>12</v>
      </c>
      <c r="B68" s="465" t="s">
        <v>194</v>
      </c>
      <c r="C68" s="466">
        <v>38</v>
      </c>
      <c r="D68" s="465" t="s">
        <v>375</v>
      </c>
      <c r="E68" s="465" t="s">
        <v>376</v>
      </c>
      <c r="F68" s="465" t="s">
        <v>376</v>
      </c>
      <c r="G68" s="465" t="s">
        <v>756</v>
      </c>
      <c r="H68" s="468" t="s">
        <v>185</v>
      </c>
      <c r="I68" s="469" t="s">
        <v>785</v>
      </c>
      <c r="J68" s="251" t="str">
        <f t="shared" si="4"/>
        <v>4 yard Temporary Pickup</v>
      </c>
      <c r="K68" s="146" t="s">
        <v>751</v>
      </c>
      <c r="L68" s="469">
        <f>References!$B$36</f>
        <v>613</v>
      </c>
      <c r="M68" s="151">
        <f>References!$B$13</f>
        <v>1</v>
      </c>
      <c r="N68" s="269">
        <f>SUMIF('Lewis Co. Regulated - Price Out'!$C$10:$C$200,Mapping!D68,'Lewis Co. Regulated - Price Out'!$AF$10:$AF$201)</f>
        <v>23</v>
      </c>
      <c r="O68" s="269">
        <f t="shared" si="5"/>
        <v>23</v>
      </c>
    </row>
    <row r="69" spans="1:16">
      <c r="A69" s="149" t="s">
        <v>12</v>
      </c>
      <c r="B69" s="465" t="s">
        <v>194</v>
      </c>
      <c r="C69" s="466">
        <v>38</v>
      </c>
      <c r="D69" s="465" t="s">
        <v>377</v>
      </c>
      <c r="E69" s="465" t="s">
        <v>378</v>
      </c>
      <c r="F69" s="465" t="s">
        <v>378</v>
      </c>
      <c r="G69" s="465" t="s">
        <v>758</v>
      </c>
      <c r="H69" s="468" t="s">
        <v>185</v>
      </c>
      <c r="I69" s="469" t="s">
        <v>785</v>
      </c>
      <c r="J69" s="251" t="str">
        <f t="shared" si="4"/>
        <v>6 yard Temporary Pickup</v>
      </c>
      <c r="K69" s="146" t="s">
        <v>753</v>
      </c>
      <c r="L69" s="469">
        <f>References!$B$37</f>
        <v>840</v>
      </c>
      <c r="M69" s="151">
        <f>References!$B$13</f>
        <v>1</v>
      </c>
      <c r="N69" s="269">
        <f>SUMIF('Lewis Co. Regulated - Price Out'!$C$10:$C$200,Mapping!D69,'Lewis Co. Regulated - Price Out'!$AF$10:$AF$201)</f>
        <v>219.69124423963135</v>
      </c>
      <c r="O69" s="269">
        <f t="shared" si="5"/>
        <v>219.69124423963135</v>
      </c>
    </row>
    <row r="70" spans="1:16">
      <c r="A70" s="149" t="s">
        <v>12</v>
      </c>
      <c r="B70" s="465" t="s">
        <v>194</v>
      </c>
      <c r="C70" s="466">
        <v>38</v>
      </c>
      <c r="D70" s="465" t="s">
        <v>379</v>
      </c>
      <c r="E70" s="465" t="s">
        <v>380</v>
      </c>
      <c r="F70" s="465" t="s">
        <v>380</v>
      </c>
      <c r="G70" s="465" t="s">
        <v>200</v>
      </c>
      <c r="H70" s="468" t="s">
        <v>185</v>
      </c>
      <c r="I70" s="469" t="s">
        <v>786</v>
      </c>
      <c r="J70" s="251" t="str">
        <f t="shared" si="4"/>
        <v>1.5 yard Special Pickup</v>
      </c>
      <c r="K70" s="146" t="s">
        <v>188</v>
      </c>
      <c r="L70" s="146">
        <f>References!$B$33</f>
        <v>250</v>
      </c>
      <c r="M70" s="151">
        <f>References!$B$13</f>
        <v>1</v>
      </c>
      <c r="N70" s="269">
        <f>SUMIF('Lewis Co. Regulated - Price Out'!$C$10:$C$200,Mapping!D70,'Lewis Co. Regulated - Price Out'!$AF$10:$AF$201)</f>
        <v>18</v>
      </c>
      <c r="O70" s="269">
        <f t="shared" si="5"/>
        <v>18</v>
      </c>
    </row>
    <row r="71" spans="1:16">
      <c r="A71" s="149" t="s">
        <v>12</v>
      </c>
      <c r="B71" s="465" t="s">
        <v>194</v>
      </c>
      <c r="C71" s="466">
        <v>38</v>
      </c>
      <c r="D71" s="465" t="s">
        <v>381</v>
      </c>
      <c r="E71" s="465" t="s">
        <v>382</v>
      </c>
      <c r="F71" s="465" t="s">
        <v>382</v>
      </c>
      <c r="G71" s="465" t="s">
        <v>199</v>
      </c>
      <c r="H71" s="468" t="s">
        <v>185</v>
      </c>
      <c r="I71" s="469" t="s">
        <v>786</v>
      </c>
      <c r="J71" s="251" t="str">
        <f t="shared" si="4"/>
        <v>1 yard Special Pickup</v>
      </c>
      <c r="K71" s="146" t="s">
        <v>187</v>
      </c>
      <c r="L71" s="146">
        <f>References!$B$32</f>
        <v>175</v>
      </c>
      <c r="M71" s="151">
        <f>References!$B$13</f>
        <v>1</v>
      </c>
      <c r="N71" s="269">
        <f>SUMIF('Lewis Co. Regulated - Price Out'!$C$10:$C$200,Mapping!D71,'Lewis Co. Regulated - Price Out'!$AF$10:$AF$201)</f>
        <v>60</v>
      </c>
      <c r="O71" s="269">
        <f t="shared" si="5"/>
        <v>60</v>
      </c>
    </row>
    <row r="72" spans="1:16">
      <c r="A72" s="149" t="s">
        <v>12</v>
      </c>
      <c r="B72" s="465" t="s">
        <v>194</v>
      </c>
      <c r="C72" s="466">
        <v>38</v>
      </c>
      <c r="D72" s="465" t="s">
        <v>383</v>
      </c>
      <c r="E72" s="465" t="s">
        <v>384</v>
      </c>
      <c r="F72" s="465" t="s">
        <v>384</v>
      </c>
      <c r="G72" s="465" t="s">
        <v>201</v>
      </c>
      <c r="H72" s="468" t="s">
        <v>185</v>
      </c>
      <c r="I72" s="469" t="s">
        <v>786</v>
      </c>
      <c r="J72" s="251" t="str">
        <f t="shared" si="4"/>
        <v>2 yard Special Pickup</v>
      </c>
      <c r="K72" s="146" t="s">
        <v>749</v>
      </c>
      <c r="L72" s="146">
        <f>References!$B$34</f>
        <v>324</v>
      </c>
      <c r="M72" s="151">
        <f>References!$B$13</f>
        <v>1</v>
      </c>
      <c r="N72" s="269">
        <f>SUMIF('Lewis Co. Regulated - Price Out'!$C$10:$C$200,Mapping!D72,'Lewis Co. Regulated - Price Out'!$AF$10:$AF$201)</f>
        <v>91.707066470958267</v>
      </c>
      <c r="O72" s="269">
        <f t="shared" si="5"/>
        <v>91.707066470958267</v>
      </c>
    </row>
    <row r="73" spans="1:16">
      <c r="A73" s="149" t="s">
        <v>12</v>
      </c>
      <c r="B73" s="465" t="s">
        <v>194</v>
      </c>
      <c r="C73" s="466">
        <v>38</v>
      </c>
      <c r="D73" s="465" t="s">
        <v>385</v>
      </c>
      <c r="E73" s="465" t="s">
        <v>386</v>
      </c>
      <c r="F73" s="465" t="s">
        <v>386</v>
      </c>
      <c r="G73" s="465" t="s">
        <v>755</v>
      </c>
      <c r="H73" s="468" t="s">
        <v>185</v>
      </c>
      <c r="I73" s="469" t="s">
        <v>786</v>
      </c>
      <c r="J73" s="251" t="str">
        <f t="shared" si="4"/>
        <v>3 yard Special Pickup</v>
      </c>
      <c r="K73" s="146" t="s">
        <v>750</v>
      </c>
      <c r="L73" s="146">
        <f>References!$B$35</f>
        <v>473</v>
      </c>
      <c r="M73" s="151">
        <f>References!$B$13</f>
        <v>1</v>
      </c>
      <c r="N73" s="269">
        <f>SUMIF('Lewis Co. Regulated - Price Out'!$C$10:$C$200,Mapping!D73,'Lewis Co. Regulated - Price Out'!$AF$10:$AF$201)</f>
        <v>7</v>
      </c>
      <c r="O73" s="269">
        <f t="shared" si="5"/>
        <v>7</v>
      </c>
    </row>
    <row r="74" spans="1:16">
      <c r="A74" s="149" t="s">
        <v>12</v>
      </c>
      <c r="B74" s="465" t="s">
        <v>194</v>
      </c>
      <c r="C74" s="466">
        <v>38</v>
      </c>
      <c r="D74" s="465" t="s">
        <v>387</v>
      </c>
      <c r="E74" s="465" t="s">
        <v>388</v>
      </c>
      <c r="F74" s="465" t="s">
        <v>388</v>
      </c>
      <c r="G74" s="465" t="s">
        <v>756</v>
      </c>
      <c r="H74" s="468" t="s">
        <v>185</v>
      </c>
      <c r="I74" s="469" t="s">
        <v>786</v>
      </c>
      <c r="J74" s="251" t="str">
        <f t="shared" si="4"/>
        <v>4 yard Special Pickup</v>
      </c>
      <c r="K74" s="146" t="s">
        <v>751</v>
      </c>
      <c r="L74" s="469">
        <f>References!$B$36</f>
        <v>613</v>
      </c>
      <c r="M74" s="151">
        <f>References!$B$13</f>
        <v>1</v>
      </c>
      <c r="N74" s="269">
        <f>SUMIF('Lewis Co. Regulated - Price Out'!$C$10:$C$200,Mapping!D74,'Lewis Co. Regulated - Price Out'!$AF$10:$AF$201)</f>
        <v>21</v>
      </c>
      <c r="O74" s="269">
        <f t="shared" si="5"/>
        <v>21</v>
      </c>
    </row>
    <row r="75" spans="1:16">
      <c r="A75" s="149" t="s">
        <v>12</v>
      </c>
      <c r="B75" s="465" t="s">
        <v>194</v>
      </c>
      <c r="C75" s="466">
        <v>38</v>
      </c>
      <c r="D75" s="465" t="s">
        <v>389</v>
      </c>
      <c r="E75" s="465" t="s">
        <v>390</v>
      </c>
      <c r="F75" s="465" t="s">
        <v>390</v>
      </c>
      <c r="G75" s="465" t="s">
        <v>758</v>
      </c>
      <c r="H75" s="468" t="s">
        <v>185</v>
      </c>
      <c r="I75" s="469" t="s">
        <v>786</v>
      </c>
      <c r="J75" s="251" t="str">
        <f t="shared" si="4"/>
        <v>6 yard Special Pickup</v>
      </c>
      <c r="K75" s="146" t="s">
        <v>753</v>
      </c>
      <c r="L75" s="469">
        <f>References!$B$37</f>
        <v>840</v>
      </c>
      <c r="M75" s="151">
        <f>References!$B$13</f>
        <v>1</v>
      </c>
      <c r="N75" s="269">
        <f>SUMIF('Lewis Co. Regulated - Price Out'!$C$10:$C$200,Mapping!D75,'Lewis Co. Regulated - Price Out'!$AF$10:$AF$201)</f>
        <v>40</v>
      </c>
      <c r="O75" s="269">
        <f t="shared" si="5"/>
        <v>40</v>
      </c>
    </row>
    <row r="76" spans="1:16">
      <c r="A76" s="149" t="s">
        <v>12</v>
      </c>
      <c r="B76" s="465" t="s">
        <v>194</v>
      </c>
      <c r="C76" s="466">
        <v>38</v>
      </c>
      <c r="D76" s="465" t="s">
        <v>391</v>
      </c>
      <c r="E76" s="465" t="s">
        <v>392</v>
      </c>
      <c r="F76" s="465" t="s">
        <v>392</v>
      </c>
      <c r="G76" s="465" t="s">
        <v>778</v>
      </c>
      <c r="H76" s="468" t="s">
        <v>185</v>
      </c>
      <c r="I76" s="469" t="s">
        <v>781</v>
      </c>
      <c r="J76" s="251" t="str">
        <f t="shared" si="4"/>
        <v>65 gal Company Provided One Unit</v>
      </c>
      <c r="K76" s="146" t="s">
        <v>747</v>
      </c>
      <c r="L76" s="146">
        <f>References!$B$26</f>
        <v>51</v>
      </c>
      <c r="M76" s="151">
        <f>References!$B$13</f>
        <v>1</v>
      </c>
      <c r="N76" s="269">
        <f>SUMIF('Lewis Co. Regulated - Price Out'!$C$10:$C$200,Mapping!D76,'Lewis Co. Regulated - Price Out'!$AF$10:$AF$201)</f>
        <v>10</v>
      </c>
      <c r="O76" s="269">
        <f t="shared" si="5"/>
        <v>10</v>
      </c>
    </row>
    <row r="77" spans="1:16">
      <c r="A77" s="149" t="s">
        <v>12</v>
      </c>
      <c r="B77" s="465" t="s">
        <v>782</v>
      </c>
      <c r="C77" s="466">
        <v>40</v>
      </c>
      <c r="D77" s="465" t="s">
        <v>415</v>
      </c>
      <c r="E77" s="465" t="s">
        <v>416</v>
      </c>
      <c r="F77" s="465" t="s">
        <v>416</v>
      </c>
      <c r="G77" s="465" t="s">
        <v>783</v>
      </c>
      <c r="H77" s="468" t="s">
        <v>185</v>
      </c>
      <c r="I77" s="469" t="s">
        <v>184</v>
      </c>
      <c r="J77" s="251" t="str">
        <f t="shared" si="4"/>
        <v>32 gal or equivalent Extra</v>
      </c>
      <c r="K77" s="146" t="s">
        <v>754</v>
      </c>
      <c r="L77" s="469">
        <f>References!$B$18</f>
        <v>34</v>
      </c>
      <c r="M77" s="151">
        <f>References!$B$13</f>
        <v>1</v>
      </c>
      <c r="N77" s="269">
        <f>SUMIF('Lewis Co. Regulated - Price Out'!$C$10:$C$200,Mapping!D77,'Lewis Co. Regulated - Price Out'!$AF$10:$AF$201)</f>
        <v>2157.9510022271716</v>
      </c>
      <c r="O77" s="269">
        <f t="shared" si="5"/>
        <v>2157.9510022271716</v>
      </c>
    </row>
    <row r="78" spans="1:16" s="442" customFormat="1">
      <c r="A78" s="136" t="s">
        <v>143</v>
      </c>
      <c r="B78" s="520" t="s">
        <v>193</v>
      </c>
      <c r="C78" s="521">
        <v>31</v>
      </c>
      <c r="D78" s="520" t="s">
        <v>417</v>
      </c>
      <c r="E78" s="520" t="s">
        <v>418</v>
      </c>
      <c r="F78" s="136" t="s">
        <v>251</v>
      </c>
      <c r="G78" s="136" t="s">
        <v>769</v>
      </c>
      <c r="H78" s="137" t="s">
        <v>185</v>
      </c>
      <c r="I78" s="137" t="s">
        <v>770</v>
      </c>
      <c r="J78" s="138" t="str">
        <f t="shared" si="4"/>
        <v>1 - 4 yards Bulky Material</v>
      </c>
      <c r="K78" s="136" t="s">
        <v>768</v>
      </c>
      <c r="L78" s="139">
        <f>References!$B$47</f>
        <v>125</v>
      </c>
      <c r="M78" s="140">
        <f>References!$B$13</f>
        <v>1</v>
      </c>
      <c r="N78" s="512">
        <f>SUMIF('Lewis Co. Regulated - Price Out'!$C$10:$C$200,Mapping!D78,'Lewis Co. Regulated - Price Out'!$AF$10:$AF$201)</f>
        <v>348.22841316389707</v>
      </c>
      <c r="O78" s="512">
        <f t="shared" si="5"/>
        <v>348.22841316389707</v>
      </c>
      <c r="P78" s="522"/>
    </row>
  </sheetData>
  <autoFilter ref="A1:O37"/>
  <pageMargins left="0.2" right="0.2" top="0.25" bottom="0.25" header="0.3" footer="0.3"/>
  <pageSetup scale="35" fitToHeight="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AT245"/>
  <sheetViews>
    <sheetView showGridLines="0" view="pageBreakPreview" zoomScaleNormal="85" zoomScaleSheetLayoutView="100" workbookViewId="0">
      <pane xSplit="5" ySplit="5" topLeftCell="R6" activePane="bottomRight" state="frozen"/>
      <selection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10.28515625" defaultRowHeight="12" outlineLevelCol="1"/>
  <cols>
    <col min="1" max="1" width="44.85546875" style="200" hidden="1" customWidth="1"/>
    <col min="2" max="2" width="22.140625" style="200" hidden="1" customWidth="1"/>
    <col min="3" max="3" width="40.42578125" style="199" bestFit="1" customWidth="1"/>
    <col min="4" max="4" width="24.42578125" style="199" customWidth="1"/>
    <col min="5" max="5" width="13.5703125" style="218" bestFit="1" customWidth="1"/>
    <col min="6" max="6" width="14.42578125" style="199" hidden="1" customWidth="1" outlineLevel="1"/>
    <col min="7" max="7" width="15.85546875" style="199" hidden="1" customWidth="1" outlineLevel="1"/>
    <col min="8" max="8" width="14.42578125" style="199" hidden="1" customWidth="1" outlineLevel="1"/>
    <col min="9" max="9" width="15.7109375" style="200" hidden="1" customWidth="1" outlineLevel="1"/>
    <col min="10" max="10" width="14.42578125" style="200" hidden="1" customWidth="1" outlineLevel="1"/>
    <col min="11" max="11" width="15.42578125" style="200" hidden="1" customWidth="1" outlineLevel="1"/>
    <col min="12" max="17" width="14.42578125" style="200" hidden="1" customWidth="1" outlineLevel="1"/>
    <col min="18" max="18" width="15" style="200" customWidth="1" collapsed="1"/>
    <col min="19" max="19" width="3" style="200" customWidth="1"/>
    <col min="20" max="21" width="12.7109375" style="200" hidden="1" customWidth="1" outlineLevel="1"/>
    <col min="22" max="22" width="13.140625" style="200" hidden="1" customWidth="1" outlineLevel="1"/>
    <col min="23" max="24" width="12.85546875" style="200" hidden="1" customWidth="1" outlineLevel="1"/>
    <col min="25" max="27" width="13.140625" style="200" hidden="1" customWidth="1" outlineLevel="1"/>
    <col min="28" max="29" width="13" style="200" hidden="1" customWidth="1" outlineLevel="1"/>
    <col min="30" max="30" width="12.42578125" style="200" hidden="1" customWidth="1" outlineLevel="1"/>
    <col min="31" max="31" width="13" style="200" hidden="1" customWidth="1" outlineLevel="1"/>
    <col min="32" max="32" width="15" style="200" customWidth="1" collapsed="1"/>
    <col min="33" max="33" width="15" style="274" customWidth="1"/>
    <col min="34" max="34" width="6.42578125" style="199" customWidth="1"/>
    <col min="35" max="35" width="14.7109375" style="199" hidden="1" customWidth="1" outlineLevel="1"/>
    <col min="36" max="36" width="9.7109375" style="199" hidden="1" customWidth="1" outlineLevel="1"/>
    <col min="37" max="37" width="15.28515625" style="199" hidden="1" customWidth="1" outlineLevel="1"/>
    <col min="38" max="38" width="9.42578125" style="199" hidden="1" customWidth="1" outlineLevel="1"/>
    <col min="39" max="39" width="12.42578125" style="199" hidden="1" customWidth="1" outlineLevel="1"/>
    <col min="40" max="40" width="12.42578125" style="199" customWidth="1" collapsed="1"/>
    <col min="41" max="41" width="16.28515625" style="199" customWidth="1"/>
    <col min="42" max="42" width="14.28515625" style="199" bestFit="1" customWidth="1"/>
    <col min="43" max="43" width="22.85546875" style="199" bestFit="1" customWidth="1"/>
    <col min="44" max="44" width="13.28515625" style="199" bestFit="1" customWidth="1"/>
    <col min="45" max="16384" width="10.28515625" style="199"/>
  </cols>
  <sheetData>
    <row r="1" spans="1:43">
      <c r="A1" s="268" t="s">
        <v>208</v>
      </c>
      <c r="B1" s="268"/>
      <c r="C1" s="198" t="s">
        <v>209</v>
      </c>
      <c r="E1" s="199"/>
      <c r="AM1" s="201" t="s">
        <v>210</v>
      </c>
      <c r="AN1" s="202" t="s">
        <v>128</v>
      </c>
      <c r="AO1" s="204">
        <v>3.5222657754583997E-2</v>
      </c>
      <c r="AP1" s="275">
        <v>5.1000000000000004E-3</v>
      </c>
      <c r="AQ1" s="275">
        <f>+AO1+AP1</f>
        <v>4.0322657754583997E-2</v>
      </c>
    </row>
    <row r="2" spans="1:43">
      <c r="C2" s="198" t="s">
        <v>211</v>
      </c>
      <c r="D2" s="324" t="s">
        <v>739</v>
      </c>
      <c r="E2" s="199"/>
      <c r="AM2" s="203"/>
      <c r="AN2" s="202" t="s">
        <v>129</v>
      </c>
      <c r="AO2" s="204">
        <v>0.45679228217999923</v>
      </c>
      <c r="AP2" s="275">
        <v>2E-3</v>
      </c>
      <c r="AQ2" s="275">
        <f>+AO2+AP2</f>
        <v>0.45879228217999923</v>
      </c>
    </row>
    <row r="3" spans="1:43">
      <c r="C3" s="198" t="s">
        <v>212</v>
      </c>
      <c r="D3" s="451" t="s">
        <v>743</v>
      </c>
      <c r="E3" s="199"/>
      <c r="I3" s="205"/>
      <c r="R3" s="474">
        <f>COUNT($AG$10:$AG$25,$AG$27,$AG$30:$AG$32,$AG$60:$AG$115,$AG$127:$AG$128)</f>
        <v>78</v>
      </c>
      <c r="S3" s="467"/>
      <c r="AM3" s="203"/>
      <c r="AN3" s="202" t="s">
        <v>213</v>
      </c>
      <c r="AO3" s="204">
        <v>1.226523889348226</v>
      </c>
      <c r="AQ3" s="275">
        <f>+AO3+AP3</f>
        <v>1.226523889348226</v>
      </c>
    </row>
    <row r="4" spans="1:43" ht="34.5" customHeight="1">
      <c r="D4" s="206"/>
      <c r="E4" s="276" t="s">
        <v>172</v>
      </c>
      <c r="F4" s="207">
        <v>43617</v>
      </c>
      <c r="G4" s="207">
        <v>43647</v>
      </c>
      <c r="H4" s="207">
        <v>43678</v>
      </c>
      <c r="I4" s="207">
        <v>43709</v>
      </c>
      <c r="J4" s="207">
        <v>43739</v>
      </c>
      <c r="K4" s="207">
        <v>43770</v>
      </c>
      <c r="L4" s="207">
        <v>43800</v>
      </c>
      <c r="M4" s="207">
        <v>43831</v>
      </c>
      <c r="N4" s="207">
        <v>43862</v>
      </c>
      <c r="O4" s="207">
        <v>43891</v>
      </c>
      <c r="P4" s="207">
        <v>43922</v>
      </c>
      <c r="Q4" s="207">
        <v>43952</v>
      </c>
      <c r="R4" s="277" t="s">
        <v>14</v>
      </c>
      <c r="T4" s="208">
        <f t="shared" ref="T4:AE4" si="0">+F4</f>
        <v>43617</v>
      </c>
      <c r="U4" s="208">
        <f t="shared" si="0"/>
        <v>43647</v>
      </c>
      <c r="V4" s="208">
        <f t="shared" si="0"/>
        <v>43678</v>
      </c>
      <c r="W4" s="208">
        <f t="shared" si="0"/>
        <v>43709</v>
      </c>
      <c r="X4" s="208">
        <f t="shared" si="0"/>
        <v>43739</v>
      </c>
      <c r="Y4" s="208">
        <f t="shared" si="0"/>
        <v>43770</v>
      </c>
      <c r="Z4" s="208">
        <f t="shared" si="0"/>
        <v>43800</v>
      </c>
      <c r="AA4" s="208">
        <f t="shared" si="0"/>
        <v>43831</v>
      </c>
      <c r="AB4" s="208">
        <f t="shared" si="0"/>
        <v>43862</v>
      </c>
      <c r="AC4" s="208">
        <f t="shared" si="0"/>
        <v>43891</v>
      </c>
      <c r="AD4" s="208">
        <f t="shared" si="0"/>
        <v>43922</v>
      </c>
      <c r="AE4" s="208">
        <f t="shared" si="0"/>
        <v>43952</v>
      </c>
      <c r="AF4" s="278" t="s">
        <v>214</v>
      </c>
      <c r="AG4" s="279" t="s">
        <v>206</v>
      </c>
      <c r="AI4" s="569" t="s">
        <v>130</v>
      </c>
      <c r="AJ4" s="570"/>
      <c r="AK4" s="570"/>
      <c r="AL4" s="570"/>
      <c r="AM4" s="571"/>
      <c r="AN4" s="280"/>
      <c r="AO4" s="206" t="s">
        <v>136</v>
      </c>
      <c r="AP4" s="206" t="s">
        <v>215</v>
      </c>
      <c r="AQ4" s="206" t="s">
        <v>173</v>
      </c>
    </row>
    <row r="5" spans="1:43">
      <c r="C5" s="209" t="s">
        <v>84</v>
      </c>
      <c r="D5" s="206" t="s">
        <v>100</v>
      </c>
      <c r="E5" s="281"/>
      <c r="F5" s="210" t="s">
        <v>99</v>
      </c>
      <c r="G5" s="210" t="s">
        <v>99</v>
      </c>
      <c r="H5" s="210" t="s">
        <v>99</v>
      </c>
      <c r="I5" s="210" t="s">
        <v>99</v>
      </c>
      <c r="J5" s="210" t="s">
        <v>99</v>
      </c>
      <c r="K5" s="210" t="s">
        <v>99</v>
      </c>
      <c r="L5" s="210" t="s">
        <v>99</v>
      </c>
      <c r="M5" s="210" t="s">
        <v>99</v>
      </c>
      <c r="N5" s="210" t="s">
        <v>99</v>
      </c>
      <c r="O5" s="210" t="s">
        <v>99</v>
      </c>
      <c r="P5" s="210" t="s">
        <v>99</v>
      </c>
      <c r="Q5" s="210" t="s">
        <v>99</v>
      </c>
      <c r="R5" s="282" t="s">
        <v>99</v>
      </c>
      <c r="T5" s="211" t="s">
        <v>123</v>
      </c>
      <c r="U5" s="211" t="s">
        <v>123</v>
      </c>
      <c r="V5" s="211" t="s">
        <v>123</v>
      </c>
      <c r="W5" s="211" t="s">
        <v>123</v>
      </c>
      <c r="X5" s="211" t="s">
        <v>123</v>
      </c>
      <c r="Y5" s="211" t="s">
        <v>123</v>
      </c>
      <c r="Z5" s="211" t="s">
        <v>123</v>
      </c>
      <c r="AA5" s="211" t="s">
        <v>123</v>
      </c>
      <c r="AB5" s="211" t="s">
        <v>123</v>
      </c>
      <c r="AC5" s="211" t="s">
        <v>123</v>
      </c>
      <c r="AD5" s="211" t="s">
        <v>123</v>
      </c>
      <c r="AE5" s="211" t="s">
        <v>123</v>
      </c>
      <c r="AF5" s="283" t="s">
        <v>123</v>
      </c>
      <c r="AG5" s="284" t="s">
        <v>123</v>
      </c>
      <c r="AI5" s="285" t="s">
        <v>131</v>
      </c>
      <c r="AJ5" s="285" t="s">
        <v>132</v>
      </c>
      <c r="AK5" s="285" t="s">
        <v>133</v>
      </c>
      <c r="AL5" s="285" t="s">
        <v>134</v>
      </c>
      <c r="AM5" s="285" t="s">
        <v>135</v>
      </c>
      <c r="AN5" s="286"/>
    </row>
    <row r="6" spans="1:43"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287"/>
    </row>
    <row r="7" spans="1:43">
      <c r="C7" s="212" t="s">
        <v>101</v>
      </c>
      <c r="D7" s="212" t="s">
        <v>101</v>
      </c>
      <c r="E7" s="288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287"/>
    </row>
    <row r="8" spans="1:43">
      <c r="C8" s="212"/>
      <c r="D8" s="214"/>
      <c r="E8" s="289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287"/>
    </row>
    <row r="9" spans="1:43">
      <c r="A9" s="215" t="s">
        <v>174</v>
      </c>
      <c r="B9" s="215" t="s">
        <v>175</v>
      </c>
      <c r="C9" s="216" t="s">
        <v>102</v>
      </c>
      <c r="D9" s="216" t="s">
        <v>102</v>
      </c>
      <c r="E9" s="290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287"/>
    </row>
    <row r="10" spans="1:43" s="443" customFormat="1">
      <c r="A10" s="443" t="str">
        <f t="shared" ref="A10:A38" si="1">$A$1&amp;"Residential"&amp;C10</f>
        <v>Lewis County UTCResidentialSL065.0G1M001NOREC</v>
      </c>
      <c r="B10" s="443">
        <f t="shared" ref="B10:B38" si="2">COUNTIF(C:C,C10)</f>
        <v>1</v>
      </c>
      <c r="C10" s="444" t="s">
        <v>216</v>
      </c>
      <c r="D10" s="445" t="s">
        <v>217</v>
      </c>
      <c r="E10" s="446">
        <v>8.67</v>
      </c>
      <c r="F10" s="447">
        <v>706.6049999999999</v>
      </c>
      <c r="G10" s="447">
        <v>697.93499999999995</v>
      </c>
      <c r="H10" s="447">
        <v>706.6049999999999</v>
      </c>
      <c r="I10" s="447">
        <v>719.6099999999999</v>
      </c>
      <c r="J10" s="447">
        <v>710.93999999999994</v>
      </c>
      <c r="K10" s="447">
        <v>671.92499999999995</v>
      </c>
      <c r="L10" s="447">
        <v>676.26</v>
      </c>
      <c r="M10" s="447">
        <v>702.27</v>
      </c>
      <c r="N10" s="447">
        <v>689.26499999999999</v>
      </c>
      <c r="O10" s="447">
        <v>637.245</v>
      </c>
      <c r="P10" s="447">
        <v>624.24</v>
      </c>
      <c r="Q10" s="447">
        <v>645.91499999999996</v>
      </c>
      <c r="R10" s="447">
        <f t="shared" ref="R10:R25" si="3">SUM(F10:Q10)</f>
        <v>8188.8149999999996</v>
      </c>
      <c r="S10" s="447"/>
      <c r="T10" s="447">
        <f t="shared" ref="T10:AE25" si="4">IFERROR(F10/$E10,0)</f>
        <v>81.499999999999986</v>
      </c>
      <c r="U10" s="447">
        <f t="shared" si="4"/>
        <v>80.5</v>
      </c>
      <c r="V10" s="447">
        <f t="shared" si="4"/>
        <v>81.499999999999986</v>
      </c>
      <c r="W10" s="447">
        <f t="shared" si="4"/>
        <v>82.999999999999986</v>
      </c>
      <c r="X10" s="447">
        <f t="shared" si="4"/>
        <v>82</v>
      </c>
      <c r="Y10" s="447">
        <f t="shared" si="4"/>
        <v>77.5</v>
      </c>
      <c r="Z10" s="447">
        <f t="shared" si="4"/>
        <v>78</v>
      </c>
      <c r="AA10" s="447">
        <f t="shared" si="4"/>
        <v>81</v>
      </c>
      <c r="AB10" s="447">
        <f t="shared" si="4"/>
        <v>79.5</v>
      </c>
      <c r="AC10" s="447">
        <f t="shared" si="4"/>
        <v>73.5</v>
      </c>
      <c r="AD10" s="447">
        <f t="shared" si="4"/>
        <v>72</v>
      </c>
      <c r="AE10" s="447">
        <f t="shared" si="4"/>
        <v>74.5</v>
      </c>
      <c r="AF10" s="448">
        <f t="shared" ref="AF10:AF38" si="5">SUM(T10:AE10)</f>
        <v>944.5</v>
      </c>
      <c r="AG10" s="449">
        <f t="shared" ref="AG10:AG38" si="6">AF10/12</f>
        <v>78.708333333333329</v>
      </c>
      <c r="AI10" s="443">
        <v>65</v>
      </c>
      <c r="AL10" s="443">
        <v>1</v>
      </c>
      <c r="AM10" s="448">
        <f t="shared" ref="AM10:AM21" si="7">+AL10*AG10</f>
        <v>78.708333333333329</v>
      </c>
      <c r="AN10" s="448"/>
      <c r="AO10" s="446">
        <f t="shared" ref="AO10:AO38" si="8">+E10*(1+$AQ$1)</f>
        <v>9.0195974427322447</v>
      </c>
      <c r="AP10" s="450">
        <f t="shared" ref="AP10:AP38" si="9">+AG10*12*AO10</f>
        <v>8519.0097846606059</v>
      </c>
      <c r="AQ10" s="450">
        <f t="shared" ref="AQ10:AQ38" si="10">+AP10-R10</f>
        <v>330.19478466060627</v>
      </c>
    </row>
    <row r="11" spans="1:43" s="443" customFormat="1">
      <c r="A11" s="443" t="str">
        <f t="shared" si="1"/>
        <v>Lewis County UTCResidentialSL065.0G1M001WREC</v>
      </c>
      <c r="B11" s="443">
        <f t="shared" si="2"/>
        <v>1</v>
      </c>
      <c r="C11" s="444" t="s">
        <v>218</v>
      </c>
      <c r="D11" s="445" t="s">
        <v>219</v>
      </c>
      <c r="E11" s="446">
        <v>8.67</v>
      </c>
      <c r="F11" s="447">
        <v>10798.485000000001</v>
      </c>
      <c r="G11" s="447">
        <v>10789.815000000001</v>
      </c>
      <c r="H11" s="447">
        <v>10651.095000000001</v>
      </c>
      <c r="I11" s="447">
        <v>10560.655000000002</v>
      </c>
      <c r="J11" s="447">
        <v>10624.584999999999</v>
      </c>
      <c r="K11" s="447">
        <v>10620.75</v>
      </c>
      <c r="L11" s="447">
        <v>10564.394999999999</v>
      </c>
      <c r="M11" s="447">
        <v>10508.039999999999</v>
      </c>
      <c r="N11" s="447">
        <v>10438.68</v>
      </c>
      <c r="O11" s="447">
        <v>10404</v>
      </c>
      <c r="P11" s="447">
        <v>10399.665000000001</v>
      </c>
      <c r="Q11" s="447">
        <v>10260.945</v>
      </c>
      <c r="R11" s="447">
        <f t="shared" si="3"/>
        <v>126621.11000000002</v>
      </c>
      <c r="S11" s="447"/>
      <c r="T11" s="447">
        <f t="shared" si="4"/>
        <v>1245.5</v>
      </c>
      <c r="U11" s="447">
        <f t="shared" si="4"/>
        <v>1244.5</v>
      </c>
      <c r="V11" s="447">
        <f t="shared" si="4"/>
        <v>1228.5000000000002</v>
      </c>
      <c r="W11" s="447">
        <f t="shared" si="4"/>
        <v>1218.0686274509808</v>
      </c>
      <c r="X11" s="447">
        <f t="shared" si="4"/>
        <v>1225.4423298731256</v>
      </c>
      <c r="Y11" s="447">
        <f t="shared" si="4"/>
        <v>1225</v>
      </c>
      <c r="Z11" s="447">
        <f t="shared" si="4"/>
        <v>1218.4999999999998</v>
      </c>
      <c r="AA11" s="447">
        <f t="shared" si="4"/>
        <v>1212</v>
      </c>
      <c r="AB11" s="447">
        <f t="shared" si="4"/>
        <v>1204</v>
      </c>
      <c r="AC11" s="447">
        <f t="shared" si="4"/>
        <v>1200</v>
      </c>
      <c r="AD11" s="447">
        <f t="shared" si="4"/>
        <v>1199.5</v>
      </c>
      <c r="AE11" s="447">
        <f t="shared" si="4"/>
        <v>1183.5</v>
      </c>
      <c r="AF11" s="448">
        <f t="shared" si="5"/>
        <v>14604.510957324106</v>
      </c>
      <c r="AG11" s="449">
        <f t="shared" si="6"/>
        <v>1217.0425797770088</v>
      </c>
      <c r="AI11" s="443">
        <v>65</v>
      </c>
      <c r="AL11" s="443">
        <v>1</v>
      </c>
      <c r="AM11" s="448">
        <f t="shared" si="7"/>
        <v>1217.0425797770088</v>
      </c>
      <c r="AN11" s="448"/>
      <c r="AO11" s="446">
        <f t="shared" si="8"/>
        <v>9.0195974427322447</v>
      </c>
      <c r="AP11" s="450">
        <f t="shared" si="9"/>
        <v>131726.80968303556</v>
      </c>
      <c r="AQ11" s="450">
        <f t="shared" si="10"/>
        <v>5105.6996830355492</v>
      </c>
    </row>
    <row r="12" spans="1:43" s="443" customFormat="1">
      <c r="A12" s="443" t="str">
        <f t="shared" si="1"/>
        <v>Lewis County UTCResidentialSL065.0G1W001NOREC</v>
      </c>
      <c r="B12" s="443">
        <f t="shared" si="2"/>
        <v>1</v>
      </c>
      <c r="C12" s="444" t="s">
        <v>220</v>
      </c>
      <c r="D12" s="445" t="s">
        <v>221</v>
      </c>
      <c r="E12" s="446">
        <v>20.98</v>
      </c>
      <c r="F12" s="447">
        <v>5367.9849999999997</v>
      </c>
      <c r="G12" s="447">
        <v>5611.0050000000001</v>
      </c>
      <c r="H12" s="447">
        <v>5719.4049999999997</v>
      </c>
      <c r="I12" s="447">
        <v>5745.9199999999992</v>
      </c>
      <c r="J12" s="447">
        <v>5668.6950000000006</v>
      </c>
      <c r="K12" s="447">
        <v>5409.65</v>
      </c>
      <c r="L12" s="447">
        <v>5428</v>
      </c>
      <c r="M12" s="447">
        <v>5393.3149999999996</v>
      </c>
      <c r="N12" s="447">
        <v>5333.2850000000008</v>
      </c>
      <c r="O12" s="447">
        <v>5258.9849999999997</v>
      </c>
      <c r="P12" s="447">
        <v>5407.9049999999997</v>
      </c>
      <c r="Q12" s="447">
        <v>5642.7699999999995</v>
      </c>
      <c r="R12" s="447">
        <f t="shared" si="3"/>
        <v>65986.92</v>
      </c>
      <c r="S12" s="447"/>
      <c r="T12" s="447">
        <f t="shared" si="4"/>
        <v>255.86201143946613</v>
      </c>
      <c r="U12" s="447">
        <f t="shared" si="4"/>
        <v>267.44542421353668</v>
      </c>
      <c r="V12" s="447">
        <f t="shared" si="4"/>
        <v>272.61224976167779</v>
      </c>
      <c r="W12" s="447">
        <f t="shared" si="4"/>
        <v>273.87607244995229</v>
      </c>
      <c r="X12" s="447">
        <f t="shared" si="4"/>
        <v>270.19518589132508</v>
      </c>
      <c r="Y12" s="447">
        <f t="shared" si="4"/>
        <v>257.84795042897997</v>
      </c>
      <c r="Z12" s="447">
        <f t="shared" si="4"/>
        <v>258.72259294566254</v>
      </c>
      <c r="AA12" s="447">
        <f t="shared" si="4"/>
        <v>257.06935176358434</v>
      </c>
      <c r="AB12" s="447">
        <f t="shared" si="4"/>
        <v>254.20805529075312</v>
      </c>
      <c r="AC12" s="447">
        <f t="shared" si="4"/>
        <v>250.66658722592945</v>
      </c>
      <c r="AD12" s="447">
        <f t="shared" si="4"/>
        <v>257.76477597712108</v>
      </c>
      <c r="AE12" s="447">
        <f t="shared" si="4"/>
        <v>268.95948522402284</v>
      </c>
      <c r="AF12" s="448">
        <f t="shared" si="5"/>
        <v>3145.2297426120122</v>
      </c>
      <c r="AG12" s="449">
        <f t="shared" si="6"/>
        <v>262.10247855100101</v>
      </c>
      <c r="AI12" s="443">
        <v>65</v>
      </c>
      <c r="AL12" s="443">
        <v>1</v>
      </c>
      <c r="AM12" s="448">
        <f t="shared" si="7"/>
        <v>262.10247855100101</v>
      </c>
      <c r="AN12" s="448"/>
      <c r="AO12" s="446">
        <f t="shared" si="8"/>
        <v>21.825969359691175</v>
      </c>
      <c r="AP12" s="450">
        <f t="shared" si="9"/>
        <v>68647.687991439132</v>
      </c>
      <c r="AQ12" s="450">
        <f t="shared" si="10"/>
        <v>2660.7679914391338</v>
      </c>
    </row>
    <row r="13" spans="1:43" s="443" customFormat="1">
      <c r="A13" s="443" t="str">
        <f t="shared" si="1"/>
        <v>Lewis County UTCResidentialSL065.0G1W001WREC</v>
      </c>
      <c r="B13" s="443">
        <f t="shared" si="2"/>
        <v>1</v>
      </c>
      <c r="C13" s="444" t="s">
        <v>222</v>
      </c>
      <c r="D13" s="445" t="s">
        <v>223</v>
      </c>
      <c r="E13" s="446">
        <v>20.98</v>
      </c>
      <c r="F13" s="447">
        <v>71176.47</v>
      </c>
      <c r="G13" s="447">
        <v>72451.95</v>
      </c>
      <c r="H13" s="447">
        <v>72858.975000000006</v>
      </c>
      <c r="I13" s="447">
        <v>73168.985000000001</v>
      </c>
      <c r="J13" s="447">
        <v>73399.97</v>
      </c>
      <c r="K13" s="447">
        <v>73741.070000000007</v>
      </c>
      <c r="L13" s="447">
        <v>73826.37</v>
      </c>
      <c r="M13" s="447">
        <v>74092.670000000013</v>
      </c>
      <c r="N13" s="447">
        <v>74077.509999999995</v>
      </c>
      <c r="O13" s="447">
        <v>73783.235000000015</v>
      </c>
      <c r="P13" s="447">
        <v>74903.395000000004</v>
      </c>
      <c r="Q13" s="447">
        <v>74344.055000000022</v>
      </c>
      <c r="R13" s="447">
        <f t="shared" si="3"/>
        <v>881824.65500000003</v>
      </c>
      <c r="S13" s="447"/>
      <c r="T13" s="447">
        <f t="shared" si="4"/>
        <v>3392.5867492850334</v>
      </c>
      <c r="U13" s="447">
        <f t="shared" si="4"/>
        <v>3453.3817921830314</v>
      </c>
      <c r="V13" s="447">
        <f t="shared" si="4"/>
        <v>3472.7824118207818</v>
      </c>
      <c r="W13" s="447">
        <f t="shared" si="4"/>
        <v>3487.5588655862725</v>
      </c>
      <c r="X13" s="447">
        <f t="shared" si="4"/>
        <v>3498.5686367969492</v>
      </c>
      <c r="Y13" s="447">
        <f t="shared" si="4"/>
        <v>3514.8269780743567</v>
      </c>
      <c r="Z13" s="447">
        <f t="shared" si="4"/>
        <v>3518.8927550047661</v>
      </c>
      <c r="AA13" s="447">
        <f t="shared" si="4"/>
        <v>3531.5857959961872</v>
      </c>
      <c r="AB13" s="447">
        <f t="shared" si="4"/>
        <v>3530.8632030505241</v>
      </c>
      <c r="AC13" s="447">
        <f t="shared" si="4"/>
        <v>3516.8367492850339</v>
      </c>
      <c r="AD13" s="447">
        <f t="shared" si="4"/>
        <v>3570.2285510009533</v>
      </c>
      <c r="AE13" s="447">
        <f t="shared" si="4"/>
        <v>3543.5679218303158</v>
      </c>
      <c r="AF13" s="448">
        <f t="shared" si="5"/>
        <v>42031.680409914203</v>
      </c>
      <c r="AG13" s="449">
        <f t="shared" si="6"/>
        <v>3502.6400341595167</v>
      </c>
      <c r="AI13" s="443">
        <v>65</v>
      </c>
      <c r="AL13" s="443">
        <v>1</v>
      </c>
      <c r="AM13" s="448">
        <f t="shared" si="7"/>
        <v>3502.6400341595167</v>
      </c>
      <c r="AN13" s="448"/>
      <c r="AO13" s="446">
        <f t="shared" si="8"/>
        <v>21.825969359691175</v>
      </c>
      <c r="AP13" s="450">
        <f t="shared" si="9"/>
        <v>917382.16876311926</v>
      </c>
      <c r="AQ13" s="450">
        <f t="shared" si="10"/>
        <v>35557.513763119234</v>
      </c>
    </row>
    <row r="14" spans="1:43" s="443" customFormat="1">
      <c r="A14" s="443" t="str">
        <f t="shared" si="1"/>
        <v>Lewis County UTCResidentialSL065.0GEO001NOREC</v>
      </c>
      <c r="B14" s="443">
        <f t="shared" si="2"/>
        <v>1</v>
      </c>
      <c r="C14" s="444" t="s">
        <v>224</v>
      </c>
      <c r="D14" s="445" t="s">
        <v>225</v>
      </c>
      <c r="E14" s="446">
        <v>13.94</v>
      </c>
      <c r="F14" s="447">
        <v>3605.5749999999998</v>
      </c>
      <c r="G14" s="447">
        <v>3605.5750000000003</v>
      </c>
      <c r="H14" s="447">
        <v>3598.605</v>
      </c>
      <c r="I14" s="447">
        <v>3594.4250000000002</v>
      </c>
      <c r="J14" s="447">
        <v>3616.7250000000004</v>
      </c>
      <c r="K14" s="447">
        <v>3528.21</v>
      </c>
      <c r="L14" s="447">
        <v>3558.1850000000004</v>
      </c>
      <c r="M14" s="447">
        <v>3516.3650000000002</v>
      </c>
      <c r="N14" s="447">
        <v>3502.4250000000002</v>
      </c>
      <c r="O14" s="447">
        <v>3412.51</v>
      </c>
      <c r="P14" s="447">
        <v>3368.6</v>
      </c>
      <c r="Q14" s="447">
        <v>3545.64</v>
      </c>
      <c r="R14" s="447">
        <f t="shared" si="3"/>
        <v>42452.84</v>
      </c>
      <c r="S14" s="447"/>
      <c r="T14" s="447">
        <f t="shared" si="4"/>
        <v>258.64956958393111</v>
      </c>
      <c r="U14" s="447">
        <f t="shared" si="4"/>
        <v>258.64956958393117</v>
      </c>
      <c r="V14" s="447">
        <f t="shared" si="4"/>
        <v>258.14956958393117</v>
      </c>
      <c r="W14" s="447">
        <f t="shared" si="4"/>
        <v>257.84971305595411</v>
      </c>
      <c r="X14" s="447">
        <f t="shared" si="4"/>
        <v>259.44942611190822</v>
      </c>
      <c r="Y14" s="447">
        <f t="shared" si="4"/>
        <v>253.09971305595411</v>
      </c>
      <c r="Z14" s="447">
        <f t="shared" si="4"/>
        <v>255.25000000000003</v>
      </c>
      <c r="AA14" s="447">
        <f t="shared" si="4"/>
        <v>252.25000000000003</v>
      </c>
      <c r="AB14" s="447">
        <f t="shared" si="4"/>
        <v>251.25000000000003</v>
      </c>
      <c r="AC14" s="447">
        <f t="shared" si="4"/>
        <v>244.79985652797706</v>
      </c>
      <c r="AD14" s="447">
        <f t="shared" si="4"/>
        <v>241.64992826398853</v>
      </c>
      <c r="AE14" s="447">
        <f t="shared" si="4"/>
        <v>254.35007173601147</v>
      </c>
      <c r="AF14" s="448">
        <f t="shared" si="5"/>
        <v>3045.3974175035873</v>
      </c>
      <c r="AG14" s="449">
        <f t="shared" si="6"/>
        <v>253.78311812529896</v>
      </c>
      <c r="AI14" s="443">
        <v>65</v>
      </c>
      <c r="AL14" s="443">
        <v>1</v>
      </c>
      <c r="AM14" s="448">
        <f t="shared" si="7"/>
        <v>253.78311812529896</v>
      </c>
      <c r="AN14" s="448"/>
      <c r="AO14" s="446">
        <f t="shared" si="8"/>
        <v>14.502097849098902</v>
      </c>
      <c r="AP14" s="450">
        <f t="shared" si="9"/>
        <v>44164.651338030126</v>
      </c>
      <c r="AQ14" s="450">
        <f t="shared" si="10"/>
        <v>1711.8113380301293</v>
      </c>
    </row>
    <row r="15" spans="1:43" s="443" customFormat="1">
      <c r="A15" s="443" t="str">
        <f t="shared" si="1"/>
        <v>Lewis County UTCResidentialSL065.0GEO001WREC</v>
      </c>
      <c r="B15" s="443">
        <f t="shared" si="2"/>
        <v>1</v>
      </c>
      <c r="C15" s="444" t="s">
        <v>226</v>
      </c>
      <c r="D15" s="445" t="s">
        <v>227</v>
      </c>
      <c r="E15" s="446">
        <v>13.94</v>
      </c>
      <c r="F15" s="447">
        <v>71144.385000000009</v>
      </c>
      <c r="G15" s="447">
        <v>71106.684999999998</v>
      </c>
      <c r="H15" s="447">
        <v>71213.214999999997</v>
      </c>
      <c r="I15" s="447">
        <v>71522.999999999985</v>
      </c>
      <c r="J15" s="447">
        <v>71104.014999999999</v>
      </c>
      <c r="K15" s="447">
        <v>70600.764999999985</v>
      </c>
      <c r="L15" s="447">
        <v>70148.974999999991</v>
      </c>
      <c r="M15" s="447">
        <v>70224.925000000017</v>
      </c>
      <c r="N15" s="447">
        <v>69778.12000000001</v>
      </c>
      <c r="O15" s="447">
        <v>68788.049999999988</v>
      </c>
      <c r="P15" s="447">
        <v>69385.279999999999</v>
      </c>
      <c r="Q15" s="447">
        <v>67826.924999999974</v>
      </c>
      <c r="R15" s="447">
        <f t="shared" si="3"/>
        <v>842844.34</v>
      </c>
      <c r="S15" s="447"/>
      <c r="T15" s="447">
        <f t="shared" si="4"/>
        <v>5103.6144189383076</v>
      </c>
      <c r="U15" s="447">
        <f t="shared" si="4"/>
        <v>5100.9099713055957</v>
      </c>
      <c r="V15" s="447">
        <f t="shared" si="4"/>
        <v>5108.5520086083216</v>
      </c>
      <c r="W15" s="447">
        <f t="shared" si="4"/>
        <v>5130.7747489239591</v>
      </c>
      <c r="X15" s="447">
        <f t="shared" si="4"/>
        <v>5100.7184361549498</v>
      </c>
      <c r="Y15" s="447">
        <f t="shared" si="4"/>
        <v>5064.6172883787649</v>
      </c>
      <c r="Z15" s="447">
        <f t="shared" si="4"/>
        <v>5032.2076757532277</v>
      </c>
      <c r="AA15" s="447">
        <f t="shared" si="4"/>
        <v>5037.6560258249656</v>
      </c>
      <c r="AB15" s="447">
        <f t="shared" si="4"/>
        <v>5005.604017216644</v>
      </c>
      <c r="AC15" s="447">
        <f t="shared" si="4"/>
        <v>4934.5803443328541</v>
      </c>
      <c r="AD15" s="447">
        <f t="shared" si="4"/>
        <v>4977.4232424677193</v>
      </c>
      <c r="AE15" s="447">
        <f t="shared" si="4"/>
        <v>4865.63307030129</v>
      </c>
      <c r="AF15" s="448">
        <f t="shared" si="5"/>
        <v>60462.291248206602</v>
      </c>
      <c r="AG15" s="449">
        <f t="shared" si="6"/>
        <v>5038.5242706838835</v>
      </c>
      <c r="AI15" s="443">
        <v>65</v>
      </c>
      <c r="AL15" s="443">
        <v>1</v>
      </c>
      <c r="AM15" s="448">
        <f t="shared" si="7"/>
        <v>5038.5242706838835</v>
      </c>
      <c r="AN15" s="448"/>
      <c r="AO15" s="446">
        <f t="shared" si="8"/>
        <v>14.502097849098902</v>
      </c>
      <c r="AP15" s="450">
        <f t="shared" si="9"/>
        <v>876830.06386220839</v>
      </c>
      <c r="AQ15" s="450">
        <f t="shared" si="10"/>
        <v>33985.723862208426</v>
      </c>
    </row>
    <row r="16" spans="1:43" s="443" customFormat="1">
      <c r="A16" s="443" t="str">
        <f t="shared" si="1"/>
        <v>Lewis County UTCResidentialSL095.0G1M001NOREC</v>
      </c>
      <c r="B16" s="443">
        <f t="shared" si="2"/>
        <v>1</v>
      </c>
      <c r="C16" s="444" t="s">
        <v>228</v>
      </c>
      <c r="D16" s="445" t="s">
        <v>229</v>
      </c>
      <c r="E16" s="446">
        <v>10.75</v>
      </c>
      <c r="F16" s="447">
        <v>107.5</v>
      </c>
      <c r="G16" s="447">
        <v>134.375</v>
      </c>
      <c r="H16" s="447">
        <v>155.875</v>
      </c>
      <c r="I16" s="447">
        <v>150.5</v>
      </c>
      <c r="J16" s="447">
        <v>150.5</v>
      </c>
      <c r="K16" s="447">
        <v>150.5</v>
      </c>
      <c r="L16" s="447">
        <v>150.5</v>
      </c>
      <c r="M16" s="447">
        <v>155.875</v>
      </c>
      <c r="N16" s="447">
        <v>145.125</v>
      </c>
      <c r="O16" s="447">
        <v>123.625</v>
      </c>
      <c r="P16" s="447">
        <v>134.375</v>
      </c>
      <c r="Q16" s="447">
        <v>155.875</v>
      </c>
      <c r="R16" s="447">
        <f t="shared" si="3"/>
        <v>1714.625</v>
      </c>
      <c r="S16" s="447"/>
      <c r="T16" s="447">
        <f t="shared" si="4"/>
        <v>10</v>
      </c>
      <c r="U16" s="447">
        <f t="shared" si="4"/>
        <v>12.5</v>
      </c>
      <c r="V16" s="447">
        <f t="shared" si="4"/>
        <v>14.5</v>
      </c>
      <c r="W16" s="447">
        <f t="shared" si="4"/>
        <v>14</v>
      </c>
      <c r="X16" s="447">
        <f t="shared" si="4"/>
        <v>14</v>
      </c>
      <c r="Y16" s="447">
        <f t="shared" si="4"/>
        <v>14</v>
      </c>
      <c r="Z16" s="447">
        <f t="shared" si="4"/>
        <v>14</v>
      </c>
      <c r="AA16" s="447">
        <f t="shared" si="4"/>
        <v>14.5</v>
      </c>
      <c r="AB16" s="447">
        <f t="shared" si="4"/>
        <v>13.5</v>
      </c>
      <c r="AC16" s="447">
        <f t="shared" si="4"/>
        <v>11.5</v>
      </c>
      <c r="AD16" s="447">
        <f t="shared" si="4"/>
        <v>12.5</v>
      </c>
      <c r="AE16" s="447">
        <f t="shared" si="4"/>
        <v>14.5</v>
      </c>
      <c r="AF16" s="448">
        <f t="shared" si="5"/>
        <v>159.5</v>
      </c>
      <c r="AG16" s="449">
        <f t="shared" si="6"/>
        <v>13.291666666666666</v>
      </c>
      <c r="AI16" s="443">
        <v>95</v>
      </c>
      <c r="AL16" s="443">
        <v>1</v>
      </c>
      <c r="AM16" s="448">
        <f t="shared" si="7"/>
        <v>13.291666666666666</v>
      </c>
      <c r="AN16" s="448"/>
      <c r="AO16" s="446">
        <f t="shared" si="8"/>
        <v>11.183468570861779</v>
      </c>
      <c r="AP16" s="450">
        <f t="shared" si="9"/>
        <v>1783.7632370524536</v>
      </c>
      <c r="AQ16" s="450">
        <f t="shared" si="10"/>
        <v>69.138237052453633</v>
      </c>
    </row>
    <row r="17" spans="1:43" s="443" customFormat="1">
      <c r="A17" s="443" t="str">
        <f t="shared" si="1"/>
        <v>Lewis County UTCResidentialSL095.0G1M001WREC</v>
      </c>
      <c r="B17" s="443">
        <f t="shared" si="2"/>
        <v>1</v>
      </c>
      <c r="C17" s="444" t="s">
        <v>230</v>
      </c>
      <c r="D17" s="445" t="s">
        <v>231</v>
      </c>
      <c r="E17" s="446">
        <v>10.75</v>
      </c>
      <c r="F17" s="447">
        <v>1585.625</v>
      </c>
      <c r="G17" s="447">
        <v>1574.875</v>
      </c>
      <c r="H17" s="447">
        <v>1564.125</v>
      </c>
      <c r="I17" s="447">
        <v>1569.5</v>
      </c>
      <c r="J17" s="447">
        <v>1569.5</v>
      </c>
      <c r="K17" s="447">
        <v>1521.125</v>
      </c>
      <c r="L17" s="447">
        <v>1537.25</v>
      </c>
      <c r="M17" s="447">
        <v>1564.125</v>
      </c>
      <c r="N17" s="447">
        <v>1499.625</v>
      </c>
      <c r="O17" s="447">
        <v>1526.5</v>
      </c>
      <c r="P17" s="447">
        <v>1521.125</v>
      </c>
      <c r="Q17" s="447">
        <v>1496.67</v>
      </c>
      <c r="R17" s="447">
        <f t="shared" si="3"/>
        <v>18530.044999999998</v>
      </c>
      <c r="S17" s="447"/>
      <c r="T17" s="447">
        <f t="shared" si="4"/>
        <v>147.5</v>
      </c>
      <c r="U17" s="447">
        <f t="shared" si="4"/>
        <v>146.5</v>
      </c>
      <c r="V17" s="447">
        <f t="shared" si="4"/>
        <v>145.5</v>
      </c>
      <c r="W17" s="447">
        <f t="shared" si="4"/>
        <v>146</v>
      </c>
      <c r="X17" s="447">
        <f t="shared" si="4"/>
        <v>146</v>
      </c>
      <c r="Y17" s="447">
        <f t="shared" si="4"/>
        <v>141.5</v>
      </c>
      <c r="Z17" s="447">
        <f t="shared" si="4"/>
        <v>143</v>
      </c>
      <c r="AA17" s="447">
        <f t="shared" si="4"/>
        <v>145.5</v>
      </c>
      <c r="AB17" s="447">
        <f t="shared" si="4"/>
        <v>139.5</v>
      </c>
      <c r="AC17" s="447">
        <f t="shared" si="4"/>
        <v>142</v>
      </c>
      <c r="AD17" s="447">
        <f t="shared" si="4"/>
        <v>141.5</v>
      </c>
      <c r="AE17" s="447">
        <f t="shared" si="4"/>
        <v>139.22511627906977</v>
      </c>
      <c r="AF17" s="448">
        <f t="shared" si="5"/>
        <v>1723.7251162790699</v>
      </c>
      <c r="AG17" s="449">
        <f t="shared" si="6"/>
        <v>143.64375968992249</v>
      </c>
      <c r="AI17" s="443">
        <v>95</v>
      </c>
      <c r="AL17" s="443">
        <v>1</v>
      </c>
      <c r="AM17" s="448">
        <f t="shared" si="7"/>
        <v>143.64375968992249</v>
      </c>
      <c r="AN17" s="448"/>
      <c r="AO17" s="446">
        <f t="shared" si="8"/>
        <v>11.183468570861779</v>
      </c>
      <c r="AP17" s="450">
        <f t="shared" si="9"/>
        <v>19277.225662712044</v>
      </c>
      <c r="AQ17" s="450">
        <f t="shared" si="10"/>
        <v>747.18066271204589</v>
      </c>
    </row>
    <row r="18" spans="1:43" s="443" customFormat="1">
      <c r="A18" s="443" t="str">
        <f t="shared" si="1"/>
        <v>Lewis County UTCResidentialSL095.0G1W001NOREC</v>
      </c>
      <c r="B18" s="443">
        <f t="shared" si="2"/>
        <v>1</v>
      </c>
      <c r="C18" s="444" t="s">
        <v>232</v>
      </c>
      <c r="D18" s="445" t="s">
        <v>233</v>
      </c>
      <c r="E18" s="446">
        <v>27.47</v>
      </c>
      <c r="F18" s="447">
        <v>2630.2599999999998</v>
      </c>
      <c r="G18" s="447">
        <v>2710.77</v>
      </c>
      <c r="H18" s="447">
        <v>2860.7149999999997</v>
      </c>
      <c r="I18" s="447">
        <v>2904.2</v>
      </c>
      <c r="J18" s="447">
        <v>2953.03</v>
      </c>
      <c r="K18" s="447">
        <v>2918.3150000000001</v>
      </c>
      <c r="L18" s="447">
        <v>2854.5949999999998</v>
      </c>
      <c r="M18" s="447">
        <v>2924.03</v>
      </c>
      <c r="N18" s="447">
        <v>2888.5549999999998</v>
      </c>
      <c r="O18" s="447">
        <v>2882.8299999999995</v>
      </c>
      <c r="P18" s="447">
        <v>2938.16</v>
      </c>
      <c r="Q18" s="447">
        <v>3012.55</v>
      </c>
      <c r="R18" s="447">
        <f t="shared" si="3"/>
        <v>34478.01</v>
      </c>
      <c r="S18" s="447"/>
      <c r="T18" s="447">
        <f t="shared" si="4"/>
        <v>95.750273025118304</v>
      </c>
      <c r="U18" s="447">
        <f t="shared" si="4"/>
        <v>98.68110666181289</v>
      </c>
      <c r="V18" s="447">
        <f t="shared" si="4"/>
        <v>104.13960684382963</v>
      </c>
      <c r="W18" s="447">
        <f t="shared" si="4"/>
        <v>105.72260647979614</v>
      </c>
      <c r="X18" s="447">
        <f t="shared" si="4"/>
        <v>107.50018201674555</v>
      </c>
      <c r="Y18" s="447">
        <f t="shared" si="4"/>
        <v>106.23643975245723</v>
      </c>
      <c r="Z18" s="447">
        <f t="shared" si="4"/>
        <v>103.91681834728794</v>
      </c>
      <c r="AA18" s="447">
        <f t="shared" si="4"/>
        <v>106.44448489261013</v>
      </c>
      <c r="AB18" s="447">
        <f t="shared" si="4"/>
        <v>105.15307608299963</v>
      </c>
      <c r="AC18" s="447">
        <f t="shared" si="4"/>
        <v>104.94466690935565</v>
      </c>
      <c r="AD18" s="447">
        <f t="shared" si="4"/>
        <v>106.95886421550783</v>
      </c>
      <c r="AE18" s="447">
        <f t="shared" si="4"/>
        <v>109.66690935566074</v>
      </c>
      <c r="AF18" s="448">
        <f t="shared" si="5"/>
        <v>1255.1150345831818</v>
      </c>
      <c r="AG18" s="449">
        <f t="shared" si="6"/>
        <v>104.59291954859849</v>
      </c>
      <c r="AI18" s="443">
        <v>95</v>
      </c>
      <c r="AL18" s="443">
        <v>1</v>
      </c>
      <c r="AM18" s="448">
        <f t="shared" si="7"/>
        <v>104.59291954859849</v>
      </c>
      <c r="AN18" s="448"/>
      <c r="AO18" s="446">
        <f t="shared" si="8"/>
        <v>28.577663408518426</v>
      </c>
      <c r="AP18" s="450">
        <f t="shared" si="9"/>
        <v>35868.254997289136</v>
      </c>
      <c r="AQ18" s="450">
        <f t="shared" si="10"/>
        <v>1390.2449972891336</v>
      </c>
    </row>
    <row r="19" spans="1:43" s="443" customFormat="1">
      <c r="A19" s="443" t="str">
        <f t="shared" si="1"/>
        <v>Lewis County UTCResidentialSL095.0G1W001WREC</v>
      </c>
      <c r="B19" s="443">
        <f t="shared" si="2"/>
        <v>1</v>
      </c>
      <c r="C19" s="444" t="s">
        <v>234</v>
      </c>
      <c r="D19" s="445" t="s">
        <v>235</v>
      </c>
      <c r="E19" s="446">
        <v>27.47</v>
      </c>
      <c r="F19" s="447">
        <v>20603.684999999998</v>
      </c>
      <c r="G19" s="447">
        <v>21258.38</v>
      </c>
      <c r="H19" s="447">
        <v>21849.655000000002</v>
      </c>
      <c r="I19" s="447">
        <v>22228.989999999998</v>
      </c>
      <c r="J19" s="447">
        <v>22115.654999999999</v>
      </c>
      <c r="K19" s="447">
        <v>21743.584999999999</v>
      </c>
      <c r="L19" s="447">
        <v>21725.355</v>
      </c>
      <c r="M19" s="447">
        <v>21677.11</v>
      </c>
      <c r="N19" s="447">
        <v>21865.359999999997</v>
      </c>
      <c r="O19" s="447">
        <v>21956.174999999996</v>
      </c>
      <c r="P19" s="447">
        <v>22732.605000000003</v>
      </c>
      <c r="Q19" s="447">
        <v>22104.504999999997</v>
      </c>
      <c r="R19" s="447">
        <f t="shared" si="3"/>
        <v>261861.05999999997</v>
      </c>
      <c r="S19" s="447"/>
      <c r="T19" s="447">
        <f t="shared" si="4"/>
        <v>750.04313796869303</v>
      </c>
      <c r="U19" s="447">
        <f t="shared" si="4"/>
        <v>773.87622861303248</v>
      </c>
      <c r="V19" s="447">
        <f t="shared" si="4"/>
        <v>795.40061885693501</v>
      </c>
      <c r="W19" s="447">
        <f t="shared" si="4"/>
        <v>809.2096832908627</v>
      </c>
      <c r="X19" s="447">
        <f t="shared" si="4"/>
        <v>805.08390971969425</v>
      </c>
      <c r="Y19" s="447">
        <f t="shared" si="4"/>
        <v>791.53931561703678</v>
      </c>
      <c r="Z19" s="447">
        <f t="shared" si="4"/>
        <v>790.87568256279576</v>
      </c>
      <c r="AA19" s="447">
        <f t="shared" si="4"/>
        <v>789.11940298507466</v>
      </c>
      <c r="AB19" s="447">
        <f t="shared" si="4"/>
        <v>795.97233345467771</v>
      </c>
      <c r="AC19" s="447">
        <f t="shared" si="4"/>
        <v>799.27830360393148</v>
      </c>
      <c r="AD19" s="447">
        <f t="shared" si="4"/>
        <v>827.54295595194776</v>
      </c>
      <c r="AE19" s="447">
        <f t="shared" si="4"/>
        <v>804.67801237713866</v>
      </c>
      <c r="AF19" s="448">
        <f t="shared" si="5"/>
        <v>9532.6195850018212</v>
      </c>
      <c r="AG19" s="449">
        <f t="shared" si="6"/>
        <v>794.38496541681843</v>
      </c>
      <c r="AI19" s="443">
        <v>95</v>
      </c>
      <c r="AL19" s="443">
        <v>1</v>
      </c>
      <c r="AM19" s="448">
        <f t="shared" si="7"/>
        <v>794.38496541681843</v>
      </c>
      <c r="AN19" s="448"/>
      <c r="AO19" s="446">
        <f t="shared" si="8"/>
        <v>28.577663408518426</v>
      </c>
      <c r="AP19" s="450">
        <f t="shared" si="9"/>
        <v>272419.99390163267</v>
      </c>
      <c r="AQ19" s="450">
        <f t="shared" si="10"/>
        <v>10558.933901632699</v>
      </c>
    </row>
    <row r="20" spans="1:43" s="443" customFormat="1">
      <c r="A20" s="443" t="str">
        <f t="shared" si="1"/>
        <v>Lewis County UTCResidentialSL095.0GEO001NOREC</v>
      </c>
      <c r="B20" s="443">
        <f t="shared" si="2"/>
        <v>1</v>
      </c>
      <c r="C20" s="444" t="s">
        <v>236</v>
      </c>
      <c r="D20" s="445" t="s">
        <v>237</v>
      </c>
      <c r="E20" s="446">
        <v>21.41</v>
      </c>
      <c r="F20" s="447">
        <v>588.78</v>
      </c>
      <c r="G20" s="447">
        <v>618.75500000000011</v>
      </c>
      <c r="H20" s="447">
        <v>666.92499999999995</v>
      </c>
      <c r="I20" s="447">
        <v>669.06500000000005</v>
      </c>
      <c r="J20" s="447">
        <v>615.53499999999997</v>
      </c>
      <c r="K20" s="447">
        <v>583.42000000000007</v>
      </c>
      <c r="L20" s="447">
        <v>631.59499999999991</v>
      </c>
      <c r="M20" s="447">
        <v>669.06000000000006</v>
      </c>
      <c r="N20" s="447">
        <v>669.06000000000006</v>
      </c>
      <c r="O20" s="447">
        <v>604.83000000000004</v>
      </c>
      <c r="P20" s="447">
        <v>558.79499999999996</v>
      </c>
      <c r="Q20" s="447">
        <v>488.03000000000003</v>
      </c>
      <c r="R20" s="447">
        <f t="shared" si="3"/>
        <v>7363.85</v>
      </c>
      <c r="S20" s="447"/>
      <c r="T20" s="447">
        <f t="shared" si="4"/>
        <v>27.500233535730967</v>
      </c>
      <c r="U20" s="447">
        <f t="shared" si="4"/>
        <v>28.900280242877166</v>
      </c>
      <c r="V20" s="447">
        <f t="shared" si="4"/>
        <v>31.150163475011674</v>
      </c>
      <c r="W20" s="447">
        <f t="shared" si="4"/>
        <v>31.250116767865485</v>
      </c>
      <c r="X20" s="447">
        <f t="shared" si="4"/>
        <v>28.749883232134515</v>
      </c>
      <c r="Y20" s="447">
        <f t="shared" si="4"/>
        <v>27.249883232134518</v>
      </c>
      <c r="Z20" s="447">
        <f t="shared" si="4"/>
        <v>29.499999999999996</v>
      </c>
      <c r="AA20" s="447">
        <f t="shared" si="4"/>
        <v>31.249883232134518</v>
      </c>
      <c r="AB20" s="447">
        <f t="shared" si="4"/>
        <v>31.249883232134518</v>
      </c>
      <c r="AC20" s="447">
        <f t="shared" si="4"/>
        <v>28.249883232134518</v>
      </c>
      <c r="AD20" s="447">
        <f t="shared" si="4"/>
        <v>26.099719757122838</v>
      </c>
      <c r="AE20" s="447">
        <f t="shared" si="4"/>
        <v>22.794488556749183</v>
      </c>
      <c r="AF20" s="448">
        <f t="shared" si="5"/>
        <v>343.94441849602987</v>
      </c>
      <c r="AG20" s="449">
        <f t="shared" si="6"/>
        <v>28.662034874669157</v>
      </c>
      <c r="AI20" s="443">
        <v>95</v>
      </c>
      <c r="AL20" s="443">
        <v>1</v>
      </c>
      <c r="AM20" s="448">
        <f t="shared" si="7"/>
        <v>28.662034874669157</v>
      </c>
      <c r="AN20" s="448"/>
      <c r="AO20" s="446">
        <f t="shared" si="8"/>
        <v>22.273308102525647</v>
      </c>
      <c r="AP20" s="450">
        <f t="shared" si="9"/>
        <v>7660.7800033060939</v>
      </c>
      <c r="AQ20" s="450">
        <f t="shared" si="10"/>
        <v>296.93000330609357</v>
      </c>
    </row>
    <row r="21" spans="1:43" s="443" customFormat="1">
      <c r="A21" s="443" t="str">
        <f t="shared" si="1"/>
        <v>Lewis County UTCResidentialSL095.0GEO001WREC</v>
      </c>
      <c r="B21" s="443">
        <f t="shared" si="2"/>
        <v>1</v>
      </c>
      <c r="C21" s="444" t="s">
        <v>238</v>
      </c>
      <c r="D21" s="445" t="s">
        <v>239</v>
      </c>
      <c r="E21" s="446">
        <v>21.41</v>
      </c>
      <c r="F21" s="447">
        <v>6443.35</v>
      </c>
      <c r="G21" s="447">
        <v>6425.125</v>
      </c>
      <c r="H21" s="447">
        <v>6425.13</v>
      </c>
      <c r="I21" s="447">
        <v>6465.8249999999989</v>
      </c>
      <c r="J21" s="447">
        <v>6375.9099999999989</v>
      </c>
      <c r="K21" s="447">
        <v>6413.39</v>
      </c>
      <c r="L21" s="447">
        <v>6369.4900000000007</v>
      </c>
      <c r="M21" s="447">
        <v>6264.93</v>
      </c>
      <c r="N21" s="447">
        <v>6260.6549999999997</v>
      </c>
      <c r="O21" s="447">
        <v>6205.7049999999999</v>
      </c>
      <c r="P21" s="447">
        <v>6264.585</v>
      </c>
      <c r="Q21" s="447">
        <v>6445.4899999999989</v>
      </c>
      <c r="R21" s="447">
        <f t="shared" si="3"/>
        <v>76359.585000000006</v>
      </c>
      <c r="S21" s="447"/>
      <c r="T21" s="447">
        <f t="shared" si="4"/>
        <v>300.95049042503507</v>
      </c>
      <c r="U21" s="447">
        <f t="shared" si="4"/>
        <v>300.09925268566093</v>
      </c>
      <c r="V21" s="447">
        <f t="shared" si="4"/>
        <v>300.09948622139189</v>
      </c>
      <c r="W21" s="447">
        <f t="shared" si="4"/>
        <v>302.0002335357309</v>
      </c>
      <c r="X21" s="447">
        <f t="shared" si="4"/>
        <v>297.80056048575426</v>
      </c>
      <c r="Y21" s="447">
        <f t="shared" si="4"/>
        <v>299.55114432508174</v>
      </c>
      <c r="Z21" s="447">
        <f t="shared" si="4"/>
        <v>297.50070060719293</v>
      </c>
      <c r="AA21" s="447">
        <f t="shared" si="4"/>
        <v>292.6170014012144</v>
      </c>
      <c r="AB21" s="447">
        <f t="shared" si="4"/>
        <v>292.4173283512377</v>
      </c>
      <c r="AC21" s="447">
        <f t="shared" si="4"/>
        <v>289.85077066791217</v>
      </c>
      <c r="AD21" s="447">
        <f t="shared" si="4"/>
        <v>292.60088743577768</v>
      </c>
      <c r="AE21" s="447">
        <f t="shared" si="4"/>
        <v>301.05044371788875</v>
      </c>
      <c r="AF21" s="448">
        <f t="shared" si="5"/>
        <v>3566.5382998598784</v>
      </c>
      <c r="AG21" s="449">
        <f t="shared" si="6"/>
        <v>297.21152498832322</v>
      </c>
      <c r="AI21" s="443">
        <v>95</v>
      </c>
      <c r="AL21" s="443">
        <v>1</v>
      </c>
      <c r="AM21" s="448">
        <f t="shared" si="7"/>
        <v>297.21152498832322</v>
      </c>
      <c r="AN21" s="448"/>
      <c r="AO21" s="446">
        <f t="shared" si="8"/>
        <v>22.273308102525647</v>
      </c>
      <c r="AP21" s="450">
        <f t="shared" si="9"/>
        <v>79438.606412237088</v>
      </c>
      <c r="AQ21" s="450">
        <f t="shared" si="10"/>
        <v>3079.0214122370817</v>
      </c>
    </row>
    <row r="22" spans="1:43" s="443" customFormat="1">
      <c r="A22" s="443" t="str">
        <f t="shared" si="1"/>
        <v>Lewis County UTCResidentialOC-RES</v>
      </c>
      <c r="B22" s="443">
        <f t="shared" si="2"/>
        <v>1</v>
      </c>
      <c r="C22" s="444" t="s">
        <v>240</v>
      </c>
      <c r="D22" s="445" t="s">
        <v>241</v>
      </c>
      <c r="E22" s="446">
        <v>6.32</v>
      </c>
      <c r="F22" s="447">
        <v>79</v>
      </c>
      <c r="G22" s="447">
        <v>66.36</v>
      </c>
      <c r="H22" s="447">
        <v>110.6</v>
      </c>
      <c r="I22" s="447">
        <v>97.960000000000008</v>
      </c>
      <c r="J22" s="447">
        <v>41.08</v>
      </c>
      <c r="K22" s="447">
        <v>53.72</v>
      </c>
      <c r="L22" s="447">
        <v>66.360000000000014</v>
      </c>
      <c r="M22" s="447">
        <v>97.960000000000008</v>
      </c>
      <c r="N22" s="447">
        <v>28.44</v>
      </c>
      <c r="O22" s="447">
        <v>72.680000000000007</v>
      </c>
      <c r="P22" s="447">
        <v>34.760000000000005</v>
      </c>
      <c r="Q22" s="447">
        <v>41.08</v>
      </c>
      <c r="R22" s="447">
        <f t="shared" si="3"/>
        <v>790.00000000000011</v>
      </c>
      <c r="S22" s="447"/>
      <c r="T22" s="447">
        <f t="shared" si="4"/>
        <v>12.5</v>
      </c>
      <c r="U22" s="447">
        <f t="shared" si="4"/>
        <v>10.5</v>
      </c>
      <c r="V22" s="447">
        <f t="shared" si="4"/>
        <v>17.5</v>
      </c>
      <c r="W22" s="447">
        <f t="shared" si="4"/>
        <v>15.5</v>
      </c>
      <c r="X22" s="447">
        <f t="shared" si="4"/>
        <v>6.4999999999999991</v>
      </c>
      <c r="Y22" s="447">
        <f t="shared" si="4"/>
        <v>8.5</v>
      </c>
      <c r="Z22" s="447">
        <f t="shared" si="4"/>
        <v>10.500000000000002</v>
      </c>
      <c r="AA22" s="447">
        <f t="shared" si="4"/>
        <v>15.5</v>
      </c>
      <c r="AB22" s="447">
        <f t="shared" si="4"/>
        <v>4.5</v>
      </c>
      <c r="AC22" s="447">
        <f t="shared" si="4"/>
        <v>11.5</v>
      </c>
      <c r="AD22" s="447">
        <f t="shared" si="4"/>
        <v>5.5000000000000009</v>
      </c>
      <c r="AE22" s="447">
        <f t="shared" si="4"/>
        <v>6.4999999999999991</v>
      </c>
      <c r="AF22" s="448">
        <f t="shared" si="5"/>
        <v>125</v>
      </c>
      <c r="AG22" s="449">
        <f t="shared" si="6"/>
        <v>10.416666666666666</v>
      </c>
      <c r="AO22" s="446">
        <f t="shared" si="8"/>
        <v>6.5748391970089717</v>
      </c>
      <c r="AP22" s="450">
        <f t="shared" si="9"/>
        <v>821.85489962612144</v>
      </c>
      <c r="AQ22" s="450">
        <f t="shared" si="10"/>
        <v>31.854899626121323</v>
      </c>
    </row>
    <row r="23" spans="1:43" s="443" customFormat="1">
      <c r="A23" s="443" t="str">
        <f t="shared" si="1"/>
        <v>Lewis County UTCResidentialSP65-RES</v>
      </c>
      <c r="B23" s="443">
        <f t="shared" si="2"/>
        <v>1</v>
      </c>
      <c r="C23" s="444" t="s">
        <v>242</v>
      </c>
      <c r="D23" s="445" t="s">
        <v>243</v>
      </c>
      <c r="E23" s="446">
        <v>6.32</v>
      </c>
      <c r="F23" s="447">
        <v>568.79999999999995</v>
      </c>
      <c r="G23" s="447">
        <v>833.94</v>
      </c>
      <c r="H23" s="447">
        <v>663.6</v>
      </c>
      <c r="I23" s="447">
        <v>587.76</v>
      </c>
      <c r="J23" s="447">
        <v>492.96</v>
      </c>
      <c r="K23" s="447">
        <v>404.48</v>
      </c>
      <c r="L23" s="447">
        <v>423.44</v>
      </c>
      <c r="M23" s="447">
        <v>372.87999999999994</v>
      </c>
      <c r="N23" s="447">
        <v>334.96</v>
      </c>
      <c r="O23" s="447">
        <v>240.15999999999997</v>
      </c>
      <c r="P23" s="447">
        <v>360.24</v>
      </c>
      <c r="Q23" s="447">
        <v>448.72</v>
      </c>
      <c r="R23" s="447">
        <f t="shared" si="3"/>
        <v>5731.9400000000005</v>
      </c>
      <c r="S23" s="447"/>
      <c r="T23" s="447">
        <f t="shared" si="4"/>
        <v>89.999999999999986</v>
      </c>
      <c r="U23" s="447">
        <f t="shared" si="4"/>
        <v>131.95253164556962</v>
      </c>
      <c r="V23" s="447">
        <f t="shared" si="4"/>
        <v>105</v>
      </c>
      <c r="W23" s="447">
        <f t="shared" si="4"/>
        <v>93</v>
      </c>
      <c r="X23" s="447">
        <f t="shared" si="4"/>
        <v>78</v>
      </c>
      <c r="Y23" s="447">
        <f t="shared" si="4"/>
        <v>64</v>
      </c>
      <c r="Z23" s="447">
        <f t="shared" si="4"/>
        <v>67</v>
      </c>
      <c r="AA23" s="447">
        <f t="shared" si="4"/>
        <v>58.999999999999986</v>
      </c>
      <c r="AB23" s="447">
        <f t="shared" si="4"/>
        <v>52.999999999999993</v>
      </c>
      <c r="AC23" s="447">
        <f t="shared" si="4"/>
        <v>37.999999999999993</v>
      </c>
      <c r="AD23" s="447">
        <f t="shared" si="4"/>
        <v>57</v>
      </c>
      <c r="AE23" s="447">
        <f t="shared" si="4"/>
        <v>71</v>
      </c>
      <c r="AF23" s="448">
        <f t="shared" si="5"/>
        <v>906.95253164556959</v>
      </c>
      <c r="AG23" s="449">
        <f t="shared" si="6"/>
        <v>75.579377637130804</v>
      </c>
      <c r="AO23" s="446">
        <f t="shared" si="8"/>
        <v>6.5748391970089717</v>
      </c>
      <c r="AP23" s="450">
        <f t="shared" si="9"/>
        <v>5963.0670548898115</v>
      </c>
      <c r="AQ23" s="450">
        <f t="shared" si="10"/>
        <v>231.12705488981101</v>
      </c>
    </row>
    <row r="24" spans="1:43" s="443" customFormat="1">
      <c r="A24" s="443" t="str">
        <f t="shared" si="1"/>
        <v>Lewis County UTCResidentialSP95-RES</v>
      </c>
      <c r="B24" s="443">
        <f t="shared" si="2"/>
        <v>1</v>
      </c>
      <c r="C24" s="444" t="s">
        <v>244</v>
      </c>
      <c r="D24" s="445" t="s">
        <v>245</v>
      </c>
      <c r="E24" s="446">
        <v>6.32</v>
      </c>
      <c r="F24" s="447">
        <v>189.59999999999997</v>
      </c>
      <c r="G24" s="447">
        <v>303.36</v>
      </c>
      <c r="H24" s="447">
        <v>170.64</v>
      </c>
      <c r="I24" s="447">
        <v>316</v>
      </c>
      <c r="J24" s="447">
        <v>170.64</v>
      </c>
      <c r="K24" s="447">
        <v>278.08</v>
      </c>
      <c r="L24" s="447">
        <v>151.68</v>
      </c>
      <c r="M24" s="447">
        <v>174.14</v>
      </c>
      <c r="N24" s="447">
        <v>278.08</v>
      </c>
      <c r="O24" s="447">
        <v>164.32</v>
      </c>
      <c r="P24" s="447">
        <v>170.64</v>
      </c>
      <c r="Q24" s="447">
        <v>88.480000000000018</v>
      </c>
      <c r="R24" s="447">
        <f t="shared" si="3"/>
        <v>2455.66</v>
      </c>
      <c r="S24" s="447"/>
      <c r="T24" s="447">
        <f t="shared" si="4"/>
        <v>29.999999999999993</v>
      </c>
      <c r="U24" s="447">
        <f t="shared" si="4"/>
        <v>48</v>
      </c>
      <c r="V24" s="447">
        <f t="shared" si="4"/>
        <v>26.999999999999996</v>
      </c>
      <c r="W24" s="447">
        <f t="shared" si="4"/>
        <v>50</v>
      </c>
      <c r="X24" s="447">
        <f t="shared" si="4"/>
        <v>26.999999999999996</v>
      </c>
      <c r="Y24" s="447">
        <f t="shared" si="4"/>
        <v>43.999999999999993</v>
      </c>
      <c r="Z24" s="447">
        <f t="shared" si="4"/>
        <v>24</v>
      </c>
      <c r="AA24" s="447">
        <f t="shared" si="4"/>
        <v>27.553797468354428</v>
      </c>
      <c r="AB24" s="447">
        <f t="shared" si="4"/>
        <v>43.999999999999993</v>
      </c>
      <c r="AC24" s="447">
        <f t="shared" si="4"/>
        <v>25.999999999999996</v>
      </c>
      <c r="AD24" s="447">
        <f t="shared" si="4"/>
        <v>26.999999999999996</v>
      </c>
      <c r="AE24" s="447">
        <f t="shared" si="4"/>
        <v>14.000000000000002</v>
      </c>
      <c r="AF24" s="448">
        <f t="shared" si="5"/>
        <v>388.55379746835445</v>
      </c>
      <c r="AG24" s="449">
        <f t="shared" si="6"/>
        <v>32.379483122362871</v>
      </c>
      <c r="AO24" s="446">
        <f t="shared" si="8"/>
        <v>6.5748391970089717</v>
      </c>
      <c r="AP24" s="450">
        <f t="shared" si="9"/>
        <v>2554.6787377416222</v>
      </c>
      <c r="AQ24" s="450">
        <f t="shared" si="10"/>
        <v>99.018737741622317</v>
      </c>
    </row>
    <row r="25" spans="1:43" s="443" customFormat="1">
      <c r="A25" s="443" t="str">
        <f t="shared" si="1"/>
        <v>Lewis County UTCResidentialSPCL65-RES</v>
      </c>
      <c r="B25" s="443">
        <f t="shared" si="2"/>
        <v>1</v>
      </c>
      <c r="C25" s="444" t="s">
        <v>246</v>
      </c>
      <c r="D25" s="445" t="s">
        <v>247</v>
      </c>
      <c r="E25" s="446">
        <v>6.32</v>
      </c>
      <c r="F25" s="447">
        <v>44.24</v>
      </c>
      <c r="G25" s="447">
        <v>6.32</v>
      </c>
      <c r="H25" s="447">
        <v>18.96</v>
      </c>
      <c r="I25" s="447">
        <v>0</v>
      </c>
      <c r="J25" s="447">
        <v>6.32</v>
      </c>
      <c r="K25" s="447">
        <v>12.64</v>
      </c>
      <c r="L25" s="447">
        <v>0</v>
      </c>
      <c r="M25" s="447">
        <v>0</v>
      </c>
      <c r="N25" s="447">
        <v>6.32</v>
      </c>
      <c r="O25" s="447">
        <v>6.32</v>
      </c>
      <c r="P25" s="447">
        <v>6.32</v>
      </c>
      <c r="Q25" s="447">
        <v>0</v>
      </c>
      <c r="R25" s="447">
        <f t="shared" si="3"/>
        <v>107.44</v>
      </c>
      <c r="S25" s="447"/>
      <c r="T25" s="447">
        <f t="shared" si="4"/>
        <v>7</v>
      </c>
      <c r="U25" s="447">
        <f t="shared" si="4"/>
        <v>1</v>
      </c>
      <c r="V25" s="447">
        <f t="shared" si="4"/>
        <v>3</v>
      </c>
      <c r="W25" s="447">
        <f t="shared" si="4"/>
        <v>0</v>
      </c>
      <c r="X25" s="447">
        <f t="shared" si="4"/>
        <v>1</v>
      </c>
      <c r="Y25" s="447">
        <f t="shared" si="4"/>
        <v>2</v>
      </c>
      <c r="Z25" s="447">
        <f t="shared" si="4"/>
        <v>0</v>
      </c>
      <c r="AA25" s="447">
        <f t="shared" si="4"/>
        <v>0</v>
      </c>
      <c r="AB25" s="447">
        <f t="shared" si="4"/>
        <v>1</v>
      </c>
      <c r="AC25" s="447">
        <f t="shared" si="4"/>
        <v>1</v>
      </c>
      <c r="AD25" s="447">
        <f t="shared" si="4"/>
        <v>1</v>
      </c>
      <c r="AE25" s="447">
        <f t="shared" si="4"/>
        <v>0</v>
      </c>
      <c r="AF25" s="448">
        <f t="shared" si="5"/>
        <v>17</v>
      </c>
      <c r="AG25" s="449">
        <f t="shared" si="6"/>
        <v>1.4166666666666667</v>
      </c>
      <c r="AO25" s="446">
        <f t="shared" si="8"/>
        <v>6.5748391970089717</v>
      </c>
      <c r="AP25" s="450">
        <f t="shared" si="9"/>
        <v>111.77226634915252</v>
      </c>
      <c r="AQ25" s="450">
        <f t="shared" si="10"/>
        <v>4.3322663491525191</v>
      </c>
    </row>
    <row r="26" spans="1:43" ht="15">
      <c r="A26" s="199" t="str">
        <f t="shared" si="1"/>
        <v>Lewis County UTCResidentialACCESS-RES</v>
      </c>
      <c r="B26" s="199">
        <f t="shared" si="2"/>
        <v>1</v>
      </c>
      <c r="C26" s="292" t="s">
        <v>248</v>
      </c>
      <c r="D26" s="217" t="s">
        <v>249</v>
      </c>
      <c r="E26" s="218">
        <v>1.57</v>
      </c>
      <c r="F26" s="219">
        <v>3.14</v>
      </c>
      <c r="G26" s="219">
        <v>3.14</v>
      </c>
      <c r="H26" s="219">
        <v>3.14</v>
      </c>
      <c r="I26" s="219">
        <v>3.14</v>
      </c>
      <c r="J26" s="219">
        <v>3.14</v>
      </c>
      <c r="K26" s="219">
        <v>3.14</v>
      </c>
      <c r="L26" s="219">
        <v>3.14</v>
      </c>
      <c r="M26" s="219">
        <v>3.14</v>
      </c>
      <c r="N26" s="219">
        <v>3.14</v>
      </c>
      <c r="O26" s="219">
        <v>3.14</v>
      </c>
      <c r="P26" s="219">
        <v>3.14</v>
      </c>
      <c r="Q26" s="219">
        <v>3.14</v>
      </c>
      <c r="R26" s="219">
        <f t="shared" ref="R26:R37" si="11">SUM(F26:Q26)</f>
        <v>37.68</v>
      </c>
      <c r="S26" s="219"/>
      <c r="T26" s="219">
        <f t="shared" ref="T26:AE38" si="12">IFERROR(F26/$E26,0)</f>
        <v>2</v>
      </c>
      <c r="U26" s="219">
        <f t="shared" si="12"/>
        <v>2</v>
      </c>
      <c r="V26" s="219">
        <f t="shared" si="12"/>
        <v>2</v>
      </c>
      <c r="W26" s="219">
        <f t="shared" si="12"/>
        <v>2</v>
      </c>
      <c r="X26" s="219">
        <f t="shared" si="12"/>
        <v>2</v>
      </c>
      <c r="Y26" s="219">
        <f t="shared" si="12"/>
        <v>2</v>
      </c>
      <c r="Z26" s="219">
        <f t="shared" si="12"/>
        <v>2</v>
      </c>
      <c r="AA26" s="219">
        <f t="shared" si="12"/>
        <v>2</v>
      </c>
      <c r="AB26" s="219">
        <f t="shared" si="12"/>
        <v>2</v>
      </c>
      <c r="AC26" s="219">
        <f t="shared" si="12"/>
        <v>2</v>
      </c>
      <c r="AD26" s="219">
        <f t="shared" si="12"/>
        <v>2</v>
      </c>
      <c r="AE26" s="219">
        <f t="shared" si="12"/>
        <v>2</v>
      </c>
      <c r="AF26" s="220">
        <f t="shared" si="5"/>
        <v>24</v>
      </c>
      <c r="AG26" s="287">
        <f t="shared" si="6"/>
        <v>2</v>
      </c>
      <c r="AO26" s="218">
        <f t="shared" si="8"/>
        <v>1.6333065726746971</v>
      </c>
      <c r="AP26" s="228">
        <f t="shared" si="9"/>
        <v>39.199357744192731</v>
      </c>
      <c r="AQ26" s="228">
        <f t="shared" si="10"/>
        <v>1.5193577441927317</v>
      </c>
    </row>
    <row r="27" spans="1:43" s="443" customFormat="1">
      <c r="A27" s="443" t="str">
        <f t="shared" si="1"/>
        <v>Lewis County UTCResidentialBULKY-RES</v>
      </c>
      <c r="B27" s="443">
        <f t="shared" si="2"/>
        <v>1</v>
      </c>
      <c r="C27" s="444" t="s">
        <v>250</v>
      </c>
      <c r="D27" s="445" t="s">
        <v>251</v>
      </c>
      <c r="E27" s="446">
        <v>30.69</v>
      </c>
      <c r="F27" s="447">
        <v>0</v>
      </c>
      <c r="G27" s="447">
        <v>0</v>
      </c>
      <c r="H27" s="447">
        <v>0</v>
      </c>
      <c r="I27" s="447">
        <v>0</v>
      </c>
      <c r="J27" s="447">
        <v>80</v>
      </c>
      <c r="K27" s="447">
        <v>0</v>
      </c>
      <c r="L27" s="447">
        <v>0</v>
      </c>
      <c r="M27" s="447">
        <v>0</v>
      </c>
      <c r="N27" s="447">
        <v>0</v>
      </c>
      <c r="O27" s="447">
        <v>0</v>
      </c>
      <c r="P27" s="447">
        <v>0</v>
      </c>
      <c r="Q27" s="447">
        <v>0</v>
      </c>
      <c r="R27" s="447">
        <f t="shared" si="11"/>
        <v>80</v>
      </c>
      <c r="S27" s="447"/>
      <c r="T27" s="447">
        <f t="shared" si="12"/>
        <v>0</v>
      </c>
      <c r="U27" s="447">
        <f t="shared" si="12"/>
        <v>0</v>
      </c>
      <c r="V27" s="447">
        <f t="shared" si="12"/>
        <v>0</v>
      </c>
      <c r="W27" s="447">
        <f t="shared" si="12"/>
        <v>0</v>
      </c>
      <c r="X27" s="447">
        <f t="shared" si="12"/>
        <v>2.606712284131639</v>
      </c>
      <c r="Y27" s="447">
        <f t="shared" si="12"/>
        <v>0</v>
      </c>
      <c r="Z27" s="447">
        <f t="shared" si="12"/>
        <v>0</v>
      </c>
      <c r="AA27" s="447">
        <f t="shared" si="12"/>
        <v>0</v>
      </c>
      <c r="AB27" s="447">
        <f t="shared" si="12"/>
        <v>0</v>
      </c>
      <c r="AC27" s="447">
        <f t="shared" si="12"/>
        <v>0</v>
      </c>
      <c r="AD27" s="447">
        <f t="shared" si="12"/>
        <v>0</v>
      </c>
      <c r="AE27" s="447">
        <f t="shared" si="12"/>
        <v>0</v>
      </c>
      <c r="AF27" s="448">
        <f t="shared" si="5"/>
        <v>2.606712284131639</v>
      </c>
      <c r="AG27" s="449">
        <f t="shared" si="6"/>
        <v>0.21722602367763658</v>
      </c>
      <c r="AO27" s="446">
        <f t="shared" si="8"/>
        <v>31.927502366488188</v>
      </c>
      <c r="AP27" s="450">
        <f t="shared" si="9"/>
        <v>83.225812620366739</v>
      </c>
      <c r="AQ27" s="450">
        <f t="shared" si="10"/>
        <v>3.2258126203667388</v>
      </c>
    </row>
    <row r="28" spans="1:43">
      <c r="A28" s="199" t="str">
        <f t="shared" si="1"/>
        <v>Lewis County UTCResidentialDRIVEIN1-RES</v>
      </c>
      <c r="B28" s="199">
        <f t="shared" si="2"/>
        <v>1</v>
      </c>
      <c r="C28" s="293" t="s">
        <v>252</v>
      </c>
      <c r="D28" s="217" t="s">
        <v>253</v>
      </c>
      <c r="E28" s="218">
        <v>7</v>
      </c>
      <c r="F28" s="219">
        <v>289.91499999999996</v>
      </c>
      <c r="G28" s="219">
        <v>294</v>
      </c>
      <c r="H28" s="219">
        <v>287</v>
      </c>
      <c r="I28" s="219">
        <v>283.5</v>
      </c>
      <c r="J28" s="219">
        <v>311.5</v>
      </c>
      <c r="K28" s="219">
        <v>308</v>
      </c>
      <c r="L28" s="219">
        <v>304.5</v>
      </c>
      <c r="M28" s="219">
        <v>286.125</v>
      </c>
      <c r="N28" s="219">
        <v>307.125</v>
      </c>
      <c r="O28" s="219">
        <v>301</v>
      </c>
      <c r="P28" s="219">
        <v>301.77999999999997</v>
      </c>
      <c r="Q28" s="219">
        <v>298.27999999999997</v>
      </c>
      <c r="R28" s="219">
        <f t="shared" si="11"/>
        <v>3572.7249999999995</v>
      </c>
      <c r="S28" s="219"/>
      <c r="T28" s="219">
        <f t="shared" si="12"/>
        <v>41.416428571428568</v>
      </c>
      <c r="U28" s="219">
        <f t="shared" si="12"/>
        <v>42</v>
      </c>
      <c r="V28" s="219">
        <f t="shared" si="12"/>
        <v>41</v>
      </c>
      <c r="W28" s="219">
        <f t="shared" si="12"/>
        <v>40.5</v>
      </c>
      <c r="X28" s="219">
        <f t="shared" si="12"/>
        <v>44.5</v>
      </c>
      <c r="Y28" s="219">
        <f t="shared" si="12"/>
        <v>44</v>
      </c>
      <c r="Z28" s="219">
        <f t="shared" si="12"/>
        <v>43.5</v>
      </c>
      <c r="AA28" s="219">
        <f t="shared" si="12"/>
        <v>40.875</v>
      </c>
      <c r="AB28" s="219">
        <f t="shared" si="12"/>
        <v>43.875</v>
      </c>
      <c r="AC28" s="219">
        <f t="shared" si="12"/>
        <v>43</v>
      </c>
      <c r="AD28" s="219">
        <f t="shared" si="12"/>
        <v>43.111428571428569</v>
      </c>
      <c r="AE28" s="219">
        <f t="shared" si="12"/>
        <v>42.611428571428569</v>
      </c>
      <c r="AF28" s="220">
        <f t="shared" si="5"/>
        <v>510.38928571428573</v>
      </c>
      <c r="AG28" s="287">
        <f t="shared" si="6"/>
        <v>42.53244047619048</v>
      </c>
      <c r="AO28" s="218">
        <f t="shared" si="8"/>
        <v>7.2822586042820889</v>
      </c>
      <c r="AP28" s="228">
        <f t="shared" si="9"/>
        <v>3716.7867674262466</v>
      </c>
      <c r="AQ28" s="228">
        <f t="shared" si="10"/>
        <v>144.06176742624712</v>
      </c>
    </row>
    <row r="29" spans="1:43">
      <c r="A29" s="199" t="str">
        <f t="shared" si="1"/>
        <v>Lewis County UTCResidentialDRIVEIN-RES</v>
      </c>
      <c r="B29" s="199">
        <f t="shared" si="2"/>
        <v>1</v>
      </c>
      <c r="C29" s="291" t="s">
        <v>254</v>
      </c>
      <c r="D29" s="217" t="s">
        <v>255</v>
      </c>
      <c r="E29" s="218">
        <v>7</v>
      </c>
      <c r="F29" s="219">
        <v>35</v>
      </c>
      <c r="G29" s="219">
        <v>49</v>
      </c>
      <c r="H29" s="219">
        <v>43.75</v>
      </c>
      <c r="I29" s="219">
        <v>29.75</v>
      </c>
      <c r="J29" s="219">
        <v>0</v>
      </c>
      <c r="K29" s="219">
        <v>0</v>
      </c>
      <c r="L29" s="219">
        <v>7</v>
      </c>
      <c r="M29" s="219">
        <v>7</v>
      </c>
      <c r="N29" s="219">
        <v>8.75</v>
      </c>
      <c r="O29" s="219">
        <v>21</v>
      </c>
      <c r="P29" s="219">
        <v>19.25</v>
      </c>
      <c r="Q29" s="219">
        <v>19.25</v>
      </c>
      <c r="R29" s="219">
        <f t="shared" si="11"/>
        <v>239.75</v>
      </c>
      <c r="S29" s="219"/>
      <c r="T29" s="219">
        <f t="shared" si="12"/>
        <v>5</v>
      </c>
      <c r="U29" s="219">
        <f t="shared" si="12"/>
        <v>7</v>
      </c>
      <c r="V29" s="219">
        <f t="shared" si="12"/>
        <v>6.25</v>
      </c>
      <c r="W29" s="219">
        <f t="shared" si="12"/>
        <v>4.25</v>
      </c>
      <c r="X29" s="219">
        <f t="shared" si="12"/>
        <v>0</v>
      </c>
      <c r="Y29" s="219">
        <f t="shared" si="12"/>
        <v>0</v>
      </c>
      <c r="Z29" s="219">
        <f t="shared" si="12"/>
        <v>1</v>
      </c>
      <c r="AA29" s="219">
        <f t="shared" si="12"/>
        <v>1</v>
      </c>
      <c r="AB29" s="219">
        <f t="shared" si="12"/>
        <v>1.25</v>
      </c>
      <c r="AC29" s="219">
        <f t="shared" si="12"/>
        <v>3</v>
      </c>
      <c r="AD29" s="219">
        <f t="shared" si="12"/>
        <v>2.75</v>
      </c>
      <c r="AE29" s="219">
        <f t="shared" si="12"/>
        <v>2.75</v>
      </c>
      <c r="AF29" s="220">
        <f t="shared" si="5"/>
        <v>34.25</v>
      </c>
      <c r="AG29" s="287">
        <f t="shared" si="6"/>
        <v>2.8541666666666665</v>
      </c>
      <c r="AO29" s="218">
        <f t="shared" si="8"/>
        <v>7.2822586042820889</v>
      </c>
      <c r="AP29" s="228">
        <f t="shared" si="9"/>
        <v>249.41735719666156</v>
      </c>
      <c r="AQ29" s="228">
        <f t="shared" si="10"/>
        <v>9.6673571966615555</v>
      </c>
    </row>
    <row r="30" spans="1:43" s="443" customFormat="1">
      <c r="A30" s="443" t="str">
        <f t="shared" si="1"/>
        <v>Lewis County UTCResidentialEXTRA-RES</v>
      </c>
      <c r="B30" s="443">
        <f t="shared" si="2"/>
        <v>1</v>
      </c>
      <c r="C30" s="452" t="s">
        <v>256</v>
      </c>
      <c r="D30" s="445" t="s">
        <v>257</v>
      </c>
      <c r="E30" s="446">
        <v>4.5</v>
      </c>
      <c r="F30" s="447">
        <v>1719</v>
      </c>
      <c r="G30" s="447">
        <v>2047.5</v>
      </c>
      <c r="H30" s="447">
        <v>1998</v>
      </c>
      <c r="I30" s="447">
        <v>1480.5</v>
      </c>
      <c r="J30" s="447">
        <v>1228.5</v>
      </c>
      <c r="K30" s="447">
        <v>1399.5</v>
      </c>
      <c r="L30" s="447">
        <v>1750.5</v>
      </c>
      <c r="M30" s="447">
        <v>2043</v>
      </c>
      <c r="N30" s="447">
        <v>1068.32</v>
      </c>
      <c r="O30" s="447">
        <v>1395</v>
      </c>
      <c r="P30" s="447">
        <v>1557</v>
      </c>
      <c r="Q30" s="447">
        <v>1467</v>
      </c>
      <c r="R30" s="447">
        <f t="shared" si="11"/>
        <v>19153.82</v>
      </c>
      <c r="S30" s="447"/>
      <c r="T30" s="447">
        <f t="shared" si="12"/>
        <v>382</v>
      </c>
      <c r="U30" s="447">
        <f t="shared" si="12"/>
        <v>455</v>
      </c>
      <c r="V30" s="447">
        <f t="shared" si="12"/>
        <v>444</v>
      </c>
      <c r="W30" s="447">
        <f t="shared" si="12"/>
        <v>329</v>
      </c>
      <c r="X30" s="447">
        <f t="shared" si="12"/>
        <v>273</v>
      </c>
      <c r="Y30" s="447">
        <f t="shared" si="12"/>
        <v>311</v>
      </c>
      <c r="Z30" s="447">
        <f t="shared" si="12"/>
        <v>389</v>
      </c>
      <c r="AA30" s="447">
        <f t="shared" si="12"/>
        <v>454</v>
      </c>
      <c r="AB30" s="447">
        <f t="shared" si="12"/>
        <v>237.40444444444444</v>
      </c>
      <c r="AC30" s="447">
        <f t="shared" si="12"/>
        <v>310</v>
      </c>
      <c r="AD30" s="447">
        <f t="shared" si="12"/>
        <v>346</v>
      </c>
      <c r="AE30" s="447">
        <f t="shared" si="12"/>
        <v>326</v>
      </c>
      <c r="AF30" s="448">
        <f t="shared" si="5"/>
        <v>4256.4044444444444</v>
      </c>
      <c r="AG30" s="449">
        <f t="shared" si="6"/>
        <v>354.70037037037036</v>
      </c>
      <c r="AO30" s="446">
        <f t="shared" si="8"/>
        <v>4.6814519598956288</v>
      </c>
      <c r="AP30" s="450">
        <f t="shared" si="9"/>
        <v>19926.15292855291</v>
      </c>
      <c r="AQ30" s="450">
        <f t="shared" si="10"/>
        <v>772.33292855291074</v>
      </c>
    </row>
    <row r="31" spans="1:43" s="443" customFormat="1">
      <c r="A31" s="443" t="str">
        <f t="shared" si="1"/>
        <v>Lewis County UTCResidentialPDBAG-COMM</v>
      </c>
      <c r="B31" s="443">
        <f t="shared" si="2"/>
        <v>1</v>
      </c>
      <c r="C31" s="444" t="s">
        <v>258</v>
      </c>
      <c r="D31" s="445" t="s">
        <v>259</v>
      </c>
      <c r="E31" s="446">
        <v>4.5</v>
      </c>
      <c r="F31" s="447">
        <v>0</v>
      </c>
      <c r="G31" s="447">
        <v>0</v>
      </c>
      <c r="H31" s="447">
        <v>22.5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447">
        <v>0</v>
      </c>
      <c r="O31" s="447">
        <v>0</v>
      </c>
      <c r="P31" s="447">
        <v>0</v>
      </c>
      <c r="Q31" s="447">
        <v>0</v>
      </c>
      <c r="R31" s="447">
        <f t="shared" si="11"/>
        <v>22.5</v>
      </c>
      <c r="S31" s="447"/>
      <c r="T31" s="447">
        <f t="shared" si="12"/>
        <v>0</v>
      </c>
      <c r="U31" s="447">
        <f t="shared" si="12"/>
        <v>0</v>
      </c>
      <c r="V31" s="447">
        <f t="shared" si="12"/>
        <v>5</v>
      </c>
      <c r="W31" s="447">
        <f t="shared" si="12"/>
        <v>0</v>
      </c>
      <c r="X31" s="447">
        <f t="shared" si="12"/>
        <v>0</v>
      </c>
      <c r="Y31" s="447">
        <f t="shared" si="12"/>
        <v>0</v>
      </c>
      <c r="Z31" s="447">
        <f t="shared" si="12"/>
        <v>0</v>
      </c>
      <c r="AA31" s="447">
        <f t="shared" si="12"/>
        <v>0</v>
      </c>
      <c r="AB31" s="447">
        <f t="shared" si="12"/>
        <v>0</v>
      </c>
      <c r="AC31" s="447">
        <f t="shared" si="12"/>
        <v>0</v>
      </c>
      <c r="AD31" s="447">
        <f t="shared" si="12"/>
        <v>0</v>
      </c>
      <c r="AE31" s="447">
        <f t="shared" si="12"/>
        <v>0</v>
      </c>
      <c r="AF31" s="448">
        <f t="shared" si="5"/>
        <v>5</v>
      </c>
      <c r="AG31" s="449">
        <f t="shared" si="6"/>
        <v>0.41666666666666669</v>
      </c>
      <c r="AO31" s="446">
        <f t="shared" si="8"/>
        <v>4.6814519598956288</v>
      </c>
      <c r="AP31" s="450">
        <f t="shared" si="9"/>
        <v>23.407259799478144</v>
      </c>
      <c r="AQ31" s="450">
        <f t="shared" si="10"/>
        <v>0.90725979947814395</v>
      </c>
    </row>
    <row r="32" spans="1:43" s="443" customFormat="1">
      <c r="A32" s="443" t="str">
        <f t="shared" si="1"/>
        <v>Lewis County UTCResidentialPDBAG-RES</v>
      </c>
      <c r="B32" s="443">
        <f t="shared" si="2"/>
        <v>1</v>
      </c>
      <c r="C32" s="444" t="s">
        <v>260</v>
      </c>
      <c r="D32" s="445" t="s">
        <v>261</v>
      </c>
      <c r="E32" s="446">
        <v>22.5</v>
      </c>
      <c r="F32" s="447">
        <v>45</v>
      </c>
      <c r="G32" s="447">
        <v>0</v>
      </c>
      <c r="H32" s="447">
        <v>0</v>
      </c>
      <c r="I32" s="447">
        <v>0</v>
      </c>
      <c r="J32" s="447">
        <v>67.5</v>
      </c>
      <c r="K32" s="447">
        <v>67.5</v>
      </c>
      <c r="L32" s="447">
        <v>0</v>
      </c>
      <c r="M32" s="447">
        <v>45</v>
      </c>
      <c r="N32" s="447">
        <v>22.5</v>
      </c>
      <c r="O32" s="447">
        <v>0</v>
      </c>
      <c r="P32" s="447">
        <v>45</v>
      </c>
      <c r="Q32" s="447">
        <v>22.5</v>
      </c>
      <c r="R32" s="447">
        <f t="shared" si="11"/>
        <v>315</v>
      </c>
      <c r="S32" s="447"/>
      <c r="T32" s="447">
        <f t="shared" si="12"/>
        <v>2</v>
      </c>
      <c r="U32" s="447">
        <f t="shared" si="12"/>
        <v>0</v>
      </c>
      <c r="V32" s="447">
        <f t="shared" si="12"/>
        <v>0</v>
      </c>
      <c r="W32" s="447">
        <f t="shared" si="12"/>
        <v>0</v>
      </c>
      <c r="X32" s="447">
        <f t="shared" si="12"/>
        <v>3</v>
      </c>
      <c r="Y32" s="447">
        <f t="shared" si="12"/>
        <v>3</v>
      </c>
      <c r="Z32" s="447">
        <f t="shared" si="12"/>
        <v>0</v>
      </c>
      <c r="AA32" s="447">
        <f t="shared" si="12"/>
        <v>2</v>
      </c>
      <c r="AB32" s="447">
        <f t="shared" si="12"/>
        <v>1</v>
      </c>
      <c r="AC32" s="447">
        <f t="shared" si="12"/>
        <v>0</v>
      </c>
      <c r="AD32" s="447">
        <f t="shared" si="12"/>
        <v>2</v>
      </c>
      <c r="AE32" s="447">
        <f t="shared" si="12"/>
        <v>1</v>
      </c>
      <c r="AF32" s="448">
        <f t="shared" si="5"/>
        <v>14</v>
      </c>
      <c r="AG32" s="449">
        <f t="shared" si="6"/>
        <v>1.1666666666666667</v>
      </c>
      <c r="AO32" s="446">
        <f t="shared" si="8"/>
        <v>23.407259799478144</v>
      </c>
      <c r="AP32" s="450">
        <f t="shared" si="9"/>
        <v>327.70163719269402</v>
      </c>
      <c r="AQ32" s="450">
        <f t="shared" si="10"/>
        <v>12.701637192694022</v>
      </c>
    </row>
    <row r="33" spans="1:43">
      <c r="A33" s="199" t="str">
        <f t="shared" si="1"/>
        <v>Lewis County UTCResidentialREDEL-RES</v>
      </c>
      <c r="B33" s="199">
        <f t="shared" si="2"/>
        <v>1</v>
      </c>
      <c r="C33" s="293" t="s">
        <v>262</v>
      </c>
      <c r="D33" s="217" t="s">
        <v>263</v>
      </c>
      <c r="E33" s="218">
        <v>22.3</v>
      </c>
      <c r="F33" s="219">
        <v>66.900000000000006</v>
      </c>
      <c r="G33" s="219">
        <v>111.5</v>
      </c>
      <c r="H33" s="219">
        <v>156.1</v>
      </c>
      <c r="I33" s="219">
        <v>223.00000000000003</v>
      </c>
      <c r="J33" s="219">
        <v>133.80000000000001</v>
      </c>
      <c r="K33" s="219">
        <v>200.70000000000002</v>
      </c>
      <c r="L33" s="219">
        <v>223</v>
      </c>
      <c r="M33" s="219">
        <v>200.70000000000002</v>
      </c>
      <c r="N33" s="219">
        <v>217.4</v>
      </c>
      <c r="O33" s="219">
        <v>446.00000000000006</v>
      </c>
      <c r="P33" s="219">
        <v>89.2</v>
      </c>
      <c r="Q33" s="219">
        <v>89.2</v>
      </c>
      <c r="R33" s="219">
        <f t="shared" si="11"/>
        <v>2157.5</v>
      </c>
      <c r="S33" s="219"/>
      <c r="T33" s="219">
        <f t="shared" si="12"/>
        <v>3</v>
      </c>
      <c r="U33" s="219">
        <f t="shared" si="12"/>
        <v>5</v>
      </c>
      <c r="V33" s="219">
        <f t="shared" si="12"/>
        <v>6.9999999999999991</v>
      </c>
      <c r="W33" s="219">
        <f t="shared" si="12"/>
        <v>10.000000000000002</v>
      </c>
      <c r="X33" s="219">
        <f t="shared" si="12"/>
        <v>6</v>
      </c>
      <c r="Y33" s="219">
        <f t="shared" si="12"/>
        <v>9</v>
      </c>
      <c r="Z33" s="219">
        <f t="shared" si="12"/>
        <v>10</v>
      </c>
      <c r="AA33" s="219">
        <f t="shared" si="12"/>
        <v>9</v>
      </c>
      <c r="AB33" s="219">
        <f t="shared" si="12"/>
        <v>9.7488789237668154</v>
      </c>
      <c r="AC33" s="219">
        <f t="shared" si="12"/>
        <v>20.000000000000004</v>
      </c>
      <c r="AD33" s="219">
        <f t="shared" si="12"/>
        <v>4</v>
      </c>
      <c r="AE33" s="219">
        <f t="shared" si="12"/>
        <v>4</v>
      </c>
      <c r="AF33" s="220">
        <f t="shared" si="5"/>
        <v>96.74887892376681</v>
      </c>
      <c r="AG33" s="287">
        <f t="shared" si="6"/>
        <v>8.0624065769805675</v>
      </c>
      <c r="AO33" s="218">
        <f t="shared" si="8"/>
        <v>23.199195267927227</v>
      </c>
      <c r="AP33" s="228">
        <f t="shared" si="9"/>
        <v>2244.496134105515</v>
      </c>
      <c r="AQ33" s="228">
        <f t="shared" si="10"/>
        <v>86.996134105515011</v>
      </c>
    </row>
    <row r="34" spans="1:43">
      <c r="A34" s="199" t="str">
        <f t="shared" si="1"/>
        <v>Lewis County UTCResidentialREINSTATE-RES</v>
      </c>
      <c r="B34" s="199">
        <f t="shared" si="2"/>
        <v>1</v>
      </c>
      <c r="C34" s="293" t="s">
        <v>264</v>
      </c>
      <c r="D34" s="217" t="s">
        <v>265</v>
      </c>
      <c r="E34" s="218">
        <v>15</v>
      </c>
      <c r="F34" s="219">
        <v>705</v>
      </c>
      <c r="G34" s="219">
        <v>840</v>
      </c>
      <c r="H34" s="219">
        <v>870</v>
      </c>
      <c r="I34" s="219">
        <v>765</v>
      </c>
      <c r="J34" s="219">
        <v>720</v>
      </c>
      <c r="K34" s="219">
        <v>735</v>
      </c>
      <c r="L34" s="219">
        <v>615</v>
      </c>
      <c r="M34" s="219">
        <v>885</v>
      </c>
      <c r="N34" s="219">
        <v>823.88</v>
      </c>
      <c r="O34" s="219">
        <v>630</v>
      </c>
      <c r="P34" s="219">
        <v>285</v>
      </c>
      <c r="Q34" s="219">
        <v>60</v>
      </c>
      <c r="R34" s="219">
        <f t="shared" si="11"/>
        <v>7933.88</v>
      </c>
      <c r="S34" s="219"/>
      <c r="T34" s="219">
        <f t="shared" si="12"/>
        <v>47</v>
      </c>
      <c r="U34" s="219">
        <f t="shared" si="12"/>
        <v>56</v>
      </c>
      <c r="V34" s="219">
        <f t="shared" si="12"/>
        <v>58</v>
      </c>
      <c r="W34" s="219">
        <f t="shared" si="12"/>
        <v>51</v>
      </c>
      <c r="X34" s="219">
        <f t="shared" si="12"/>
        <v>48</v>
      </c>
      <c r="Y34" s="219">
        <f t="shared" si="12"/>
        <v>49</v>
      </c>
      <c r="Z34" s="219">
        <f t="shared" si="12"/>
        <v>41</v>
      </c>
      <c r="AA34" s="219">
        <f t="shared" si="12"/>
        <v>59</v>
      </c>
      <c r="AB34" s="219">
        <f t="shared" si="12"/>
        <v>54.925333333333334</v>
      </c>
      <c r="AC34" s="219">
        <f t="shared" si="12"/>
        <v>42</v>
      </c>
      <c r="AD34" s="219">
        <f t="shared" si="12"/>
        <v>19</v>
      </c>
      <c r="AE34" s="219">
        <f t="shared" si="12"/>
        <v>4</v>
      </c>
      <c r="AF34" s="220">
        <f t="shared" si="5"/>
        <v>528.92533333333336</v>
      </c>
      <c r="AG34" s="287">
        <f t="shared" si="6"/>
        <v>44.077111111111115</v>
      </c>
      <c r="AO34" s="218">
        <f t="shared" si="8"/>
        <v>15.604839866318761</v>
      </c>
      <c r="AP34" s="228">
        <f t="shared" si="9"/>
        <v>8253.7951279059398</v>
      </c>
      <c r="AQ34" s="228">
        <f t="shared" si="10"/>
        <v>319.9151279059397</v>
      </c>
    </row>
    <row r="35" spans="1:43">
      <c r="A35" s="199" t="str">
        <f t="shared" si="1"/>
        <v>Lewis County UTCResidentialROLL1RES</v>
      </c>
      <c r="B35" s="199">
        <f t="shared" si="2"/>
        <v>1</v>
      </c>
      <c r="C35" s="291" t="s">
        <v>266</v>
      </c>
      <c r="D35" s="217" t="s">
        <v>267</v>
      </c>
      <c r="E35" s="218">
        <f>1.05*4.33</f>
        <v>4.5465</v>
      </c>
      <c r="F35" s="219">
        <v>26.4</v>
      </c>
      <c r="G35" s="219">
        <v>27.88</v>
      </c>
      <c r="H35" s="219">
        <v>30.72</v>
      </c>
      <c r="I35" s="219">
        <v>31.09</v>
      </c>
      <c r="J35" s="219">
        <v>31.36</v>
      </c>
      <c r="K35" s="219">
        <v>31.779999999999998</v>
      </c>
      <c r="L35" s="219">
        <v>34.56</v>
      </c>
      <c r="M35" s="219">
        <v>33.635000000000005</v>
      </c>
      <c r="N35" s="219">
        <v>31.57</v>
      </c>
      <c r="O35" s="219">
        <v>30.224999999999998</v>
      </c>
      <c r="P35" s="219">
        <v>31.36</v>
      </c>
      <c r="Q35" s="219">
        <v>33.059999999999995</v>
      </c>
      <c r="R35" s="219">
        <f t="shared" si="11"/>
        <v>373.64000000000004</v>
      </c>
      <c r="S35" s="219"/>
      <c r="T35" s="219">
        <f t="shared" si="12"/>
        <v>5.80666446717255</v>
      </c>
      <c r="U35" s="219">
        <f t="shared" si="12"/>
        <v>6.1321895963928297</v>
      </c>
      <c r="V35" s="219">
        <f t="shared" si="12"/>
        <v>6.7568459254371493</v>
      </c>
      <c r="W35" s="219">
        <f t="shared" si="12"/>
        <v>6.8382272077422197</v>
      </c>
      <c r="X35" s="219">
        <f t="shared" si="12"/>
        <v>6.8976135488837569</v>
      </c>
      <c r="Y35" s="219">
        <f t="shared" si="12"/>
        <v>6.9899923017705925</v>
      </c>
      <c r="Z35" s="219">
        <f t="shared" si="12"/>
        <v>7.6014516661167937</v>
      </c>
      <c r="AA35" s="219">
        <f t="shared" si="12"/>
        <v>7.3979984603541196</v>
      </c>
      <c r="AB35" s="219">
        <f t="shared" si="12"/>
        <v>6.9438029253271747</v>
      </c>
      <c r="AC35" s="219">
        <f t="shared" si="12"/>
        <v>6.6479709666776641</v>
      </c>
      <c r="AD35" s="219">
        <f t="shared" si="12"/>
        <v>6.8976135488837569</v>
      </c>
      <c r="AE35" s="219">
        <f t="shared" si="12"/>
        <v>7.2715275486638067</v>
      </c>
      <c r="AF35" s="220">
        <f t="shared" si="5"/>
        <v>82.181898163422417</v>
      </c>
      <c r="AG35" s="287">
        <f t="shared" si="6"/>
        <v>6.8484915136185345</v>
      </c>
      <c r="AO35" s="218">
        <f t="shared" si="8"/>
        <v>4.7298269634812167</v>
      </c>
      <c r="AP35" s="228">
        <f t="shared" si="9"/>
        <v>388.70615784342283</v>
      </c>
      <c r="AQ35" s="228">
        <f t="shared" si="10"/>
        <v>15.066157843422786</v>
      </c>
    </row>
    <row r="36" spans="1:43">
      <c r="A36" s="199" t="str">
        <f t="shared" si="1"/>
        <v>Lewis County UTCResidentialRTRNCART65-RES</v>
      </c>
      <c r="B36" s="199">
        <f t="shared" si="2"/>
        <v>1</v>
      </c>
      <c r="C36" s="293" t="s">
        <v>268</v>
      </c>
      <c r="D36" s="217" t="s">
        <v>269</v>
      </c>
      <c r="E36" s="218">
        <v>22.3</v>
      </c>
      <c r="F36" s="219">
        <v>66.900000000000006</v>
      </c>
      <c r="G36" s="219">
        <v>0</v>
      </c>
      <c r="H36" s="219">
        <v>44.6</v>
      </c>
      <c r="I36" s="219">
        <v>22.3</v>
      </c>
      <c r="J36" s="219">
        <v>0</v>
      </c>
      <c r="K36" s="219">
        <v>0</v>
      </c>
      <c r="L36" s="219">
        <v>0</v>
      </c>
      <c r="M36" s="219">
        <v>-22.3</v>
      </c>
      <c r="N36" s="219">
        <v>22.3</v>
      </c>
      <c r="O36" s="219">
        <v>0</v>
      </c>
      <c r="P36" s="219">
        <v>22.3</v>
      </c>
      <c r="Q36" s="219">
        <v>0</v>
      </c>
      <c r="R36" s="219">
        <f t="shared" si="11"/>
        <v>156.10000000000002</v>
      </c>
      <c r="S36" s="219"/>
      <c r="T36" s="219">
        <f t="shared" si="12"/>
        <v>3</v>
      </c>
      <c r="U36" s="219">
        <f t="shared" si="12"/>
        <v>0</v>
      </c>
      <c r="V36" s="219">
        <f t="shared" si="12"/>
        <v>2</v>
      </c>
      <c r="W36" s="219">
        <f t="shared" si="12"/>
        <v>1</v>
      </c>
      <c r="X36" s="219">
        <f t="shared" si="12"/>
        <v>0</v>
      </c>
      <c r="Y36" s="219">
        <f t="shared" si="12"/>
        <v>0</v>
      </c>
      <c r="Z36" s="219">
        <f t="shared" si="12"/>
        <v>0</v>
      </c>
      <c r="AA36" s="219">
        <f t="shared" si="12"/>
        <v>-1</v>
      </c>
      <c r="AB36" s="219">
        <f t="shared" si="12"/>
        <v>1</v>
      </c>
      <c r="AC36" s="219">
        <f t="shared" si="12"/>
        <v>0</v>
      </c>
      <c r="AD36" s="219">
        <f t="shared" si="12"/>
        <v>1</v>
      </c>
      <c r="AE36" s="219">
        <f t="shared" si="12"/>
        <v>0</v>
      </c>
      <c r="AF36" s="220">
        <f t="shared" si="5"/>
        <v>7</v>
      </c>
      <c r="AG36" s="287">
        <f t="shared" si="6"/>
        <v>0.58333333333333337</v>
      </c>
      <c r="AI36" s="294"/>
      <c r="AJ36" s="294" t="s">
        <v>135</v>
      </c>
      <c r="AO36" s="218">
        <f t="shared" si="8"/>
        <v>23.199195267927227</v>
      </c>
      <c r="AP36" s="228">
        <f t="shared" si="9"/>
        <v>162.39436687549059</v>
      </c>
      <c r="AQ36" s="228">
        <f t="shared" si="10"/>
        <v>6.2943668754905673</v>
      </c>
    </row>
    <row r="37" spans="1:43">
      <c r="A37" s="199" t="str">
        <f t="shared" si="1"/>
        <v>Lewis County UTCResidentialRTRNCART-RES</v>
      </c>
      <c r="B37" s="199">
        <f t="shared" si="2"/>
        <v>1</v>
      </c>
      <c r="C37" s="293" t="s">
        <v>270</v>
      </c>
      <c r="D37" s="217" t="s">
        <v>271</v>
      </c>
      <c r="E37" s="218">
        <v>22.3</v>
      </c>
      <c r="F37" s="219">
        <v>0</v>
      </c>
      <c r="G37" s="219">
        <v>22.3</v>
      </c>
      <c r="H37" s="219">
        <v>0</v>
      </c>
      <c r="I37" s="219">
        <v>22.3</v>
      </c>
      <c r="J37" s="219">
        <v>0</v>
      </c>
      <c r="K37" s="219">
        <v>22.3</v>
      </c>
      <c r="L37" s="219">
        <v>22.3</v>
      </c>
      <c r="M37" s="219">
        <v>0</v>
      </c>
      <c r="N37" s="219">
        <v>22.3</v>
      </c>
      <c r="O37" s="219">
        <v>0</v>
      </c>
      <c r="P37" s="219">
        <v>22.3</v>
      </c>
      <c r="Q37" s="219">
        <v>0</v>
      </c>
      <c r="R37" s="219">
        <f t="shared" si="11"/>
        <v>133.80000000000001</v>
      </c>
      <c r="S37" s="219"/>
      <c r="T37" s="219">
        <f t="shared" si="12"/>
        <v>0</v>
      </c>
      <c r="U37" s="219">
        <f t="shared" si="12"/>
        <v>1</v>
      </c>
      <c r="V37" s="219">
        <f t="shared" si="12"/>
        <v>0</v>
      </c>
      <c r="W37" s="219">
        <f t="shared" si="12"/>
        <v>1</v>
      </c>
      <c r="X37" s="219">
        <f t="shared" si="12"/>
        <v>0</v>
      </c>
      <c r="Y37" s="219">
        <f t="shared" si="12"/>
        <v>1</v>
      </c>
      <c r="Z37" s="219">
        <f t="shared" si="12"/>
        <v>1</v>
      </c>
      <c r="AA37" s="219">
        <f t="shared" si="12"/>
        <v>0</v>
      </c>
      <c r="AB37" s="219">
        <f t="shared" si="12"/>
        <v>1</v>
      </c>
      <c r="AC37" s="219">
        <f t="shared" si="12"/>
        <v>0</v>
      </c>
      <c r="AD37" s="219">
        <f t="shared" si="12"/>
        <v>1</v>
      </c>
      <c r="AE37" s="219">
        <f t="shared" si="12"/>
        <v>0</v>
      </c>
      <c r="AF37" s="220">
        <f t="shared" si="5"/>
        <v>6</v>
      </c>
      <c r="AG37" s="287">
        <f t="shared" si="6"/>
        <v>0.5</v>
      </c>
      <c r="AI37" s="294" t="s">
        <v>176</v>
      </c>
      <c r="AJ37" s="295">
        <f>+SUM(AM10:AM21)</f>
        <v>11734.58768581504</v>
      </c>
      <c r="AO37" s="218">
        <f t="shared" si="8"/>
        <v>23.199195267927227</v>
      </c>
      <c r="AP37" s="228">
        <f t="shared" si="9"/>
        <v>139.19517160756337</v>
      </c>
      <c r="AQ37" s="228">
        <f t="shared" si="10"/>
        <v>5.3951716075633556</v>
      </c>
    </row>
    <row r="38" spans="1:43">
      <c r="A38" s="199" t="str">
        <f t="shared" si="1"/>
        <v>Lewis County UTCResidentialWI3-RES</v>
      </c>
      <c r="B38" s="199">
        <f t="shared" si="2"/>
        <v>1</v>
      </c>
      <c r="C38" s="293" t="s">
        <v>272</v>
      </c>
      <c r="D38" s="217" t="s">
        <v>273</v>
      </c>
      <c r="E38" s="218">
        <v>4.96</v>
      </c>
      <c r="F38" s="219">
        <v>9.92</v>
      </c>
      <c r="G38" s="219">
        <v>9.92</v>
      </c>
      <c r="H38" s="219">
        <v>9.92</v>
      </c>
      <c r="I38" s="219">
        <v>9.92</v>
      </c>
      <c r="J38" s="219">
        <v>9.92</v>
      </c>
      <c r="K38" s="219">
        <v>9.92</v>
      </c>
      <c r="L38" s="219">
        <v>9.92</v>
      </c>
      <c r="M38" s="219">
        <v>9.92</v>
      </c>
      <c r="N38" s="219">
        <v>9.92</v>
      </c>
      <c r="O38" s="219">
        <v>9.92</v>
      </c>
      <c r="P38" s="219">
        <v>9.92</v>
      </c>
      <c r="Q38" s="219">
        <v>9.92</v>
      </c>
      <c r="R38" s="219">
        <f t="shared" ref="R38" si="13">SUM(F38:Q38)</f>
        <v>119.04</v>
      </c>
      <c r="S38" s="219"/>
      <c r="T38" s="219">
        <f t="shared" si="12"/>
        <v>2</v>
      </c>
      <c r="U38" s="219">
        <f t="shared" si="12"/>
        <v>2</v>
      </c>
      <c r="V38" s="219">
        <f t="shared" si="12"/>
        <v>2</v>
      </c>
      <c r="W38" s="219">
        <f t="shared" si="12"/>
        <v>2</v>
      </c>
      <c r="X38" s="219">
        <f t="shared" si="12"/>
        <v>2</v>
      </c>
      <c r="Y38" s="219">
        <f t="shared" si="12"/>
        <v>2</v>
      </c>
      <c r="Z38" s="219">
        <f t="shared" si="12"/>
        <v>2</v>
      </c>
      <c r="AA38" s="219">
        <f t="shared" si="12"/>
        <v>2</v>
      </c>
      <c r="AB38" s="219">
        <f t="shared" si="12"/>
        <v>2</v>
      </c>
      <c r="AC38" s="219">
        <f t="shared" si="12"/>
        <v>2</v>
      </c>
      <c r="AD38" s="219">
        <f t="shared" si="12"/>
        <v>2</v>
      </c>
      <c r="AE38" s="219">
        <f t="shared" si="12"/>
        <v>2</v>
      </c>
      <c r="AF38" s="220">
        <f t="shared" si="5"/>
        <v>24</v>
      </c>
      <c r="AG38" s="287">
        <f t="shared" si="6"/>
        <v>2</v>
      </c>
      <c r="AI38" s="294" t="s">
        <v>57</v>
      </c>
      <c r="AJ38" s="295">
        <v>0</v>
      </c>
      <c r="AO38" s="218">
        <f t="shared" si="8"/>
        <v>5.1600003824627372</v>
      </c>
      <c r="AP38" s="228">
        <f t="shared" si="9"/>
        <v>123.84000917910569</v>
      </c>
      <c r="AQ38" s="228">
        <f t="shared" si="10"/>
        <v>4.800009179105686</v>
      </c>
    </row>
    <row r="39" spans="1:43">
      <c r="A39" s="199"/>
      <c r="B39" s="199"/>
      <c r="C39" s="223"/>
      <c r="D39" s="223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20"/>
      <c r="AG39" s="287"/>
    </row>
    <row r="40" spans="1:43">
      <c r="A40" s="199"/>
      <c r="B40" s="199">
        <f t="shared" ref="B40:B103" si="14">COUNTIF(C:C,C40)</f>
        <v>0</v>
      </c>
      <c r="C40" s="223"/>
      <c r="D40" s="224" t="s">
        <v>103</v>
      </c>
      <c r="F40" s="296">
        <f t="shared" ref="F40:R40" si="15">SUM(F10:F39)</f>
        <v>198607.52000000002</v>
      </c>
      <c r="G40" s="296">
        <f t="shared" si="15"/>
        <v>201600.465</v>
      </c>
      <c r="H40" s="296">
        <f t="shared" si="15"/>
        <v>202699.85500000004</v>
      </c>
      <c r="I40" s="296">
        <f t="shared" si="15"/>
        <v>203172.89499999999</v>
      </c>
      <c r="J40" s="296">
        <f t="shared" si="15"/>
        <v>202201.78</v>
      </c>
      <c r="K40" s="296">
        <f t="shared" si="15"/>
        <v>201429.46500000005</v>
      </c>
      <c r="L40" s="296">
        <f t="shared" si="15"/>
        <v>201082.37</v>
      </c>
      <c r="M40" s="296">
        <f t="shared" si="15"/>
        <v>201828.9150000001</v>
      </c>
      <c r="N40" s="296">
        <f t="shared" si="15"/>
        <v>200332.66999999998</v>
      </c>
      <c r="O40" s="296">
        <f t="shared" si="15"/>
        <v>198903.45499999999</v>
      </c>
      <c r="P40" s="296">
        <f t="shared" si="15"/>
        <v>201196.94000000006</v>
      </c>
      <c r="Q40" s="296">
        <f t="shared" si="15"/>
        <v>198550.00000000003</v>
      </c>
      <c r="R40" s="296">
        <f t="shared" si="15"/>
        <v>2411606.33</v>
      </c>
      <c r="S40" s="199"/>
      <c r="T40" s="297">
        <f>SUM(T10:T21)</f>
        <v>11669.456884201314</v>
      </c>
      <c r="U40" s="297">
        <f t="shared" ref="U40:AG40" si="16">SUM(U10:U21)</f>
        <v>11765.943625489477</v>
      </c>
      <c r="V40" s="297">
        <f t="shared" si="16"/>
        <v>11812.886115171881</v>
      </c>
      <c r="W40" s="297">
        <f t="shared" si="16"/>
        <v>11859.310667541375</v>
      </c>
      <c r="X40" s="297">
        <f t="shared" si="16"/>
        <v>11835.508550282586</v>
      </c>
      <c r="Y40" s="297">
        <f t="shared" si="16"/>
        <v>11772.968712864767</v>
      </c>
      <c r="Z40" s="297">
        <f t="shared" si="16"/>
        <v>11740.366225220932</v>
      </c>
      <c r="AA40" s="297">
        <f t="shared" si="16"/>
        <v>11750.991946095772</v>
      </c>
      <c r="AB40" s="297">
        <f t="shared" si="16"/>
        <v>11703.217896678971</v>
      </c>
      <c r="AC40" s="297">
        <f t="shared" si="16"/>
        <v>11596.207161785127</v>
      </c>
      <c r="AD40" s="297">
        <f t="shared" si="16"/>
        <v>11725.768925070139</v>
      </c>
      <c r="AE40" s="297">
        <f t="shared" si="16"/>
        <v>11582.425519378145</v>
      </c>
      <c r="AF40" s="297">
        <f t="shared" si="16"/>
        <v>140815.05222978047</v>
      </c>
      <c r="AG40" s="297">
        <f t="shared" si="16"/>
        <v>11734.58768581504</v>
      </c>
      <c r="AP40" s="296">
        <f>SUM(AP10:AP38)</f>
        <v>2508848.7066833787</v>
      </c>
      <c r="AQ40" s="296">
        <f>SUM(AQ10:AQ39)</f>
        <v>97242.376683378912</v>
      </c>
    </row>
    <row r="41" spans="1:43" ht="12.75" thickBot="1">
      <c r="A41" s="199"/>
      <c r="B41" s="199">
        <f t="shared" si="14"/>
        <v>0</v>
      </c>
      <c r="C41" s="223"/>
      <c r="D41" s="223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199"/>
      <c r="S41" s="199"/>
      <c r="T41" s="299">
        <f>+T11+T13+T15+T17+T19+T21+T44</f>
        <v>11038.833971874803</v>
      </c>
      <c r="U41" s="299">
        <f t="shared" ref="U41:AG41" si="17">+U11+U13+U15+U17+U19+U21+U44</f>
        <v>11121.568422990562</v>
      </c>
      <c r="V41" s="299">
        <f t="shared" si="17"/>
        <v>11154.73511460905</v>
      </c>
      <c r="W41" s="299">
        <f t="shared" si="17"/>
        <v>11197.963410628749</v>
      </c>
      <c r="X41" s="299">
        <f t="shared" si="17"/>
        <v>11177.864977596011</v>
      </c>
      <c r="Y41" s="299">
        <f t="shared" si="17"/>
        <v>11144.918378825285</v>
      </c>
      <c r="Z41" s="299">
        <f t="shared" si="17"/>
        <v>11106.909803618704</v>
      </c>
      <c r="AA41" s="299">
        <f t="shared" si="17"/>
        <v>11112.428152569741</v>
      </c>
      <c r="AB41" s="299">
        <f t="shared" si="17"/>
        <v>11069.50710298619</v>
      </c>
      <c r="AC41" s="299">
        <f t="shared" si="17"/>
        <v>10984.046904266757</v>
      </c>
      <c r="AD41" s="299">
        <f t="shared" si="17"/>
        <v>11111.096078682613</v>
      </c>
      <c r="AE41" s="299">
        <f t="shared" si="17"/>
        <v>10939.455006331917</v>
      </c>
      <c r="AF41" s="299">
        <f t="shared" si="17"/>
        <v>133159.32732498038</v>
      </c>
      <c r="AG41" s="299">
        <f t="shared" si="17"/>
        <v>11096.610610415033</v>
      </c>
      <c r="AH41" s="198" t="s">
        <v>274</v>
      </c>
    </row>
    <row r="42" spans="1:43">
      <c r="A42" s="199"/>
      <c r="B42" s="199">
        <f t="shared" si="14"/>
        <v>1</v>
      </c>
      <c r="C42" s="225" t="s">
        <v>104</v>
      </c>
      <c r="D42" s="225" t="s">
        <v>104</v>
      </c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199"/>
      <c r="S42" s="199"/>
      <c r="T42" s="219">
        <f t="shared" ref="T42:AE45" si="18">IFERROR(F42/$E42,0)</f>
        <v>0</v>
      </c>
      <c r="U42" s="219">
        <f t="shared" si="18"/>
        <v>0</v>
      </c>
      <c r="V42" s="219">
        <f t="shared" si="18"/>
        <v>0</v>
      </c>
      <c r="W42" s="219"/>
      <c r="X42" s="219"/>
      <c r="Y42" s="219"/>
      <c r="Z42" s="219"/>
      <c r="AA42" s="219"/>
      <c r="AB42" s="219"/>
      <c r="AC42" s="219"/>
      <c r="AD42" s="219"/>
      <c r="AE42" s="219"/>
      <c r="AF42" s="220"/>
      <c r="AG42" s="287"/>
    </row>
    <row r="43" spans="1:43">
      <c r="A43" s="199" t="str">
        <f>$A$1&amp;"Residential"&amp;C43</f>
        <v>Lewis County UTCResidentialRECPROGADJ-RES</v>
      </c>
      <c r="B43" s="199">
        <f t="shared" si="14"/>
        <v>1</v>
      </c>
      <c r="C43" s="293" t="s">
        <v>275</v>
      </c>
      <c r="D43" s="217" t="s">
        <v>276</v>
      </c>
      <c r="E43" s="218">
        <v>5.79</v>
      </c>
      <c r="F43" s="219">
        <v>58117.560000000005</v>
      </c>
      <c r="G43" s="219">
        <v>58467.024999999994</v>
      </c>
      <c r="H43" s="219">
        <v>58656.264999999999</v>
      </c>
      <c r="I43" s="219">
        <v>58987.580000000009</v>
      </c>
      <c r="J43" s="219">
        <v>58897.97</v>
      </c>
      <c r="K43" s="219">
        <v>58728.354999999996</v>
      </c>
      <c r="L43" s="219">
        <v>58476.025000000001</v>
      </c>
      <c r="M43" s="219">
        <v>58581.94</v>
      </c>
      <c r="N43" s="219">
        <v>58484.419999999991</v>
      </c>
      <c r="O43" s="219">
        <v>58750.735000000001</v>
      </c>
      <c r="P43" s="219">
        <v>59534.669999999991</v>
      </c>
      <c r="Q43" s="219">
        <v>59607.98000000001</v>
      </c>
      <c r="R43" s="219">
        <f>SUM(F43:Q43)</f>
        <v>705290.52500000002</v>
      </c>
      <c r="S43" s="219"/>
      <c r="T43" s="219">
        <f t="shared" si="18"/>
        <v>10037.57512953368</v>
      </c>
      <c r="U43" s="219">
        <f t="shared" si="18"/>
        <v>10097.931778929187</v>
      </c>
      <c r="V43" s="219">
        <f t="shared" si="18"/>
        <v>10130.615716753022</v>
      </c>
      <c r="W43" s="219">
        <f t="shared" si="18"/>
        <v>10187.837651122627</v>
      </c>
      <c r="X43" s="219">
        <f t="shared" si="18"/>
        <v>10172.360967184801</v>
      </c>
      <c r="Y43" s="219">
        <f t="shared" si="18"/>
        <v>10143.066493955093</v>
      </c>
      <c r="Z43" s="219">
        <f t="shared" si="18"/>
        <v>10099.486183074267</v>
      </c>
      <c r="AA43" s="219">
        <f t="shared" si="18"/>
        <v>10117.778929188256</v>
      </c>
      <c r="AB43" s="219">
        <f t="shared" si="18"/>
        <v>10100.936096718478</v>
      </c>
      <c r="AC43" s="219">
        <f t="shared" si="18"/>
        <v>10146.931778929189</v>
      </c>
      <c r="AD43" s="219">
        <f t="shared" si="18"/>
        <v>10282.326424870465</v>
      </c>
      <c r="AE43" s="219">
        <f t="shared" si="18"/>
        <v>10294.987910189984</v>
      </c>
      <c r="AF43" s="220">
        <f t="shared" ref="AF43:AF45" si="19">SUM(T43:AE43)</f>
        <v>121811.83506044906</v>
      </c>
      <c r="AG43" s="287">
        <f t="shared" ref="AG43:AG45" si="20">AF43/12</f>
        <v>10150.986255037422</v>
      </c>
      <c r="AI43" s="199">
        <v>96</v>
      </c>
      <c r="AL43" s="199">
        <v>1</v>
      </c>
      <c r="AM43" s="220">
        <f>+AL43*AG43</f>
        <v>10150.986255037422</v>
      </c>
      <c r="AN43" s="220"/>
      <c r="AO43" s="218">
        <f>+E43*(1+$AQ$2)</f>
        <v>8.4464073138221956</v>
      </c>
      <c r="AP43" s="228">
        <f t="shared" ref="AP43:AP44" si="21">+AG43*12*AO43</f>
        <v>1028872.3745646798</v>
      </c>
      <c r="AQ43" s="228">
        <f t="shared" ref="AQ43:AQ44" si="22">+AP43-R43</f>
        <v>323581.84956467978</v>
      </c>
    </row>
    <row r="44" spans="1:43">
      <c r="A44" s="199" t="str">
        <f>$A$1&amp;"Residential"&amp;C44</f>
        <v>Lewis County UTCResidentialRECBINONLYR</v>
      </c>
      <c r="B44" s="199">
        <f t="shared" si="14"/>
        <v>1</v>
      </c>
      <c r="C44" s="293" t="s">
        <v>277</v>
      </c>
      <c r="D44" s="217" t="s">
        <v>105</v>
      </c>
      <c r="E44" s="218">
        <v>6.79</v>
      </c>
      <c r="F44" s="219">
        <v>669.76</v>
      </c>
      <c r="G44" s="219">
        <v>694.625</v>
      </c>
      <c r="H44" s="219">
        <v>705.4849999999999</v>
      </c>
      <c r="I44" s="219">
        <v>708.54499999999996</v>
      </c>
      <c r="J44" s="219">
        <v>707.86500000000001</v>
      </c>
      <c r="K44" s="219">
        <v>732.53</v>
      </c>
      <c r="L44" s="219">
        <v>719.28499999999997</v>
      </c>
      <c r="M44" s="219">
        <v>705.82000000000016</v>
      </c>
      <c r="N44" s="219">
        <v>686.81</v>
      </c>
      <c r="O44" s="219">
        <v>689.19</v>
      </c>
      <c r="P44" s="219">
        <v>694.61999999999989</v>
      </c>
      <c r="Q44" s="219">
        <v>691.22500000000002</v>
      </c>
      <c r="R44" s="219">
        <f>SUM(F44:Q44)</f>
        <v>8405.7599999999984</v>
      </c>
      <c r="S44" s="219"/>
      <c r="T44" s="219">
        <f t="shared" si="18"/>
        <v>98.639175257731964</v>
      </c>
      <c r="U44" s="219">
        <f t="shared" si="18"/>
        <v>102.30117820324006</v>
      </c>
      <c r="V44" s="219">
        <f t="shared" si="18"/>
        <v>103.90058910162001</v>
      </c>
      <c r="W44" s="219">
        <f t="shared" si="18"/>
        <v>104.35125184094255</v>
      </c>
      <c r="X44" s="219">
        <f t="shared" si="18"/>
        <v>104.25110456553756</v>
      </c>
      <c r="Y44" s="219">
        <f t="shared" si="18"/>
        <v>107.88365243004418</v>
      </c>
      <c r="Z44" s="219">
        <f t="shared" si="18"/>
        <v>105.93298969072164</v>
      </c>
      <c r="AA44" s="219">
        <f t="shared" si="18"/>
        <v>103.94992636229752</v>
      </c>
      <c r="AB44" s="219">
        <f t="shared" si="18"/>
        <v>101.1502209131075</v>
      </c>
      <c r="AC44" s="219">
        <f t="shared" si="18"/>
        <v>101.50073637702505</v>
      </c>
      <c r="AD44" s="219">
        <f t="shared" si="18"/>
        <v>102.30044182621501</v>
      </c>
      <c r="AE44" s="219">
        <f t="shared" si="18"/>
        <v>101.80044182621502</v>
      </c>
      <c r="AF44" s="220">
        <f t="shared" si="19"/>
        <v>1237.9617083946985</v>
      </c>
      <c r="AG44" s="287">
        <f t="shared" si="20"/>
        <v>103.16347569955821</v>
      </c>
      <c r="AI44" s="199">
        <v>96</v>
      </c>
      <c r="AL44" s="199">
        <v>1</v>
      </c>
      <c r="AM44" s="220">
        <f>+AL44*AG44</f>
        <v>103.16347569955821</v>
      </c>
      <c r="AN44" s="220"/>
      <c r="AO44" s="218">
        <f>+AO43+1</f>
        <v>9.4464073138221956</v>
      </c>
      <c r="AP44" s="228">
        <f t="shared" si="21"/>
        <v>11694.290536411499</v>
      </c>
      <c r="AQ44" s="228">
        <f t="shared" si="22"/>
        <v>3288.5305364115011</v>
      </c>
    </row>
    <row r="45" spans="1:43" ht="15.75" customHeight="1">
      <c r="A45" s="199"/>
      <c r="B45" s="199">
        <f t="shared" si="14"/>
        <v>0</v>
      </c>
      <c r="C45" s="291"/>
      <c r="D45" s="300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199"/>
      <c r="S45" s="199"/>
      <c r="T45" s="219">
        <f t="shared" si="18"/>
        <v>0</v>
      </c>
      <c r="U45" s="219">
        <f t="shared" si="18"/>
        <v>0</v>
      </c>
      <c r="V45" s="219">
        <f t="shared" si="18"/>
        <v>0</v>
      </c>
      <c r="W45" s="219">
        <f t="shared" si="18"/>
        <v>0</v>
      </c>
      <c r="X45" s="219">
        <f t="shared" si="18"/>
        <v>0</v>
      </c>
      <c r="Y45" s="219">
        <f t="shared" si="18"/>
        <v>0</v>
      </c>
      <c r="Z45" s="219">
        <f t="shared" si="18"/>
        <v>0</v>
      </c>
      <c r="AA45" s="219">
        <f t="shared" si="18"/>
        <v>0</v>
      </c>
      <c r="AB45" s="219">
        <f t="shared" si="18"/>
        <v>0</v>
      </c>
      <c r="AC45" s="219">
        <f t="shared" si="18"/>
        <v>0</v>
      </c>
      <c r="AD45" s="219">
        <f t="shared" si="18"/>
        <v>0</v>
      </c>
      <c r="AE45" s="219">
        <f t="shared" si="18"/>
        <v>0</v>
      </c>
      <c r="AF45" s="220">
        <f t="shared" si="19"/>
        <v>0</v>
      </c>
      <c r="AG45" s="287">
        <f t="shared" si="20"/>
        <v>0</v>
      </c>
      <c r="AH45" s="294"/>
      <c r="AI45" s="294" t="s">
        <v>135</v>
      </c>
    </row>
    <row r="46" spans="1:43">
      <c r="A46" s="199"/>
      <c r="B46" s="199">
        <f t="shared" si="14"/>
        <v>0</v>
      </c>
      <c r="C46" s="223"/>
      <c r="D46" s="224" t="s">
        <v>106</v>
      </c>
      <c r="F46" s="301">
        <f t="shared" ref="F46:Q46" si="23">SUM(F43:F44)</f>
        <v>58787.320000000007</v>
      </c>
      <c r="G46" s="301">
        <f t="shared" si="23"/>
        <v>59161.649999999994</v>
      </c>
      <c r="H46" s="301">
        <f t="shared" si="23"/>
        <v>59361.75</v>
      </c>
      <c r="I46" s="301">
        <f t="shared" si="23"/>
        <v>59696.125000000007</v>
      </c>
      <c r="J46" s="301">
        <f t="shared" si="23"/>
        <v>59605.834999999999</v>
      </c>
      <c r="K46" s="301">
        <f t="shared" si="23"/>
        <v>59460.884999999995</v>
      </c>
      <c r="L46" s="301">
        <f t="shared" si="23"/>
        <v>59195.310000000005</v>
      </c>
      <c r="M46" s="301">
        <f t="shared" si="23"/>
        <v>59287.76</v>
      </c>
      <c r="N46" s="301">
        <f t="shared" si="23"/>
        <v>59171.229999999989</v>
      </c>
      <c r="O46" s="301">
        <f t="shared" si="23"/>
        <v>59439.925000000003</v>
      </c>
      <c r="P46" s="301">
        <f t="shared" si="23"/>
        <v>60229.289999999994</v>
      </c>
      <c r="Q46" s="301">
        <f t="shared" si="23"/>
        <v>60299.205000000009</v>
      </c>
      <c r="R46" s="296">
        <f>SUM(R43:R45)</f>
        <v>713696.28500000003</v>
      </c>
      <c r="S46" s="227">
        <f>R46-SUM(F46:Q46)</f>
        <v>0</v>
      </c>
      <c r="T46" s="297">
        <f t="shared" ref="T46:AG46" si="24">SUM(T43:T44)</f>
        <v>10136.214304791412</v>
      </c>
      <c r="U46" s="297">
        <f t="shared" si="24"/>
        <v>10200.232957132428</v>
      </c>
      <c r="V46" s="297">
        <f t="shared" si="24"/>
        <v>10234.516305854642</v>
      </c>
      <c r="W46" s="297">
        <f t="shared" si="24"/>
        <v>10292.188902963569</v>
      </c>
      <c r="X46" s="297">
        <f t="shared" si="24"/>
        <v>10276.612071750338</v>
      </c>
      <c r="Y46" s="297">
        <f t="shared" si="24"/>
        <v>10250.950146385137</v>
      </c>
      <c r="Z46" s="297">
        <f t="shared" si="24"/>
        <v>10205.419172764989</v>
      </c>
      <c r="AA46" s="297">
        <f t="shared" si="24"/>
        <v>10221.728855550555</v>
      </c>
      <c r="AB46" s="297">
        <f t="shared" si="24"/>
        <v>10202.086317631585</v>
      </c>
      <c r="AC46" s="297">
        <f t="shared" si="24"/>
        <v>10248.432515306215</v>
      </c>
      <c r="AD46" s="297">
        <f t="shared" si="24"/>
        <v>10384.626866696681</v>
      </c>
      <c r="AE46" s="297">
        <f t="shared" si="24"/>
        <v>10396.788352016199</v>
      </c>
      <c r="AF46" s="302">
        <f t="shared" si="24"/>
        <v>123049.79676884375</v>
      </c>
      <c r="AG46" s="302">
        <f t="shared" si="24"/>
        <v>10254.149730736981</v>
      </c>
      <c r="AH46" s="294" t="s">
        <v>176</v>
      </c>
      <c r="AI46" s="295">
        <f>+SUM(AM43:AM44)</f>
        <v>10254.149730736981</v>
      </c>
      <c r="AP46" s="296">
        <f>SUM(AP43:AP45)</f>
        <v>1040566.6651010913</v>
      </c>
      <c r="AQ46" s="296">
        <f>SUM(AQ43:AQ45)</f>
        <v>326870.38010109129</v>
      </c>
    </row>
    <row r="47" spans="1:43">
      <c r="A47" s="199"/>
      <c r="B47" s="199">
        <f t="shared" si="14"/>
        <v>0</v>
      </c>
      <c r="C47" s="223"/>
      <c r="D47" s="224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199"/>
      <c r="S47" s="19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20"/>
      <c r="AG47" s="287"/>
    </row>
    <row r="48" spans="1:43">
      <c r="A48" s="199"/>
      <c r="B48" s="199">
        <f t="shared" si="14"/>
        <v>0</v>
      </c>
      <c r="C48" s="223"/>
      <c r="D48" s="224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199"/>
      <c r="S48" s="19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20"/>
      <c r="AG48" s="287"/>
    </row>
    <row r="49" spans="1:43">
      <c r="A49" s="199"/>
      <c r="B49" s="199">
        <f t="shared" si="14"/>
        <v>1</v>
      </c>
      <c r="C49" s="225" t="s">
        <v>278</v>
      </c>
      <c r="D49" s="225" t="s">
        <v>278</v>
      </c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199"/>
      <c r="S49" s="19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20"/>
      <c r="AG49" s="287"/>
    </row>
    <row r="50" spans="1:43" ht="11.25" customHeight="1">
      <c r="A50" s="199" t="str">
        <f>$A$1&amp;"Residential"&amp;C50</f>
        <v>Lewis County UTCResidentialGWRES</v>
      </c>
      <c r="B50" s="199">
        <f t="shared" si="14"/>
        <v>1</v>
      </c>
      <c r="C50" s="293" t="s">
        <v>279</v>
      </c>
      <c r="D50" s="217" t="s">
        <v>280</v>
      </c>
      <c r="E50" s="218">
        <v>7.5</v>
      </c>
      <c r="F50" s="219">
        <v>2545.25</v>
      </c>
      <c r="G50" s="219">
        <v>2526.25</v>
      </c>
      <c r="H50" s="219">
        <v>2507</v>
      </c>
      <c r="I50" s="219">
        <v>2657.75</v>
      </c>
      <c r="J50" s="219">
        <v>2663.375</v>
      </c>
      <c r="K50" s="219">
        <v>2643.5</v>
      </c>
      <c r="L50" s="219">
        <v>2628.375</v>
      </c>
      <c r="M50" s="219">
        <v>2571.5</v>
      </c>
      <c r="N50" s="219">
        <v>2537.75</v>
      </c>
      <c r="O50" s="219">
        <v>2613.5</v>
      </c>
      <c r="P50" s="219">
        <v>2708</v>
      </c>
      <c r="Q50" s="219">
        <v>2516.7399999999998</v>
      </c>
      <c r="R50" s="219">
        <f>SUM(F50:Q50)</f>
        <v>31118.989999999998</v>
      </c>
      <c r="S50" s="219"/>
      <c r="T50" s="219">
        <f t="shared" ref="T50:AE52" si="25">IFERROR(F50/$E50,0)</f>
        <v>339.36666666666667</v>
      </c>
      <c r="U50" s="219">
        <f t="shared" si="25"/>
        <v>336.83333333333331</v>
      </c>
      <c r="V50" s="219">
        <f t="shared" si="25"/>
        <v>334.26666666666665</v>
      </c>
      <c r="W50" s="219">
        <f t="shared" si="25"/>
        <v>354.36666666666667</v>
      </c>
      <c r="X50" s="219">
        <f t="shared" si="25"/>
        <v>355.11666666666667</v>
      </c>
      <c r="Y50" s="219">
        <f t="shared" si="25"/>
        <v>352.46666666666664</v>
      </c>
      <c r="Z50" s="219">
        <f t="shared" si="25"/>
        <v>350.45</v>
      </c>
      <c r="AA50" s="219">
        <f t="shared" si="25"/>
        <v>342.86666666666667</v>
      </c>
      <c r="AB50" s="219">
        <f t="shared" si="25"/>
        <v>338.36666666666667</v>
      </c>
      <c r="AC50" s="219">
        <f t="shared" si="25"/>
        <v>348.46666666666664</v>
      </c>
      <c r="AD50" s="219">
        <f t="shared" si="25"/>
        <v>361.06666666666666</v>
      </c>
      <c r="AE50" s="219">
        <f t="shared" si="25"/>
        <v>335.56533333333329</v>
      </c>
      <c r="AF50" s="220">
        <f t="shared" ref="AF50:AF52" si="26">SUM(T50:AE50)</f>
        <v>4149.1986666666671</v>
      </c>
      <c r="AG50" s="287">
        <f t="shared" ref="AG50:AG52" si="27">AF50/12</f>
        <v>345.76655555555561</v>
      </c>
      <c r="AI50" s="199">
        <v>96</v>
      </c>
      <c r="AL50" s="199">
        <v>1</v>
      </c>
      <c r="AM50" s="220">
        <f>+AL50*AG50</f>
        <v>345.76655555555561</v>
      </c>
      <c r="AN50" s="220"/>
      <c r="AO50" s="218">
        <f>+E50*(1+$AQ$3)</f>
        <v>16.698929170111693</v>
      </c>
      <c r="AP50" s="228">
        <f t="shared" ref="AP50:AP52" si="28">+AG50*12*AO50</f>
        <v>69287.174647388558</v>
      </c>
      <c r="AQ50" s="228">
        <f t="shared" ref="AQ50:AQ52" si="29">+AP50-R50</f>
        <v>38168.18464738856</v>
      </c>
    </row>
    <row r="51" spans="1:43">
      <c r="A51" s="199" t="str">
        <f>$A$1&amp;"Residential"&amp;C51</f>
        <v>Lewis County UTCResidentialGW2RES</v>
      </c>
      <c r="B51" s="199">
        <f t="shared" si="14"/>
        <v>1</v>
      </c>
      <c r="C51" s="291" t="s">
        <v>281</v>
      </c>
      <c r="D51" s="217" t="s">
        <v>282</v>
      </c>
      <c r="E51" s="218">
        <f>+E50+6.75</f>
        <v>14.25</v>
      </c>
      <c r="F51" s="219">
        <v>382.85500000000002</v>
      </c>
      <c r="G51" s="219">
        <v>366.45</v>
      </c>
      <c r="H51" s="219">
        <v>348.34500000000003</v>
      </c>
      <c r="I51" s="219">
        <v>329.79500000000002</v>
      </c>
      <c r="J51" s="219">
        <v>333.65</v>
      </c>
      <c r="K51" s="219">
        <v>326.86500000000001</v>
      </c>
      <c r="L51" s="219">
        <v>322.565</v>
      </c>
      <c r="M51" s="219">
        <v>303.67499999999995</v>
      </c>
      <c r="N51" s="219">
        <v>289.42499999999995</v>
      </c>
      <c r="O51" s="219">
        <v>151.69999999999999</v>
      </c>
      <c r="P51" s="219">
        <v>306.5</v>
      </c>
      <c r="Q51" s="219">
        <v>328.61499999999995</v>
      </c>
      <c r="R51" s="219">
        <f>SUM(F51:Q51)</f>
        <v>3790.4399999999996</v>
      </c>
      <c r="S51" s="199"/>
      <c r="T51" s="219">
        <f t="shared" si="25"/>
        <v>26.867017543859649</v>
      </c>
      <c r="U51" s="219">
        <f t="shared" si="25"/>
        <v>25.715789473684211</v>
      </c>
      <c r="V51" s="219">
        <f t="shared" si="25"/>
        <v>24.44526315789474</v>
      </c>
      <c r="W51" s="219">
        <f t="shared" si="25"/>
        <v>23.143508771929827</v>
      </c>
      <c r="X51" s="219">
        <f t="shared" si="25"/>
        <v>23.414035087719295</v>
      </c>
      <c r="Y51" s="219">
        <f t="shared" si="25"/>
        <v>22.937894736842107</v>
      </c>
      <c r="Z51" s="219">
        <f t="shared" si="25"/>
        <v>22.636140350877191</v>
      </c>
      <c r="AA51" s="219">
        <f t="shared" si="25"/>
        <v>21.31052631578947</v>
      </c>
      <c r="AB51" s="219">
        <f t="shared" si="25"/>
        <v>20.31052631578947</v>
      </c>
      <c r="AC51" s="219">
        <f t="shared" si="25"/>
        <v>10.645614035087718</v>
      </c>
      <c r="AD51" s="219">
        <f t="shared" si="25"/>
        <v>21.508771929824562</v>
      </c>
      <c r="AE51" s="219">
        <f t="shared" si="25"/>
        <v>23.06070175438596</v>
      </c>
      <c r="AF51" s="220">
        <f t="shared" si="26"/>
        <v>265.99578947368417</v>
      </c>
      <c r="AG51" s="287">
        <f t="shared" si="27"/>
        <v>22.166315789473682</v>
      </c>
      <c r="AI51" s="199">
        <v>96</v>
      </c>
      <c r="AL51" s="199">
        <v>2</v>
      </c>
      <c r="AM51" s="220">
        <f>+AL51*AG51</f>
        <v>44.332631578947364</v>
      </c>
      <c r="AN51" s="220"/>
      <c r="AO51" s="218">
        <f>+E51*(1+$AQ$3)</f>
        <v>31.727965423212222</v>
      </c>
      <c r="AP51" s="228">
        <f t="shared" si="28"/>
        <v>8439.5052111410896</v>
      </c>
      <c r="AQ51" s="228">
        <f t="shared" si="29"/>
        <v>4649.06521114109</v>
      </c>
    </row>
    <row r="52" spans="1:43">
      <c r="A52" s="199" t="str">
        <f>$A$1&amp;"Residential"&amp;C52</f>
        <v>Lewis County UTCResidentialGW3RES</v>
      </c>
      <c r="B52" s="199">
        <f t="shared" si="14"/>
        <v>1</v>
      </c>
      <c r="C52" s="291" t="s">
        <v>283</v>
      </c>
      <c r="D52" s="217" t="s">
        <v>284</v>
      </c>
      <c r="E52" s="218">
        <f>+E51+6.75</f>
        <v>21</v>
      </c>
      <c r="F52" s="219">
        <v>2.0250000000000004</v>
      </c>
      <c r="G52" s="219">
        <v>15.75</v>
      </c>
      <c r="H52" s="219">
        <v>21</v>
      </c>
      <c r="I52" s="219">
        <v>21</v>
      </c>
      <c r="J52" s="219">
        <v>21</v>
      </c>
      <c r="K52" s="219">
        <v>21</v>
      </c>
      <c r="L52" s="219">
        <v>21</v>
      </c>
      <c r="M52" s="219">
        <v>21</v>
      </c>
      <c r="N52" s="219">
        <v>21</v>
      </c>
      <c r="O52" s="219">
        <v>21</v>
      </c>
      <c r="P52" s="219">
        <v>34.725000000000001</v>
      </c>
      <c r="Q52" s="219">
        <v>34.725000000000001</v>
      </c>
      <c r="R52" s="219">
        <f>SUM(F52:Q52)</f>
        <v>255.22499999999999</v>
      </c>
      <c r="S52" s="199"/>
      <c r="T52" s="219">
        <f t="shared" si="25"/>
        <v>9.6428571428571447E-2</v>
      </c>
      <c r="U52" s="219">
        <f t="shared" si="25"/>
        <v>0.75</v>
      </c>
      <c r="V52" s="219">
        <f t="shared" si="25"/>
        <v>1</v>
      </c>
      <c r="W52" s="219">
        <f t="shared" si="25"/>
        <v>1</v>
      </c>
      <c r="X52" s="219">
        <f t="shared" si="25"/>
        <v>1</v>
      </c>
      <c r="Y52" s="219">
        <f t="shared" si="25"/>
        <v>1</v>
      </c>
      <c r="Z52" s="219">
        <f t="shared" si="25"/>
        <v>1</v>
      </c>
      <c r="AA52" s="219">
        <f t="shared" si="25"/>
        <v>1</v>
      </c>
      <c r="AB52" s="219">
        <f t="shared" si="25"/>
        <v>1</v>
      </c>
      <c r="AC52" s="219">
        <f t="shared" si="25"/>
        <v>1</v>
      </c>
      <c r="AD52" s="219">
        <f t="shared" si="25"/>
        <v>1.6535714285714287</v>
      </c>
      <c r="AE52" s="219">
        <f t="shared" si="25"/>
        <v>1.6535714285714287</v>
      </c>
      <c r="AF52" s="220">
        <f t="shared" si="26"/>
        <v>12.153571428571428</v>
      </c>
      <c r="AG52" s="287">
        <f t="shared" si="27"/>
        <v>1.0127976190476191</v>
      </c>
      <c r="AI52" s="199">
        <v>96</v>
      </c>
      <c r="AL52" s="199">
        <v>3</v>
      </c>
      <c r="AM52" s="220">
        <f>+AL52*AG52</f>
        <v>3.0383928571428571</v>
      </c>
      <c r="AN52" s="220"/>
      <c r="AO52" s="218">
        <f>+E52*(1+$AQ$3)</f>
        <v>46.757001676312747</v>
      </c>
      <c r="AP52" s="228">
        <f t="shared" si="28"/>
        <v>568.26455965890102</v>
      </c>
      <c r="AQ52" s="228">
        <f t="shared" si="29"/>
        <v>313.039559658901</v>
      </c>
    </row>
    <row r="53" spans="1:43">
      <c r="A53" s="199"/>
      <c r="B53" s="199">
        <f t="shared" si="14"/>
        <v>0</v>
      </c>
      <c r="C53" s="291"/>
      <c r="D53" s="223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199"/>
      <c r="S53" s="19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20"/>
      <c r="AG53" s="287"/>
      <c r="AH53" s="294"/>
      <c r="AI53" s="294" t="s">
        <v>135</v>
      </c>
    </row>
    <row r="54" spans="1:43">
      <c r="A54" s="199"/>
      <c r="B54" s="199">
        <f t="shared" si="14"/>
        <v>0</v>
      </c>
      <c r="C54" s="223"/>
      <c r="D54" s="224" t="s">
        <v>285</v>
      </c>
      <c r="F54" s="301">
        <f t="shared" ref="F54:R54" si="30">SUM(F50:F53)</f>
        <v>2930.13</v>
      </c>
      <c r="G54" s="301">
        <f t="shared" si="30"/>
        <v>2908.45</v>
      </c>
      <c r="H54" s="301">
        <f t="shared" si="30"/>
        <v>2876.3450000000003</v>
      </c>
      <c r="I54" s="301">
        <f t="shared" si="30"/>
        <v>3008.5450000000001</v>
      </c>
      <c r="J54" s="301">
        <f t="shared" si="30"/>
        <v>3018.0250000000001</v>
      </c>
      <c r="K54" s="301">
        <f t="shared" si="30"/>
        <v>2991.3649999999998</v>
      </c>
      <c r="L54" s="301">
        <f t="shared" si="30"/>
        <v>2971.94</v>
      </c>
      <c r="M54" s="301">
        <f t="shared" si="30"/>
        <v>2896.1750000000002</v>
      </c>
      <c r="N54" s="301">
        <f t="shared" si="30"/>
        <v>2848.1750000000002</v>
      </c>
      <c r="O54" s="301">
        <f t="shared" si="30"/>
        <v>2786.2</v>
      </c>
      <c r="P54" s="301">
        <f t="shared" si="30"/>
        <v>3049.2249999999999</v>
      </c>
      <c r="Q54" s="301">
        <f t="shared" si="30"/>
        <v>2880.0799999999995</v>
      </c>
      <c r="R54" s="296">
        <f t="shared" si="30"/>
        <v>35164.654999999999</v>
      </c>
      <c r="S54" s="227"/>
      <c r="T54" s="302">
        <f t="shared" ref="T54:AF54" si="31">SUM(T50:T52)</f>
        <v>366.33011278195494</v>
      </c>
      <c r="U54" s="302">
        <f t="shared" si="31"/>
        <v>363.29912280701751</v>
      </c>
      <c r="V54" s="302">
        <f t="shared" si="31"/>
        <v>359.71192982456137</v>
      </c>
      <c r="W54" s="302">
        <f t="shared" si="31"/>
        <v>378.51017543859649</v>
      </c>
      <c r="X54" s="302">
        <f t="shared" si="31"/>
        <v>379.53070175438597</v>
      </c>
      <c r="Y54" s="302">
        <f t="shared" si="31"/>
        <v>376.40456140350875</v>
      </c>
      <c r="Z54" s="302">
        <f t="shared" si="31"/>
        <v>374.0861403508772</v>
      </c>
      <c r="AA54" s="302">
        <f t="shared" si="31"/>
        <v>365.17719298245612</v>
      </c>
      <c r="AB54" s="302">
        <f t="shared" si="31"/>
        <v>359.67719298245612</v>
      </c>
      <c r="AC54" s="302">
        <f t="shared" si="31"/>
        <v>360.11228070175434</v>
      </c>
      <c r="AD54" s="302">
        <f t="shared" si="31"/>
        <v>384.22901002506262</v>
      </c>
      <c r="AE54" s="302">
        <f t="shared" si="31"/>
        <v>360.27960651629064</v>
      </c>
      <c r="AF54" s="302">
        <f t="shared" si="31"/>
        <v>4427.3480275689226</v>
      </c>
      <c r="AG54" s="302">
        <f>SUM(AG50:AG52)</f>
        <v>368.9456689640769</v>
      </c>
      <c r="AH54" s="294" t="s">
        <v>176</v>
      </c>
      <c r="AI54" s="295">
        <f>+SUM(AM50:AM52)</f>
        <v>393.13757999164585</v>
      </c>
      <c r="AP54" s="296">
        <f>SUM(AP50:AP53)</f>
        <v>78294.944418188548</v>
      </c>
      <c r="AQ54" s="296">
        <f>SUM(AQ50:AQ53)</f>
        <v>43130.289418188549</v>
      </c>
    </row>
    <row r="55" spans="1:43">
      <c r="A55" s="199"/>
      <c r="B55" s="199">
        <f t="shared" si="14"/>
        <v>0</v>
      </c>
      <c r="C55" s="223"/>
      <c r="D55" s="224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199"/>
      <c r="S55" s="19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20"/>
      <c r="AG55" s="287"/>
    </row>
    <row r="56" spans="1:43">
      <c r="A56" s="199"/>
      <c r="B56" s="199">
        <f t="shared" si="14"/>
        <v>0</v>
      </c>
      <c r="C56" s="223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20"/>
      <c r="AG56" s="287"/>
    </row>
    <row r="57" spans="1:43">
      <c r="A57" s="199"/>
      <c r="B57" s="199">
        <f t="shared" si="14"/>
        <v>1</v>
      </c>
      <c r="C57" s="303" t="s">
        <v>177</v>
      </c>
      <c r="D57" s="212" t="s">
        <v>177</v>
      </c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199"/>
      <c r="S57" s="19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20"/>
      <c r="AG57" s="287"/>
    </row>
    <row r="58" spans="1:43">
      <c r="A58" s="199"/>
      <c r="B58" s="199">
        <f t="shared" si="14"/>
        <v>0</v>
      </c>
      <c r="C58" s="303"/>
      <c r="D58" s="212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228"/>
      <c r="S58" s="228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20"/>
      <c r="AG58" s="287"/>
      <c r="AO58" s="228"/>
    </row>
    <row r="59" spans="1:43">
      <c r="A59" s="199"/>
      <c r="B59" s="199">
        <f t="shared" si="14"/>
        <v>1</v>
      </c>
      <c r="C59" s="305" t="s">
        <v>107</v>
      </c>
      <c r="D59" s="216" t="s">
        <v>107</v>
      </c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28"/>
      <c r="S59" s="19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20"/>
      <c r="AG59" s="287"/>
    </row>
    <row r="60" spans="1:43" s="443" customFormat="1">
      <c r="A60" s="443" t="str">
        <f t="shared" ref="A60:A123" si="32">$A$1&amp;"Commercial"&amp;C60</f>
        <v>Lewis County UTCCommercialFL001.0Y1W001</v>
      </c>
      <c r="B60" s="443">
        <f t="shared" si="14"/>
        <v>1</v>
      </c>
      <c r="C60" s="452" t="s">
        <v>286</v>
      </c>
      <c r="D60" s="445" t="s">
        <v>287</v>
      </c>
      <c r="E60" s="446">
        <v>81.28</v>
      </c>
      <c r="F60" s="447">
        <v>1930.3999999999999</v>
      </c>
      <c r="G60" s="447">
        <v>1930.3999999999999</v>
      </c>
      <c r="H60" s="447">
        <v>1889.76</v>
      </c>
      <c r="I60" s="447">
        <v>1869.4399999999998</v>
      </c>
      <c r="J60" s="447">
        <v>1666.24</v>
      </c>
      <c r="K60" s="447">
        <v>1625.6000000000001</v>
      </c>
      <c r="L60" s="447">
        <v>1706.8799999999999</v>
      </c>
      <c r="M60" s="447">
        <v>1584.96</v>
      </c>
      <c r="N60" s="447">
        <v>1402.08</v>
      </c>
      <c r="O60" s="447">
        <v>1369.5700000000002</v>
      </c>
      <c r="P60" s="447">
        <v>1332.99</v>
      </c>
      <c r="Q60" s="447">
        <v>1381.7600000000002</v>
      </c>
      <c r="R60" s="447">
        <f t="shared" ref="R60:R123" si="33">SUM(F60:Q60)</f>
        <v>19690.080000000002</v>
      </c>
      <c r="S60" s="447"/>
      <c r="T60" s="447">
        <f t="shared" ref="T60:AE81" si="34">IFERROR(F60/$E60,0)</f>
        <v>23.749999999999996</v>
      </c>
      <c r="U60" s="447">
        <f t="shared" si="34"/>
        <v>23.749999999999996</v>
      </c>
      <c r="V60" s="447">
        <f t="shared" si="34"/>
        <v>23.25</v>
      </c>
      <c r="W60" s="447">
        <f t="shared" si="34"/>
        <v>22.999999999999996</v>
      </c>
      <c r="X60" s="447">
        <f t="shared" si="34"/>
        <v>20.5</v>
      </c>
      <c r="Y60" s="447">
        <f t="shared" si="34"/>
        <v>20</v>
      </c>
      <c r="Z60" s="447">
        <f t="shared" si="34"/>
        <v>21</v>
      </c>
      <c r="AA60" s="447">
        <f t="shared" si="34"/>
        <v>19.5</v>
      </c>
      <c r="AB60" s="447">
        <f t="shared" si="34"/>
        <v>17.25</v>
      </c>
      <c r="AC60" s="447">
        <f t="shared" si="34"/>
        <v>16.850024606299215</v>
      </c>
      <c r="AD60" s="447">
        <f t="shared" si="34"/>
        <v>16.399975393700789</v>
      </c>
      <c r="AE60" s="447">
        <f t="shared" si="34"/>
        <v>17.000000000000004</v>
      </c>
      <c r="AF60" s="448">
        <f t="shared" ref="AF60:AF123" si="35">SUM(T60:AE60)</f>
        <v>242.25</v>
      </c>
      <c r="AG60" s="449">
        <f t="shared" ref="AG60:AG123" si="36">AF60/12</f>
        <v>20.1875</v>
      </c>
      <c r="AK60" s="443">
        <v>1</v>
      </c>
      <c r="AL60" s="443">
        <v>1</v>
      </c>
      <c r="AM60" s="450">
        <f t="shared" ref="AM60:AM91" si="37">+AL60*AG60</f>
        <v>20.1875</v>
      </c>
      <c r="AN60" s="450"/>
      <c r="AO60" s="446">
        <f t="shared" ref="AO60:AO123" si="38">+E60*(1+$AQ$1)</f>
        <v>84.557425622292598</v>
      </c>
      <c r="AP60" s="450">
        <f t="shared" ref="AP60:AP123" si="39">+AG60*12*AO60</f>
        <v>20484.036357000383</v>
      </c>
      <c r="AQ60" s="450">
        <f t="shared" ref="AQ60:AQ123" si="40">+AP60-R60</f>
        <v>793.9563570003811</v>
      </c>
    </row>
    <row r="61" spans="1:43" s="443" customFormat="1">
      <c r="A61" s="443" t="str">
        <f t="shared" si="32"/>
        <v>Lewis County UTCCommercialRL001.0Y1W001</v>
      </c>
      <c r="B61" s="443">
        <f t="shared" si="14"/>
        <v>1</v>
      </c>
      <c r="C61" s="452" t="s">
        <v>288</v>
      </c>
      <c r="D61" s="445" t="s">
        <v>287</v>
      </c>
      <c r="E61" s="446">
        <v>81.28</v>
      </c>
      <c r="F61" s="447">
        <v>10525.76</v>
      </c>
      <c r="G61" s="447">
        <v>10607.050000000001</v>
      </c>
      <c r="H61" s="447">
        <v>10532.08</v>
      </c>
      <c r="I61" s="447">
        <v>10556.53</v>
      </c>
      <c r="J61" s="447">
        <v>10188.43</v>
      </c>
      <c r="K61" s="447">
        <v>9806.43</v>
      </c>
      <c r="L61" s="447">
        <v>9456.93</v>
      </c>
      <c r="M61" s="447">
        <v>9635.74</v>
      </c>
      <c r="N61" s="447">
        <v>9733.2800000000007</v>
      </c>
      <c r="O61" s="447">
        <v>9135.869999999999</v>
      </c>
      <c r="P61" s="447">
        <v>9265.9200000000019</v>
      </c>
      <c r="Q61" s="447">
        <v>9897.64</v>
      </c>
      <c r="R61" s="447">
        <f t="shared" si="33"/>
        <v>119341.65999999999</v>
      </c>
      <c r="S61" s="447"/>
      <c r="T61" s="447">
        <f t="shared" si="34"/>
        <v>129.5</v>
      </c>
      <c r="U61" s="447">
        <f t="shared" si="34"/>
        <v>130.50012303149609</v>
      </c>
      <c r="V61" s="447">
        <f t="shared" si="34"/>
        <v>129.57775590551182</v>
      </c>
      <c r="W61" s="447">
        <f t="shared" si="34"/>
        <v>129.87856791338584</v>
      </c>
      <c r="X61" s="447">
        <f t="shared" si="34"/>
        <v>125.34977854330708</v>
      </c>
      <c r="Y61" s="447">
        <f t="shared" si="34"/>
        <v>120.64997539370079</v>
      </c>
      <c r="Z61" s="447">
        <f t="shared" si="34"/>
        <v>116.35002460629921</v>
      </c>
      <c r="AA61" s="447">
        <f t="shared" si="34"/>
        <v>118.54995078740157</v>
      </c>
      <c r="AB61" s="447">
        <f t="shared" si="34"/>
        <v>119.75</v>
      </c>
      <c r="AC61" s="447">
        <f t="shared" si="34"/>
        <v>112.39997539370077</v>
      </c>
      <c r="AD61" s="447">
        <f t="shared" si="34"/>
        <v>114.00000000000003</v>
      </c>
      <c r="AE61" s="447">
        <f t="shared" si="34"/>
        <v>121.77214566929133</v>
      </c>
      <c r="AF61" s="448">
        <f t="shared" si="35"/>
        <v>1468.2782972440946</v>
      </c>
      <c r="AG61" s="449">
        <f t="shared" si="36"/>
        <v>122.35652477034121</v>
      </c>
      <c r="AK61" s="443">
        <v>1</v>
      </c>
      <c r="AL61" s="443">
        <v>1</v>
      </c>
      <c r="AM61" s="450">
        <f t="shared" si="37"/>
        <v>122.35652477034121</v>
      </c>
      <c r="AN61" s="450"/>
      <c r="AO61" s="446">
        <f t="shared" si="38"/>
        <v>84.557425622292598</v>
      </c>
      <c r="AP61" s="450">
        <f t="shared" si="39"/>
        <v>124153.83291204394</v>
      </c>
      <c r="AQ61" s="450">
        <f t="shared" si="40"/>
        <v>4812.1729120439559</v>
      </c>
    </row>
    <row r="62" spans="1:43" s="443" customFormat="1">
      <c r="A62" s="443" t="str">
        <f t="shared" si="32"/>
        <v>Lewis County UTCCommercialFL001.0YEO001</v>
      </c>
      <c r="B62" s="443">
        <f t="shared" si="14"/>
        <v>1</v>
      </c>
      <c r="C62" s="452" t="s">
        <v>289</v>
      </c>
      <c r="D62" s="445" t="s">
        <v>290</v>
      </c>
      <c r="E62" s="446">
        <v>44.19</v>
      </c>
      <c r="F62" s="447">
        <v>2187.41</v>
      </c>
      <c r="G62" s="447">
        <v>2187.4100000000003</v>
      </c>
      <c r="H62" s="447">
        <v>2290.52</v>
      </c>
      <c r="I62" s="447">
        <v>2253.69</v>
      </c>
      <c r="J62" s="447">
        <v>2253.69</v>
      </c>
      <c r="K62" s="447">
        <v>2275.8000000000002</v>
      </c>
      <c r="L62" s="447">
        <v>2209.5</v>
      </c>
      <c r="M62" s="447">
        <v>2187.4</v>
      </c>
      <c r="N62" s="447">
        <v>2209.5</v>
      </c>
      <c r="O62" s="447">
        <v>2246.33</v>
      </c>
      <c r="P62" s="447">
        <v>2290.52</v>
      </c>
      <c r="Q62" s="447">
        <v>2275.79</v>
      </c>
      <c r="R62" s="447">
        <f t="shared" si="33"/>
        <v>26867.56</v>
      </c>
      <c r="S62" s="447"/>
      <c r="T62" s="447">
        <f t="shared" si="34"/>
        <v>49.500113147770989</v>
      </c>
      <c r="U62" s="447">
        <f t="shared" si="34"/>
        <v>49.500113147770996</v>
      </c>
      <c r="V62" s="447">
        <f t="shared" si="34"/>
        <v>51.833446481104325</v>
      </c>
      <c r="W62" s="447">
        <f t="shared" si="34"/>
        <v>51.000000000000007</v>
      </c>
      <c r="X62" s="447">
        <f t="shared" si="34"/>
        <v>51.000000000000007</v>
      </c>
      <c r="Y62" s="447">
        <f t="shared" si="34"/>
        <v>51.500339443312974</v>
      </c>
      <c r="Z62" s="447">
        <f t="shared" si="34"/>
        <v>50</v>
      </c>
      <c r="AA62" s="447">
        <f t="shared" si="34"/>
        <v>49.499886852229018</v>
      </c>
      <c r="AB62" s="447">
        <f t="shared" si="34"/>
        <v>50</v>
      </c>
      <c r="AC62" s="447">
        <f t="shared" si="34"/>
        <v>50.833446481104325</v>
      </c>
      <c r="AD62" s="447">
        <f t="shared" si="34"/>
        <v>51.833446481104325</v>
      </c>
      <c r="AE62" s="447">
        <f t="shared" si="34"/>
        <v>51.500113147770989</v>
      </c>
      <c r="AF62" s="448">
        <f t="shared" si="35"/>
        <v>608.00090518216791</v>
      </c>
      <c r="AG62" s="449">
        <f t="shared" si="36"/>
        <v>50.666742098513993</v>
      </c>
      <c r="AK62" s="443">
        <v>1.5</v>
      </c>
      <c r="AL62" s="443">
        <v>1</v>
      </c>
      <c r="AM62" s="450">
        <f t="shared" si="37"/>
        <v>50.666742098513993</v>
      </c>
      <c r="AN62" s="450"/>
      <c r="AO62" s="446">
        <f t="shared" si="38"/>
        <v>45.971858246175067</v>
      </c>
      <c r="AP62" s="450">
        <f t="shared" si="39"/>
        <v>27950.931426580752</v>
      </c>
      <c r="AQ62" s="450">
        <f t="shared" si="40"/>
        <v>1083.3714265807503</v>
      </c>
    </row>
    <row r="63" spans="1:43" s="443" customFormat="1">
      <c r="A63" s="443" t="str">
        <f t="shared" si="32"/>
        <v>Lewis County UTCCommercialRL001.0YEO001</v>
      </c>
      <c r="B63" s="443">
        <f t="shared" si="14"/>
        <v>1</v>
      </c>
      <c r="C63" s="452" t="s">
        <v>291</v>
      </c>
      <c r="D63" s="445" t="s">
        <v>290</v>
      </c>
      <c r="E63" s="446">
        <v>44.19</v>
      </c>
      <c r="F63" s="447">
        <v>17543.449999999997</v>
      </c>
      <c r="G63" s="447">
        <v>18036.91</v>
      </c>
      <c r="H63" s="447">
        <v>17944.879999999997</v>
      </c>
      <c r="I63" s="447">
        <v>17771.78</v>
      </c>
      <c r="J63" s="447">
        <v>17963.25</v>
      </c>
      <c r="K63" s="447">
        <v>18145.699999999997</v>
      </c>
      <c r="L63" s="447">
        <v>18434.629999999997</v>
      </c>
      <c r="M63" s="447">
        <v>18235.78</v>
      </c>
      <c r="N63" s="447">
        <v>18493.54</v>
      </c>
      <c r="O63" s="447">
        <v>17874.879999999997</v>
      </c>
      <c r="P63" s="447">
        <v>18198.96</v>
      </c>
      <c r="Q63" s="447">
        <v>18309.45</v>
      </c>
      <c r="R63" s="447">
        <f t="shared" si="33"/>
        <v>216953.21</v>
      </c>
      <c r="S63" s="447"/>
      <c r="T63" s="447">
        <f t="shared" si="34"/>
        <v>397.0004525910839</v>
      </c>
      <c r="U63" s="447">
        <f t="shared" si="34"/>
        <v>408.16723240552164</v>
      </c>
      <c r="V63" s="447">
        <f t="shared" si="34"/>
        <v>406.08463453269968</v>
      </c>
      <c r="W63" s="447">
        <f t="shared" si="34"/>
        <v>402.16745870106359</v>
      </c>
      <c r="X63" s="447">
        <f t="shared" si="34"/>
        <v>406.50033944331301</v>
      </c>
      <c r="Y63" s="447">
        <f t="shared" si="34"/>
        <v>410.62910160669833</v>
      </c>
      <c r="Z63" s="447">
        <f t="shared" si="34"/>
        <v>417.16745870106354</v>
      </c>
      <c r="AA63" s="447">
        <f t="shared" si="34"/>
        <v>412.6675718488346</v>
      </c>
      <c r="AB63" s="447">
        <f t="shared" si="34"/>
        <v>418.50056573885496</v>
      </c>
      <c r="AC63" s="447">
        <f t="shared" si="34"/>
        <v>404.5005657388549</v>
      </c>
      <c r="AD63" s="447">
        <f t="shared" si="34"/>
        <v>411.83435166327223</v>
      </c>
      <c r="AE63" s="447">
        <f t="shared" si="34"/>
        <v>414.33469110658524</v>
      </c>
      <c r="AF63" s="448">
        <f t="shared" si="35"/>
        <v>4909.5544240778463</v>
      </c>
      <c r="AG63" s="449">
        <f t="shared" si="36"/>
        <v>409.12953533982051</v>
      </c>
      <c r="AK63" s="443">
        <v>1</v>
      </c>
      <c r="AL63" s="443">
        <v>1</v>
      </c>
      <c r="AM63" s="450">
        <f t="shared" si="37"/>
        <v>409.12953533982051</v>
      </c>
      <c r="AN63" s="450"/>
      <c r="AO63" s="446">
        <f t="shared" si="38"/>
        <v>45.971858246175067</v>
      </c>
      <c r="AP63" s="450">
        <f t="shared" si="39"/>
        <v>225701.34003558842</v>
      </c>
      <c r="AQ63" s="450">
        <f t="shared" si="40"/>
        <v>8748.1300355884305</v>
      </c>
    </row>
    <row r="64" spans="1:43" s="443" customFormat="1">
      <c r="A64" s="443" t="str">
        <f t="shared" si="32"/>
        <v>Lewis County UTCCommercialFL001.5Y1W001</v>
      </c>
      <c r="B64" s="443">
        <f t="shared" si="14"/>
        <v>1</v>
      </c>
      <c r="C64" s="452" t="s">
        <v>292</v>
      </c>
      <c r="D64" s="445" t="s">
        <v>293</v>
      </c>
      <c r="E64" s="446">
        <v>112.43</v>
      </c>
      <c r="F64" s="447">
        <v>787.01</v>
      </c>
      <c r="G64" s="447">
        <v>815.12000000000012</v>
      </c>
      <c r="H64" s="447">
        <v>927.55</v>
      </c>
      <c r="I64" s="447">
        <v>1011.8700000000001</v>
      </c>
      <c r="J64" s="447">
        <v>1011.8700000000001</v>
      </c>
      <c r="K64" s="447">
        <v>1011.8700000000001</v>
      </c>
      <c r="L64" s="447">
        <v>1011.8700000000001</v>
      </c>
      <c r="M64" s="447">
        <v>972.52000000000021</v>
      </c>
      <c r="N64" s="447">
        <v>1011.8700000000001</v>
      </c>
      <c r="O64" s="447">
        <v>1191.76</v>
      </c>
      <c r="P64" s="447">
        <v>1281.7</v>
      </c>
      <c r="Q64" s="447">
        <v>1405.38</v>
      </c>
      <c r="R64" s="447">
        <f t="shared" si="33"/>
        <v>12440.390000000003</v>
      </c>
      <c r="S64" s="447"/>
      <c r="T64" s="447">
        <f t="shared" si="34"/>
        <v>6.9999999999999991</v>
      </c>
      <c r="U64" s="447">
        <f t="shared" si="34"/>
        <v>7.2500222360579922</v>
      </c>
      <c r="V64" s="447">
        <f t="shared" si="34"/>
        <v>8.2500222360579905</v>
      </c>
      <c r="W64" s="447">
        <f t="shared" si="34"/>
        <v>9</v>
      </c>
      <c r="X64" s="447">
        <f t="shared" si="34"/>
        <v>9</v>
      </c>
      <c r="Y64" s="447">
        <f t="shared" si="34"/>
        <v>9</v>
      </c>
      <c r="Z64" s="447">
        <f t="shared" si="34"/>
        <v>9</v>
      </c>
      <c r="AA64" s="447">
        <f t="shared" si="34"/>
        <v>8.6500044472116002</v>
      </c>
      <c r="AB64" s="447">
        <f t="shared" si="34"/>
        <v>9</v>
      </c>
      <c r="AC64" s="447">
        <f t="shared" si="34"/>
        <v>10.600017788846392</v>
      </c>
      <c r="AD64" s="447">
        <f t="shared" si="34"/>
        <v>11.399982211153606</v>
      </c>
      <c r="AE64" s="447">
        <f t="shared" si="34"/>
        <v>12.500044472115983</v>
      </c>
      <c r="AF64" s="448">
        <f t="shared" si="35"/>
        <v>110.65009339144358</v>
      </c>
      <c r="AG64" s="449">
        <f t="shared" si="36"/>
        <v>9.2208411159536308</v>
      </c>
      <c r="AK64" s="443">
        <v>1.5</v>
      </c>
      <c r="AL64" s="443">
        <v>1</v>
      </c>
      <c r="AM64" s="450">
        <f t="shared" si="37"/>
        <v>9.2208411159536308</v>
      </c>
      <c r="AN64" s="450"/>
      <c r="AO64" s="446">
        <f t="shared" si="38"/>
        <v>116.9634764113479</v>
      </c>
      <c r="AP64" s="450">
        <f t="shared" si="39"/>
        <v>12942.01958830355</v>
      </c>
      <c r="AQ64" s="450">
        <f t="shared" si="40"/>
        <v>501.62958830354728</v>
      </c>
    </row>
    <row r="65" spans="1:43" s="443" customFormat="1">
      <c r="A65" s="443" t="str">
        <f t="shared" si="32"/>
        <v>Lewis County UTCCommercialRL001.5Y1W001</v>
      </c>
      <c r="B65" s="443">
        <f t="shared" si="14"/>
        <v>1</v>
      </c>
      <c r="C65" s="452" t="s">
        <v>294</v>
      </c>
      <c r="D65" s="445" t="s">
        <v>293</v>
      </c>
      <c r="E65" s="446">
        <v>112.43</v>
      </c>
      <c r="F65" s="447">
        <v>6324.19</v>
      </c>
      <c r="G65" s="447">
        <v>6520.93</v>
      </c>
      <c r="H65" s="447">
        <v>6706.45</v>
      </c>
      <c r="I65" s="447">
        <v>6897.58</v>
      </c>
      <c r="J65" s="447">
        <v>6852.61</v>
      </c>
      <c r="K65" s="447">
        <v>6284.85</v>
      </c>
      <c r="L65" s="447">
        <v>6324.19</v>
      </c>
      <c r="M65" s="447">
        <v>6419.7500000000009</v>
      </c>
      <c r="N65" s="447">
        <v>6492.84</v>
      </c>
      <c r="O65" s="447">
        <v>6071.22</v>
      </c>
      <c r="P65" s="447">
        <v>6149.93</v>
      </c>
      <c r="Q65" s="447">
        <v>6745.7300000000005</v>
      </c>
      <c r="R65" s="447">
        <f t="shared" si="33"/>
        <v>77790.27</v>
      </c>
      <c r="S65" s="447"/>
      <c r="T65" s="447">
        <f t="shared" si="34"/>
        <v>56.250022236057987</v>
      </c>
      <c r="U65" s="447">
        <f t="shared" si="34"/>
        <v>57.999911055768031</v>
      </c>
      <c r="V65" s="447">
        <f t="shared" si="34"/>
        <v>59.650004447211593</v>
      </c>
      <c r="W65" s="447">
        <f t="shared" si="34"/>
        <v>61.3499955527884</v>
      </c>
      <c r="X65" s="447">
        <f t="shared" si="34"/>
        <v>60.950013341634786</v>
      </c>
      <c r="Y65" s="447">
        <f t="shared" si="34"/>
        <v>55.900115627501556</v>
      </c>
      <c r="Z65" s="447">
        <f t="shared" si="34"/>
        <v>56.250022236057987</v>
      </c>
      <c r="AA65" s="447">
        <f t="shared" si="34"/>
        <v>57.099973316730413</v>
      </c>
      <c r="AB65" s="447">
        <f t="shared" si="34"/>
        <v>57.750066708173975</v>
      </c>
      <c r="AC65" s="447">
        <f t="shared" si="34"/>
        <v>54</v>
      </c>
      <c r="AD65" s="447">
        <f t="shared" si="34"/>
        <v>54.700080049808768</v>
      </c>
      <c r="AE65" s="447">
        <f t="shared" si="34"/>
        <v>59.999377390376232</v>
      </c>
      <c r="AF65" s="448">
        <f t="shared" si="35"/>
        <v>691.89958196210978</v>
      </c>
      <c r="AG65" s="449">
        <f t="shared" si="36"/>
        <v>57.658298496842484</v>
      </c>
      <c r="AK65" s="443">
        <v>1.5</v>
      </c>
      <c r="AL65" s="443">
        <v>1</v>
      </c>
      <c r="AM65" s="450">
        <f t="shared" si="37"/>
        <v>57.658298496842484</v>
      </c>
      <c r="AN65" s="450"/>
      <c r="AO65" s="446">
        <f t="shared" si="38"/>
        <v>116.9634764113479</v>
      </c>
      <c r="AP65" s="450">
        <f t="shared" si="39"/>
        <v>80926.980433846693</v>
      </c>
      <c r="AQ65" s="450">
        <f t="shared" si="40"/>
        <v>3136.7104338466888</v>
      </c>
    </row>
    <row r="66" spans="1:43" s="443" customFormat="1">
      <c r="A66" s="443" t="str">
        <f t="shared" si="32"/>
        <v>Lewis County UTCCommercialRL001.5Y2W001</v>
      </c>
      <c r="B66" s="443">
        <f t="shared" si="14"/>
        <v>1</v>
      </c>
      <c r="C66" s="452" t="s">
        <v>295</v>
      </c>
      <c r="D66" s="445" t="s">
        <v>296</v>
      </c>
      <c r="E66" s="446">
        <v>214.84</v>
      </c>
      <c r="F66" s="447">
        <v>0</v>
      </c>
      <c r="G66" s="447">
        <v>0</v>
      </c>
      <c r="H66" s="447">
        <v>143.22999999999999</v>
      </c>
      <c r="I66" s="447">
        <v>80.569999999999993</v>
      </c>
      <c r="J66" s="447">
        <v>0</v>
      </c>
      <c r="K66" s="447">
        <v>0</v>
      </c>
      <c r="L66" s="447">
        <v>0</v>
      </c>
      <c r="M66" s="447">
        <v>0</v>
      </c>
      <c r="N66" s="447">
        <v>0</v>
      </c>
      <c r="O66" s="447">
        <v>0</v>
      </c>
      <c r="P66" s="447">
        <v>0</v>
      </c>
      <c r="Q66" s="447">
        <v>0</v>
      </c>
      <c r="R66" s="447">
        <f t="shared" si="33"/>
        <v>223.79999999999998</v>
      </c>
      <c r="S66" s="447"/>
      <c r="T66" s="447">
        <f t="shared" si="34"/>
        <v>0</v>
      </c>
      <c r="U66" s="447">
        <f t="shared" si="34"/>
        <v>0</v>
      </c>
      <c r="V66" s="447">
        <f t="shared" si="34"/>
        <v>0.66668218208899643</v>
      </c>
      <c r="W66" s="447">
        <f t="shared" si="34"/>
        <v>0.37502327313349465</v>
      </c>
      <c r="X66" s="447">
        <f t="shared" si="34"/>
        <v>0</v>
      </c>
      <c r="Y66" s="447">
        <f t="shared" si="34"/>
        <v>0</v>
      </c>
      <c r="Z66" s="447">
        <f t="shared" si="34"/>
        <v>0</v>
      </c>
      <c r="AA66" s="447">
        <f t="shared" si="34"/>
        <v>0</v>
      </c>
      <c r="AB66" s="447">
        <f t="shared" si="34"/>
        <v>0</v>
      </c>
      <c r="AC66" s="447">
        <f t="shared" si="34"/>
        <v>0</v>
      </c>
      <c r="AD66" s="447">
        <f t="shared" si="34"/>
        <v>0</v>
      </c>
      <c r="AE66" s="447">
        <f t="shared" si="34"/>
        <v>0</v>
      </c>
      <c r="AF66" s="448">
        <f t="shared" si="35"/>
        <v>1.0417054552224911</v>
      </c>
      <c r="AG66" s="449">
        <f t="shared" si="36"/>
        <v>8.680878793520759E-2</v>
      </c>
      <c r="AK66" s="443">
        <v>1.5</v>
      </c>
      <c r="AL66" s="443">
        <v>1</v>
      </c>
      <c r="AM66" s="450">
        <f t="shared" si="37"/>
        <v>8.680878793520759E-2</v>
      </c>
      <c r="AN66" s="450"/>
      <c r="AO66" s="446">
        <f t="shared" si="38"/>
        <v>223.50291979199486</v>
      </c>
      <c r="AP66" s="450">
        <f t="shared" si="39"/>
        <v>232.82421080547593</v>
      </c>
      <c r="AQ66" s="450">
        <f t="shared" si="40"/>
        <v>9.0242108054759456</v>
      </c>
    </row>
    <row r="67" spans="1:43" s="443" customFormat="1">
      <c r="A67" s="443" t="str">
        <f t="shared" si="32"/>
        <v>Lewis County UTCCommercialFL001.5YEO001</v>
      </c>
      <c r="B67" s="443">
        <f t="shared" si="14"/>
        <v>1</v>
      </c>
      <c r="C67" s="452" t="s">
        <v>297</v>
      </c>
      <c r="D67" s="445" t="s">
        <v>298</v>
      </c>
      <c r="E67" s="446">
        <v>61.35</v>
      </c>
      <c r="F67" s="447">
        <v>981.6</v>
      </c>
      <c r="G67" s="447">
        <v>981.6</v>
      </c>
      <c r="H67" s="447">
        <v>981.6</v>
      </c>
      <c r="I67" s="447">
        <v>1042.95</v>
      </c>
      <c r="J67" s="447">
        <v>1104.3</v>
      </c>
      <c r="K67" s="447">
        <v>1042.9499999999998</v>
      </c>
      <c r="L67" s="447">
        <v>1042.9499999999998</v>
      </c>
      <c r="M67" s="447">
        <v>1073.6299999999999</v>
      </c>
      <c r="N67" s="447">
        <v>1134.9799999999998</v>
      </c>
      <c r="O67" s="447">
        <v>1124.75</v>
      </c>
      <c r="P67" s="447">
        <v>1083.8499999999999</v>
      </c>
      <c r="Q67" s="447">
        <v>1012.2800000000001</v>
      </c>
      <c r="R67" s="447">
        <f t="shared" si="33"/>
        <v>12607.44</v>
      </c>
      <c r="S67" s="447"/>
      <c r="T67" s="447">
        <f t="shared" si="34"/>
        <v>16</v>
      </c>
      <c r="U67" s="447">
        <f t="shared" si="34"/>
        <v>16</v>
      </c>
      <c r="V67" s="447">
        <f t="shared" si="34"/>
        <v>16</v>
      </c>
      <c r="W67" s="447">
        <f t="shared" si="34"/>
        <v>17</v>
      </c>
      <c r="X67" s="447">
        <f t="shared" si="34"/>
        <v>18</v>
      </c>
      <c r="Y67" s="447">
        <f t="shared" si="34"/>
        <v>16.999999999999996</v>
      </c>
      <c r="Z67" s="447">
        <f t="shared" si="34"/>
        <v>16.999999999999996</v>
      </c>
      <c r="AA67" s="447">
        <f t="shared" si="34"/>
        <v>17.5000814995925</v>
      </c>
      <c r="AB67" s="447">
        <f t="shared" si="34"/>
        <v>18.500081499592497</v>
      </c>
      <c r="AC67" s="447">
        <f t="shared" si="34"/>
        <v>18.333333333333332</v>
      </c>
      <c r="AD67" s="447">
        <f t="shared" si="34"/>
        <v>17.666666666666664</v>
      </c>
      <c r="AE67" s="447">
        <f t="shared" si="34"/>
        <v>16.500081499592504</v>
      </c>
      <c r="AF67" s="448">
        <f t="shared" si="35"/>
        <v>205.50024449877753</v>
      </c>
      <c r="AG67" s="449">
        <f t="shared" si="36"/>
        <v>17.125020374898128</v>
      </c>
      <c r="AK67" s="443">
        <v>1.5</v>
      </c>
      <c r="AL67" s="443">
        <v>1</v>
      </c>
      <c r="AM67" s="450">
        <f t="shared" si="37"/>
        <v>17.125020374898128</v>
      </c>
      <c r="AN67" s="450"/>
      <c r="AO67" s="446">
        <f t="shared" si="38"/>
        <v>63.823795053243735</v>
      </c>
      <c r="AP67" s="450">
        <f t="shared" si="39"/>
        <v>13115.805488281456</v>
      </c>
      <c r="AQ67" s="450">
        <f t="shared" si="40"/>
        <v>508.36548828145533</v>
      </c>
    </row>
    <row r="68" spans="1:43" s="443" customFormat="1">
      <c r="A68" s="443" t="str">
        <f t="shared" si="32"/>
        <v>Lewis County UTCCommercialRL001.5YEO001</v>
      </c>
      <c r="B68" s="443">
        <f t="shared" si="14"/>
        <v>1</v>
      </c>
      <c r="C68" s="452" t="s">
        <v>299</v>
      </c>
      <c r="D68" s="445" t="s">
        <v>298</v>
      </c>
      <c r="E68" s="446">
        <v>61.35</v>
      </c>
      <c r="F68" s="447">
        <v>4539.91</v>
      </c>
      <c r="G68" s="447">
        <v>4478.5700000000006</v>
      </c>
      <c r="H68" s="447">
        <v>4325.1799999999994</v>
      </c>
      <c r="I68" s="447">
        <v>4447.88</v>
      </c>
      <c r="J68" s="447">
        <v>4529.68</v>
      </c>
      <c r="K68" s="447">
        <v>4969.3499999999995</v>
      </c>
      <c r="L68" s="447">
        <v>4908</v>
      </c>
      <c r="M68" s="447">
        <v>4754.63</v>
      </c>
      <c r="N68" s="447">
        <v>4723.95</v>
      </c>
      <c r="O68" s="447">
        <v>4325.1799999999994</v>
      </c>
      <c r="P68" s="447">
        <v>4396.75</v>
      </c>
      <c r="Q68" s="447">
        <v>4294.5</v>
      </c>
      <c r="R68" s="447">
        <f t="shared" si="33"/>
        <v>54693.579999999994</v>
      </c>
      <c r="S68" s="447"/>
      <c r="T68" s="447">
        <f t="shared" si="34"/>
        <v>74.000162999184994</v>
      </c>
      <c r="U68" s="447">
        <f t="shared" si="34"/>
        <v>73.000325998370016</v>
      </c>
      <c r="V68" s="447">
        <f t="shared" si="34"/>
        <v>70.500081499592497</v>
      </c>
      <c r="W68" s="447">
        <f t="shared" si="34"/>
        <v>72.500081499592497</v>
      </c>
      <c r="X68" s="447">
        <f t="shared" si="34"/>
        <v>73.83341483292584</v>
      </c>
      <c r="Y68" s="447">
        <f t="shared" si="34"/>
        <v>80.999999999999986</v>
      </c>
      <c r="Z68" s="447">
        <f t="shared" si="34"/>
        <v>80</v>
      </c>
      <c r="AA68" s="447">
        <f t="shared" si="34"/>
        <v>77.500081499592497</v>
      </c>
      <c r="AB68" s="447">
        <f t="shared" si="34"/>
        <v>77</v>
      </c>
      <c r="AC68" s="447">
        <f t="shared" si="34"/>
        <v>70.500081499592497</v>
      </c>
      <c r="AD68" s="447">
        <f t="shared" si="34"/>
        <v>71.666666666666671</v>
      </c>
      <c r="AE68" s="447">
        <f t="shared" si="34"/>
        <v>70</v>
      </c>
      <c r="AF68" s="448">
        <f t="shared" si="35"/>
        <v>891.50089649551751</v>
      </c>
      <c r="AG68" s="449">
        <f t="shared" si="36"/>
        <v>74.291741374626454</v>
      </c>
      <c r="AK68" s="443">
        <v>1.5</v>
      </c>
      <c r="AL68" s="443">
        <v>1</v>
      </c>
      <c r="AM68" s="450">
        <f t="shared" si="37"/>
        <v>74.291741374626454</v>
      </c>
      <c r="AN68" s="450"/>
      <c r="AO68" s="446">
        <f t="shared" si="38"/>
        <v>63.823795053243735</v>
      </c>
      <c r="AP68" s="450">
        <f t="shared" si="39"/>
        <v>56898.970507712962</v>
      </c>
      <c r="AQ68" s="450">
        <f t="shared" si="40"/>
        <v>2205.3905077129675</v>
      </c>
    </row>
    <row r="69" spans="1:43" s="443" customFormat="1">
      <c r="A69" s="443" t="str">
        <f t="shared" si="32"/>
        <v>Lewis County UTCCommercialFL002.0Y1W001</v>
      </c>
      <c r="B69" s="443">
        <f t="shared" si="14"/>
        <v>1</v>
      </c>
      <c r="C69" s="452" t="s">
        <v>300</v>
      </c>
      <c r="D69" s="445" t="s">
        <v>301</v>
      </c>
      <c r="E69" s="446">
        <v>140.72</v>
      </c>
      <c r="F69" s="447">
        <v>5382.5400000000009</v>
      </c>
      <c r="G69" s="447">
        <v>5945.42</v>
      </c>
      <c r="H69" s="447">
        <v>7774.7800000000007</v>
      </c>
      <c r="I69" s="447">
        <v>5340.32</v>
      </c>
      <c r="J69" s="447">
        <v>4728.17</v>
      </c>
      <c r="K69" s="447">
        <v>4643.76</v>
      </c>
      <c r="L69" s="447">
        <v>4847.8099999999995</v>
      </c>
      <c r="M69" s="447">
        <v>4784.4799999999996</v>
      </c>
      <c r="N69" s="447">
        <v>4749.3</v>
      </c>
      <c r="O69" s="447">
        <v>4643.76</v>
      </c>
      <c r="P69" s="447">
        <v>4925.2</v>
      </c>
      <c r="Q69" s="447">
        <v>4868.9100000000008</v>
      </c>
      <c r="R69" s="447">
        <f t="shared" si="33"/>
        <v>62634.450000000004</v>
      </c>
      <c r="S69" s="447"/>
      <c r="T69" s="447">
        <f t="shared" si="34"/>
        <v>38.250000000000007</v>
      </c>
      <c r="U69" s="447">
        <f t="shared" si="34"/>
        <v>42.25</v>
      </c>
      <c r="V69" s="447">
        <f t="shared" si="34"/>
        <v>55.250000000000007</v>
      </c>
      <c r="W69" s="447">
        <f t="shared" si="34"/>
        <v>37.949971574758386</v>
      </c>
      <c r="X69" s="447">
        <f t="shared" si="34"/>
        <v>33.599843661171121</v>
      </c>
      <c r="Y69" s="447">
        <f t="shared" si="34"/>
        <v>33</v>
      </c>
      <c r="Z69" s="447">
        <f t="shared" si="34"/>
        <v>34.450042637862417</v>
      </c>
      <c r="AA69" s="447">
        <f t="shared" si="34"/>
        <v>34</v>
      </c>
      <c r="AB69" s="447">
        <f t="shared" si="34"/>
        <v>33.75</v>
      </c>
      <c r="AC69" s="447">
        <f t="shared" si="34"/>
        <v>33</v>
      </c>
      <c r="AD69" s="447">
        <f t="shared" si="34"/>
        <v>35</v>
      </c>
      <c r="AE69" s="447">
        <f t="shared" si="34"/>
        <v>34.599985787379197</v>
      </c>
      <c r="AF69" s="448">
        <f t="shared" si="35"/>
        <v>445.09984366117112</v>
      </c>
      <c r="AG69" s="449">
        <f t="shared" si="36"/>
        <v>37.091653638430927</v>
      </c>
      <c r="AK69" s="443">
        <v>2</v>
      </c>
      <c r="AL69" s="443">
        <v>1</v>
      </c>
      <c r="AM69" s="450">
        <f t="shared" si="37"/>
        <v>37.091653638430927</v>
      </c>
      <c r="AN69" s="450"/>
      <c r="AO69" s="446">
        <f t="shared" si="38"/>
        <v>146.39420439922506</v>
      </c>
      <c r="AP69" s="450">
        <f t="shared" si="39"/>
        <v>65160.037490996605</v>
      </c>
      <c r="AQ69" s="450">
        <f t="shared" si="40"/>
        <v>2525.5874909966005</v>
      </c>
    </row>
    <row r="70" spans="1:43" s="443" customFormat="1">
      <c r="A70" s="443" t="str">
        <f t="shared" si="32"/>
        <v>Lewis County UTCCommercialRL002.0Y1W001</v>
      </c>
      <c r="B70" s="443">
        <f t="shared" si="14"/>
        <v>1</v>
      </c>
      <c r="C70" s="452" t="s">
        <v>302</v>
      </c>
      <c r="D70" s="445" t="s">
        <v>301</v>
      </c>
      <c r="E70" s="446">
        <v>140.72</v>
      </c>
      <c r="F70" s="447">
        <v>21002.46</v>
      </c>
      <c r="G70" s="447">
        <v>22064.9</v>
      </c>
      <c r="H70" s="447">
        <v>21670.880000000005</v>
      </c>
      <c r="I70" s="447">
        <v>21917.140000000003</v>
      </c>
      <c r="J70" s="447">
        <v>18983.140000000003</v>
      </c>
      <c r="K70" s="447">
        <v>17034.150000000001</v>
      </c>
      <c r="L70" s="447">
        <v>16020.970000000001</v>
      </c>
      <c r="M70" s="447">
        <v>15809.900000000001</v>
      </c>
      <c r="N70" s="447">
        <v>15655.099999999999</v>
      </c>
      <c r="O70" s="447">
        <v>12735.16</v>
      </c>
      <c r="P70" s="447">
        <v>11989.34</v>
      </c>
      <c r="Q70" s="447">
        <v>12242.64</v>
      </c>
      <c r="R70" s="447">
        <f t="shared" si="33"/>
        <v>207125.78000000003</v>
      </c>
      <c r="S70" s="447"/>
      <c r="T70" s="447">
        <f t="shared" si="34"/>
        <v>149.25</v>
      </c>
      <c r="U70" s="447">
        <f t="shared" si="34"/>
        <v>156.80002842524163</v>
      </c>
      <c r="V70" s="447">
        <f t="shared" si="34"/>
        <v>154.00000000000003</v>
      </c>
      <c r="W70" s="447">
        <f t="shared" si="34"/>
        <v>155.75000000000003</v>
      </c>
      <c r="X70" s="447">
        <f t="shared" si="34"/>
        <v>134.90008527572488</v>
      </c>
      <c r="Y70" s="447">
        <f t="shared" si="34"/>
        <v>121.04995736213759</v>
      </c>
      <c r="Z70" s="447">
        <f t="shared" si="34"/>
        <v>113.8499857873792</v>
      </c>
      <c r="AA70" s="447">
        <f t="shared" si="34"/>
        <v>112.35005685048324</v>
      </c>
      <c r="AB70" s="447">
        <f t="shared" si="34"/>
        <v>111.24999999999999</v>
      </c>
      <c r="AC70" s="447">
        <f t="shared" si="34"/>
        <v>90.5</v>
      </c>
      <c r="AD70" s="447">
        <f t="shared" si="34"/>
        <v>85.199971574758393</v>
      </c>
      <c r="AE70" s="447">
        <f t="shared" si="34"/>
        <v>87</v>
      </c>
      <c r="AF70" s="448">
        <f t="shared" si="35"/>
        <v>1471.9000852757249</v>
      </c>
      <c r="AG70" s="449">
        <f t="shared" si="36"/>
        <v>122.65834043964374</v>
      </c>
      <c r="AK70" s="443">
        <v>2</v>
      </c>
      <c r="AL70" s="443">
        <v>1</v>
      </c>
      <c r="AM70" s="450">
        <f t="shared" si="37"/>
        <v>122.65834043964374</v>
      </c>
      <c r="AN70" s="450"/>
      <c r="AO70" s="446">
        <f t="shared" si="38"/>
        <v>146.39420439922506</v>
      </c>
      <c r="AP70" s="450">
        <f t="shared" si="39"/>
        <v>215477.64193909126</v>
      </c>
      <c r="AQ70" s="450">
        <f t="shared" si="40"/>
        <v>8351.8619390912354</v>
      </c>
    </row>
    <row r="71" spans="1:43" s="443" customFormat="1">
      <c r="A71" s="443" t="str">
        <f t="shared" si="32"/>
        <v>Lewis County UTCCommercialRL002.0Y2W001</v>
      </c>
      <c r="B71" s="443">
        <f t="shared" si="14"/>
        <v>1</v>
      </c>
      <c r="C71" s="452" t="s">
        <v>303</v>
      </c>
      <c r="D71" s="445" t="s">
        <v>304</v>
      </c>
      <c r="E71" s="446">
        <v>268.41000000000003</v>
      </c>
      <c r="F71" s="447">
        <v>536.82000000000005</v>
      </c>
      <c r="G71" s="447">
        <v>536.82000000000005</v>
      </c>
      <c r="H71" s="447">
        <v>536.82000000000005</v>
      </c>
      <c r="I71" s="447">
        <v>536.82000000000005</v>
      </c>
      <c r="J71" s="447">
        <v>536.82000000000005</v>
      </c>
      <c r="K71" s="447">
        <v>536.82000000000005</v>
      </c>
      <c r="L71" s="447">
        <v>3519.16</v>
      </c>
      <c r="M71" s="447">
        <v>5099.79</v>
      </c>
      <c r="N71" s="447">
        <v>5099.79</v>
      </c>
      <c r="O71" s="447">
        <v>4145.3900000000003</v>
      </c>
      <c r="P71" s="447">
        <v>805.23</v>
      </c>
      <c r="Q71" s="447">
        <v>811.66000000000008</v>
      </c>
      <c r="R71" s="447">
        <f t="shared" si="33"/>
        <v>22701.94</v>
      </c>
      <c r="S71" s="447"/>
      <c r="T71" s="447">
        <f t="shared" si="34"/>
        <v>2</v>
      </c>
      <c r="U71" s="447">
        <f t="shared" si="34"/>
        <v>2</v>
      </c>
      <c r="V71" s="447">
        <f t="shared" si="34"/>
        <v>2</v>
      </c>
      <c r="W71" s="447">
        <f t="shared" si="34"/>
        <v>2</v>
      </c>
      <c r="X71" s="447">
        <f t="shared" si="34"/>
        <v>2</v>
      </c>
      <c r="Y71" s="447">
        <f t="shared" si="34"/>
        <v>2</v>
      </c>
      <c r="Z71" s="447">
        <f t="shared" si="34"/>
        <v>13.111135948735143</v>
      </c>
      <c r="AA71" s="447">
        <f t="shared" si="34"/>
        <v>18.999999999999996</v>
      </c>
      <c r="AB71" s="447">
        <f t="shared" si="34"/>
        <v>18.999999999999996</v>
      </c>
      <c r="AC71" s="447">
        <f t="shared" si="34"/>
        <v>15.44424574345218</v>
      </c>
      <c r="AD71" s="447">
        <f t="shared" si="34"/>
        <v>3</v>
      </c>
      <c r="AE71" s="447">
        <f t="shared" si="34"/>
        <v>3.0239558883797177</v>
      </c>
      <c r="AF71" s="448">
        <f t="shared" si="35"/>
        <v>84.579337580567042</v>
      </c>
      <c r="AG71" s="449">
        <f t="shared" si="36"/>
        <v>7.0482781317139205</v>
      </c>
      <c r="AK71" s="443">
        <v>2</v>
      </c>
      <c r="AL71" s="443">
        <v>1</v>
      </c>
      <c r="AM71" s="450">
        <f t="shared" si="37"/>
        <v>7.0482781317139205</v>
      </c>
      <c r="AN71" s="450"/>
      <c r="AO71" s="446">
        <f t="shared" si="38"/>
        <v>279.23300456790793</v>
      </c>
      <c r="AP71" s="450">
        <f t="shared" si="39"/>
        <v>23617.342556985102</v>
      </c>
      <c r="AQ71" s="450">
        <f t="shared" si="40"/>
        <v>915.40255698510373</v>
      </c>
    </row>
    <row r="72" spans="1:43" s="443" customFormat="1">
      <c r="A72" s="443" t="str">
        <f t="shared" si="32"/>
        <v>Lewis County UTCCommercialFL002.0Y2W002</v>
      </c>
      <c r="B72" s="443">
        <f t="shared" si="14"/>
        <v>1</v>
      </c>
      <c r="C72" s="452" t="s">
        <v>305</v>
      </c>
      <c r="D72" s="445" t="s">
        <v>306</v>
      </c>
      <c r="E72" s="446">
        <v>536.82000000000005</v>
      </c>
      <c r="F72" s="447">
        <v>536.82000000000005</v>
      </c>
      <c r="G72" s="447">
        <v>536.82000000000005</v>
      </c>
      <c r="H72" s="447">
        <v>536.82000000000005</v>
      </c>
      <c r="I72" s="447">
        <v>536.82000000000005</v>
      </c>
      <c r="J72" s="447">
        <v>536.82000000000005</v>
      </c>
      <c r="K72" s="447">
        <v>536.82000000000005</v>
      </c>
      <c r="L72" s="447">
        <v>536.82000000000005</v>
      </c>
      <c r="M72" s="447">
        <v>536.82000000000005</v>
      </c>
      <c r="N72" s="447">
        <v>536.82000000000005</v>
      </c>
      <c r="O72" s="447">
        <v>536.82000000000005</v>
      </c>
      <c r="P72" s="447">
        <v>536.82000000000005</v>
      </c>
      <c r="Q72" s="447">
        <v>536.82000000000005</v>
      </c>
      <c r="R72" s="447">
        <f t="shared" si="33"/>
        <v>6441.8399999999992</v>
      </c>
      <c r="S72" s="447"/>
      <c r="T72" s="447">
        <f t="shared" si="34"/>
        <v>1</v>
      </c>
      <c r="U72" s="447">
        <f t="shared" si="34"/>
        <v>1</v>
      </c>
      <c r="V72" s="447">
        <f t="shared" si="34"/>
        <v>1</v>
      </c>
      <c r="W72" s="447">
        <f t="shared" si="34"/>
        <v>1</v>
      </c>
      <c r="X72" s="447">
        <f t="shared" si="34"/>
        <v>1</v>
      </c>
      <c r="Y72" s="447">
        <f t="shared" si="34"/>
        <v>1</v>
      </c>
      <c r="Z72" s="447">
        <f t="shared" si="34"/>
        <v>1</v>
      </c>
      <c r="AA72" s="447">
        <f t="shared" si="34"/>
        <v>1</v>
      </c>
      <c r="AB72" s="447">
        <f t="shared" si="34"/>
        <v>1</v>
      </c>
      <c r="AC72" s="447">
        <f t="shared" si="34"/>
        <v>1</v>
      </c>
      <c r="AD72" s="447">
        <f t="shared" si="34"/>
        <v>1</v>
      </c>
      <c r="AE72" s="447">
        <f t="shared" si="34"/>
        <v>1</v>
      </c>
      <c r="AF72" s="448">
        <f t="shared" si="35"/>
        <v>12</v>
      </c>
      <c r="AG72" s="449">
        <f t="shared" si="36"/>
        <v>1</v>
      </c>
      <c r="AK72" s="443">
        <v>2</v>
      </c>
      <c r="AL72" s="443">
        <v>2</v>
      </c>
      <c r="AM72" s="450">
        <f t="shared" si="37"/>
        <v>2</v>
      </c>
      <c r="AN72" s="450"/>
      <c r="AO72" s="446">
        <f t="shared" si="38"/>
        <v>558.46600913581585</v>
      </c>
      <c r="AP72" s="450">
        <f t="shared" si="39"/>
        <v>6701.5921096297898</v>
      </c>
      <c r="AQ72" s="450">
        <f t="shared" si="40"/>
        <v>259.75210962979054</v>
      </c>
    </row>
    <row r="73" spans="1:43" s="443" customFormat="1">
      <c r="A73" s="443" t="str">
        <f t="shared" si="32"/>
        <v>Lewis County UTCCommercialRL002.0Y3W001</v>
      </c>
      <c r="B73" s="443">
        <f t="shared" si="14"/>
        <v>1</v>
      </c>
      <c r="C73" s="452" t="s">
        <v>307</v>
      </c>
      <c r="D73" s="445" t="s">
        <v>308</v>
      </c>
      <c r="E73" s="446">
        <v>396.1</v>
      </c>
      <c r="F73" s="447">
        <v>396.1</v>
      </c>
      <c r="G73" s="447">
        <v>226.34</v>
      </c>
      <c r="H73" s="447">
        <v>0</v>
      </c>
      <c r="I73" s="447">
        <v>0</v>
      </c>
      <c r="J73" s="447">
        <v>0</v>
      </c>
      <c r="K73" s="447">
        <v>0</v>
      </c>
      <c r="L73" s="447">
        <v>0</v>
      </c>
      <c r="M73" s="447">
        <v>0</v>
      </c>
      <c r="N73" s="447">
        <v>0</v>
      </c>
      <c r="O73" s="447">
        <v>0</v>
      </c>
      <c r="P73" s="447">
        <v>0</v>
      </c>
      <c r="Q73" s="447">
        <v>0</v>
      </c>
      <c r="R73" s="447">
        <f t="shared" si="33"/>
        <v>622.44000000000005</v>
      </c>
      <c r="S73" s="447"/>
      <c r="T73" s="447">
        <f t="shared" si="34"/>
        <v>1</v>
      </c>
      <c r="U73" s="447">
        <f t="shared" si="34"/>
        <v>0.57142135824286799</v>
      </c>
      <c r="V73" s="447">
        <f t="shared" si="34"/>
        <v>0</v>
      </c>
      <c r="W73" s="447">
        <f t="shared" si="34"/>
        <v>0</v>
      </c>
      <c r="X73" s="447">
        <f t="shared" si="34"/>
        <v>0</v>
      </c>
      <c r="Y73" s="447">
        <f t="shared" si="34"/>
        <v>0</v>
      </c>
      <c r="Z73" s="447">
        <f t="shared" si="34"/>
        <v>0</v>
      </c>
      <c r="AA73" s="447">
        <f t="shared" si="34"/>
        <v>0</v>
      </c>
      <c r="AB73" s="447">
        <f t="shared" si="34"/>
        <v>0</v>
      </c>
      <c r="AC73" s="447">
        <f t="shared" si="34"/>
        <v>0</v>
      </c>
      <c r="AD73" s="447">
        <f t="shared" si="34"/>
        <v>0</v>
      </c>
      <c r="AE73" s="447">
        <f t="shared" si="34"/>
        <v>0</v>
      </c>
      <c r="AF73" s="448">
        <f t="shared" si="35"/>
        <v>1.571421358242868</v>
      </c>
      <c r="AG73" s="449">
        <f t="shared" si="36"/>
        <v>0.13095177985357234</v>
      </c>
      <c r="AK73" s="443">
        <v>2</v>
      </c>
      <c r="AL73" s="443">
        <v>1</v>
      </c>
      <c r="AM73" s="450">
        <f t="shared" si="37"/>
        <v>0.13095177985357234</v>
      </c>
      <c r="AN73" s="450"/>
      <c r="AO73" s="446">
        <f t="shared" si="38"/>
        <v>412.07180473659076</v>
      </c>
      <c r="AP73" s="450">
        <f t="shared" si="39"/>
        <v>647.53843509276339</v>
      </c>
      <c r="AQ73" s="450">
        <f t="shared" si="40"/>
        <v>25.098435092763339</v>
      </c>
    </row>
    <row r="74" spans="1:43" s="443" customFormat="1">
      <c r="A74" s="443" t="str">
        <f t="shared" si="32"/>
        <v>Lewis County UTCCommercialFL002.0YEO001</v>
      </c>
      <c r="B74" s="443">
        <f t="shared" si="14"/>
        <v>1</v>
      </c>
      <c r="C74" s="452" t="s">
        <v>309</v>
      </c>
      <c r="D74" s="445" t="s">
        <v>310</v>
      </c>
      <c r="E74" s="446">
        <v>77.02</v>
      </c>
      <c r="F74" s="447">
        <v>3619.94</v>
      </c>
      <c r="G74" s="447">
        <v>3619.94</v>
      </c>
      <c r="H74" s="447">
        <v>2734.21</v>
      </c>
      <c r="I74" s="447">
        <v>3773.98</v>
      </c>
      <c r="J74" s="447">
        <v>3696.96</v>
      </c>
      <c r="K74" s="447">
        <v>3851</v>
      </c>
      <c r="L74" s="447">
        <v>2849.74</v>
      </c>
      <c r="M74" s="447">
        <v>2682.86</v>
      </c>
      <c r="N74" s="447">
        <v>2849.74</v>
      </c>
      <c r="O74" s="447">
        <v>3106.43</v>
      </c>
      <c r="P74" s="447">
        <v>3851</v>
      </c>
      <c r="Q74" s="447">
        <v>3735.47</v>
      </c>
      <c r="R74" s="447">
        <f t="shared" si="33"/>
        <v>40371.269999999997</v>
      </c>
      <c r="S74" s="447"/>
      <c r="T74" s="447">
        <f t="shared" si="34"/>
        <v>47</v>
      </c>
      <c r="U74" s="447">
        <f t="shared" si="34"/>
        <v>47</v>
      </c>
      <c r="V74" s="447">
        <f t="shared" si="34"/>
        <v>35.5</v>
      </c>
      <c r="W74" s="447">
        <f t="shared" si="34"/>
        <v>49</v>
      </c>
      <c r="X74" s="447">
        <f t="shared" si="34"/>
        <v>48</v>
      </c>
      <c r="Y74" s="447">
        <f t="shared" si="34"/>
        <v>50</v>
      </c>
      <c r="Z74" s="447">
        <f t="shared" si="34"/>
        <v>37</v>
      </c>
      <c r="AA74" s="447">
        <f t="shared" si="34"/>
        <v>34.833290054531297</v>
      </c>
      <c r="AB74" s="447">
        <f t="shared" si="34"/>
        <v>37</v>
      </c>
      <c r="AC74" s="447">
        <f t="shared" si="34"/>
        <v>40.332770708906779</v>
      </c>
      <c r="AD74" s="447">
        <f t="shared" si="34"/>
        <v>50</v>
      </c>
      <c r="AE74" s="447">
        <f t="shared" si="34"/>
        <v>48.5</v>
      </c>
      <c r="AF74" s="448">
        <f t="shared" si="35"/>
        <v>524.16606076343805</v>
      </c>
      <c r="AG74" s="449">
        <f t="shared" si="36"/>
        <v>43.68050506361984</v>
      </c>
      <c r="AK74" s="443">
        <v>2</v>
      </c>
      <c r="AL74" s="443">
        <v>1</v>
      </c>
      <c r="AM74" s="450">
        <f t="shared" si="37"/>
        <v>43.68050506361984</v>
      </c>
      <c r="AN74" s="450"/>
      <c r="AO74" s="446">
        <f t="shared" si="38"/>
        <v>80.125651100258068</v>
      </c>
      <c r="AP74" s="450">
        <f t="shared" si="39"/>
        <v>41999.146903327906</v>
      </c>
      <c r="AQ74" s="450">
        <f t="shared" si="40"/>
        <v>1627.8769033279095</v>
      </c>
    </row>
    <row r="75" spans="1:43" s="443" customFormat="1">
      <c r="A75" s="443" t="str">
        <f t="shared" si="32"/>
        <v>Lewis County UTCCommercialRL002.0YEO001</v>
      </c>
      <c r="B75" s="443">
        <f t="shared" si="14"/>
        <v>1</v>
      </c>
      <c r="C75" s="452" t="s">
        <v>311</v>
      </c>
      <c r="D75" s="445" t="s">
        <v>310</v>
      </c>
      <c r="E75" s="446">
        <v>77.02</v>
      </c>
      <c r="F75" s="447">
        <v>7487.46</v>
      </c>
      <c r="G75" s="447">
        <v>7779.02</v>
      </c>
      <c r="H75" s="447">
        <v>7612.14</v>
      </c>
      <c r="I75" s="447">
        <v>7702</v>
      </c>
      <c r="J75" s="447">
        <v>8087.1</v>
      </c>
      <c r="K75" s="447">
        <v>8189.7900000000009</v>
      </c>
      <c r="L75" s="447">
        <v>7700.07</v>
      </c>
      <c r="M75" s="447">
        <v>8626.24</v>
      </c>
      <c r="N75" s="447">
        <v>9203.89</v>
      </c>
      <c r="O75" s="447">
        <v>8818.7900000000009</v>
      </c>
      <c r="P75" s="447">
        <v>8921.48</v>
      </c>
      <c r="Q75" s="447">
        <v>9229.5600000000013</v>
      </c>
      <c r="R75" s="447">
        <f t="shared" si="33"/>
        <v>99357.54</v>
      </c>
      <c r="S75" s="447"/>
      <c r="T75" s="447">
        <f t="shared" si="34"/>
        <v>97.214489742923917</v>
      </c>
      <c r="U75" s="447">
        <f t="shared" si="34"/>
        <v>101.00000000000001</v>
      </c>
      <c r="V75" s="447">
        <f t="shared" si="34"/>
        <v>98.833290054531304</v>
      </c>
      <c r="W75" s="447">
        <f t="shared" si="34"/>
        <v>100</v>
      </c>
      <c r="X75" s="447">
        <f t="shared" si="34"/>
        <v>105.00000000000001</v>
      </c>
      <c r="Y75" s="447">
        <f t="shared" si="34"/>
        <v>106.3332900545313</v>
      </c>
      <c r="Z75" s="447">
        <f t="shared" si="34"/>
        <v>99.974941573617244</v>
      </c>
      <c r="AA75" s="447">
        <f t="shared" si="34"/>
        <v>112</v>
      </c>
      <c r="AB75" s="447">
        <f t="shared" si="34"/>
        <v>119.5</v>
      </c>
      <c r="AC75" s="447">
        <f t="shared" si="34"/>
        <v>114.50000000000001</v>
      </c>
      <c r="AD75" s="447">
        <f t="shared" si="34"/>
        <v>115.83329005453129</v>
      </c>
      <c r="AE75" s="447">
        <f t="shared" si="34"/>
        <v>119.83329005453132</v>
      </c>
      <c r="AF75" s="448">
        <f t="shared" si="35"/>
        <v>1290.0225915346664</v>
      </c>
      <c r="AG75" s="449">
        <f t="shared" si="36"/>
        <v>107.50188262788886</v>
      </c>
      <c r="AK75" s="443">
        <v>2</v>
      </c>
      <c r="AL75" s="443">
        <v>1</v>
      </c>
      <c r="AM75" s="450">
        <f t="shared" si="37"/>
        <v>107.50188262788886</v>
      </c>
      <c r="AN75" s="450"/>
      <c r="AO75" s="446">
        <f t="shared" si="38"/>
        <v>80.125651100258068</v>
      </c>
      <c r="AP75" s="450">
        <f t="shared" si="39"/>
        <v>103363.9000807574</v>
      </c>
      <c r="AQ75" s="450">
        <f t="shared" si="40"/>
        <v>4006.3600807574112</v>
      </c>
    </row>
    <row r="76" spans="1:43" s="443" customFormat="1">
      <c r="A76" s="443" t="str">
        <f t="shared" si="32"/>
        <v>Lewis County UTCCommercialFL003.0Y1W001</v>
      </c>
      <c r="B76" s="443">
        <f t="shared" si="14"/>
        <v>1</v>
      </c>
      <c r="C76" s="452" t="s">
        <v>312</v>
      </c>
      <c r="D76" s="445" t="s">
        <v>313</v>
      </c>
      <c r="E76" s="446">
        <v>201.96</v>
      </c>
      <c r="F76" s="447">
        <v>8229.869999999999</v>
      </c>
      <c r="G76" s="447">
        <v>8583.2999999999993</v>
      </c>
      <c r="H76" s="447">
        <v>8734.77</v>
      </c>
      <c r="I76" s="447">
        <v>8886.24</v>
      </c>
      <c r="J76" s="447">
        <v>8553.01</v>
      </c>
      <c r="K76" s="447">
        <v>7775.46</v>
      </c>
      <c r="L76" s="447">
        <v>7573.5</v>
      </c>
      <c r="M76" s="447">
        <v>7270.56</v>
      </c>
      <c r="N76" s="447">
        <v>7270.56</v>
      </c>
      <c r="O76" s="447">
        <v>7321.05</v>
      </c>
      <c r="P76" s="447">
        <v>7310.96</v>
      </c>
      <c r="Q76" s="447">
        <v>7270.56</v>
      </c>
      <c r="R76" s="447">
        <f t="shared" si="33"/>
        <v>94779.840000000011</v>
      </c>
      <c r="S76" s="447"/>
      <c r="T76" s="447">
        <f t="shared" si="34"/>
        <v>40.749999999999993</v>
      </c>
      <c r="U76" s="447">
        <f t="shared" si="34"/>
        <v>42.499999999999993</v>
      </c>
      <c r="V76" s="447">
        <f t="shared" si="34"/>
        <v>43.25</v>
      </c>
      <c r="W76" s="447">
        <f t="shared" si="34"/>
        <v>44</v>
      </c>
      <c r="X76" s="447">
        <f t="shared" si="34"/>
        <v>42.350019805902157</v>
      </c>
      <c r="Y76" s="447">
        <f t="shared" si="34"/>
        <v>38.5</v>
      </c>
      <c r="Z76" s="447">
        <f t="shared" si="34"/>
        <v>37.5</v>
      </c>
      <c r="AA76" s="447">
        <f t="shared" si="34"/>
        <v>36</v>
      </c>
      <c r="AB76" s="447">
        <f t="shared" si="34"/>
        <v>36</v>
      </c>
      <c r="AC76" s="447">
        <f t="shared" si="34"/>
        <v>36.25</v>
      </c>
      <c r="AD76" s="447">
        <f t="shared" si="34"/>
        <v>36.200039611804314</v>
      </c>
      <c r="AE76" s="447">
        <f t="shared" si="34"/>
        <v>36</v>
      </c>
      <c r="AF76" s="448">
        <f t="shared" si="35"/>
        <v>469.30005941770645</v>
      </c>
      <c r="AG76" s="449">
        <f t="shared" si="36"/>
        <v>39.108338284808873</v>
      </c>
      <c r="AK76" s="443">
        <v>3</v>
      </c>
      <c r="AL76" s="443">
        <v>1</v>
      </c>
      <c r="AM76" s="450">
        <f t="shared" si="37"/>
        <v>39.108338284808873</v>
      </c>
      <c r="AN76" s="450"/>
      <c r="AO76" s="446">
        <f t="shared" si="38"/>
        <v>210.10356396011582</v>
      </c>
      <c r="AP76" s="450">
        <f t="shared" si="39"/>
        <v>98601.615050354259</v>
      </c>
      <c r="AQ76" s="450">
        <f t="shared" si="40"/>
        <v>3821.7750503542484</v>
      </c>
    </row>
    <row r="77" spans="1:43" s="443" customFormat="1">
      <c r="A77" s="443" t="str">
        <f t="shared" si="32"/>
        <v>Lewis County UTCCommercialFL003.0Y2W001</v>
      </c>
      <c r="B77" s="443">
        <f t="shared" si="14"/>
        <v>1</v>
      </c>
      <c r="C77" s="452" t="s">
        <v>314</v>
      </c>
      <c r="D77" s="445" t="s">
        <v>315</v>
      </c>
      <c r="E77" s="446">
        <v>388.41</v>
      </c>
      <c r="F77" s="447">
        <v>582.62</v>
      </c>
      <c r="G77" s="447">
        <v>388.41</v>
      </c>
      <c r="H77" s="447">
        <v>388.41</v>
      </c>
      <c r="I77" s="447">
        <v>388.41</v>
      </c>
      <c r="J77" s="447">
        <v>388.41</v>
      </c>
      <c r="K77" s="447">
        <v>388.41</v>
      </c>
      <c r="L77" s="447">
        <v>388.41</v>
      </c>
      <c r="M77" s="447">
        <v>388.41</v>
      </c>
      <c r="N77" s="447">
        <v>388.41</v>
      </c>
      <c r="O77" s="447">
        <v>388.41</v>
      </c>
      <c r="P77" s="447">
        <v>728.27</v>
      </c>
      <c r="Q77" s="447">
        <v>388.41</v>
      </c>
      <c r="R77" s="447">
        <f t="shared" si="33"/>
        <v>5194.99</v>
      </c>
      <c r="S77" s="447"/>
      <c r="T77" s="447">
        <f t="shared" si="34"/>
        <v>1.5000128729950308</v>
      </c>
      <c r="U77" s="447">
        <f t="shared" si="34"/>
        <v>1</v>
      </c>
      <c r="V77" s="447">
        <f t="shared" si="34"/>
        <v>1</v>
      </c>
      <c r="W77" s="447">
        <f t="shared" si="34"/>
        <v>1</v>
      </c>
      <c r="X77" s="447">
        <f t="shared" si="34"/>
        <v>1</v>
      </c>
      <c r="Y77" s="447">
        <f t="shared" si="34"/>
        <v>1</v>
      </c>
      <c r="Z77" s="447">
        <f t="shared" si="34"/>
        <v>1</v>
      </c>
      <c r="AA77" s="447">
        <f t="shared" si="34"/>
        <v>1</v>
      </c>
      <c r="AB77" s="447">
        <f t="shared" si="34"/>
        <v>1</v>
      </c>
      <c r="AC77" s="447">
        <f t="shared" si="34"/>
        <v>1</v>
      </c>
      <c r="AD77" s="447">
        <f t="shared" si="34"/>
        <v>1.8750032182487575</v>
      </c>
      <c r="AE77" s="447">
        <f t="shared" si="34"/>
        <v>1</v>
      </c>
      <c r="AF77" s="448">
        <f t="shared" si="35"/>
        <v>13.375016091243788</v>
      </c>
      <c r="AG77" s="449">
        <f t="shared" si="36"/>
        <v>1.1145846742703156</v>
      </c>
      <c r="AK77" s="443">
        <v>3</v>
      </c>
      <c r="AL77" s="443">
        <v>1</v>
      </c>
      <c r="AM77" s="450">
        <f t="shared" si="37"/>
        <v>1.1145846742703156</v>
      </c>
      <c r="AN77" s="450"/>
      <c r="AO77" s="446">
        <f t="shared" si="38"/>
        <v>404.07172349845803</v>
      </c>
      <c r="AP77" s="450">
        <f t="shared" si="39"/>
        <v>5404.4658038084863</v>
      </c>
      <c r="AQ77" s="450">
        <f t="shared" si="40"/>
        <v>209.47580380848649</v>
      </c>
    </row>
    <row r="78" spans="1:43" s="443" customFormat="1">
      <c r="A78" s="443" t="str">
        <f t="shared" si="32"/>
        <v>Lewis County UTCCommercialFL003.0Y4W001</v>
      </c>
      <c r="B78" s="443">
        <f t="shared" si="14"/>
        <v>1</v>
      </c>
      <c r="C78" s="452" t="s">
        <v>316</v>
      </c>
      <c r="D78" s="445" t="s">
        <v>317</v>
      </c>
      <c r="E78" s="446">
        <v>761.31</v>
      </c>
      <c r="F78" s="447">
        <v>761.31</v>
      </c>
      <c r="G78" s="447">
        <v>761.31</v>
      </c>
      <c r="H78" s="447">
        <v>761.31</v>
      </c>
      <c r="I78" s="447">
        <v>761.31</v>
      </c>
      <c r="J78" s="447">
        <v>761.31</v>
      </c>
      <c r="K78" s="447">
        <v>761.31</v>
      </c>
      <c r="L78" s="447">
        <v>761.31</v>
      </c>
      <c r="M78" s="447">
        <v>761.31</v>
      </c>
      <c r="N78" s="447">
        <v>761.31</v>
      </c>
      <c r="O78" s="447">
        <v>761.31</v>
      </c>
      <c r="P78" s="447">
        <v>761.31</v>
      </c>
      <c r="Q78" s="447">
        <v>761.31</v>
      </c>
      <c r="R78" s="447">
        <f t="shared" si="33"/>
        <v>9135.7199999999975</v>
      </c>
      <c r="S78" s="447"/>
      <c r="T78" s="447">
        <f t="shared" si="34"/>
        <v>1</v>
      </c>
      <c r="U78" s="447">
        <f t="shared" si="34"/>
        <v>1</v>
      </c>
      <c r="V78" s="447">
        <f t="shared" si="34"/>
        <v>1</v>
      </c>
      <c r="W78" s="447">
        <f t="shared" si="34"/>
        <v>1</v>
      </c>
      <c r="X78" s="447">
        <f t="shared" si="34"/>
        <v>1</v>
      </c>
      <c r="Y78" s="447">
        <f t="shared" si="34"/>
        <v>1</v>
      </c>
      <c r="Z78" s="447">
        <f t="shared" si="34"/>
        <v>1</v>
      </c>
      <c r="AA78" s="447">
        <f t="shared" si="34"/>
        <v>1</v>
      </c>
      <c r="AB78" s="447">
        <f t="shared" si="34"/>
        <v>1</v>
      </c>
      <c r="AC78" s="447">
        <f t="shared" si="34"/>
        <v>1</v>
      </c>
      <c r="AD78" s="447">
        <f t="shared" si="34"/>
        <v>1</v>
      </c>
      <c r="AE78" s="447">
        <f t="shared" si="34"/>
        <v>1</v>
      </c>
      <c r="AF78" s="448">
        <f t="shared" si="35"/>
        <v>12</v>
      </c>
      <c r="AG78" s="449">
        <f t="shared" si="36"/>
        <v>1</v>
      </c>
      <c r="AK78" s="443">
        <v>3</v>
      </c>
      <c r="AL78" s="443">
        <v>1</v>
      </c>
      <c r="AM78" s="450">
        <f t="shared" si="37"/>
        <v>1</v>
      </c>
      <c r="AN78" s="450"/>
      <c r="AO78" s="446">
        <f t="shared" si="38"/>
        <v>792.00804257514233</v>
      </c>
      <c r="AP78" s="450">
        <f t="shared" si="39"/>
        <v>9504.0965109017088</v>
      </c>
      <c r="AQ78" s="450">
        <f t="shared" si="40"/>
        <v>368.3765109017113</v>
      </c>
    </row>
    <row r="79" spans="1:43" s="443" customFormat="1">
      <c r="A79" s="443" t="str">
        <f t="shared" si="32"/>
        <v>Lewis County UTCCommercialFL003.0YEO001</v>
      </c>
      <c r="B79" s="443">
        <f t="shared" si="14"/>
        <v>1</v>
      </c>
      <c r="C79" s="452" t="s">
        <v>318</v>
      </c>
      <c r="D79" s="445" t="s">
        <v>319</v>
      </c>
      <c r="E79" s="446">
        <v>108.95</v>
      </c>
      <c r="F79" s="447">
        <v>1961.1</v>
      </c>
      <c r="G79" s="447">
        <v>1961.1</v>
      </c>
      <c r="H79" s="447">
        <v>1961.1</v>
      </c>
      <c r="I79" s="447">
        <v>1743.1999999999998</v>
      </c>
      <c r="J79" s="447">
        <v>1997.42</v>
      </c>
      <c r="K79" s="447">
        <v>2070.06</v>
      </c>
      <c r="L79" s="447">
        <v>2233.48</v>
      </c>
      <c r="M79" s="447">
        <v>2396.91</v>
      </c>
      <c r="N79" s="447">
        <v>2396.9</v>
      </c>
      <c r="O79" s="447">
        <v>2287.9499999999998</v>
      </c>
      <c r="P79" s="447">
        <v>2560.33</v>
      </c>
      <c r="Q79" s="447">
        <v>2669.28</v>
      </c>
      <c r="R79" s="447">
        <f t="shared" si="33"/>
        <v>26238.829999999994</v>
      </c>
      <c r="S79" s="447"/>
      <c r="T79" s="447">
        <f t="shared" si="34"/>
        <v>18</v>
      </c>
      <c r="U79" s="447">
        <f t="shared" si="34"/>
        <v>18</v>
      </c>
      <c r="V79" s="447">
        <f t="shared" si="34"/>
        <v>18</v>
      </c>
      <c r="W79" s="447">
        <f t="shared" si="34"/>
        <v>15.999999999999998</v>
      </c>
      <c r="X79" s="447">
        <f t="shared" si="34"/>
        <v>18.333363928407525</v>
      </c>
      <c r="Y79" s="447">
        <f t="shared" si="34"/>
        <v>19.00009178522258</v>
      </c>
      <c r="Z79" s="447">
        <f t="shared" si="34"/>
        <v>20.50004589261129</v>
      </c>
      <c r="AA79" s="447">
        <f t="shared" si="34"/>
        <v>22.000091785222576</v>
      </c>
      <c r="AB79" s="447">
        <f t="shared" si="34"/>
        <v>22</v>
      </c>
      <c r="AC79" s="447">
        <f t="shared" si="34"/>
        <v>20.999999999999996</v>
      </c>
      <c r="AD79" s="447">
        <f t="shared" si="34"/>
        <v>23.50004589261129</v>
      </c>
      <c r="AE79" s="447">
        <f t="shared" si="34"/>
        <v>24.50004589261129</v>
      </c>
      <c r="AF79" s="448">
        <f t="shared" si="35"/>
        <v>240.83368517668654</v>
      </c>
      <c r="AG79" s="449">
        <f t="shared" si="36"/>
        <v>20.069473764723877</v>
      </c>
      <c r="AK79" s="443">
        <v>3</v>
      </c>
      <c r="AL79" s="443">
        <v>1</v>
      </c>
      <c r="AM79" s="450">
        <f t="shared" si="37"/>
        <v>20.069473764723877</v>
      </c>
      <c r="AN79" s="450"/>
      <c r="AO79" s="446">
        <f t="shared" si="38"/>
        <v>113.34315356236193</v>
      </c>
      <c r="AP79" s="450">
        <f t="shared" si="39"/>
        <v>27296.849361970708</v>
      </c>
      <c r="AQ79" s="450">
        <f t="shared" si="40"/>
        <v>1058.0193619707134</v>
      </c>
    </row>
    <row r="80" spans="1:43" s="443" customFormat="1">
      <c r="A80" s="443" t="str">
        <f t="shared" si="32"/>
        <v>Lewis County UTCCommercialFL004.0Y1W001</v>
      </c>
      <c r="B80" s="443">
        <f t="shared" si="14"/>
        <v>1</v>
      </c>
      <c r="C80" s="452" t="s">
        <v>320</v>
      </c>
      <c r="D80" s="445" t="s">
        <v>321</v>
      </c>
      <c r="E80" s="446">
        <v>240.77</v>
      </c>
      <c r="F80" s="447">
        <v>13904.480000000001</v>
      </c>
      <c r="G80" s="447">
        <v>13531.27</v>
      </c>
      <c r="H80" s="447">
        <v>13784.080000000002</v>
      </c>
      <c r="I80" s="447">
        <v>12772.850000000002</v>
      </c>
      <c r="J80" s="447">
        <v>11942.230000000003</v>
      </c>
      <c r="K80" s="447">
        <v>12038.500000000002</v>
      </c>
      <c r="L80" s="447">
        <v>11725.51</v>
      </c>
      <c r="M80" s="447">
        <v>11653.27</v>
      </c>
      <c r="N80" s="447">
        <v>11436.57</v>
      </c>
      <c r="O80" s="447">
        <v>11292.119999999999</v>
      </c>
      <c r="P80" s="447">
        <v>10148.460000000001</v>
      </c>
      <c r="Q80" s="447">
        <v>10762.41</v>
      </c>
      <c r="R80" s="447">
        <f t="shared" si="33"/>
        <v>144991.75</v>
      </c>
      <c r="S80" s="447"/>
      <c r="T80" s="447">
        <f t="shared" si="34"/>
        <v>57.750051916767042</v>
      </c>
      <c r="U80" s="447">
        <f t="shared" si="34"/>
        <v>56.19998338663455</v>
      </c>
      <c r="V80" s="447">
        <f t="shared" si="34"/>
        <v>57.249989616646594</v>
      </c>
      <c r="W80" s="447">
        <f t="shared" si="34"/>
        <v>53.050006230012052</v>
      </c>
      <c r="X80" s="447">
        <f t="shared" si="34"/>
        <v>49.60015782697181</v>
      </c>
      <c r="Y80" s="447">
        <f t="shared" si="34"/>
        <v>50.000000000000007</v>
      </c>
      <c r="Z80" s="447">
        <f t="shared" si="34"/>
        <v>48.70004568675499</v>
      </c>
      <c r="AA80" s="447">
        <f t="shared" si="34"/>
        <v>48.400008306682729</v>
      </c>
      <c r="AB80" s="447">
        <f t="shared" si="34"/>
        <v>47.499979233293182</v>
      </c>
      <c r="AC80" s="447">
        <f t="shared" si="34"/>
        <v>46.900029073389533</v>
      </c>
      <c r="AD80" s="447">
        <f t="shared" si="34"/>
        <v>42.150018690036134</v>
      </c>
      <c r="AE80" s="447">
        <f t="shared" si="34"/>
        <v>44.699962619927732</v>
      </c>
      <c r="AF80" s="448">
        <f t="shared" si="35"/>
        <v>602.20023258711637</v>
      </c>
      <c r="AG80" s="449">
        <f t="shared" si="36"/>
        <v>50.183352715593031</v>
      </c>
      <c r="AK80" s="443">
        <v>4</v>
      </c>
      <c r="AL80" s="443">
        <v>1</v>
      </c>
      <c r="AM80" s="450">
        <f t="shared" si="37"/>
        <v>50.183352715593031</v>
      </c>
      <c r="AN80" s="450"/>
      <c r="AO80" s="446">
        <f t="shared" si="38"/>
        <v>250.47848630757122</v>
      </c>
      <c r="AP80" s="450">
        <f t="shared" si="39"/>
        <v>150838.20271248824</v>
      </c>
      <c r="AQ80" s="450">
        <f t="shared" si="40"/>
        <v>5846.4527124882443</v>
      </c>
    </row>
    <row r="81" spans="1:43" s="443" customFormat="1">
      <c r="A81" s="443" t="str">
        <f t="shared" si="32"/>
        <v>Lewis County UTCCommercialFL004.0Y2W001</v>
      </c>
      <c r="B81" s="443">
        <f t="shared" si="14"/>
        <v>1</v>
      </c>
      <c r="C81" s="452" t="s">
        <v>322</v>
      </c>
      <c r="D81" s="445" t="s">
        <v>323</v>
      </c>
      <c r="E81" s="446">
        <v>464.81</v>
      </c>
      <c r="F81" s="447">
        <v>1859.25</v>
      </c>
      <c r="G81" s="447">
        <v>2220.7600000000002</v>
      </c>
      <c r="H81" s="447">
        <v>2169.11</v>
      </c>
      <c r="I81" s="447">
        <v>3770.13</v>
      </c>
      <c r="J81" s="447">
        <v>2149.75</v>
      </c>
      <c r="K81" s="447">
        <v>1394.43</v>
      </c>
      <c r="L81" s="447">
        <v>1394.43</v>
      </c>
      <c r="M81" s="447">
        <v>1394.43</v>
      </c>
      <c r="N81" s="447">
        <v>1394.43</v>
      </c>
      <c r="O81" s="447">
        <v>1187.8499999999999</v>
      </c>
      <c r="P81" s="447">
        <v>929.62</v>
      </c>
      <c r="Q81" s="447">
        <v>1252.42</v>
      </c>
      <c r="R81" s="447">
        <f t="shared" si="33"/>
        <v>21116.61</v>
      </c>
      <c r="S81" s="447"/>
      <c r="T81" s="447">
        <f t="shared" si="34"/>
        <v>4.000021514167079</v>
      </c>
      <c r="U81" s="447">
        <f t="shared" si="34"/>
        <v>4.7777801682407874</v>
      </c>
      <c r="V81" s="447">
        <f t="shared" si="34"/>
        <v>4.6666594952776403</v>
      </c>
      <c r="W81" s="447">
        <f t="shared" ref="W81:AE109" si="41">IFERROR(I81/$E81,0)</f>
        <v>8.1111206729631462</v>
      </c>
      <c r="X81" s="447">
        <f t="shared" si="41"/>
        <v>4.6250080678126544</v>
      </c>
      <c r="Y81" s="447">
        <f t="shared" si="41"/>
        <v>3</v>
      </c>
      <c r="Z81" s="447">
        <f t="shared" si="41"/>
        <v>3</v>
      </c>
      <c r="AA81" s="447">
        <f t="shared" si="41"/>
        <v>3</v>
      </c>
      <c r="AB81" s="447">
        <f t="shared" si="41"/>
        <v>3</v>
      </c>
      <c r="AC81" s="447">
        <f t="shared" si="41"/>
        <v>2.5555603364815731</v>
      </c>
      <c r="AD81" s="447">
        <f t="shared" si="41"/>
        <v>2</v>
      </c>
      <c r="AE81" s="447">
        <f t="shared" si="41"/>
        <v>2.6944773133108155</v>
      </c>
      <c r="AF81" s="448">
        <f t="shared" si="35"/>
        <v>45.430627568253698</v>
      </c>
      <c r="AG81" s="449">
        <f t="shared" si="36"/>
        <v>3.7858856306878081</v>
      </c>
      <c r="AK81" s="443">
        <v>4</v>
      </c>
      <c r="AL81" s="443">
        <v>1</v>
      </c>
      <c r="AM81" s="450">
        <f t="shared" si="37"/>
        <v>3.7858856306878081</v>
      </c>
      <c r="AN81" s="450"/>
      <c r="AO81" s="446">
        <f t="shared" si="38"/>
        <v>483.55237455090821</v>
      </c>
      <c r="AP81" s="450">
        <f t="shared" si="39"/>
        <v>21968.087837967028</v>
      </c>
      <c r="AQ81" s="450">
        <f t="shared" si="40"/>
        <v>851.47783796702788</v>
      </c>
    </row>
    <row r="82" spans="1:43" s="443" customFormat="1">
      <c r="A82" s="443" t="str">
        <f t="shared" si="32"/>
        <v>Lewis County UTCCommercialFL004.0Y2W002</v>
      </c>
      <c r="B82" s="443">
        <f t="shared" si="14"/>
        <v>1</v>
      </c>
      <c r="C82" s="452" t="s">
        <v>324</v>
      </c>
      <c r="D82" s="445" t="s">
        <v>325</v>
      </c>
      <c r="E82" s="446">
        <v>929.62</v>
      </c>
      <c r="F82" s="447">
        <v>929.62</v>
      </c>
      <c r="G82" s="447">
        <v>1342.78</v>
      </c>
      <c r="H82" s="447">
        <v>2788.86</v>
      </c>
      <c r="I82" s="447">
        <v>2788.86</v>
      </c>
      <c r="J82" s="447">
        <v>2091.64</v>
      </c>
      <c r="K82" s="447">
        <v>929.62</v>
      </c>
      <c r="L82" s="447">
        <v>723.04</v>
      </c>
      <c r="M82" s="447">
        <v>929.62</v>
      </c>
      <c r="N82" s="447">
        <v>929.62</v>
      </c>
      <c r="O82" s="447">
        <v>929.62</v>
      </c>
      <c r="P82" s="447">
        <v>929.62</v>
      </c>
      <c r="Q82" s="447">
        <v>929.62</v>
      </c>
      <c r="R82" s="447">
        <f t="shared" si="33"/>
        <v>16242.520000000006</v>
      </c>
      <c r="S82" s="447"/>
      <c r="T82" s="447">
        <f t="shared" ref="T82:Y113" si="42">IFERROR(F82/$E82,0)</f>
        <v>1</v>
      </c>
      <c r="U82" s="447">
        <f t="shared" si="42"/>
        <v>1.4444396635184269</v>
      </c>
      <c r="V82" s="447">
        <f t="shared" si="42"/>
        <v>3</v>
      </c>
      <c r="W82" s="447">
        <f t="shared" si="41"/>
        <v>3</v>
      </c>
      <c r="X82" s="447">
        <f t="shared" si="41"/>
        <v>2.2499946214582303</v>
      </c>
      <c r="Y82" s="447">
        <f t="shared" si="41"/>
        <v>1</v>
      </c>
      <c r="Z82" s="447">
        <f t="shared" si="41"/>
        <v>0.77778016824078655</v>
      </c>
      <c r="AA82" s="447">
        <f t="shared" si="41"/>
        <v>1</v>
      </c>
      <c r="AB82" s="447">
        <f t="shared" si="41"/>
        <v>1</v>
      </c>
      <c r="AC82" s="447">
        <f t="shared" si="41"/>
        <v>1</v>
      </c>
      <c r="AD82" s="447">
        <f t="shared" si="41"/>
        <v>1</v>
      </c>
      <c r="AE82" s="447">
        <f t="shared" si="41"/>
        <v>1</v>
      </c>
      <c r="AF82" s="448">
        <f t="shared" si="35"/>
        <v>17.472214453217443</v>
      </c>
      <c r="AG82" s="449">
        <f t="shared" si="36"/>
        <v>1.4560178711014535</v>
      </c>
      <c r="AK82" s="443">
        <v>4</v>
      </c>
      <c r="AL82" s="443">
        <v>2</v>
      </c>
      <c r="AM82" s="450">
        <f t="shared" si="37"/>
        <v>2.9120357422029071</v>
      </c>
      <c r="AN82" s="450"/>
      <c r="AO82" s="446">
        <f t="shared" si="38"/>
        <v>967.10474910181642</v>
      </c>
      <c r="AP82" s="450">
        <f t="shared" si="39"/>
        <v>16897.461575031986</v>
      </c>
      <c r="AQ82" s="450">
        <f t="shared" si="40"/>
        <v>654.94157503198039</v>
      </c>
    </row>
    <row r="83" spans="1:43" s="443" customFormat="1">
      <c r="A83" s="443" t="str">
        <f t="shared" si="32"/>
        <v>Lewis County UTCCommercialFL004.0YEO001</v>
      </c>
      <c r="B83" s="443">
        <f t="shared" si="14"/>
        <v>1</v>
      </c>
      <c r="C83" s="452" t="s">
        <v>326</v>
      </c>
      <c r="D83" s="445" t="s">
        <v>327</v>
      </c>
      <c r="E83" s="446">
        <v>129.02000000000001</v>
      </c>
      <c r="F83" s="447">
        <v>4386.68</v>
      </c>
      <c r="G83" s="447">
        <v>4472.6900000000005</v>
      </c>
      <c r="H83" s="447">
        <v>4386.68</v>
      </c>
      <c r="I83" s="447">
        <v>4451.1900000000005</v>
      </c>
      <c r="J83" s="447">
        <v>4515.7000000000007</v>
      </c>
      <c r="K83" s="447">
        <v>4064.13</v>
      </c>
      <c r="L83" s="447">
        <v>4085.6299999999997</v>
      </c>
      <c r="M83" s="447">
        <v>4429.68</v>
      </c>
      <c r="N83" s="447">
        <v>4451.1900000000005</v>
      </c>
      <c r="O83" s="447">
        <v>4451.1900000000005</v>
      </c>
      <c r="P83" s="447">
        <v>5117.79</v>
      </c>
      <c r="Q83" s="447">
        <v>5031.78</v>
      </c>
      <c r="R83" s="447">
        <f t="shared" si="33"/>
        <v>53844.330000000009</v>
      </c>
      <c r="S83" s="447"/>
      <c r="T83" s="447">
        <f t="shared" si="42"/>
        <v>34</v>
      </c>
      <c r="U83" s="447">
        <f t="shared" si="42"/>
        <v>34.666640830878933</v>
      </c>
      <c r="V83" s="447">
        <f t="shared" si="42"/>
        <v>34</v>
      </c>
      <c r="W83" s="447">
        <f t="shared" si="41"/>
        <v>34.5</v>
      </c>
      <c r="X83" s="447">
        <f t="shared" si="41"/>
        <v>35</v>
      </c>
      <c r="Y83" s="447">
        <f t="shared" si="41"/>
        <v>31.5</v>
      </c>
      <c r="Z83" s="447">
        <f t="shared" si="41"/>
        <v>31.666640830878929</v>
      </c>
      <c r="AA83" s="447">
        <f t="shared" si="41"/>
        <v>34.333281661757866</v>
      </c>
      <c r="AB83" s="447">
        <f t="shared" si="41"/>
        <v>34.5</v>
      </c>
      <c r="AC83" s="447">
        <f t="shared" si="41"/>
        <v>34.5</v>
      </c>
      <c r="AD83" s="447">
        <f t="shared" si="41"/>
        <v>39.666640830878933</v>
      </c>
      <c r="AE83" s="447">
        <f t="shared" si="41"/>
        <v>38.999999999999993</v>
      </c>
      <c r="AF83" s="448">
        <f t="shared" si="35"/>
        <v>417.33320415439459</v>
      </c>
      <c r="AG83" s="449">
        <f t="shared" si="36"/>
        <v>34.777767012866214</v>
      </c>
      <c r="AK83" s="443">
        <v>4</v>
      </c>
      <c r="AL83" s="443">
        <v>1</v>
      </c>
      <c r="AM83" s="450">
        <f t="shared" si="37"/>
        <v>34.777767012866214</v>
      </c>
      <c r="AN83" s="450"/>
      <c r="AO83" s="446">
        <f t="shared" si="38"/>
        <v>134.22242930349645</v>
      </c>
      <c r="AP83" s="450">
        <f t="shared" si="39"/>
        <v>56015.476490614885</v>
      </c>
      <c r="AQ83" s="450">
        <f t="shared" si="40"/>
        <v>2171.1464906148758</v>
      </c>
    </row>
    <row r="84" spans="1:43" s="443" customFormat="1">
      <c r="A84" s="443" t="str">
        <f t="shared" si="32"/>
        <v>Lewis County UTCCommercialFL005.0Y1W001</v>
      </c>
      <c r="B84" s="443">
        <f t="shared" si="14"/>
        <v>1</v>
      </c>
      <c r="C84" s="452" t="s">
        <v>328</v>
      </c>
      <c r="D84" s="445" t="s">
        <v>329</v>
      </c>
      <c r="E84" s="446">
        <v>283.94</v>
      </c>
      <c r="F84" s="447">
        <v>283.94</v>
      </c>
      <c r="G84" s="447">
        <v>283.94</v>
      </c>
      <c r="H84" s="447">
        <v>283.94</v>
      </c>
      <c r="I84" s="447">
        <v>283.94</v>
      </c>
      <c r="J84" s="447">
        <v>283.94</v>
      </c>
      <c r="K84" s="447">
        <v>283.94</v>
      </c>
      <c r="L84" s="447">
        <v>283.94</v>
      </c>
      <c r="M84" s="447">
        <v>212.96</v>
      </c>
      <c r="N84" s="447">
        <v>0</v>
      </c>
      <c r="O84" s="447">
        <v>0</v>
      </c>
      <c r="P84" s="447">
        <v>0</v>
      </c>
      <c r="Q84" s="447">
        <v>0</v>
      </c>
      <c r="R84" s="447">
        <f t="shared" si="33"/>
        <v>2200.54</v>
      </c>
      <c r="S84" s="447"/>
      <c r="T84" s="447">
        <f t="shared" si="42"/>
        <v>1</v>
      </c>
      <c r="U84" s="447">
        <f t="shared" si="42"/>
        <v>1</v>
      </c>
      <c r="V84" s="447">
        <f t="shared" si="42"/>
        <v>1</v>
      </c>
      <c r="W84" s="447">
        <f t="shared" si="41"/>
        <v>1</v>
      </c>
      <c r="X84" s="447">
        <f t="shared" si="41"/>
        <v>1</v>
      </c>
      <c r="Y84" s="447">
        <f t="shared" si="41"/>
        <v>1</v>
      </c>
      <c r="Z84" s="447">
        <f t="shared" si="41"/>
        <v>1</v>
      </c>
      <c r="AA84" s="447">
        <f t="shared" si="41"/>
        <v>0.7500176093540889</v>
      </c>
      <c r="AB84" s="447">
        <f t="shared" si="41"/>
        <v>0</v>
      </c>
      <c r="AC84" s="447">
        <f t="shared" si="41"/>
        <v>0</v>
      </c>
      <c r="AD84" s="447">
        <f t="shared" si="41"/>
        <v>0</v>
      </c>
      <c r="AE84" s="447">
        <f t="shared" si="41"/>
        <v>0</v>
      </c>
      <c r="AF84" s="448">
        <f t="shared" si="35"/>
        <v>7.7500176093540887</v>
      </c>
      <c r="AG84" s="449">
        <f t="shared" si="36"/>
        <v>0.64583480077950739</v>
      </c>
      <c r="AK84" s="443">
        <v>5</v>
      </c>
      <c r="AL84" s="443">
        <v>1</v>
      </c>
      <c r="AM84" s="450">
        <f t="shared" si="37"/>
        <v>0.64583480077950739</v>
      </c>
      <c r="AN84" s="450"/>
      <c r="AO84" s="446">
        <f t="shared" si="38"/>
        <v>295.38921544283659</v>
      </c>
      <c r="AP84" s="450">
        <f t="shared" si="39"/>
        <v>2289.2716212952723</v>
      </c>
      <c r="AQ84" s="450">
        <f t="shared" si="40"/>
        <v>88.731621295272362</v>
      </c>
    </row>
    <row r="85" spans="1:43" s="443" customFormat="1">
      <c r="A85" s="443" t="str">
        <f t="shared" si="32"/>
        <v>Lewis County UTCCommercialFL006.0Y1W001</v>
      </c>
      <c r="B85" s="443">
        <f t="shared" si="14"/>
        <v>1</v>
      </c>
      <c r="C85" s="452" t="s">
        <v>330</v>
      </c>
      <c r="D85" s="445" t="s">
        <v>331</v>
      </c>
      <c r="E85" s="446">
        <v>342.49</v>
      </c>
      <c r="F85" s="447">
        <v>33050.29</v>
      </c>
      <c r="G85" s="447">
        <v>31680.33</v>
      </c>
      <c r="H85" s="447">
        <v>31183.72</v>
      </c>
      <c r="I85" s="447">
        <v>27604.66</v>
      </c>
      <c r="J85" s="447">
        <v>26919.68</v>
      </c>
      <c r="K85" s="447">
        <v>29882.25</v>
      </c>
      <c r="L85" s="447">
        <v>29830.880000000001</v>
      </c>
      <c r="M85" s="447">
        <v>30002.12</v>
      </c>
      <c r="N85" s="447">
        <v>30567.23</v>
      </c>
      <c r="O85" s="447">
        <v>30652.86</v>
      </c>
      <c r="P85" s="447">
        <v>30310.390000000003</v>
      </c>
      <c r="Q85" s="447">
        <v>28169.8</v>
      </c>
      <c r="R85" s="447">
        <f t="shared" si="33"/>
        <v>359854.20999999996</v>
      </c>
      <c r="S85" s="447"/>
      <c r="T85" s="447">
        <f t="shared" si="42"/>
        <v>96.500014598966388</v>
      </c>
      <c r="U85" s="447">
        <f t="shared" si="42"/>
        <v>92.500014598966402</v>
      </c>
      <c r="V85" s="447">
        <f t="shared" si="42"/>
        <v>91.050016058863037</v>
      </c>
      <c r="W85" s="447">
        <f t="shared" si="41"/>
        <v>80.599900727028526</v>
      </c>
      <c r="X85" s="447">
        <f t="shared" si="41"/>
        <v>78.599900727028526</v>
      </c>
      <c r="Y85" s="447">
        <f t="shared" si="41"/>
        <v>87.249992700516799</v>
      </c>
      <c r="Z85" s="447">
        <f t="shared" si="41"/>
        <v>87.100002919793283</v>
      </c>
      <c r="AA85" s="447">
        <f t="shared" si="41"/>
        <v>87.599988320826881</v>
      </c>
      <c r="AB85" s="447">
        <f t="shared" si="41"/>
        <v>89.249992700516799</v>
      </c>
      <c r="AC85" s="447">
        <f t="shared" si="41"/>
        <v>89.500014598966388</v>
      </c>
      <c r="AD85" s="447">
        <f t="shared" si="41"/>
        <v>88.500072994831967</v>
      </c>
      <c r="AE85" s="447">
        <f t="shared" si="41"/>
        <v>82.249992700516799</v>
      </c>
      <c r="AF85" s="448">
        <f t="shared" si="35"/>
        <v>1050.6999036468217</v>
      </c>
      <c r="AG85" s="449">
        <f t="shared" si="36"/>
        <v>87.55832530390181</v>
      </c>
      <c r="AK85" s="443">
        <v>6</v>
      </c>
      <c r="AL85" s="443">
        <v>1</v>
      </c>
      <c r="AM85" s="450">
        <f t="shared" si="37"/>
        <v>87.55832530390181</v>
      </c>
      <c r="AN85" s="450"/>
      <c r="AO85" s="446">
        <f t="shared" si="38"/>
        <v>356.30010705436752</v>
      </c>
      <c r="AP85" s="450">
        <f t="shared" si="39"/>
        <v>374364.48815137619</v>
      </c>
      <c r="AQ85" s="450">
        <f t="shared" si="40"/>
        <v>14510.278151376231</v>
      </c>
    </row>
    <row r="86" spans="1:43" s="443" customFormat="1">
      <c r="A86" s="443" t="str">
        <f t="shared" si="32"/>
        <v>Lewis County UTCCommercialFL006.0Y1W002</v>
      </c>
      <c r="B86" s="443">
        <f t="shared" si="14"/>
        <v>1</v>
      </c>
      <c r="C86" s="452" t="s">
        <v>332</v>
      </c>
      <c r="D86" s="445" t="s">
        <v>333</v>
      </c>
      <c r="E86" s="446">
        <v>684.98</v>
      </c>
      <c r="F86" s="447">
        <v>2739.92</v>
      </c>
      <c r="G86" s="447">
        <v>2739.92</v>
      </c>
      <c r="H86" s="447">
        <v>2739.92</v>
      </c>
      <c r="I86" s="447">
        <v>2328.9300000000003</v>
      </c>
      <c r="J86" s="447">
        <v>1883.7</v>
      </c>
      <c r="K86" s="447">
        <v>1369.96</v>
      </c>
      <c r="L86" s="447">
        <v>1369.96</v>
      </c>
      <c r="M86" s="447">
        <v>1369.96</v>
      </c>
      <c r="N86" s="447">
        <v>1369.96</v>
      </c>
      <c r="O86" s="447">
        <v>2226.1999999999998</v>
      </c>
      <c r="P86" s="447">
        <v>3082.41</v>
      </c>
      <c r="Q86" s="447">
        <v>3424.9</v>
      </c>
      <c r="R86" s="447">
        <f t="shared" si="33"/>
        <v>26645.74</v>
      </c>
      <c r="S86" s="447"/>
      <c r="T86" s="447">
        <f t="shared" si="42"/>
        <v>4</v>
      </c>
      <c r="U86" s="447">
        <f t="shared" si="42"/>
        <v>4</v>
      </c>
      <c r="V86" s="447">
        <f t="shared" si="42"/>
        <v>4</v>
      </c>
      <c r="W86" s="447">
        <f t="shared" si="41"/>
        <v>3.3999970802067216</v>
      </c>
      <c r="X86" s="447">
        <f t="shared" si="41"/>
        <v>2.7500072994831966</v>
      </c>
      <c r="Y86" s="447">
        <f t="shared" si="41"/>
        <v>2</v>
      </c>
      <c r="Z86" s="447">
        <f t="shared" si="41"/>
        <v>2</v>
      </c>
      <c r="AA86" s="447">
        <f t="shared" si="41"/>
        <v>2</v>
      </c>
      <c r="AB86" s="447">
        <f t="shared" si="41"/>
        <v>2</v>
      </c>
      <c r="AC86" s="447">
        <f t="shared" si="41"/>
        <v>3.2500218984495892</v>
      </c>
      <c r="AD86" s="447">
        <f t="shared" si="41"/>
        <v>4.5</v>
      </c>
      <c r="AE86" s="447">
        <f t="shared" si="41"/>
        <v>5</v>
      </c>
      <c r="AF86" s="448">
        <f t="shared" si="35"/>
        <v>38.900026278139507</v>
      </c>
      <c r="AG86" s="449">
        <f t="shared" si="36"/>
        <v>3.2416688565116254</v>
      </c>
      <c r="AK86" s="443">
        <v>6</v>
      </c>
      <c r="AL86" s="443">
        <v>2</v>
      </c>
      <c r="AM86" s="450">
        <f t="shared" si="37"/>
        <v>6.4833377130232508</v>
      </c>
      <c r="AN86" s="450"/>
      <c r="AO86" s="446">
        <f t="shared" si="38"/>
        <v>712.60021410873503</v>
      </c>
      <c r="AP86" s="450">
        <f t="shared" si="39"/>
        <v>27720.16705463763</v>
      </c>
      <c r="AQ86" s="450">
        <f t="shared" si="40"/>
        <v>1074.4270546376283</v>
      </c>
    </row>
    <row r="87" spans="1:43" s="443" customFormat="1">
      <c r="A87" s="443" t="str">
        <f t="shared" si="32"/>
        <v>Lewis County UTCCommercialFL006.0Y2W001</v>
      </c>
      <c r="B87" s="443">
        <f t="shared" si="14"/>
        <v>1</v>
      </c>
      <c r="C87" s="452" t="s">
        <v>334</v>
      </c>
      <c r="D87" s="445" t="s">
        <v>335</v>
      </c>
      <c r="E87" s="446">
        <v>663.17</v>
      </c>
      <c r="F87" s="447">
        <v>8654.2099999999991</v>
      </c>
      <c r="G87" s="447">
        <v>9022.64</v>
      </c>
      <c r="H87" s="447">
        <v>9317.3799999999992</v>
      </c>
      <c r="I87" s="447">
        <v>9538.4399999999987</v>
      </c>
      <c r="J87" s="447">
        <v>9317.3799999999992</v>
      </c>
      <c r="K87" s="447">
        <v>9317.3799999999992</v>
      </c>
      <c r="L87" s="447">
        <v>8260.1099999999988</v>
      </c>
      <c r="M87" s="447">
        <v>10096.08</v>
      </c>
      <c r="N87" s="447">
        <v>10096.08</v>
      </c>
      <c r="O87" s="447">
        <v>9875.02</v>
      </c>
      <c r="P87" s="447">
        <v>8180.26</v>
      </c>
      <c r="Q87" s="447">
        <v>8253.9500000000007</v>
      </c>
      <c r="R87" s="447">
        <f t="shared" si="33"/>
        <v>109928.93</v>
      </c>
      <c r="S87" s="447"/>
      <c r="T87" s="447">
        <f t="shared" si="42"/>
        <v>13.049760996426254</v>
      </c>
      <c r="U87" s="447">
        <f t="shared" si="42"/>
        <v>13.605319902890662</v>
      </c>
      <c r="V87" s="447">
        <f t="shared" si="42"/>
        <v>14.049760996426256</v>
      </c>
      <c r="W87" s="447">
        <f t="shared" si="41"/>
        <v>14.383099356122864</v>
      </c>
      <c r="X87" s="447">
        <f t="shared" si="41"/>
        <v>14.049760996426256</v>
      </c>
      <c r="Y87" s="447">
        <f t="shared" si="41"/>
        <v>14.049760996426256</v>
      </c>
      <c r="Z87" s="447">
        <f t="shared" si="41"/>
        <v>12.455494066378153</v>
      </c>
      <c r="AA87" s="447">
        <f t="shared" si="41"/>
        <v>15.223969721187631</v>
      </c>
      <c r="AB87" s="447">
        <f t="shared" si="41"/>
        <v>15.223969721187631</v>
      </c>
      <c r="AC87" s="447">
        <f t="shared" si="41"/>
        <v>14.890631361491023</v>
      </c>
      <c r="AD87" s="447">
        <f t="shared" si="41"/>
        <v>12.335087534116441</v>
      </c>
      <c r="AE87" s="447">
        <f t="shared" si="41"/>
        <v>12.446205347045254</v>
      </c>
      <c r="AF87" s="448">
        <f t="shared" si="35"/>
        <v>165.76282099612467</v>
      </c>
      <c r="AG87" s="449">
        <f t="shared" si="36"/>
        <v>13.813568416343722</v>
      </c>
      <c r="AK87" s="443">
        <v>6</v>
      </c>
      <c r="AL87" s="443">
        <v>1</v>
      </c>
      <c r="AM87" s="450">
        <f t="shared" si="37"/>
        <v>13.813568416343722</v>
      </c>
      <c r="AN87" s="450"/>
      <c r="AO87" s="446">
        <f t="shared" si="38"/>
        <v>689.91077694310752</v>
      </c>
      <c r="AP87" s="450">
        <f t="shared" si="39"/>
        <v>114361.55662171762</v>
      </c>
      <c r="AQ87" s="450">
        <f t="shared" si="40"/>
        <v>4432.6266217176308</v>
      </c>
    </row>
    <row r="88" spans="1:43" s="443" customFormat="1">
      <c r="A88" s="443" t="str">
        <f t="shared" si="32"/>
        <v>Lewis County UTCCommercialFL006.0Y2W002</v>
      </c>
      <c r="B88" s="443">
        <f t="shared" si="14"/>
        <v>1</v>
      </c>
      <c r="C88" s="452" t="s">
        <v>336</v>
      </c>
      <c r="D88" s="445" t="s">
        <v>337</v>
      </c>
      <c r="E88" s="446">
        <v>1326.34</v>
      </c>
      <c r="F88" s="447">
        <v>2652.68</v>
      </c>
      <c r="G88" s="447">
        <v>2652.68</v>
      </c>
      <c r="H88" s="447">
        <v>2652.68</v>
      </c>
      <c r="I88" s="447">
        <v>3684.28</v>
      </c>
      <c r="J88" s="447">
        <v>2652.68</v>
      </c>
      <c r="K88" s="447">
        <v>2652.68</v>
      </c>
      <c r="L88" s="447">
        <v>2652.68</v>
      </c>
      <c r="M88" s="447">
        <v>2652.68</v>
      </c>
      <c r="N88" s="447">
        <v>2652.68</v>
      </c>
      <c r="O88" s="447">
        <v>2652.68</v>
      </c>
      <c r="P88" s="447">
        <v>2652.68</v>
      </c>
      <c r="Q88" s="447">
        <v>2652.68</v>
      </c>
      <c r="R88" s="447">
        <f t="shared" si="33"/>
        <v>32863.760000000002</v>
      </c>
      <c r="S88" s="447"/>
      <c r="T88" s="447">
        <f t="shared" si="42"/>
        <v>2</v>
      </c>
      <c r="U88" s="447">
        <f t="shared" si="42"/>
        <v>2</v>
      </c>
      <c r="V88" s="447">
        <f t="shared" si="42"/>
        <v>2</v>
      </c>
      <c r="W88" s="447">
        <f t="shared" si="41"/>
        <v>2.7777794532322031</v>
      </c>
      <c r="X88" s="447">
        <f t="shared" si="41"/>
        <v>2</v>
      </c>
      <c r="Y88" s="447">
        <f t="shared" si="41"/>
        <v>2</v>
      </c>
      <c r="Z88" s="447">
        <f t="shared" si="41"/>
        <v>2</v>
      </c>
      <c r="AA88" s="447">
        <f t="shared" si="41"/>
        <v>2</v>
      </c>
      <c r="AB88" s="447">
        <f t="shared" si="41"/>
        <v>2</v>
      </c>
      <c r="AC88" s="447">
        <f t="shared" si="41"/>
        <v>2</v>
      </c>
      <c r="AD88" s="447">
        <f t="shared" si="41"/>
        <v>2</v>
      </c>
      <c r="AE88" s="447">
        <f t="shared" si="41"/>
        <v>2</v>
      </c>
      <c r="AF88" s="448">
        <f t="shared" si="35"/>
        <v>24.777779453232203</v>
      </c>
      <c r="AG88" s="449">
        <f t="shared" si="36"/>
        <v>2.064814954436017</v>
      </c>
      <c r="AK88" s="443">
        <v>6</v>
      </c>
      <c r="AL88" s="443">
        <v>2</v>
      </c>
      <c r="AM88" s="450">
        <f t="shared" si="37"/>
        <v>4.1296299088720341</v>
      </c>
      <c r="AN88" s="450"/>
      <c r="AO88" s="446">
        <f t="shared" si="38"/>
        <v>1379.821553886215</v>
      </c>
      <c r="AP88" s="450">
        <f t="shared" si="39"/>
        <v>34188.914147008792</v>
      </c>
      <c r="AQ88" s="450">
        <f t="shared" si="40"/>
        <v>1325.1541470087905</v>
      </c>
    </row>
    <row r="89" spans="1:43" s="443" customFormat="1">
      <c r="A89" s="443" t="str">
        <f t="shared" si="32"/>
        <v>Lewis County UTCCommercialFL006.0Y3W001</v>
      </c>
      <c r="B89" s="443">
        <f t="shared" si="14"/>
        <v>1</v>
      </c>
      <c r="C89" s="452" t="s">
        <v>338</v>
      </c>
      <c r="D89" s="445" t="s">
        <v>339</v>
      </c>
      <c r="E89" s="446">
        <v>983.85</v>
      </c>
      <c r="F89" s="447">
        <v>983.85</v>
      </c>
      <c r="G89" s="447">
        <v>983.85</v>
      </c>
      <c r="H89" s="447">
        <v>983.85</v>
      </c>
      <c r="I89" s="447">
        <v>983.85</v>
      </c>
      <c r="J89" s="447">
        <v>983.85</v>
      </c>
      <c r="K89" s="447">
        <v>983.85</v>
      </c>
      <c r="L89" s="447">
        <v>983.85</v>
      </c>
      <c r="M89" s="447">
        <v>983.85</v>
      </c>
      <c r="N89" s="447">
        <v>983.85</v>
      </c>
      <c r="O89" s="447">
        <v>983.85</v>
      </c>
      <c r="P89" s="447">
        <v>983.85</v>
      </c>
      <c r="Q89" s="447">
        <v>983.85</v>
      </c>
      <c r="R89" s="447">
        <f t="shared" si="33"/>
        <v>11806.200000000003</v>
      </c>
      <c r="S89" s="447"/>
      <c r="T89" s="447">
        <f t="shared" si="42"/>
        <v>1</v>
      </c>
      <c r="U89" s="447">
        <f t="shared" si="42"/>
        <v>1</v>
      </c>
      <c r="V89" s="447">
        <f t="shared" si="42"/>
        <v>1</v>
      </c>
      <c r="W89" s="447">
        <f t="shared" si="41"/>
        <v>1</v>
      </c>
      <c r="X89" s="447">
        <f t="shared" si="41"/>
        <v>1</v>
      </c>
      <c r="Y89" s="447">
        <f t="shared" si="41"/>
        <v>1</v>
      </c>
      <c r="Z89" s="447">
        <f t="shared" si="41"/>
        <v>1</v>
      </c>
      <c r="AA89" s="447">
        <f t="shared" si="41"/>
        <v>1</v>
      </c>
      <c r="AB89" s="447">
        <f t="shared" si="41"/>
        <v>1</v>
      </c>
      <c r="AC89" s="447">
        <f t="shared" si="41"/>
        <v>1</v>
      </c>
      <c r="AD89" s="447">
        <f t="shared" si="41"/>
        <v>1</v>
      </c>
      <c r="AE89" s="447">
        <f t="shared" si="41"/>
        <v>1</v>
      </c>
      <c r="AF89" s="448">
        <f t="shared" si="35"/>
        <v>12</v>
      </c>
      <c r="AG89" s="449">
        <f t="shared" si="36"/>
        <v>1</v>
      </c>
      <c r="AK89" s="443">
        <v>6</v>
      </c>
      <c r="AL89" s="443">
        <v>1</v>
      </c>
      <c r="AM89" s="450">
        <f t="shared" si="37"/>
        <v>1</v>
      </c>
      <c r="AN89" s="450"/>
      <c r="AO89" s="446">
        <f t="shared" si="38"/>
        <v>1023.5214468318476</v>
      </c>
      <c r="AP89" s="450">
        <f t="shared" si="39"/>
        <v>12282.257361982171</v>
      </c>
      <c r="AQ89" s="450">
        <f t="shared" si="40"/>
        <v>476.057361982168</v>
      </c>
    </row>
    <row r="90" spans="1:43" s="443" customFormat="1">
      <c r="A90" s="443" t="str">
        <f t="shared" si="32"/>
        <v>Lewis County UTCCommercialFL006.0Y5W001</v>
      </c>
      <c r="B90" s="443">
        <f t="shared" si="14"/>
        <v>1</v>
      </c>
      <c r="C90" s="452" t="s">
        <v>340</v>
      </c>
      <c r="D90" s="445" t="s">
        <v>341</v>
      </c>
      <c r="E90" s="446">
        <v>1625.21</v>
      </c>
      <c r="F90" s="447">
        <v>1625.21</v>
      </c>
      <c r="G90" s="447">
        <v>1625.21</v>
      </c>
      <c r="H90" s="447">
        <v>1625.21</v>
      </c>
      <c r="I90" s="447">
        <v>1625.21</v>
      </c>
      <c r="J90" s="447">
        <v>1625.21</v>
      </c>
      <c r="K90" s="447">
        <v>1625.21</v>
      </c>
      <c r="L90" s="447">
        <v>1625.21</v>
      </c>
      <c r="M90" s="447">
        <v>1625.21</v>
      </c>
      <c r="N90" s="447">
        <v>1625.21</v>
      </c>
      <c r="O90" s="447">
        <v>1625.21</v>
      </c>
      <c r="P90" s="447">
        <v>1625.21</v>
      </c>
      <c r="Q90" s="447">
        <v>1625.21</v>
      </c>
      <c r="R90" s="447">
        <f t="shared" si="33"/>
        <v>19502.519999999997</v>
      </c>
      <c r="S90" s="447"/>
      <c r="T90" s="447">
        <f t="shared" si="42"/>
        <v>1</v>
      </c>
      <c r="U90" s="447">
        <f t="shared" si="42"/>
        <v>1</v>
      </c>
      <c r="V90" s="447">
        <f t="shared" si="42"/>
        <v>1</v>
      </c>
      <c r="W90" s="447">
        <f t="shared" si="41"/>
        <v>1</v>
      </c>
      <c r="X90" s="447">
        <f t="shared" si="41"/>
        <v>1</v>
      </c>
      <c r="Y90" s="447">
        <f t="shared" si="41"/>
        <v>1</v>
      </c>
      <c r="Z90" s="447">
        <f t="shared" si="41"/>
        <v>1</v>
      </c>
      <c r="AA90" s="447">
        <f t="shared" si="41"/>
        <v>1</v>
      </c>
      <c r="AB90" s="447">
        <f t="shared" si="41"/>
        <v>1</v>
      </c>
      <c r="AC90" s="447">
        <f t="shared" si="41"/>
        <v>1</v>
      </c>
      <c r="AD90" s="447">
        <f t="shared" si="41"/>
        <v>1</v>
      </c>
      <c r="AE90" s="447">
        <f t="shared" si="41"/>
        <v>1</v>
      </c>
      <c r="AF90" s="448">
        <f t="shared" si="35"/>
        <v>12</v>
      </c>
      <c r="AG90" s="449">
        <f t="shared" si="36"/>
        <v>1</v>
      </c>
      <c r="AK90" s="443">
        <v>6</v>
      </c>
      <c r="AL90" s="443">
        <v>1</v>
      </c>
      <c r="AM90" s="450">
        <f t="shared" si="37"/>
        <v>1</v>
      </c>
      <c r="AN90" s="450"/>
      <c r="AO90" s="446">
        <f t="shared" si="38"/>
        <v>1690.7427866093276</v>
      </c>
      <c r="AP90" s="450">
        <f t="shared" si="39"/>
        <v>20288.913439311931</v>
      </c>
      <c r="AQ90" s="450">
        <f t="shared" si="40"/>
        <v>786.39343931193434</v>
      </c>
    </row>
    <row r="91" spans="1:43" s="443" customFormat="1">
      <c r="A91" s="443" t="str">
        <f t="shared" si="32"/>
        <v>Lewis County UTCCommercialFL006.0YEO001</v>
      </c>
      <c r="B91" s="443">
        <f t="shared" si="14"/>
        <v>1</v>
      </c>
      <c r="C91" s="452" t="s">
        <v>342</v>
      </c>
      <c r="D91" s="445" t="s">
        <v>343</v>
      </c>
      <c r="E91" s="446">
        <v>182.52</v>
      </c>
      <c r="F91" s="447">
        <v>4289.22</v>
      </c>
      <c r="G91" s="447">
        <v>4563</v>
      </c>
      <c r="H91" s="447">
        <v>4654.26</v>
      </c>
      <c r="I91" s="447">
        <v>5384.34</v>
      </c>
      <c r="J91" s="447">
        <v>6388.2</v>
      </c>
      <c r="K91" s="447">
        <v>4380.4800000000005</v>
      </c>
      <c r="L91" s="447">
        <v>4745.5200000000004</v>
      </c>
      <c r="M91" s="447">
        <v>4836.7800000000007</v>
      </c>
      <c r="N91" s="447">
        <v>4745.5200000000004</v>
      </c>
      <c r="O91" s="447">
        <v>4563</v>
      </c>
      <c r="P91" s="447">
        <v>5232.2400000000007</v>
      </c>
      <c r="Q91" s="447">
        <v>5597.28</v>
      </c>
      <c r="R91" s="447">
        <f t="shared" si="33"/>
        <v>59379.840000000004</v>
      </c>
      <c r="S91" s="447"/>
      <c r="T91" s="447">
        <f t="shared" si="42"/>
        <v>23.5</v>
      </c>
      <c r="U91" s="447">
        <f t="shared" si="42"/>
        <v>25</v>
      </c>
      <c r="V91" s="447">
        <f t="shared" si="42"/>
        <v>25.5</v>
      </c>
      <c r="W91" s="447">
        <f t="shared" si="41"/>
        <v>29.5</v>
      </c>
      <c r="X91" s="447">
        <f t="shared" si="41"/>
        <v>35</v>
      </c>
      <c r="Y91" s="447">
        <f t="shared" si="41"/>
        <v>24</v>
      </c>
      <c r="Z91" s="447">
        <f t="shared" si="41"/>
        <v>26</v>
      </c>
      <c r="AA91" s="447">
        <f t="shared" si="41"/>
        <v>26.500000000000004</v>
      </c>
      <c r="AB91" s="447">
        <f t="shared" si="41"/>
        <v>26</v>
      </c>
      <c r="AC91" s="447">
        <f t="shared" si="41"/>
        <v>25</v>
      </c>
      <c r="AD91" s="447">
        <f t="shared" si="41"/>
        <v>28.666666666666668</v>
      </c>
      <c r="AE91" s="447">
        <f t="shared" si="41"/>
        <v>30.666666666666664</v>
      </c>
      <c r="AF91" s="448">
        <f t="shared" si="35"/>
        <v>325.33333333333337</v>
      </c>
      <c r="AG91" s="449">
        <f t="shared" si="36"/>
        <v>27.111111111111114</v>
      </c>
      <c r="AK91" s="443">
        <v>6</v>
      </c>
      <c r="AL91" s="443">
        <v>1</v>
      </c>
      <c r="AM91" s="450">
        <f t="shared" si="37"/>
        <v>27.111111111111114</v>
      </c>
      <c r="AN91" s="450"/>
      <c r="AO91" s="446">
        <f t="shared" si="38"/>
        <v>189.87969149336669</v>
      </c>
      <c r="AP91" s="450">
        <f t="shared" si="39"/>
        <v>61774.192965841969</v>
      </c>
      <c r="AQ91" s="450">
        <f t="shared" si="40"/>
        <v>2394.3529658419648</v>
      </c>
    </row>
    <row r="92" spans="1:43" s="443" customFormat="1">
      <c r="A92" s="443" t="str">
        <f t="shared" si="32"/>
        <v>Lewis County UTCCommercialCANCOUNT65-COMM</v>
      </c>
      <c r="B92" s="443">
        <f t="shared" si="14"/>
        <v>1</v>
      </c>
      <c r="C92" s="452" t="s">
        <v>344</v>
      </c>
      <c r="D92" s="445" t="s">
        <v>345</v>
      </c>
      <c r="E92" s="446">
        <v>5.55</v>
      </c>
      <c r="F92" s="447">
        <v>987.9</v>
      </c>
      <c r="G92" s="447">
        <v>943.5</v>
      </c>
      <c r="H92" s="447">
        <v>1165.5</v>
      </c>
      <c r="I92" s="447">
        <v>987.9</v>
      </c>
      <c r="J92" s="447">
        <v>904.65</v>
      </c>
      <c r="K92" s="447">
        <v>926.85</v>
      </c>
      <c r="L92" s="447">
        <v>915.75</v>
      </c>
      <c r="M92" s="447">
        <v>1054.5</v>
      </c>
      <c r="N92" s="447">
        <v>505.05</v>
      </c>
      <c r="O92" s="447">
        <v>560.54999999999995</v>
      </c>
      <c r="P92" s="447">
        <v>577.19999999999993</v>
      </c>
      <c r="Q92" s="447">
        <v>721.49999999999989</v>
      </c>
      <c r="R92" s="447">
        <f t="shared" si="33"/>
        <v>10250.85</v>
      </c>
      <c r="S92" s="447"/>
      <c r="T92" s="447">
        <f t="shared" si="42"/>
        <v>178</v>
      </c>
      <c r="U92" s="447">
        <f t="shared" si="42"/>
        <v>170</v>
      </c>
      <c r="V92" s="447">
        <f t="shared" si="42"/>
        <v>210</v>
      </c>
      <c r="W92" s="447">
        <f t="shared" si="41"/>
        <v>178</v>
      </c>
      <c r="X92" s="447">
        <f t="shared" si="41"/>
        <v>163</v>
      </c>
      <c r="Y92" s="447">
        <f t="shared" si="41"/>
        <v>167</v>
      </c>
      <c r="Z92" s="447">
        <f t="shared" si="41"/>
        <v>165</v>
      </c>
      <c r="AA92" s="447">
        <f t="shared" si="41"/>
        <v>190</v>
      </c>
      <c r="AB92" s="447">
        <f t="shared" si="41"/>
        <v>91</v>
      </c>
      <c r="AC92" s="447">
        <f t="shared" si="41"/>
        <v>101</v>
      </c>
      <c r="AD92" s="447">
        <f t="shared" si="41"/>
        <v>103.99999999999999</v>
      </c>
      <c r="AE92" s="447">
        <f t="shared" si="41"/>
        <v>129.99999999999997</v>
      </c>
      <c r="AF92" s="448">
        <f t="shared" si="35"/>
        <v>1847</v>
      </c>
      <c r="AG92" s="449">
        <f t="shared" si="36"/>
        <v>153.91666666666666</v>
      </c>
      <c r="AI92" s="443">
        <v>65</v>
      </c>
      <c r="AL92" s="443">
        <v>1</v>
      </c>
      <c r="AM92" s="450">
        <f>+(AL92/4.33)*AG92</f>
        <v>35.546574287913778</v>
      </c>
      <c r="AN92" s="443" t="s">
        <v>346</v>
      </c>
      <c r="AO92" s="446">
        <f t="shared" si="38"/>
        <v>5.773790750537942</v>
      </c>
      <c r="AP92" s="450">
        <f t="shared" si="39"/>
        <v>10664.191516243578</v>
      </c>
      <c r="AQ92" s="450">
        <f t="shared" si="40"/>
        <v>413.34151624357764</v>
      </c>
    </row>
    <row r="93" spans="1:43" s="443" customFormat="1">
      <c r="A93" s="443" t="str">
        <f t="shared" si="32"/>
        <v>Lewis County UTCCommercialCANCOUNT95-COMM</v>
      </c>
      <c r="B93" s="443">
        <f t="shared" si="14"/>
        <v>1</v>
      </c>
      <c r="C93" s="452" t="s">
        <v>347</v>
      </c>
      <c r="D93" s="445" t="s">
        <v>348</v>
      </c>
      <c r="E93" s="446">
        <v>7.64</v>
      </c>
      <c r="F93" s="447">
        <v>511.88</v>
      </c>
      <c r="G93" s="447">
        <v>1146</v>
      </c>
      <c r="H93" s="447">
        <v>1451.6</v>
      </c>
      <c r="I93" s="447">
        <v>534.79999999999995</v>
      </c>
      <c r="J93" s="447">
        <v>213.92</v>
      </c>
      <c r="K93" s="447">
        <v>168.08</v>
      </c>
      <c r="L93" s="447">
        <v>175.72</v>
      </c>
      <c r="M93" s="447">
        <v>183.36</v>
      </c>
      <c r="N93" s="447">
        <v>145.16</v>
      </c>
      <c r="O93" s="447">
        <v>152.80000000000001</v>
      </c>
      <c r="P93" s="447">
        <v>129.88</v>
      </c>
      <c r="Q93" s="447">
        <v>259.76</v>
      </c>
      <c r="R93" s="447">
        <f t="shared" si="33"/>
        <v>5072.96</v>
      </c>
      <c r="S93" s="447"/>
      <c r="T93" s="447">
        <f t="shared" si="42"/>
        <v>67</v>
      </c>
      <c r="U93" s="447">
        <f t="shared" si="42"/>
        <v>150</v>
      </c>
      <c r="V93" s="447">
        <f t="shared" si="42"/>
        <v>190</v>
      </c>
      <c r="W93" s="447">
        <f t="shared" si="41"/>
        <v>70</v>
      </c>
      <c r="X93" s="447">
        <f t="shared" si="41"/>
        <v>28</v>
      </c>
      <c r="Y93" s="447">
        <f t="shared" si="41"/>
        <v>22.000000000000004</v>
      </c>
      <c r="Z93" s="447">
        <f t="shared" si="41"/>
        <v>23</v>
      </c>
      <c r="AA93" s="447">
        <f t="shared" si="41"/>
        <v>24.000000000000004</v>
      </c>
      <c r="AB93" s="447">
        <f t="shared" si="41"/>
        <v>19</v>
      </c>
      <c r="AC93" s="447">
        <f t="shared" si="41"/>
        <v>20.000000000000004</v>
      </c>
      <c r="AD93" s="447">
        <f t="shared" si="41"/>
        <v>17</v>
      </c>
      <c r="AE93" s="447">
        <f t="shared" si="41"/>
        <v>34</v>
      </c>
      <c r="AF93" s="448">
        <f t="shared" si="35"/>
        <v>664</v>
      </c>
      <c r="AG93" s="449">
        <f t="shared" si="36"/>
        <v>55.333333333333336</v>
      </c>
      <c r="AI93" s="443">
        <v>95</v>
      </c>
      <c r="AL93" s="443">
        <v>1</v>
      </c>
      <c r="AM93" s="450">
        <f>+(AL93/4.33)*AG93</f>
        <v>12.779060816012317</v>
      </c>
      <c r="AN93" s="443" t="s">
        <v>346</v>
      </c>
      <c r="AO93" s="446">
        <f t="shared" si="38"/>
        <v>7.9480651052450222</v>
      </c>
      <c r="AP93" s="450">
        <f t="shared" si="39"/>
        <v>5277.5152298826952</v>
      </c>
      <c r="AQ93" s="450">
        <f t="shared" si="40"/>
        <v>204.55522988269513</v>
      </c>
    </row>
    <row r="94" spans="1:43" s="443" customFormat="1">
      <c r="A94" s="443" t="str">
        <f t="shared" si="32"/>
        <v>Lewis County UTCCommercialRL032.0G1W002NORECC</v>
      </c>
      <c r="B94" s="443">
        <f t="shared" si="14"/>
        <v>1</v>
      </c>
      <c r="C94" s="452" t="s">
        <v>349</v>
      </c>
      <c r="D94" s="445" t="s">
        <v>350</v>
      </c>
      <c r="E94" s="446">
        <v>23.82</v>
      </c>
      <c r="F94" s="447">
        <v>23.82</v>
      </c>
      <c r="G94" s="447">
        <v>23.82</v>
      </c>
      <c r="H94" s="447">
        <v>23.82</v>
      </c>
      <c r="I94" s="447">
        <v>23.82</v>
      </c>
      <c r="J94" s="447">
        <v>23.82</v>
      </c>
      <c r="K94" s="447">
        <v>23.82</v>
      </c>
      <c r="L94" s="447">
        <v>23.82</v>
      </c>
      <c r="M94" s="447">
        <v>23.82</v>
      </c>
      <c r="N94" s="447">
        <v>23.82</v>
      </c>
      <c r="O94" s="447">
        <v>23.82</v>
      </c>
      <c r="P94" s="447">
        <v>23.82</v>
      </c>
      <c r="Q94" s="447">
        <v>23.82</v>
      </c>
      <c r="R94" s="447">
        <f t="shared" si="33"/>
        <v>285.83999999999997</v>
      </c>
      <c r="S94" s="447"/>
      <c r="T94" s="447">
        <f t="shared" si="42"/>
        <v>1</v>
      </c>
      <c r="U94" s="447">
        <f t="shared" si="42"/>
        <v>1</v>
      </c>
      <c r="V94" s="447">
        <f t="shared" si="42"/>
        <v>1</v>
      </c>
      <c r="W94" s="447">
        <f t="shared" si="41"/>
        <v>1</v>
      </c>
      <c r="X94" s="447">
        <f t="shared" si="41"/>
        <v>1</v>
      </c>
      <c r="Y94" s="447">
        <f t="shared" si="41"/>
        <v>1</v>
      </c>
      <c r="Z94" s="447">
        <f t="shared" si="41"/>
        <v>1</v>
      </c>
      <c r="AA94" s="447">
        <f t="shared" si="41"/>
        <v>1</v>
      </c>
      <c r="AB94" s="447">
        <f t="shared" si="41"/>
        <v>1</v>
      </c>
      <c r="AC94" s="447">
        <f t="shared" si="41"/>
        <v>1</v>
      </c>
      <c r="AD94" s="447">
        <f t="shared" si="41"/>
        <v>1</v>
      </c>
      <c r="AE94" s="447">
        <f t="shared" si="41"/>
        <v>1</v>
      </c>
      <c r="AF94" s="448">
        <f t="shared" si="35"/>
        <v>12</v>
      </c>
      <c r="AG94" s="449">
        <f t="shared" si="36"/>
        <v>1</v>
      </c>
      <c r="AJ94" s="443">
        <v>32</v>
      </c>
      <c r="AL94" s="443">
        <v>1</v>
      </c>
      <c r="AM94" s="450">
        <f t="shared" ref="AM94:AM108" si="43">+AL94*AG94</f>
        <v>1</v>
      </c>
      <c r="AN94" s="450"/>
      <c r="AO94" s="446">
        <f t="shared" si="38"/>
        <v>24.780485707714195</v>
      </c>
      <c r="AP94" s="450">
        <f t="shared" si="39"/>
        <v>297.36582849257036</v>
      </c>
      <c r="AQ94" s="450">
        <f t="shared" si="40"/>
        <v>11.525828492570383</v>
      </c>
    </row>
    <row r="95" spans="1:43" s="443" customFormat="1">
      <c r="A95" s="443" t="str">
        <f t="shared" si="32"/>
        <v>Lewis County UTCCommercialSL065.0G1W002NORECC</v>
      </c>
      <c r="B95" s="443">
        <f t="shared" si="14"/>
        <v>1</v>
      </c>
      <c r="C95" s="452" t="s">
        <v>351</v>
      </c>
      <c r="D95" s="445" t="s">
        <v>352</v>
      </c>
      <c r="E95" s="446">
        <v>48.06</v>
      </c>
      <c r="F95" s="447">
        <v>0</v>
      </c>
      <c r="G95" s="447">
        <v>0</v>
      </c>
      <c r="H95" s="447">
        <v>0</v>
      </c>
      <c r="I95" s="447">
        <v>0</v>
      </c>
      <c r="J95" s="447">
        <v>0</v>
      </c>
      <c r="K95" s="447">
        <v>48.06</v>
      </c>
      <c r="L95" s="447">
        <v>48.06</v>
      </c>
      <c r="M95" s="447">
        <v>48.06</v>
      </c>
      <c r="N95" s="447">
        <v>48.06</v>
      </c>
      <c r="O95" s="447">
        <v>48.06</v>
      </c>
      <c r="P95" s="447">
        <v>48.06</v>
      </c>
      <c r="Q95" s="447">
        <v>48.06</v>
      </c>
      <c r="R95" s="447">
        <f t="shared" si="33"/>
        <v>336.42</v>
      </c>
      <c r="S95" s="447"/>
      <c r="T95" s="447">
        <f t="shared" si="42"/>
        <v>0</v>
      </c>
      <c r="U95" s="447">
        <f t="shared" si="42"/>
        <v>0</v>
      </c>
      <c r="V95" s="447">
        <f t="shared" si="42"/>
        <v>0</v>
      </c>
      <c r="W95" s="447">
        <f t="shared" si="41"/>
        <v>0</v>
      </c>
      <c r="X95" s="447">
        <f t="shared" si="41"/>
        <v>0</v>
      </c>
      <c r="Y95" s="447">
        <f t="shared" si="41"/>
        <v>1</v>
      </c>
      <c r="Z95" s="447">
        <f t="shared" si="41"/>
        <v>1</v>
      </c>
      <c r="AA95" s="447">
        <f t="shared" si="41"/>
        <v>1</v>
      </c>
      <c r="AB95" s="447">
        <f t="shared" si="41"/>
        <v>1</v>
      </c>
      <c r="AC95" s="447">
        <f t="shared" si="41"/>
        <v>1</v>
      </c>
      <c r="AD95" s="447">
        <f t="shared" si="41"/>
        <v>1</v>
      </c>
      <c r="AE95" s="447">
        <f t="shared" si="41"/>
        <v>1</v>
      </c>
      <c r="AF95" s="448">
        <f t="shared" si="35"/>
        <v>7</v>
      </c>
      <c r="AG95" s="449">
        <f t="shared" si="36"/>
        <v>0.58333333333333337</v>
      </c>
      <c r="AI95" s="443">
        <v>65</v>
      </c>
      <c r="AL95" s="443">
        <v>2</v>
      </c>
      <c r="AM95" s="450">
        <f t="shared" si="43"/>
        <v>1.1666666666666667</v>
      </c>
      <c r="AN95" s="450"/>
      <c r="AO95" s="446">
        <f t="shared" si="38"/>
        <v>49.997906931685314</v>
      </c>
      <c r="AP95" s="450">
        <f t="shared" si="39"/>
        <v>349.98534852179722</v>
      </c>
      <c r="AQ95" s="450">
        <f t="shared" si="40"/>
        <v>13.565348521797205</v>
      </c>
    </row>
    <row r="96" spans="1:43" s="443" customFormat="1">
      <c r="A96" s="443" t="str">
        <f t="shared" si="32"/>
        <v>Lewis County UTCCommercialSL065.0G1W001NORECC</v>
      </c>
      <c r="B96" s="443">
        <f t="shared" si="14"/>
        <v>1</v>
      </c>
      <c r="C96" s="452" t="s">
        <v>353</v>
      </c>
      <c r="D96" s="445" t="s">
        <v>354</v>
      </c>
      <c r="E96" s="446">
        <v>24.03</v>
      </c>
      <c r="F96" s="447">
        <v>1682.1</v>
      </c>
      <c r="G96" s="447">
        <v>1664.6099999999997</v>
      </c>
      <c r="H96" s="447">
        <v>1686.9299999999998</v>
      </c>
      <c r="I96" s="447">
        <v>1682.1</v>
      </c>
      <c r="J96" s="447">
        <v>1739.7699999999998</v>
      </c>
      <c r="K96" s="447">
        <v>1772.2099999999998</v>
      </c>
      <c r="L96" s="447">
        <v>1730.16</v>
      </c>
      <c r="M96" s="447">
        <v>1706.14</v>
      </c>
      <c r="N96" s="447">
        <v>1826.28</v>
      </c>
      <c r="O96" s="447">
        <v>1820.27</v>
      </c>
      <c r="P96" s="447">
        <v>1802.25</v>
      </c>
      <c r="Q96" s="447">
        <v>1817.8799999999999</v>
      </c>
      <c r="R96" s="447">
        <f t="shared" si="33"/>
        <v>20930.7</v>
      </c>
      <c r="S96" s="447"/>
      <c r="T96" s="447">
        <f t="shared" si="42"/>
        <v>70</v>
      </c>
      <c r="U96" s="447">
        <f t="shared" si="42"/>
        <v>69.272159800249668</v>
      </c>
      <c r="V96" s="447">
        <f t="shared" si="42"/>
        <v>70.200998751560533</v>
      </c>
      <c r="W96" s="447">
        <f t="shared" si="41"/>
        <v>70</v>
      </c>
      <c r="X96" s="447">
        <f t="shared" si="41"/>
        <v>72.399916770703271</v>
      </c>
      <c r="Y96" s="447">
        <f t="shared" si="41"/>
        <v>73.749895963379103</v>
      </c>
      <c r="Z96" s="447">
        <f t="shared" si="41"/>
        <v>72</v>
      </c>
      <c r="AA96" s="447">
        <f t="shared" si="41"/>
        <v>71.000416146483559</v>
      </c>
      <c r="AB96" s="447">
        <f t="shared" si="41"/>
        <v>76</v>
      </c>
      <c r="AC96" s="447">
        <f t="shared" si="41"/>
        <v>75.749895963379103</v>
      </c>
      <c r="AD96" s="447">
        <f t="shared" si="41"/>
        <v>75</v>
      </c>
      <c r="AE96" s="447">
        <f t="shared" si="41"/>
        <v>75.650436953807727</v>
      </c>
      <c r="AF96" s="448">
        <f t="shared" si="35"/>
        <v>871.02372034956295</v>
      </c>
      <c r="AG96" s="449">
        <f t="shared" si="36"/>
        <v>72.585310029130241</v>
      </c>
      <c r="AI96" s="443">
        <v>65</v>
      </c>
      <c r="AL96" s="443">
        <v>1</v>
      </c>
      <c r="AM96" s="450">
        <f t="shared" si="43"/>
        <v>72.585310029130241</v>
      </c>
      <c r="AN96" s="450"/>
      <c r="AO96" s="446">
        <f t="shared" si="38"/>
        <v>24.998953465842657</v>
      </c>
      <c r="AP96" s="450">
        <f t="shared" si="39"/>
        <v>21774.68145266387</v>
      </c>
      <c r="AQ96" s="450">
        <f t="shared" si="40"/>
        <v>843.98145266386928</v>
      </c>
    </row>
    <row r="97" spans="1:43" s="443" customFormat="1">
      <c r="A97" s="443" t="str">
        <f t="shared" si="32"/>
        <v>Lewis County UTCCommercialSL065.0GEO002NORECC</v>
      </c>
      <c r="B97" s="443">
        <f t="shared" si="14"/>
        <v>1</v>
      </c>
      <c r="C97" s="452" t="s">
        <v>355</v>
      </c>
      <c r="D97" s="445" t="s">
        <v>356</v>
      </c>
      <c r="E97" s="446">
        <v>24.09</v>
      </c>
      <c r="F97" s="447">
        <v>37.14</v>
      </c>
      <c r="G97" s="447">
        <v>37.14</v>
      </c>
      <c r="H97" s="447">
        <v>37.14</v>
      </c>
      <c r="I97" s="447">
        <v>37.14</v>
      </c>
      <c r="J97" s="447">
        <v>37.14</v>
      </c>
      <c r="K97" s="447">
        <v>37.14</v>
      </c>
      <c r="L97" s="447">
        <v>37.14</v>
      </c>
      <c r="M97" s="447">
        <v>37.14</v>
      </c>
      <c r="N97" s="447">
        <v>37.14</v>
      </c>
      <c r="O97" s="447">
        <v>37.14</v>
      </c>
      <c r="P97" s="447">
        <v>37.14</v>
      </c>
      <c r="Q97" s="447">
        <v>37.14</v>
      </c>
      <c r="R97" s="447">
        <f t="shared" si="33"/>
        <v>445.67999999999989</v>
      </c>
      <c r="S97" s="447"/>
      <c r="T97" s="447">
        <f t="shared" si="42"/>
        <v>1.5417185554171855</v>
      </c>
      <c r="U97" s="447">
        <f t="shared" si="42"/>
        <v>1.5417185554171855</v>
      </c>
      <c r="V97" s="447">
        <f t="shared" si="42"/>
        <v>1.5417185554171855</v>
      </c>
      <c r="W97" s="447">
        <f t="shared" si="41"/>
        <v>1.5417185554171855</v>
      </c>
      <c r="X97" s="447">
        <f t="shared" si="41"/>
        <v>1.5417185554171855</v>
      </c>
      <c r="Y97" s="447">
        <f t="shared" si="41"/>
        <v>1.5417185554171855</v>
      </c>
      <c r="Z97" s="447">
        <f t="shared" si="41"/>
        <v>1.5417185554171855</v>
      </c>
      <c r="AA97" s="447">
        <f t="shared" si="41"/>
        <v>1.5417185554171855</v>
      </c>
      <c r="AB97" s="447">
        <f t="shared" si="41"/>
        <v>1.5417185554171855</v>
      </c>
      <c r="AC97" s="447">
        <f t="shared" si="41"/>
        <v>1.5417185554171855</v>
      </c>
      <c r="AD97" s="447">
        <f t="shared" si="41"/>
        <v>1.5417185554171855</v>
      </c>
      <c r="AE97" s="447">
        <f t="shared" si="41"/>
        <v>1.5417185554171855</v>
      </c>
      <c r="AF97" s="448">
        <f t="shared" si="35"/>
        <v>18.500622665006226</v>
      </c>
      <c r="AG97" s="449">
        <f t="shared" si="36"/>
        <v>1.5417185554171855</v>
      </c>
      <c r="AI97" s="443">
        <v>65</v>
      </c>
      <c r="AL97" s="443">
        <v>2</v>
      </c>
      <c r="AM97" s="450">
        <f t="shared" si="43"/>
        <v>3.083437110834371</v>
      </c>
      <c r="AN97" s="450"/>
      <c r="AO97" s="446">
        <f t="shared" si="38"/>
        <v>25.061372825307931</v>
      </c>
      <c r="AP97" s="450">
        <f t="shared" si="39"/>
        <v>463.65100210806304</v>
      </c>
      <c r="AQ97" s="450">
        <f t="shared" si="40"/>
        <v>17.971002108063146</v>
      </c>
    </row>
    <row r="98" spans="1:43" s="443" customFormat="1">
      <c r="A98" s="443" t="str">
        <f t="shared" si="32"/>
        <v>Lewis County UTCCommercialSL065.0GEO001NORECC</v>
      </c>
      <c r="B98" s="443">
        <f t="shared" si="14"/>
        <v>1</v>
      </c>
      <c r="C98" s="452" t="s">
        <v>357</v>
      </c>
      <c r="D98" s="445" t="s">
        <v>358</v>
      </c>
      <c r="E98" s="446">
        <v>18.57</v>
      </c>
      <c r="F98" s="447">
        <v>1392.7499999999998</v>
      </c>
      <c r="G98" s="447">
        <v>1411.32</v>
      </c>
      <c r="H98" s="447">
        <v>1420.61</v>
      </c>
      <c r="I98" s="447">
        <v>1411.32</v>
      </c>
      <c r="J98" s="447">
        <v>1405.13</v>
      </c>
      <c r="K98" s="447">
        <v>1392.75</v>
      </c>
      <c r="L98" s="447">
        <v>1374.18</v>
      </c>
      <c r="M98" s="447">
        <v>1392.76</v>
      </c>
      <c r="N98" s="447">
        <v>1402.0500000000002</v>
      </c>
      <c r="O98" s="447">
        <v>1355.6100000000001</v>
      </c>
      <c r="P98" s="447">
        <v>1355.6100000000001</v>
      </c>
      <c r="Q98" s="447">
        <v>1327.7600000000002</v>
      </c>
      <c r="R98" s="447">
        <f t="shared" si="33"/>
        <v>16641.849999999999</v>
      </c>
      <c r="S98" s="447"/>
      <c r="T98" s="447">
        <f t="shared" si="42"/>
        <v>74.999999999999986</v>
      </c>
      <c r="U98" s="447">
        <f t="shared" si="42"/>
        <v>76</v>
      </c>
      <c r="V98" s="447">
        <f t="shared" si="42"/>
        <v>76.500269251480873</v>
      </c>
      <c r="W98" s="447">
        <f t="shared" si="41"/>
        <v>76</v>
      </c>
      <c r="X98" s="447">
        <f t="shared" si="41"/>
        <v>75.666666666666671</v>
      </c>
      <c r="Y98" s="447">
        <f t="shared" si="41"/>
        <v>75</v>
      </c>
      <c r="Z98" s="447">
        <f t="shared" si="41"/>
        <v>74</v>
      </c>
      <c r="AA98" s="447">
        <f t="shared" si="41"/>
        <v>75.00053850296176</v>
      </c>
      <c r="AB98" s="447">
        <f t="shared" si="41"/>
        <v>75.500807754442661</v>
      </c>
      <c r="AC98" s="447">
        <f t="shared" si="41"/>
        <v>73</v>
      </c>
      <c r="AD98" s="447">
        <f t="shared" si="41"/>
        <v>73</v>
      </c>
      <c r="AE98" s="447">
        <f t="shared" si="41"/>
        <v>71.500269251480887</v>
      </c>
      <c r="AF98" s="448">
        <f t="shared" si="35"/>
        <v>896.16855142703287</v>
      </c>
      <c r="AG98" s="449">
        <f t="shared" si="36"/>
        <v>74.680712618919401</v>
      </c>
      <c r="AI98" s="443">
        <v>65</v>
      </c>
      <c r="AL98" s="443">
        <v>1</v>
      </c>
      <c r="AM98" s="450">
        <f t="shared" si="43"/>
        <v>74.680712618919401</v>
      </c>
      <c r="AN98" s="450"/>
      <c r="AO98" s="446">
        <f t="shared" si="38"/>
        <v>19.318791754502627</v>
      </c>
      <c r="AP98" s="450">
        <f t="shared" si="39"/>
        <v>17312.893621953124</v>
      </c>
      <c r="AQ98" s="450">
        <f t="shared" si="40"/>
        <v>671.04362195312569</v>
      </c>
    </row>
    <row r="99" spans="1:43" s="443" customFormat="1">
      <c r="A99" s="443" t="str">
        <f t="shared" si="32"/>
        <v>Lewis County UTCCommercialSL095.0G1W001NORECC</v>
      </c>
      <c r="B99" s="443">
        <f t="shared" si="14"/>
        <v>1</v>
      </c>
      <c r="C99" s="452" t="s">
        <v>359</v>
      </c>
      <c r="D99" s="445" t="s">
        <v>360</v>
      </c>
      <c r="E99" s="446">
        <v>33.08</v>
      </c>
      <c r="F99" s="447">
        <v>3440.3199999999997</v>
      </c>
      <c r="G99" s="447">
        <v>3499.8599999999997</v>
      </c>
      <c r="H99" s="447">
        <v>3532.9399999999996</v>
      </c>
      <c r="I99" s="447">
        <v>3499.8599999999997</v>
      </c>
      <c r="J99" s="447">
        <v>3698.3599999999997</v>
      </c>
      <c r="K99" s="447">
        <v>3784.35</v>
      </c>
      <c r="L99" s="447">
        <v>3886.9</v>
      </c>
      <c r="M99" s="447">
        <v>3837.28</v>
      </c>
      <c r="N99" s="447">
        <v>3804.2</v>
      </c>
      <c r="O99" s="447">
        <v>3491.5899999999997</v>
      </c>
      <c r="P99" s="447">
        <v>3355.97</v>
      </c>
      <c r="Q99" s="447">
        <v>3453.56</v>
      </c>
      <c r="R99" s="447">
        <f t="shared" si="33"/>
        <v>43285.189999999995</v>
      </c>
      <c r="S99" s="447"/>
      <c r="T99" s="447">
        <f t="shared" si="42"/>
        <v>104</v>
      </c>
      <c r="U99" s="447">
        <f t="shared" si="42"/>
        <v>105.79987908101572</v>
      </c>
      <c r="V99" s="447">
        <f t="shared" si="42"/>
        <v>106.79987908101572</v>
      </c>
      <c r="W99" s="447">
        <f t="shared" si="41"/>
        <v>105.79987908101572</v>
      </c>
      <c r="X99" s="447">
        <f t="shared" si="41"/>
        <v>111.80048367593712</v>
      </c>
      <c r="Y99" s="447">
        <f t="shared" si="41"/>
        <v>114.39993954050786</v>
      </c>
      <c r="Z99" s="447">
        <f t="shared" si="41"/>
        <v>117.50000000000001</v>
      </c>
      <c r="AA99" s="447">
        <f t="shared" si="41"/>
        <v>116.00000000000001</v>
      </c>
      <c r="AB99" s="447">
        <f t="shared" si="41"/>
        <v>115</v>
      </c>
      <c r="AC99" s="447">
        <f t="shared" si="41"/>
        <v>105.54987908101572</v>
      </c>
      <c r="AD99" s="447">
        <f t="shared" si="41"/>
        <v>101.45012091898428</v>
      </c>
      <c r="AE99" s="447">
        <f t="shared" si="41"/>
        <v>104.40024183796857</v>
      </c>
      <c r="AF99" s="448">
        <f t="shared" si="35"/>
        <v>1308.5003022974606</v>
      </c>
      <c r="AG99" s="449">
        <f t="shared" si="36"/>
        <v>109.04169185812172</v>
      </c>
      <c r="AI99" s="443">
        <v>95</v>
      </c>
      <c r="AL99" s="443">
        <v>1</v>
      </c>
      <c r="AM99" s="450">
        <f t="shared" si="43"/>
        <v>109.04169185812172</v>
      </c>
      <c r="AN99" s="450"/>
      <c r="AO99" s="446">
        <f t="shared" si="38"/>
        <v>34.41387351852164</v>
      </c>
      <c r="AP99" s="450">
        <f t="shared" si="39"/>
        <v>45030.56390221214</v>
      </c>
      <c r="AQ99" s="450">
        <f t="shared" si="40"/>
        <v>1745.3739022121445</v>
      </c>
    </row>
    <row r="100" spans="1:43" s="443" customFormat="1">
      <c r="A100" s="443" t="str">
        <f t="shared" si="32"/>
        <v>Lewis County UTCCommercialSL095.0GEO001NORECC</v>
      </c>
      <c r="B100" s="443">
        <f t="shared" si="14"/>
        <v>1</v>
      </c>
      <c r="C100" s="452" t="s">
        <v>361</v>
      </c>
      <c r="D100" s="445" t="s">
        <v>362</v>
      </c>
      <c r="E100" s="446">
        <v>22.67</v>
      </c>
      <c r="F100" s="447">
        <v>861.46</v>
      </c>
      <c r="G100" s="447">
        <v>850.13</v>
      </c>
      <c r="H100" s="447">
        <v>838.79</v>
      </c>
      <c r="I100" s="447">
        <v>816.12</v>
      </c>
      <c r="J100" s="447">
        <v>816.12</v>
      </c>
      <c r="K100" s="447">
        <v>827.46</v>
      </c>
      <c r="L100" s="447">
        <v>816.11999999999989</v>
      </c>
      <c r="M100" s="447">
        <v>785.8900000000001</v>
      </c>
      <c r="N100" s="447">
        <v>770.78</v>
      </c>
      <c r="O100" s="447">
        <v>748.1099999999999</v>
      </c>
      <c r="P100" s="447">
        <v>725.43999999999994</v>
      </c>
      <c r="Q100" s="447">
        <v>736.78</v>
      </c>
      <c r="R100" s="447">
        <f t="shared" si="33"/>
        <v>9593.2000000000007</v>
      </c>
      <c r="S100" s="447"/>
      <c r="T100" s="447">
        <f t="shared" si="42"/>
        <v>38</v>
      </c>
      <c r="U100" s="447">
        <f t="shared" si="42"/>
        <v>37.500220555800617</v>
      </c>
      <c r="V100" s="447">
        <f t="shared" si="42"/>
        <v>36.999999999999993</v>
      </c>
      <c r="W100" s="447">
        <f t="shared" si="41"/>
        <v>36</v>
      </c>
      <c r="X100" s="447">
        <f t="shared" si="41"/>
        <v>36</v>
      </c>
      <c r="Y100" s="447">
        <f t="shared" si="41"/>
        <v>36.500220555800617</v>
      </c>
      <c r="Z100" s="447">
        <f t="shared" si="41"/>
        <v>35.999999999999993</v>
      </c>
      <c r="AA100" s="447">
        <f t="shared" si="41"/>
        <v>34.666519629466258</v>
      </c>
      <c r="AB100" s="447">
        <f t="shared" si="41"/>
        <v>33.999999999999993</v>
      </c>
      <c r="AC100" s="447">
        <f t="shared" si="41"/>
        <v>32.999999999999993</v>
      </c>
      <c r="AD100" s="447">
        <f t="shared" si="41"/>
        <v>31.999999999999996</v>
      </c>
      <c r="AE100" s="447">
        <f t="shared" si="41"/>
        <v>32.500220555800617</v>
      </c>
      <c r="AF100" s="448">
        <f t="shared" si="35"/>
        <v>423.16718129686814</v>
      </c>
      <c r="AG100" s="449">
        <f t="shared" si="36"/>
        <v>35.263931774739014</v>
      </c>
      <c r="AI100" s="443">
        <v>95</v>
      </c>
      <c r="AL100" s="443">
        <v>1</v>
      </c>
      <c r="AM100" s="450">
        <f t="shared" si="43"/>
        <v>35.263931774739014</v>
      </c>
      <c r="AN100" s="450"/>
      <c r="AO100" s="446">
        <f t="shared" si="38"/>
        <v>23.584114651296424</v>
      </c>
      <c r="AP100" s="450">
        <f t="shared" si="39"/>
        <v>9980.0233203712796</v>
      </c>
      <c r="AQ100" s="450">
        <f t="shared" si="40"/>
        <v>386.8233203712789</v>
      </c>
    </row>
    <row r="101" spans="1:43" s="443" customFormat="1">
      <c r="A101" s="455" t="str">
        <f t="shared" si="32"/>
        <v>Lewis County UTCCommercialRL001.0YXX001TEMPC</v>
      </c>
      <c r="B101" s="455">
        <f t="shared" si="14"/>
        <v>1</v>
      </c>
      <c r="C101" s="452" t="s">
        <v>363</v>
      </c>
      <c r="D101" s="445" t="s">
        <v>364</v>
      </c>
      <c r="E101" s="446">
        <v>24.41</v>
      </c>
      <c r="F101" s="447">
        <v>48.82</v>
      </c>
      <c r="G101" s="447">
        <v>24.41</v>
      </c>
      <c r="H101" s="447">
        <v>24.41</v>
      </c>
      <c r="I101" s="447">
        <v>48.82</v>
      </c>
      <c r="J101" s="447">
        <v>0</v>
      </c>
      <c r="K101" s="447">
        <v>73.23</v>
      </c>
      <c r="L101" s="447">
        <v>0</v>
      </c>
      <c r="M101" s="447">
        <v>0</v>
      </c>
      <c r="N101" s="447">
        <v>0</v>
      </c>
      <c r="O101" s="447">
        <v>24.41</v>
      </c>
      <c r="P101" s="447">
        <v>24.41</v>
      </c>
      <c r="Q101" s="447">
        <v>24.41</v>
      </c>
      <c r="R101" s="447">
        <f t="shared" si="33"/>
        <v>292.92</v>
      </c>
      <c r="S101" s="447"/>
      <c r="T101" s="447">
        <f t="shared" si="42"/>
        <v>2</v>
      </c>
      <c r="U101" s="447">
        <f t="shared" si="42"/>
        <v>1</v>
      </c>
      <c r="V101" s="447">
        <f t="shared" si="42"/>
        <v>1</v>
      </c>
      <c r="W101" s="447">
        <f t="shared" si="41"/>
        <v>2</v>
      </c>
      <c r="X101" s="447">
        <f t="shared" si="41"/>
        <v>0</v>
      </c>
      <c r="Y101" s="447">
        <f t="shared" si="41"/>
        <v>3</v>
      </c>
      <c r="Z101" s="447">
        <f t="shared" si="41"/>
        <v>0</v>
      </c>
      <c r="AA101" s="447">
        <f t="shared" si="41"/>
        <v>0</v>
      </c>
      <c r="AB101" s="447">
        <f t="shared" si="41"/>
        <v>0</v>
      </c>
      <c r="AC101" s="447">
        <f t="shared" si="41"/>
        <v>1</v>
      </c>
      <c r="AD101" s="447">
        <f t="shared" si="41"/>
        <v>1</v>
      </c>
      <c r="AE101" s="447">
        <f t="shared" si="41"/>
        <v>1</v>
      </c>
      <c r="AF101" s="448">
        <f t="shared" si="35"/>
        <v>12</v>
      </c>
      <c r="AG101" s="449">
        <f t="shared" si="36"/>
        <v>1</v>
      </c>
      <c r="AK101" s="443">
        <v>1</v>
      </c>
      <c r="AL101" s="443">
        <v>1</v>
      </c>
      <c r="AM101" s="450">
        <f t="shared" si="43"/>
        <v>1</v>
      </c>
      <c r="AN101" s="450"/>
      <c r="AO101" s="446">
        <f t="shared" si="38"/>
        <v>25.394276075789399</v>
      </c>
      <c r="AP101" s="450">
        <f t="shared" si="39"/>
        <v>304.73131290947276</v>
      </c>
      <c r="AQ101" s="450">
        <f t="shared" si="40"/>
        <v>11.811312909472747</v>
      </c>
    </row>
    <row r="102" spans="1:43" s="443" customFormat="1">
      <c r="A102" s="455" t="str">
        <f t="shared" si="32"/>
        <v>Lewis County UTCCommercialFL001.0YXX001TEMPC</v>
      </c>
      <c r="B102" s="455">
        <f t="shared" si="14"/>
        <v>1</v>
      </c>
      <c r="C102" s="452" t="s">
        <v>365</v>
      </c>
      <c r="D102" s="445" t="s">
        <v>366</v>
      </c>
      <c r="E102" s="446">
        <v>24.41</v>
      </c>
      <c r="F102" s="447">
        <v>0</v>
      </c>
      <c r="G102" s="447">
        <v>48.82</v>
      </c>
      <c r="H102" s="447">
        <v>0</v>
      </c>
      <c r="I102" s="447">
        <v>0</v>
      </c>
      <c r="J102" s="447">
        <v>0</v>
      </c>
      <c r="K102" s="447">
        <v>0</v>
      </c>
      <c r="L102" s="447">
        <v>0</v>
      </c>
      <c r="M102" s="447">
        <v>0</v>
      </c>
      <c r="N102" s="447">
        <v>0</v>
      </c>
      <c r="O102" s="447">
        <v>0</v>
      </c>
      <c r="P102" s="447">
        <v>0</v>
      </c>
      <c r="Q102" s="447">
        <v>0</v>
      </c>
      <c r="R102" s="447">
        <f t="shared" si="33"/>
        <v>48.82</v>
      </c>
      <c r="S102" s="447"/>
      <c r="T102" s="447">
        <f t="shared" si="42"/>
        <v>0</v>
      </c>
      <c r="U102" s="447">
        <f t="shared" si="42"/>
        <v>2</v>
      </c>
      <c r="V102" s="447">
        <f t="shared" si="42"/>
        <v>0</v>
      </c>
      <c r="W102" s="447">
        <f t="shared" si="41"/>
        <v>0</v>
      </c>
      <c r="X102" s="447">
        <f t="shared" si="41"/>
        <v>0</v>
      </c>
      <c r="Y102" s="447">
        <f t="shared" si="41"/>
        <v>0</v>
      </c>
      <c r="Z102" s="447">
        <f t="shared" si="41"/>
        <v>0</v>
      </c>
      <c r="AA102" s="447">
        <f t="shared" si="41"/>
        <v>0</v>
      </c>
      <c r="AB102" s="447">
        <f t="shared" si="41"/>
        <v>0</v>
      </c>
      <c r="AC102" s="447">
        <f t="shared" si="41"/>
        <v>0</v>
      </c>
      <c r="AD102" s="447">
        <f t="shared" si="41"/>
        <v>0</v>
      </c>
      <c r="AE102" s="447">
        <f t="shared" si="41"/>
        <v>0</v>
      </c>
      <c r="AF102" s="448">
        <f t="shared" si="35"/>
        <v>2</v>
      </c>
      <c r="AG102" s="449">
        <f t="shared" si="36"/>
        <v>0.16666666666666666</v>
      </c>
      <c r="AK102" s="443">
        <v>1</v>
      </c>
      <c r="AL102" s="443">
        <v>1</v>
      </c>
      <c r="AM102" s="450">
        <f t="shared" si="43"/>
        <v>0.16666666666666666</v>
      </c>
      <c r="AN102" s="450"/>
      <c r="AO102" s="446">
        <f t="shared" si="38"/>
        <v>25.394276075789399</v>
      </c>
      <c r="AP102" s="450">
        <f t="shared" si="39"/>
        <v>50.788552151578799</v>
      </c>
      <c r="AQ102" s="450">
        <f t="shared" si="40"/>
        <v>1.9685521515787983</v>
      </c>
    </row>
    <row r="103" spans="1:43" s="443" customFormat="1">
      <c r="A103" s="455" t="str">
        <f t="shared" si="32"/>
        <v>Lewis County UTCCommercialRL001.5YXX001TEMPC</v>
      </c>
      <c r="B103" s="455">
        <f t="shared" si="14"/>
        <v>1</v>
      </c>
      <c r="C103" s="452" t="s">
        <v>367</v>
      </c>
      <c r="D103" s="445" t="s">
        <v>368</v>
      </c>
      <c r="E103" s="446">
        <v>32.67</v>
      </c>
      <c r="F103" s="447">
        <v>0</v>
      </c>
      <c r="G103" s="447">
        <v>32.67</v>
      </c>
      <c r="H103" s="447">
        <v>65.34</v>
      </c>
      <c r="I103" s="447">
        <v>32.67</v>
      </c>
      <c r="J103" s="447">
        <v>65.34</v>
      </c>
      <c r="K103" s="447">
        <v>32.67</v>
      </c>
      <c r="L103" s="447">
        <v>0</v>
      </c>
      <c r="M103" s="447">
        <v>0</v>
      </c>
      <c r="N103" s="447">
        <v>0</v>
      </c>
      <c r="O103" s="447">
        <v>0</v>
      </c>
      <c r="P103" s="447">
        <v>0</v>
      </c>
      <c r="Q103" s="447">
        <v>0</v>
      </c>
      <c r="R103" s="447">
        <f t="shared" si="33"/>
        <v>228.69</v>
      </c>
      <c r="S103" s="447"/>
      <c r="T103" s="447">
        <f t="shared" si="42"/>
        <v>0</v>
      </c>
      <c r="U103" s="447">
        <f t="shared" si="42"/>
        <v>1</v>
      </c>
      <c r="V103" s="447">
        <f t="shared" si="42"/>
        <v>2</v>
      </c>
      <c r="W103" s="447">
        <f t="shared" si="41"/>
        <v>1</v>
      </c>
      <c r="X103" s="447">
        <f t="shared" si="41"/>
        <v>2</v>
      </c>
      <c r="Y103" s="447">
        <f t="shared" si="41"/>
        <v>1</v>
      </c>
      <c r="Z103" s="447">
        <f t="shared" si="41"/>
        <v>0</v>
      </c>
      <c r="AA103" s="447">
        <f t="shared" si="41"/>
        <v>0</v>
      </c>
      <c r="AB103" s="447">
        <f t="shared" si="41"/>
        <v>0</v>
      </c>
      <c r="AC103" s="447">
        <f t="shared" si="41"/>
        <v>0</v>
      </c>
      <c r="AD103" s="447">
        <f t="shared" si="41"/>
        <v>0</v>
      </c>
      <c r="AE103" s="447">
        <f t="shared" si="41"/>
        <v>0</v>
      </c>
      <c r="AF103" s="448">
        <f t="shared" si="35"/>
        <v>7</v>
      </c>
      <c r="AG103" s="449">
        <f t="shared" si="36"/>
        <v>0.58333333333333337</v>
      </c>
      <c r="AK103" s="443">
        <v>1.5</v>
      </c>
      <c r="AL103" s="443">
        <v>1</v>
      </c>
      <c r="AM103" s="450">
        <f t="shared" si="43"/>
        <v>0.58333333333333337</v>
      </c>
      <c r="AN103" s="450"/>
      <c r="AO103" s="446">
        <f t="shared" si="38"/>
        <v>33.987341228842261</v>
      </c>
      <c r="AP103" s="450">
        <f t="shared" si="39"/>
        <v>237.91138860189582</v>
      </c>
      <c r="AQ103" s="450">
        <f t="shared" si="40"/>
        <v>9.2213886018958249</v>
      </c>
    </row>
    <row r="104" spans="1:43" s="443" customFormat="1">
      <c r="A104" s="455" t="str">
        <f t="shared" si="32"/>
        <v>Lewis County UTCCommercialRL002.0YXX001TEMPC</v>
      </c>
      <c r="B104" s="455">
        <f t="shared" ref="B104:B145" si="44">COUNTIF(C:C,C104)</f>
        <v>1</v>
      </c>
      <c r="C104" s="452" t="s">
        <v>369</v>
      </c>
      <c r="D104" s="445" t="s">
        <v>370</v>
      </c>
      <c r="E104" s="446">
        <v>43.52</v>
      </c>
      <c r="F104" s="447">
        <v>391.68</v>
      </c>
      <c r="G104" s="447">
        <v>435.2</v>
      </c>
      <c r="H104" s="447">
        <v>913.92000000000007</v>
      </c>
      <c r="I104" s="447">
        <v>478.72</v>
      </c>
      <c r="J104" s="447">
        <v>652.79999999999995</v>
      </c>
      <c r="K104" s="447">
        <v>522.24</v>
      </c>
      <c r="L104" s="447">
        <v>130.56</v>
      </c>
      <c r="M104" s="447">
        <v>652.79999999999995</v>
      </c>
      <c r="N104" s="447">
        <v>348.15999999999997</v>
      </c>
      <c r="O104" s="447">
        <v>391.68</v>
      </c>
      <c r="P104" s="447">
        <v>304.64</v>
      </c>
      <c r="Q104" s="447">
        <v>435.2</v>
      </c>
      <c r="R104" s="447">
        <f t="shared" si="33"/>
        <v>5657.6</v>
      </c>
      <c r="S104" s="447"/>
      <c r="T104" s="447">
        <f t="shared" si="42"/>
        <v>9</v>
      </c>
      <c r="U104" s="447">
        <f t="shared" si="42"/>
        <v>9.9999999999999982</v>
      </c>
      <c r="V104" s="447">
        <f t="shared" si="42"/>
        <v>21</v>
      </c>
      <c r="W104" s="447">
        <f t="shared" si="41"/>
        <v>11</v>
      </c>
      <c r="X104" s="447">
        <f t="shared" si="41"/>
        <v>14.999999999999998</v>
      </c>
      <c r="Y104" s="447">
        <f t="shared" si="41"/>
        <v>12</v>
      </c>
      <c r="Z104" s="447">
        <f t="shared" si="41"/>
        <v>3</v>
      </c>
      <c r="AA104" s="447">
        <f t="shared" si="41"/>
        <v>14.999999999999998</v>
      </c>
      <c r="AB104" s="447">
        <f t="shared" si="41"/>
        <v>7.9999999999999991</v>
      </c>
      <c r="AC104" s="447">
        <f t="shared" si="41"/>
        <v>9</v>
      </c>
      <c r="AD104" s="447">
        <f t="shared" si="41"/>
        <v>6.9999999999999991</v>
      </c>
      <c r="AE104" s="447">
        <f t="shared" si="41"/>
        <v>9.9999999999999982</v>
      </c>
      <c r="AF104" s="448">
        <f t="shared" si="35"/>
        <v>130</v>
      </c>
      <c r="AG104" s="449">
        <f t="shared" si="36"/>
        <v>10.833333333333334</v>
      </c>
      <c r="AK104" s="443">
        <v>2</v>
      </c>
      <c r="AL104" s="443">
        <v>1</v>
      </c>
      <c r="AM104" s="450">
        <f t="shared" si="43"/>
        <v>10.833333333333334</v>
      </c>
      <c r="AN104" s="450"/>
      <c r="AO104" s="446">
        <f t="shared" si="38"/>
        <v>45.274842065479504</v>
      </c>
      <c r="AP104" s="450">
        <f t="shared" si="39"/>
        <v>5885.7294685123352</v>
      </c>
      <c r="AQ104" s="450">
        <f t="shared" si="40"/>
        <v>228.12946851233482</v>
      </c>
    </row>
    <row r="105" spans="1:43" s="443" customFormat="1">
      <c r="A105" s="455" t="str">
        <f t="shared" si="32"/>
        <v>Lewis County UTCCommercialFL002.0YXX001TEMPC</v>
      </c>
      <c r="B105" s="455">
        <f t="shared" si="44"/>
        <v>1</v>
      </c>
      <c r="C105" s="452" t="s">
        <v>371</v>
      </c>
      <c r="D105" s="445" t="s">
        <v>372</v>
      </c>
      <c r="E105" s="446">
        <v>43.52</v>
      </c>
      <c r="F105" s="447">
        <v>0</v>
      </c>
      <c r="G105" s="447">
        <v>0</v>
      </c>
      <c r="H105" s="447">
        <v>43.52</v>
      </c>
      <c r="I105" s="447">
        <v>43.52</v>
      </c>
      <c r="J105" s="447">
        <v>0</v>
      </c>
      <c r="K105" s="447">
        <v>0</v>
      </c>
      <c r="L105" s="447">
        <v>43.52</v>
      </c>
      <c r="M105" s="447">
        <v>0</v>
      </c>
      <c r="N105" s="447">
        <v>0</v>
      </c>
      <c r="O105" s="447">
        <v>0</v>
      </c>
      <c r="P105" s="447">
        <v>0</v>
      </c>
      <c r="Q105" s="447">
        <v>0</v>
      </c>
      <c r="R105" s="447">
        <f t="shared" si="33"/>
        <v>130.56</v>
      </c>
      <c r="S105" s="447"/>
      <c r="T105" s="447">
        <f t="shared" si="42"/>
        <v>0</v>
      </c>
      <c r="U105" s="447">
        <f t="shared" si="42"/>
        <v>0</v>
      </c>
      <c r="V105" s="447">
        <f t="shared" si="42"/>
        <v>1</v>
      </c>
      <c r="W105" s="447">
        <f t="shared" si="41"/>
        <v>1</v>
      </c>
      <c r="X105" s="447">
        <f t="shared" si="41"/>
        <v>0</v>
      </c>
      <c r="Y105" s="447">
        <f t="shared" si="41"/>
        <v>0</v>
      </c>
      <c r="Z105" s="447">
        <f t="shared" si="41"/>
        <v>1</v>
      </c>
      <c r="AA105" s="447">
        <f t="shared" si="41"/>
        <v>0</v>
      </c>
      <c r="AB105" s="447">
        <f t="shared" si="41"/>
        <v>0</v>
      </c>
      <c r="AC105" s="447">
        <f t="shared" si="41"/>
        <v>0</v>
      </c>
      <c r="AD105" s="447">
        <f t="shared" si="41"/>
        <v>0</v>
      </c>
      <c r="AE105" s="447">
        <f t="shared" si="41"/>
        <v>0</v>
      </c>
      <c r="AF105" s="448">
        <f t="shared" si="35"/>
        <v>3</v>
      </c>
      <c r="AG105" s="449">
        <f t="shared" si="36"/>
        <v>0.25</v>
      </c>
      <c r="AK105" s="443">
        <v>2</v>
      </c>
      <c r="AL105" s="443">
        <v>1</v>
      </c>
      <c r="AM105" s="450">
        <f t="shared" si="43"/>
        <v>0.25</v>
      </c>
      <c r="AN105" s="450"/>
      <c r="AO105" s="446">
        <f t="shared" si="38"/>
        <v>45.274842065479504</v>
      </c>
      <c r="AP105" s="450">
        <f t="shared" si="39"/>
        <v>135.82452619643851</v>
      </c>
      <c r="AQ105" s="450">
        <f t="shared" si="40"/>
        <v>5.2645261964385099</v>
      </c>
    </row>
    <row r="106" spans="1:43" s="443" customFormat="1">
      <c r="A106" s="455" t="str">
        <f t="shared" si="32"/>
        <v>Lewis County UTCCommercialFL003.0YXX001TEMPC</v>
      </c>
      <c r="B106" s="455">
        <f t="shared" si="44"/>
        <v>1</v>
      </c>
      <c r="C106" s="452" t="s">
        <v>373</v>
      </c>
      <c r="D106" s="445" t="s">
        <v>374</v>
      </c>
      <c r="E106" s="446">
        <v>54.12</v>
      </c>
      <c r="F106" s="447">
        <v>162.35999999999999</v>
      </c>
      <c r="G106" s="447">
        <v>378.84000000000003</v>
      </c>
      <c r="H106" s="447">
        <v>324.72000000000003</v>
      </c>
      <c r="I106" s="447">
        <v>270.60000000000002</v>
      </c>
      <c r="J106" s="447">
        <v>216.48</v>
      </c>
      <c r="K106" s="447">
        <v>162.36000000000001</v>
      </c>
      <c r="L106" s="447">
        <v>54.12</v>
      </c>
      <c r="M106" s="447">
        <v>108.24</v>
      </c>
      <c r="N106" s="447">
        <v>54.12</v>
      </c>
      <c r="O106" s="447">
        <v>108.24</v>
      </c>
      <c r="P106" s="447">
        <v>324.71999999999997</v>
      </c>
      <c r="Q106" s="447">
        <v>487.08000000000004</v>
      </c>
      <c r="R106" s="447">
        <f t="shared" si="33"/>
        <v>2651.8799999999997</v>
      </c>
      <c r="S106" s="447"/>
      <c r="T106" s="447">
        <f t="shared" si="42"/>
        <v>3</v>
      </c>
      <c r="U106" s="447">
        <f t="shared" si="42"/>
        <v>7.0000000000000009</v>
      </c>
      <c r="V106" s="447">
        <f t="shared" si="42"/>
        <v>6.0000000000000009</v>
      </c>
      <c r="W106" s="447">
        <f t="shared" si="41"/>
        <v>5.0000000000000009</v>
      </c>
      <c r="X106" s="447">
        <f t="shared" si="41"/>
        <v>4</v>
      </c>
      <c r="Y106" s="447">
        <f t="shared" si="41"/>
        <v>3.0000000000000004</v>
      </c>
      <c r="Z106" s="447">
        <f t="shared" si="41"/>
        <v>1</v>
      </c>
      <c r="AA106" s="447">
        <f t="shared" si="41"/>
        <v>2</v>
      </c>
      <c r="AB106" s="447">
        <f t="shared" si="41"/>
        <v>1</v>
      </c>
      <c r="AC106" s="447">
        <f t="shared" si="41"/>
        <v>2</v>
      </c>
      <c r="AD106" s="447">
        <f t="shared" si="41"/>
        <v>6</v>
      </c>
      <c r="AE106" s="447">
        <f t="shared" si="41"/>
        <v>9.0000000000000018</v>
      </c>
      <c r="AF106" s="448">
        <f t="shared" si="35"/>
        <v>49</v>
      </c>
      <c r="AG106" s="449">
        <f t="shared" si="36"/>
        <v>4.083333333333333</v>
      </c>
      <c r="AK106" s="443">
        <v>3</v>
      </c>
      <c r="AL106" s="443">
        <v>1</v>
      </c>
      <c r="AM106" s="450">
        <f t="shared" si="43"/>
        <v>4.083333333333333</v>
      </c>
      <c r="AN106" s="450"/>
      <c r="AO106" s="446">
        <f t="shared" si="38"/>
        <v>56.302262237678086</v>
      </c>
      <c r="AP106" s="450">
        <f t="shared" si="39"/>
        <v>2758.8108496462264</v>
      </c>
      <c r="AQ106" s="450">
        <f t="shared" si="40"/>
        <v>106.93084964622676</v>
      </c>
    </row>
    <row r="107" spans="1:43" s="443" customFormat="1">
      <c r="A107" s="455" t="str">
        <f t="shared" si="32"/>
        <v>Lewis County UTCCommercialFL004.0YXX001TEMPC</v>
      </c>
      <c r="B107" s="455">
        <f t="shared" si="44"/>
        <v>1</v>
      </c>
      <c r="C107" s="452" t="s">
        <v>375</v>
      </c>
      <c r="D107" s="445" t="s">
        <v>376</v>
      </c>
      <c r="E107" s="446">
        <v>65.67</v>
      </c>
      <c r="F107" s="447">
        <v>394.02000000000004</v>
      </c>
      <c r="G107" s="447">
        <v>197.01</v>
      </c>
      <c r="H107" s="447">
        <v>197.01</v>
      </c>
      <c r="I107" s="447">
        <v>328.35</v>
      </c>
      <c r="J107" s="447">
        <v>0</v>
      </c>
      <c r="K107" s="447">
        <v>0</v>
      </c>
      <c r="L107" s="447">
        <v>0</v>
      </c>
      <c r="M107" s="447">
        <v>0</v>
      </c>
      <c r="N107" s="447">
        <v>0</v>
      </c>
      <c r="O107" s="447">
        <v>65.67</v>
      </c>
      <c r="P107" s="447">
        <v>131.34</v>
      </c>
      <c r="Q107" s="447">
        <v>197.01</v>
      </c>
      <c r="R107" s="447">
        <f t="shared" si="33"/>
        <v>1510.4099999999999</v>
      </c>
      <c r="S107" s="447"/>
      <c r="T107" s="447">
        <f t="shared" si="42"/>
        <v>6</v>
      </c>
      <c r="U107" s="447">
        <f t="shared" si="42"/>
        <v>3</v>
      </c>
      <c r="V107" s="447">
        <f t="shared" si="42"/>
        <v>3</v>
      </c>
      <c r="W107" s="447">
        <f t="shared" si="41"/>
        <v>5</v>
      </c>
      <c r="X107" s="447">
        <f t="shared" si="41"/>
        <v>0</v>
      </c>
      <c r="Y107" s="447">
        <f t="shared" si="41"/>
        <v>0</v>
      </c>
      <c r="Z107" s="447">
        <f t="shared" si="41"/>
        <v>0</v>
      </c>
      <c r="AA107" s="447">
        <f t="shared" si="41"/>
        <v>0</v>
      </c>
      <c r="AB107" s="447">
        <f t="shared" si="41"/>
        <v>0</v>
      </c>
      <c r="AC107" s="447">
        <f t="shared" si="41"/>
        <v>1</v>
      </c>
      <c r="AD107" s="447">
        <f t="shared" si="41"/>
        <v>2</v>
      </c>
      <c r="AE107" s="447">
        <f t="shared" si="41"/>
        <v>3</v>
      </c>
      <c r="AF107" s="448">
        <f t="shared" si="35"/>
        <v>23</v>
      </c>
      <c r="AG107" s="449">
        <f t="shared" si="36"/>
        <v>1.9166666666666667</v>
      </c>
      <c r="AK107" s="443">
        <v>4</v>
      </c>
      <c r="AL107" s="443">
        <v>1</v>
      </c>
      <c r="AM107" s="450">
        <f t="shared" si="43"/>
        <v>1.9166666666666667</v>
      </c>
      <c r="AN107" s="450"/>
      <c r="AO107" s="446">
        <f t="shared" si="38"/>
        <v>68.317988934743539</v>
      </c>
      <c r="AP107" s="450">
        <f t="shared" si="39"/>
        <v>1571.3137454991015</v>
      </c>
      <c r="AQ107" s="450">
        <f t="shared" si="40"/>
        <v>60.90374549910166</v>
      </c>
    </row>
    <row r="108" spans="1:43" s="443" customFormat="1">
      <c r="A108" s="443" t="str">
        <f t="shared" si="32"/>
        <v>Lewis County UTCCommercialFL006.0YXX001TEMPC</v>
      </c>
      <c r="B108" s="443">
        <f t="shared" si="44"/>
        <v>1</v>
      </c>
      <c r="C108" s="452" t="s">
        <v>377</v>
      </c>
      <c r="D108" s="445" t="s">
        <v>378</v>
      </c>
      <c r="E108" s="446">
        <v>86.8</v>
      </c>
      <c r="F108" s="447">
        <v>2690.8</v>
      </c>
      <c r="G108" s="447">
        <v>2230</v>
      </c>
      <c r="H108" s="447">
        <v>2517.1999999999998</v>
      </c>
      <c r="I108" s="447">
        <v>4166.3999999999996</v>
      </c>
      <c r="J108" s="447">
        <v>1041.5999999999999</v>
      </c>
      <c r="K108" s="447">
        <v>1475.6</v>
      </c>
      <c r="L108" s="447">
        <v>260.39999999999998</v>
      </c>
      <c r="M108" s="447">
        <v>520.79999999999995</v>
      </c>
      <c r="N108" s="447">
        <v>260.39999999999998</v>
      </c>
      <c r="O108" s="447">
        <v>867.99999999999989</v>
      </c>
      <c r="P108" s="447">
        <v>1302</v>
      </c>
      <c r="Q108" s="447">
        <v>1736</v>
      </c>
      <c r="R108" s="447">
        <f t="shared" si="33"/>
        <v>19069.199999999997</v>
      </c>
      <c r="S108" s="447"/>
      <c r="T108" s="447">
        <f t="shared" si="42"/>
        <v>31.000000000000004</v>
      </c>
      <c r="U108" s="447">
        <f t="shared" si="42"/>
        <v>25.691244239631338</v>
      </c>
      <c r="V108" s="447">
        <f t="shared" si="42"/>
        <v>29</v>
      </c>
      <c r="W108" s="447">
        <f t="shared" si="41"/>
        <v>48</v>
      </c>
      <c r="X108" s="447">
        <f t="shared" si="41"/>
        <v>12</v>
      </c>
      <c r="Y108" s="447">
        <f t="shared" si="41"/>
        <v>17</v>
      </c>
      <c r="Z108" s="447">
        <f t="shared" si="41"/>
        <v>3</v>
      </c>
      <c r="AA108" s="447">
        <f t="shared" si="41"/>
        <v>6</v>
      </c>
      <c r="AB108" s="447">
        <f t="shared" si="41"/>
        <v>3</v>
      </c>
      <c r="AC108" s="447">
        <f t="shared" si="41"/>
        <v>9.9999999999999982</v>
      </c>
      <c r="AD108" s="447">
        <f t="shared" si="41"/>
        <v>15</v>
      </c>
      <c r="AE108" s="447">
        <f t="shared" si="41"/>
        <v>20</v>
      </c>
      <c r="AF108" s="448">
        <f t="shared" si="35"/>
        <v>219.69124423963135</v>
      </c>
      <c r="AG108" s="449">
        <f t="shared" si="36"/>
        <v>18.307603686635947</v>
      </c>
      <c r="AK108" s="443">
        <v>6</v>
      </c>
      <c r="AL108" s="443">
        <v>1</v>
      </c>
      <c r="AM108" s="450">
        <f t="shared" si="43"/>
        <v>18.307603686635947</v>
      </c>
      <c r="AN108" s="450"/>
      <c r="AO108" s="446">
        <f t="shared" si="38"/>
        <v>90.300006693097899</v>
      </c>
      <c r="AP108" s="450">
        <f t="shared" si="39"/>
        <v>19838.120825253718</v>
      </c>
      <c r="AQ108" s="450">
        <f t="shared" si="40"/>
        <v>768.92082525372098</v>
      </c>
    </row>
    <row r="109" spans="1:43" s="443" customFormat="1">
      <c r="A109" s="453" t="str">
        <f t="shared" si="32"/>
        <v>Lewis County UTCCommercialSP1.5-COMM</v>
      </c>
      <c r="B109" s="453">
        <f t="shared" si="44"/>
        <v>1</v>
      </c>
      <c r="C109" s="452" t="s">
        <v>379</v>
      </c>
      <c r="D109" s="445" t="s">
        <v>380</v>
      </c>
      <c r="E109" s="446">
        <v>42.27</v>
      </c>
      <c r="F109" s="447">
        <v>42.27</v>
      </c>
      <c r="G109" s="447">
        <v>126.81</v>
      </c>
      <c r="H109" s="447">
        <v>42.27</v>
      </c>
      <c r="I109" s="447">
        <v>84.54</v>
      </c>
      <c r="J109" s="447">
        <v>126.81</v>
      </c>
      <c r="K109" s="447">
        <v>169.08</v>
      </c>
      <c r="L109" s="447">
        <v>0</v>
      </c>
      <c r="M109" s="447">
        <v>84.54</v>
      </c>
      <c r="N109" s="447">
        <v>42.27</v>
      </c>
      <c r="O109" s="447">
        <v>0</v>
      </c>
      <c r="P109" s="447">
        <v>42.27</v>
      </c>
      <c r="Q109" s="447">
        <v>0</v>
      </c>
      <c r="R109" s="447">
        <f t="shared" si="33"/>
        <v>760.86</v>
      </c>
      <c r="S109" s="447"/>
      <c r="T109" s="447">
        <f t="shared" si="42"/>
        <v>1</v>
      </c>
      <c r="U109" s="447">
        <f t="shared" si="42"/>
        <v>3</v>
      </c>
      <c r="V109" s="447">
        <f t="shared" si="42"/>
        <v>1</v>
      </c>
      <c r="W109" s="447">
        <f t="shared" si="41"/>
        <v>2</v>
      </c>
      <c r="X109" s="447">
        <f t="shared" si="41"/>
        <v>3</v>
      </c>
      <c r="Y109" s="447">
        <f t="shared" si="41"/>
        <v>4</v>
      </c>
      <c r="Z109" s="447">
        <f t="shared" ref="Z109:AE115" si="45">IFERROR(L109/$E109,0)</f>
        <v>0</v>
      </c>
      <c r="AA109" s="447">
        <f t="shared" si="45"/>
        <v>2</v>
      </c>
      <c r="AB109" s="447">
        <f t="shared" si="45"/>
        <v>1</v>
      </c>
      <c r="AC109" s="447">
        <f t="shared" si="45"/>
        <v>0</v>
      </c>
      <c r="AD109" s="447">
        <f t="shared" si="45"/>
        <v>1</v>
      </c>
      <c r="AE109" s="447">
        <f t="shared" si="45"/>
        <v>0</v>
      </c>
      <c r="AF109" s="448">
        <f t="shared" si="35"/>
        <v>18</v>
      </c>
      <c r="AG109" s="449">
        <f t="shared" si="36"/>
        <v>1.5</v>
      </c>
      <c r="AO109" s="446">
        <f t="shared" si="38"/>
        <v>43.974438743286271</v>
      </c>
      <c r="AP109" s="450">
        <f t="shared" si="39"/>
        <v>791.53989737915288</v>
      </c>
      <c r="AQ109" s="450">
        <f t="shared" si="40"/>
        <v>30.679897379152862</v>
      </c>
    </row>
    <row r="110" spans="1:43" s="443" customFormat="1">
      <c r="A110" s="453" t="str">
        <f t="shared" si="32"/>
        <v>Lewis County UTCCommercialSP1-COMM</v>
      </c>
      <c r="B110" s="453">
        <f t="shared" si="44"/>
        <v>1</v>
      </c>
      <c r="C110" s="452" t="s">
        <v>381</v>
      </c>
      <c r="D110" s="445" t="s">
        <v>382</v>
      </c>
      <c r="E110" s="446">
        <v>33.72</v>
      </c>
      <c r="F110" s="447">
        <v>168.6</v>
      </c>
      <c r="G110" s="447">
        <v>168.6</v>
      </c>
      <c r="H110" s="447">
        <v>168.6</v>
      </c>
      <c r="I110" s="447">
        <v>303.48</v>
      </c>
      <c r="J110" s="447">
        <v>101.16</v>
      </c>
      <c r="K110" s="447">
        <v>202.32</v>
      </c>
      <c r="L110" s="447">
        <v>134.88</v>
      </c>
      <c r="M110" s="447">
        <v>67.44</v>
      </c>
      <c r="N110" s="447">
        <v>269.76</v>
      </c>
      <c r="O110" s="447">
        <v>101.16</v>
      </c>
      <c r="P110" s="447">
        <v>236.04</v>
      </c>
      <c r="Q110" s="447">
        <v>101.16</v>
      </c>
      <c r="R110" s="447">
        <f t="shared" si="33"/>
        <v>2023.2</v>
      </c>
      <c r="S110" s="447"/>
      <c r="T110" s="447">
        <f t="shared" si="42"/>
        <v>5</v>
      </c>
      <c r="U110" s="447">
        <f t="shared" si="42"/>
        <v>5</v>
      </c>
      <c r="V110" s="447">
        <f t="shared" si="42"/>
        <v>5</v>
      </c>
      <c r="W110" s="447">
        <f t="shared" si="42"/>
        <v>9</v>
      </c>
      <c r="X110" s="447">
        <f t="shared" si="42"/>
        <v>3</v>
      </c>
      <c r="Y110" s="447">
        <f t="shared" si="42"/>
        <v>6</v>
      </c>
      <c r="Z110" s="447">
        <f t="shared" si="45"/>
        <v>4</v>
      </c>
      <c r="AA110" s="447">
        <f t="shared" si="45"/>
        <v>2</v>
      </c>
      <c r="AB110" s="447">
        <f t="shared" si="45"/>
        <v>8</v>
      </c>
      <c r="AC110" s="447">
        <f t="shared" si="45"/>
        <v>3</v>
      </c>
      <c r="AD110" s="447">
        <f t="shared" si="45"/>
        <v>7</v>
      </c>
      <c r="AE110" s="447">
        <f t="shared" si="45"/>
        <v>3</v>
      </c>
      <c r="AF110" s="448">
        <f t="shared" si="35"/>
        <v>60</v>
      </c>
      <c r="AG110" s="449">
        <f t="shared" si="36"/>
        <v>5</v>
      </c>
      <c r="AO110" s="446">
        <f t="shared" si="38"/>
        <v>35.079680019484577</v>
      </c>
      <c r="AP110" s="450">
        <f t="shared" si="39"/>
        <v>2104.7808011690745</v>
      </c>
      <c r="AQ110" s="450">
        <f t="shared" si="40"/>
        <v>81.580801169074448</v>
      </c>
    </row>
    <row r="111" spans="1:43" s="443" customFormat="1">
      <c r="A111" s="453" t="str">
        <f t="shared" si="32"/>
        <v>Lewis County UTCCommercialSP2-COMM</v>
      </c>
      <c r="B111" s="453">
        <f t="shared" si="44"/>
        <v>1</v>
      </c>
      <c r="C111" s="452" t="s">
        <v>383</v>
      </c>
      <c r="D111" s="445" t="s">
        <v>384</v>
      </c>
      <c r="E111" s="446">
        <v>47.69</v>
      </c>
      <c r="F111" s="447">
        <v>143.07</v>
      </c>
      <c r="G111" s="447">
        <v>810.73</v>
      </c>
      <c r="H111" s="447">
        <v>1096.8699999999999</v>
      </c>
      <c r="I111" s="447">
        <v>143.07</v>
      </c>
      <c r="J111" s="447">
        <v>333.83</v>
      </c>
      <c r="K111" s="447">
        <v>143.07</v>
      </c>
      <c r="L111" s="447">
        <v>286.14</v>
      </c>
      <c r="M111" s="447">
        <v>619.97</v>
      </c>
      <c r="N111" s="447">
        <v>415.24</v>
      </c>
      <c r="O111" s="447">
        <v>47.69</v>
      </c>
      <c r="P111" s="447">
        <v>95.38</v>
      </c>
      <c r="Q111" s="447">
        <v>238.45</v>
      </c>
      <c r="R111" s="447">
        <f t="shared" si="33"/>
        <v>4373.5099999999993</v>
      </c>
      <c r="S111" s="447"/>
      <c r="T111" s="447">
        <f t="shared" si="42"/>
        <v>3</v>
      </c>
      <c r="U111" s="447">
        <f t="shared" si="42"/>
        <v>17</v>
      </c>
      <c r="V111" s="447">
        <f t="shared" si="42"/>
        <v>23</v>
      </c>
      <c r="W111" s="447">
        <f t="shared" si="42"/>
        <v>3</v>
      </c>
      <c r="X111" s="447">
        <f t="shared" si="42"/>
        <v>7</v>
      </c>
      <c r="Y111" s="447">
        <f t="shared" si="42"/>
        <v>3</v>
      </c>
      <c r="Z111" s="447">
        <f t="shared" si="45"/>
        <v>6</v>
      </c>
      <c r="AA111" s="447">
        <f t="shared" si="45"/>
        <v>13.000000000000002</v>
      </c>
      <c r="AB111" s="447">
        <f t="shared" si="45"/>
        <v>8.7070664709582726</v>
      </c>
      <c r="AC111" s="447">
        <f t="shared" si="45"/>
        <v>1</v>
      </c>
      <c r="AD111" s="447">
        <f t="shared" si="45"/>
        <v>2</v>
      </c>
      <c r="AE111" s="447">
        <f t="shared" si="45"/>
        <v>5</v>
      </c>
      <c r="AF111" s="448">
        <f t="shared" si="35"/>
        <v>91.707066470958267</v>
      </c>
      <c r="AG111" s="449">
        <f t="shared" si="36"/>
        <v>7.6422555392465226</v>
      </c>
      <c r="AO111" s="446">
        <f t="shared" si="38"/>
        <v>49.612987548316113</v>
      </c>
      <c r="AP111" s="450">
        <f t="shared" si="39"/>
        <v>4549.8615469162505</v>
      </c>
      <c r="AQ111" s="450">
        <f t="shared" si="40"/>
        <v>176.35154691625121</v>
      </c>
    </row>
    <row r="112" spans="1:43" s="443" customFormat="1">
      <c r="A112" s="453" t="str">
        <f t="shared" si="32"/>
        <v>Lewis County UTCCommercialSP3-COMM</v>
      </c>
      <c r="B112" s="453">
        <f t="shared" si="44"/>
        <v>1</v>
      </c>
      <c r="C112" s="452" t="s">
        <v>385</v>
      </c>
      <c r="D112" s="445" t="s">
        <v>386</v>
      </c>
      <c r="E112" s="446">
        <v>54.41</v>
      </c>
      <c r="F112" s="447">
        <v>108.82</v>
      </c>
      <c r="G112" s="447">
        <v>54.41</v>
      </c>
      <c r="H112" s="447">
        <v>0</v>
      </c>
      <c r="I112" s="447">
        <v>0</v>
      </c>
      <c r="J112" s="447">
        <v>0</v>
      </c>
      <c r="K112" s="447">
        <v>0</v>
      </c>
      <c r="L112" s="447">
        <v>0</v>
      </c>
      <c r="M112" s="447">
        <v>0</v>
      </c>
      <c r="N112" s="447">
        <v>0</v>
      </c>
      <c r="O112" s="447">
        <v>163.22999999999999</v>
      </c>
      <c r="P112" s="447">
        <v>54.41</v>
      </c>
      <c r="Q112" s="447">
        <v>0</v>
      </c>
      <c r="R112" s="447">
        <f t="shared" si="33"/>
        <v>380.87</v>
      </c>
      <c r="S112" s="447"/>
      <c r="T112" s="447">
        <f t="shared" si="42"/>
        <v>2</v>
      </c>
      <c r="U112" s="447">
        <f t="shared" si="42"/>
        <v>1</v>
      </c>
      <c r="V112" s="447">
        <f t="shared" si="42"/>
        <v>0</v>
      </c>
      <c r="W112" s="447">
        <f t="shared" si="42"/>
        <v>0</v>
      </c>
      <c r="X112" s="447">
        <f t="shared" si="42"/>
        <v>0</v>
      </c>
      <c r="Y112" s="447">
        <f t="shared" si="42"/>
        <v>0</v>
      </c>
      <c r="Z112" s="447">
        <f t="shared" si="45"/>
        <v>0</v>
      </c>
      <c r="AA112" s="447">
        <f t="shared" si="45"/>
        <v>0</v>
      </c>
      <c r="AB112" s="447">
        <f t="shared" si="45"/>
        <v>0</v>
      </c>
      <c r="AC112" s="447">
        <f t="shared" si="45"/>
        <v>3</v>
      </c>
      <c r="AD112" s="447">
        <f t="shared" si="45"/>
        <v>1</v>
      </c>
      <c r="AE112" s="447">
        <f t="shared" si="45"/>
        <v>0</v>
      </c>
      <c r="AF112" s="448">
        <f t="shared" si="35"/>
        <v>7</v>
      </c>
      <c r="AG112" s="449">
        <f t="shared" si="36"/>
        <v>0.58333333333333337</v>
      </c>
      <c r="AO112" s="446">
        <f t="shared" si="38"/>
        <v>56.603955808426917</v>
      </c>
      <c r="AP112" s="450">
        <f t="shared" si="39"/>
        <v>396.22769065898842</v>
      </c>
      <c r="AQ112" s="450">
        <f t="shared" si="40"/>
        <v>15.357690658988417</v>
      </c>
    </row>
    <row r="113" spans="1:43" s="443" customFormat="1">
      <c r="A113" s="453" t="str">
        <f t="shared" si="32"/>
        <v>Lewis County UTCCommercialSP4-COMM</v>
      </c>
      <c r="B113" s="453">
        <f t="shared" si="44"/>
        <v>1</v>
      </c>
      <c r="C113" s="452" t="s">
        <v>387</v>
      </c>
      <c r="D113" s="445" t="s">
        <v>388</v>
      </c>
      <c r="E113" s="446">
        <v>64.23</v>
      </c>
      <c r="F113" s="447">
        <v>128.46</v>
      </c>
      <c r="G113" s="447">
        <v>192.69</v>
      </c>
      <c r="H113" s="447">
        <v>128.46</v>
      </c>
      <c r="I113" s="447">
        <v>192.69</v>
      </c>
      <c r="J113" s="447">
        <v>0</v>
      </c>
      <c r="K113" s="447">
        <v>192.69</v>
      </c>
      <c r="L113" s="447">
        <v>64.23</v>
      </c>
      <c r="M113" s="447">
        <v>0</v>
      </c>
      <c r="N113" s="447">
        <v>64.23</v>
      </c>
      <c r="O113" s="447">
        <v>0</v>
      </c>
      <c r="P113" s="447">
        <v>192.69</v>
      </c>
      <c r="Q113" s="447">
        <v>192.69</v>
      </c>
      <c r="R113" s="447">
        <f t="shared" si="33"/>
        <v>1348.8300000000002</v>
      </c>
      <c r="S113" s="447"/>
      <c r="T113" s="447">
        <f t="shared" si="42"/>
        <v>2</v>
      </c>
      <c r="U113" s="447">
        <f t="shared" si="42"/>
        <v>3</v>
      </c>
      <c r="V113" s="447">
        <f t="shared" si="42"/>
        <v>2</v>
      </c>
      <c r="W113" s="447">
        <f t="shared" si="42"/>
        <v>3</v>
      </c>
      <c r="X113" s="447">
        <f t="shared" si="42"/>
        <v>0</v>
      </c>
      <c r="Y113" s="447">
        <f t="shared" si="42"/>
        <v>3</v>
      </c>
      <c r="Z113" s="447">
        <f t="shared" si="45"/>
        <v>1</v>
      </c>
      <c r="AA113" s="447">
        <f t="shared" si="45"/>
        <v>0</v>
      </c>
      <c r="AB113" s="447">
        <f t="shared" si="45"/>
        <v>1</v>
      </c>
      <c r="AC113" s="447">
        <f t="shared" si="45"/>
        <v>0</v>
      </c>
      <c r="AD113" s="447">
        <f t="shared" si="45"/>
        <v>3</v>
      </c>
      <c r="AE113" s="447">
        <f t="shared" si="45"/>
        <v>3</v>
      </c>
      <c r="AF113" s="448">
        <f t="shared" si="35"/>
        <v>21</v>
      </c>
      <c r="AG113" s="449">
        <f t="shared" si="36"/>
        <v>1.75</v>
      </c>
      <c r="AO113" s="446">
        <f t="shared" si="38"/>
        <v>66.81992430757694</v>
      </c>
      <c r="AP113" s="450">
        <f t="shared" si="39"/>
        <v>1403.2184104591158</v>
      </c>
      <c r="AQ113" s="450">
        <f t="shared" si="40"/>
        <v>54.388410459115676</v>
      </c>
    </row>
    <row r="114" spans="1:43" s="443" customFormat="1">
      <c r="A114" s="453" t="str">
        <f t="shared" si="32"/>
        <v>Lewis County UTCCommercialSP6-COMM</v>
      </c>
      <c r="B114" s="453">
        <f t="shared" si="44"/>
        <v>1</v>
      </c>
      <c r="C114" s="452" t="s">
        <v>389</v>
      </c>
      <c r="D114" s="445" t="s">
        <v>390</v>
      </c>
      <c r="E114" s="446">
        <v>90.92</v>
      </c>
      <c r="F114" s="447">
        <v>272.76</v>
      </c>
      <c r="G114" s="447">
        <v>454.6</v>
      </c>
      <c r="H114" s="447">
        <v>363.68</v>
      </c>
      <c r="I114" s="447">
        <v>181.84</v>
      </c>
      <c r="J114" s="447">
        <v>454.6</v>
      </c>
      <c r="K114" s="447">
        <v>90.92</v>
      </c>
      <c r="L114" s="447">
        <v>818.28000000000009</v>
      </c>
      <c r="M114" s="447">
        <v>454.6</v>
      </c>
      <c r="N114" s="447">
        <v>181.84</v>
      </c>
      <c r="O114" s="447">
        <v>181.84</v>
      </c>
      <c r="P114" s="447">
        <v>90.92</v>
      </c>
      <c r="Q114" s="447">
        <v>90.92</v>
      </c>
      <c r="R114" s="447">
        <f t="shared" si="33"/>
        <v>3636.8000000000006</v>
      </c>
      <c r="S114" s="447"/>
      <c r="T114" s="447">
        <f t="shared" ref="T114:AE136" si="46">IFERROR(F114/$E114,0)</f>
        <v>3</v>
      </c>
      <c r="U114" s="447">
        <f t="shared" si="46"/>
        <v>5</v>
      </c>
      <c r="V114" s="447">
        <f t="shared" si="46"/>
        <v>4</v>
      </c>
      <c r="W114" s="447">
        <f t="shared" si="46"/>
        <v>2</v>
      </c>
      <c r="X114" s="447">
        <f t="shared" si="46"/>
        <v>5</v>
      </c>
      <c r="Y114" s="447">
        <f t="shared" si="46"/>
        <v>1</v>
      </c>
      <c r="Z114" s="447">
        <f t="shared" si="45"/>
        <v>9</v>
      </c>
      <c r="AA114" s="447">
        <f t="shared" si="45"/>
        <v>5</v>
      </c>
      <c r="AB114" s="447">
        <f t="shared" si="45"/>
        <v>2</v>
      </c>
      <c r="AC114" s="447">
        <f t="shared" si="45"/>
        <v>2</v>
      </c>
      <c r="AD114" s="447">
        <f t="shared" si="45"/>
        <v>1</v>
      </c>
      <c r="AE114" s="447">
        <f t="shared" si="45"/>
        <v>1</v>
      </c>
      <c r="AF114" s="448">
        <f t="shared" si="35"/>
        <v>40</v>
      </c>
      <c r="AG114" s="449">
        <f t="shared" si="36"/>
        <v>3.3333333333333335</v>
      </c>
      <c r="AO114" s="446">
        <f t="shared" si="38"/>
        <v>94.586136043046793</v>
      </c>
      <c r="AP114" s="450">
        <f t="shared" si="39"/>
        <v>3783.4454417218717</v>
      </c>
      <c r="AQ114" s="450">
        <f t="shared" si="40"/>
        <v>146.64544172187107</v>
      </c>
    </row>
    <row r="115" spans="1:43" s="443" customFormat="1">
      <c r="A115" s="453" t="str">
        <f t="shared" si="32"/>
        <v>Lewis County UTCCommercialSPCL65-COMM</v>
      </c>
      <c r="B115" s="453">
        <f t="shared" si="44"/>
        <v>1</v>
      </c>
      <c r="C115" s="454" t="s">
        <v>391</v>
      </c>
      <c r="D115" s="445" t="s">
        <v>392</v>
      </c>
      <c r="E115" s="446">
        <v>6.02</v>
      </c>
      <c r="F115" s="447">
        <v>6.02</v>
      </c>
      <c r="G115" s="447">
        <v>0</v>
      </c>
      <c r="H115" s="447">
        <v>0</v>
      </c>
      <c r="I115" s="447">
        <v>0</v>
      </c>
      <c r="J115" s="447">
        <v>0</v>
      </c>
      <c r="K115" s="447">
        <v>0</v>
      </c>
      <c r="L115" s="447">
        <v>0</v>
      </c>
      <c r="M115" s="447">
        <v>6.02</v>
      </c>
      <c r="N115" s="447">
        <v>6.02</v>
      </c>
      <c r="O115" s="447">
        <v>6.02</v>
      </c>
      <c r="P115" s="447">
        <v>18.059999999999999</v>
      </c>
      <c r="Q115" s="447">
        <v>18.059999999999999</v>
      </c>
      <c r="R115" s="447">
        <f t="shared" si="33"/>
        <v>60.2</v>
      </c>
      <c r="S115" s="447"/>
      <c r="T115" s="447">
        <f t="shared" si="46"/>
        <v>1</v>
      </c>
      <c r="U115" s="447">
        <f t="shared" si="46"/>
        <v>0</v>
      </c>
      <c r="V115" s="447">
        <f t="shared" si="46"/>
        <v>0</v>
      </c>
      <c r="W115" s="447">
        <f t="shared" si="46"/>
        <v>0</v>
      </c>
      <c r="X115" s="447">
        <f t="shared" si="46"/>
        <v>0</v>
      </c>
      <c r="Y115" s="447">
        <f t="shared" si="46"/>
        <v>0</v>
      </c>
      <c r="Z115" s="447">
        <f t="shared" si="45"/>
        <v>0</v>
      </c>
      <c r="AA115" s="447">
        <f t="shared" si="45"/>
        <v>1</v>
      </c>
      <c r="AB115" s="447">
        <f t="shared" si="45"/>
        <v>1</v>
      </c>
      <c r="AC115" s="447">
        <f t="shared" si="45"/>
        <v>1</v>
      </c>
      <c r="AD115" s="447">
        <f t="shared" si="45"/>
        <v>3</v>
      </c>
      <c r="AE115" s="447">
        <f t="shared" si="45"/>
        <v>3</v>
      </c>
      <c r="AF115" s="448">
        <f t="shared" si="35"/>
        <v>10</v>
      </c>
      <c r="AG115" s="449">
        <f t="shared" si="36"/>
        <v>0.83333333333333337</v>
      </c>
      <c r="AO115" s="446">
        <f t="shared" si="38"/>
        <v>6.2627423996825957</v>
      </c>
      <c r="AP115" s="450">
        <f t="shared" si="39"/>
        <v>62.627423996825954</v>
      </c>
      <c r="AQ115" s="450">
        <f t="shared" si="40"/>
        <v>2.4274239968259508</v>
      </c>
    </row>
    <row r="116" spans="1:43">
      <c r="A116" s="199" t="str">
        <f t="shared" si="32"/>
        <v>Lewis County UTCCommercialACCESS-COMM</v>
      </c>
      <c r="B116" s="199">
        <f t="shared" si="44"/>
        <v>1</v>
      </c>
      <c r="C116" s="293" t="s">
        <v>393</v>
      </c>
      <c r="D116" s="217" t="s">
        <v>394</v>
      </c>
      <c r="E116" s="218">
        <v>1.6</v>
      </c>
      <c r="F116" s="219">
        <v>32</v>
      </c>
      <c r="G116" s="219">
        <v>32</v>
      </c>
      <c r="H116" s="219">
        <v>33.33</v>
      </c>
      <c r="I116" s="219">
        <v>35.200000000000003</v>
      </c>
      <c r="J116" s="219">
        <v>33.6</v>
      </c>
      <c r="K116" s="219">
        <v>36.799999999999997</v>
      </c>
      <c r="L116" s="219">
        <v>32.72</v>
      </c>
      <c r="M116" s="219">
        <v>34.4</v>
      </c>
      <c r="N116" s="219">
        <v>33.6</v>
      </c>
      <c r="O116" s="219">
        <v>33.200000000000003</v>
      </c>
      <c r="P116" s="219">
        <v>35.519999999999996</v>
      </c>
      <c r="Q116" s="219">
        <v>32</v>
      </c>
      <c r="R116" s="219">
        <f t="shared" si="33"/>
        <v>404.37</v>
      </c>
      <c r="S116" s="219"/>
      <c r="T116" s="219">
        <f t="shared" si="46"/>
        <v>20</v>
      </c>
      <c r="U116" s="219">
        <f t="shared" si="46"/>
        <v>20</v>
      </c>
      <c r="V116" s="219">
        <f t="shared" si="46"/>
        <v>20.831249999999997</v>
      </c>
      <c r="W116" s="219">
        <f t="shared" si="46"/>
        <v>22</v>
      </c>
      <c r="X116" s="219">
        <f t="shared" si="46"/>
        <v>21</v>
      </c>
      <c r="Y116" s="219">
        <f t="shared" si="46"/>
        <v>22.999999999999996</v>
      </c>
      <c r="Z116" s="219">
        <f t="shared" si="46"/>
        <v>20.45</v>
      </c>
      <c r="AA116" s="219">
        <f t="shared" si="46"/>
        <v>21.499999999999996</v>
      </c>
      <c r="AB116" s="219">
        <f t="shared" si="46"/>
        <v>21</v>
      </c>
      <c r="AC116" s="219">
        <f t="shared" si="46"/>
        <v>20.75</v>
      </c>
      <c r="AD116" s="219">
        <f t="shared" si="46"/>
        <v>22.199999999999996</v>
      </c>
      <c r="AE116" s="219">
        <f t="shared" si="46"/>
        <v>20</v>
      </c>
      <c r="AF116" s="220">
        <f t="shared" si="35"/>
        <v>252.73124999999999</v>
      </c>
      <c r="AG116" s="287">
        <f t="shared" si="36"/>
        <v>21.060937499999998</v>
      </c>
      <c r="AO116" s="218">
        <f t="shared" si="38"/>
        <v>1.6645162524073347</v>
      </c>
      <c r="AP116" s="228">
        <f t="shared" si="39"/>
        <v>420.67527311622121</v>
      </c>
      <c r="AQ116" s="228">
        <f t="shared" si="40"/>
        <v>16.305273116221201</v>
      </c>
    </row>
    <row r="117" spans="1:43">
      <c r="A117" s="199" t="str">
        <f t="shared" si="32"/>
        <v>Lewis County UTCCommercialACCESSEOW-COMM</v>
      </c>
      <c r="B117" s="199">
        <f t="shared" si="44"/>
        <v>1</v>
      </c>
      <c r="C117" s="293" t="s">
        <v>395</v>
      </c>
      <c r="D117" s="217" t="s">
        <v>396</v>
      </c>
      <c r="E117" s="218">
        <v>0.8</v>
      </c>
      <c r="F117" s="219">
        <v>5.6</v>
      </c>
      <c r="G117" s="219">
        <v>5.6</v>
      </c>
      <c r="H117" s="219">
        <v>5.6</v>
      </c>
      <c r="I117" s="219">
        <v>5.6</v>
      </c>
      <c r="J117" s="219">
        <v>5.6</v>
      </c>
      <c r="K117" s="219">
        <v>5.6</v>
      </c>
      <c r="L117" s="219">
        <v>5.6</v>
      </c>
      <c r="M117" s="219">
        <v>5.6</v>
      </c>
      <c r="N117" s="219">
        <v>5.6</v>
      </c>
      <c r="O117" s="219">
        <v>5.4399999999999995</v>
      </c>
      <c r="P117" s="219">
        <v>5.6</v>
      </c>
      <c r="Q117" s="219">
        <v>4</v>
      </c>
      <c r="R117" s="219">
        <f t="shared" si="33"/>
        <v>65.44</v>
      </c>
      <c r="S117" s="219"/>
      <c r="T117" s="219">
        <f t="shared" si="46"/>
        <v>6.9999999999999991</v>
      </c>
      <c r="U117" s="219">
        <f t="shared" si="46"/>
        <v>6.9999999999999991</v>
      </c>
      <c r="V117" s="219">
        <f t="shared" si="46"/>
        <v>6.9999999999999991</v>
      </c>
      <c r="W117" s="219">
        <f t="shared" si="46"/>
        <v>6.9999999999999991</v>
      </c>
      <c r="X117" s="219">
        <f t="shared" si="46"/>
        <v>6.9999999999999991</v>
      </c>
      <c r="Y117" s="219">
        <f t="shared" si="46"/>
        <v>6.9999999999999991</v>
      </c>
      <c r="Z117" s="219">
        <f t="shared" si="46"/>
        <v>6.9999999999999991</v>
      </c>
      <c r="AA117" s="219">
        <f t="shared" si="46"/>
        <v>6.9999999999999991</v>
      </c>
      <c r="AB117" s="219">
        <f t="shared" si="46"/>
        <v>6.9999999999999991</v>
      </c>
      <c r="AC117" s="219">
        <f t="shared" si="46"/>
        <v>6.7999999999999989</v>
      </c>
      <c r="AD117" s="219">
        <f t="shared" si="46"/>
        <v>6.9999999999999991</v>
      </c>
      <c r="AE117" s="219">
        <f t="shared" si="46"/>
        <v>5</v>
      </c>
      <c r="AF117" s="220">
        <f t="shared" si="35"/>
        <v>81.8</v>
      </c>
      <c r="AG117" s="287">
        <f t="shared" si="36"/>
        <v>6.8166666666666664</v>
      </c>
      <c r="AO117" s="218">
        <f t="shared" si="38"/>
        <v>0.83225812620366735</v>
      </c>
      <c r="AP117" s="228">
        <f t="shared" si="39"/>
        <v>68.078714723459981</v>
      </c>
      <c r="AQ117" s="228">
        <f t="shared" si="40"/>
        <v>2.6387147234599837</v>
      </c>
    </row>
    <row r="118" spans="1:43">
      <c r="A118" s="199" t="str">
        <f t="shared" si="32"/>
        <v>Lewis County UTCCommercialCLEAN-COMM</v>
      </c>
      <c r="B118" s="199">
        <f t="shared" si="44"/>
        <v>1</v>
      </c>
      <c r="C118" s="293" t="s">
        <v>397</v>
      </c>
      <c r="D118" s="217" t="s">
        <v>398</v>
      </c>
      <c r="E118" s="218">
        <v>2.15</v>
      </c>
      <c r="F118" s="219">
        <v>0</v>
      </c>
      <c r="G118" s="306">
        <v>22.3</v>
      </c>
      <c r="H118" s="219">
        <v>0</v>
      </c>
      <c r="I118" s="219">
        <v>0</v>
      </c>
      <c r="J118" s="219">
        <v>0</v>
      </c>
      <c r="K118" s="219">
        <v>0</v>
      </c>
      <c r="L118" s="219">
        <v>0</v>
      </c>
      <c r="M118" s="219">
        <v>0</v>
      </c>
      <c r="N118" s="219">
        <v>0</v>
      </c>
      <c r="O118" s="219">
        <v>0</v>
      </c>
      <c r="P118" s="219">
        <v>0</v>
      </c>
      <c r="Q118" s="219">
        <v>0</v>
      </c>
      <c r="R118" s="219">
        <f t="shared" si="33"/>
        <v>22.3</v>
      </c>
      <c r="S118" s="219"/>
      <c r="T118" s="219">
        <f t="shared" si="46"/>
        <v>0</v>
      </c>
      <c r="U118" s="219">
        <f t="shared" si="46"/>
        <v>10.372093023255815</v>
      </c>
      <c r="V118" s="219">
        <f t="shared" si="46"/>
        <v>0</v>
      </c>
      <c r="W118" s="219">
        <f t="shared" si="46"/>
        <v>0</v>
      </c>
      <c r="X118" s="219">
        <f t="shared" si="46"/>
        <v>0</v>
      </c>
      <c r="Y118" s="219">
        <f t="shared" si="46"/>
        <v>0</v>
      </c>
      <c r="Z118" s="219">
        <f t="shared" si="46"/>
        <v>0</v>
      </c>
      <c r="AA118" s="219">
        <f t="shared" si="46"/>
        <v>0</v>
      </c>
      <c r="AB118" s="219">
        <f t="shared" si="46"/>
        <v>0</v>
      </c>
      <c r="AC118" s="219">
        <f t="shared" si="46"/>
        <v>0</v>
      </c>
      <c r="AD118" s="219">
        <f t="shared" si="46"/>
        <v>0</v>
      </c>
      <c r="AE118" s="219">
        <f t="shared" si="46"/>
        <v>0</v>
      </c>
      <c r="AF118" s="220">
        <f t="shared" si="35"/>
        <v>10.372093023255815</v>
      </c>
      <c r="AG118" s="287">
        <f t="shared" si="36"/>
        <v>0.86434108527131792</v>
      </c>
      <c r="AO118" s="218">
        <f t="shared" si="38"/>
        <v>2.2366937141723557</v>
      </c>
      <c r="AP118" s="228">
        <f t="shared" si="39"/>
        <v>23.199195267927227</v>
      </c>
      <c r="AQ118" s="228">
        <f t="shared" si="40"/>
        <v>0.89919526792722593</v>
      </c>
    </row>
    <row r="119" spans="1:43">
      <c r="A119" s="199" t="str">
        <f t="shared" si="32"/>
        <v>Lewis County UTCCommercialDEL1.5TEMP-COMM</v>
      </c>
      <c r="B119" s="199">
        <f t="shared" si="44"/>
        <v>1</v>
      </c>
      <c r="C119" s="293" t="s">
        <v>399</v>
      </c>
      <c r="D119" s="217" t="s">
        <v>400</v>
      </c>
      <c r="E119" s="218">
        <v>21</v>
      </c>
      <c r="F119" s="219">
        <v>0</v>
      </c>
      <c r="G119" s="219">
        <v>21</v>
      </c>
      <c r="H119" s="219">
        <v>0</v>
      </c>
      <c r="I119" s="219">
        <v>0</v>
      </c>
      <c r="J119" s="219">
        <v>0</v>
      </c>
      <c r="K119" s="219">
        <v>0</v>
      </c>
      <c r="L119" s="219">
        <v>0</v>
      </c>
      <c r="M119" s="219">
        <v>0</v>
      </c>
      <c r="N119" s="219">
        <v>0</v>
      </c>
      <c r="O119" s="219">
        <v>0</v>
      </c>
      <c r="P119" s="219">
        <v>0</v>
      </c>
      <c r="Q119" s="219">
        <v>0</v>
      </c>
      <c r="R119" s="219">
        <f t="shared" si="33"/>
        <v>21</v>
      </c>
      <c r="S119" s="219"/>
      <c r="T119" s="219">
        <f t="shared" si="46"/>
        <v>0</v>
      </c>
      <c r="U119" s="219">
        <f t="shared" si="46"/>
        <v>1</v>
      </c>
      <c r="V119" s="219">
        <f t="shared" si="46"/>
        <v>0</v>
      </c>
      <c r="W119" s="219">
        <f t="shared" si="46"/>
        <v>0</v>
      </c>
      <c r="X119" s="219">
        <f t="shared" si="46"/>
        <v>0</v>
      </c>
      <c r="Y119" s="219">
        <f t="shared" si="46"/>
        <v>0</v>
      </c>
      <c r="Z119" s="219">
        <f t="shared" si="46"/>
        <v>0</v>
      </c>
      <c r="AA119" s="219">
        <f t="shared" si="46"/>
        <v>0</v>
      </c>
      <c r="AB119" s="219">
        <f t="shared" si="46"/>
        <v>0</v>
      </c>
      <c r="AC119" s="219">
        <f t="shared" si="46"/>
        <v>0</v>
      </c>
      <c r="AD119" s="219">
        <f t="shared" si="46"/>
        <v>0</v>
      </c>
      <c r="AE119" s="219">
        <f t="shared" si="46"/>
        <v>0</v>
      </c>
      <c r="AF119" s="220">
        <f t="shared" si="35"/>
        <v>1</v>
      </c>
      <c r="AG119" s="287">
        <f t="shared" si="36"/>
        <v>8.3333333333333329E-2</v>
      </c>
      <c r="AO119" s="218">
        <f t="shared" si="38"/>
        <v>21.846775812846268</v>
      </c>
      <c r="AP119" s="228">
        <f t="shared" si="39"/>
        <v>21.846775812846268</v>
      </c>
      <c r="AQ119" s="228">
        <f t="shared" si="40"/>
        <v>0.84677581284626768</v>
      </c>
    </row>
    <row r="120" spans="1:43">
      <c r="A120" s="199" t="str">
        <f t="shared" si="32"/>
        <v>Lewis County UTCCommercialDEL1TEMP-COMM</v>
      </c>
      <c r="B120" s="199">
        <f t="shared" si="44"/>
        <v>1</v>
      </c>
      <c r="C120" s="293" t="s">
        <v>401</v>
      </c>
      <c r="D120" s="217" t="s">
        <v>402</v>
      </c>
      <c r="E120" s="218">
        <v>21</v>
      </c>
      <c r="F120" s="219">
        <v>21</v>
      </c>
      <c r="G120" s="219">
        <v>42</v>
      </c>
      <c r="H120" s="219">
        <v>42</v>
      </c>
      <c r="I120" s="219">
        <v>0</v>
      </c>
      <c r="J120" s="219">
        <v>0</v>
      </c>
      <c r="K120" s="219">
        <v>0</v>
      </c>
      <c r="L120" s="219">
        <v>0</v>
      </c>
      <c r="M120" s="219">
        <v>0</v>
      </c>
      <c r="N120" s="219">
        <v>21</v>
      </c>
      <c r="O120" s="219">
        <v>0</v>
      </c>
      <c r="P120" s="219">
        <v>0</v>
      </c>
      <c r="Q120" s="219">
        <v>0</v>
      </c>
      <c r="R120" s="219">
        <f t="shared" si="33"/>
        <v>126</v>
      </c>
      <c r="S120" s="219"/>
      <c r="T120" s="219">
        <f t="shared" si="46"/>
        <v>1</v>
      </c>
      <c r="U120" s="219">
        <f t="shared" si="46"/>
        <v>2</v>
      </c>
      <c r="V120" s="219">
        <f t="shared" si="46"/>
        <v>2</v>
      </c>
      <c r="W120" s="219">
        <f t="shared" si="46"/>
        <v>0</v>
      </c>
      <c r="X120" s="219">
        <f t="shared" si="46"/>
        <v>0</v>
      </c>
      <c r="Y120" s="219">
        <f t="shared" si="46"/>
        <v>0</v>
      </c>
      <c r="Z120" s="219">
        <f t="shared" si="46"/>
        <v>0</v>
      </c>
      <c r="AA120" s="219">
        <f t="shared" si="46"/>
        <v>0</v>
      </c>
      <c r="AB120" s="219">
        <f t="shared" si="46"/>
        <v>1</v>
      </c>
      <c r="AC120" s="219">
        <f t="shared" si="46"/>
        <v>0</v>
      </c>
      <c r="AD120" s="219">
        <f t="shared" si="46"/>
        <v>0</v>
      </c>
      <c r="AE120" s="219">
        <f t="shared" si="46"/>
        <v>0</v>
      </c>
      <c r="AF120" s="220">
        <f t="shared" si="35"/>
        <v>6</v>
      </c>
      <c r="AG120" s="287">
        <f t="shared" si="36"/>
        <v>0.5</v>
      </c>
      <c r="AO120" s="218">
        <f t="shared" si="38"/>
        <v>21.846775812846268</v>
      </c>
      <c r="AP120" s="228">
        <f t="shared" si="39"/>
        <v>131.08065487707762</v>
      </c>
      <c r="AQ120" s="228">
        <f t="shared" si="40"/>
        <v>5.0806548770776203</v>
      </c>
    </row>
    <row r="121" spans="1:43">
      <c r="A121" s="199" t="str">
        <f t="shared" si="32"/>
        <v>Lewis County UTCCommercialRTRNTRIP6-COMM</v>
      </c>
      <c r="B121" s="199">
        <f t="shared" si="44"/>
        <v>1</v>
      </c>
      <c r="C121" s="293" t="s">
        <v>403</v>
      </c>
      <c r="D121" s="217" t="s">
        <v>404</v>
      </c>
      <c r="E121" s="218">
        <v>27.75</v>
      </c>
      <c r="F121" s="219">
        <v>0</v>
      </c>
      <c r="G121" s="219">
        <v>0</v>
      </c>
      <c r="H121" s="219">
        <v>0</v>
      </c>
      <c r="I121" s="219">
        <v>0</v>
      </c>
      <c r="J121" s="219">
        <v>0</v>
      </c>
      <c r="K121" s="219">
        <v>0</v>
      </c>
      <c r="L121" s="219">
        <v>22.3</v>
      </c>
      <c r="M121" s="219">
        <v>0</v>
      </c>
      <c r="N121" s="219">
        <v>0</v>
      </c>
      <c r="O121" s="219">
        <v>0</v>
      </c>
      <c r="P121" s="219">
        <v>0</v>
      </c>
      <c r="Q121" s="219">
        <v>0</v>
      </c>
      <c r="R121" s="219">
        <f t="shared" si="33"/>
        <v>22.3</v>
      </c>
      <c r="S121" s="219"/>
      <c r="T121" s="219">
        <f t="shared" si="46"/>
        <v>0</v>
      </c>
      <c r="U121" s="219">
        <f t="shared" si="46"/>
        <v>0</v>
      </c>
      <c r="V121" s="219">
        <f t="shared" si="46"/>
        <v>0</v>
      </c>
      <c r="W121" s="219">
        <f t="shared" si="46"/>
        <v>0</v>
      </c>
      <c r="X121" s="219">
        <f t="shared" si="46"/>
        <v>0</v>
      </c>
      <c r="Y121" s="219">
        <f t="shared" si="46"/>
        <v>0</v>
      </c>
      <c r="Z121" s="219">
        <f t="shared" si="46"/>
        <v>0.80360360360360361</v>
      </c>
      <c r="AA121" s="219">
        <f t="shared" si="46"/>
        <v>0</v>
      </c>
      <c r="AB121" s="219">
        <f t="shared" si="46"/>
        <v>0</v>
      </c>
      <c r="AC121" s="219">
        <f t="shared" si="46"/>
        <v>0</v>
      </c>
      <c r="AD121" s="219">
        <f t="shared" si="46"/>
        <v>0</v>
      </c>
      <c r="AE121" s="219">
        <f t="shared" si="46"/>
        <v>0</v>
      </c>
      <c r="AF121" s="220">
        <f t="shared" si="35"/>
        <v>0.80360360360360361</v>
      </c>
      <c r="AG121" s="287">
        <f t="shared" si="36"/>
        <v>6.6966966966966968E-2</v>
      </c>
      <c r="AO121" s="218">
        <f t="shared" si="38"/>
        <v>28.868953752689709</v>
      </c>
      <c r="AP121" s="228">
        <f t="shared" si="39"/>
        <v>23.199195267927227</v>
      </c>
      <c r="AQ121" s="228">
        <f t="shared" si="40"/>
        <v>0.89919526792722593</v>
      </c>
    </row>
    <row r="122" spans="1:43">
      <c r="A122" s="199" t="str">
        <f t="shared" si="32"/>
        <v>Lewis County UTCCommercialDEL2TEMP-COMM</v>
      </c>
      <c r="B122" s="199">
        <f t="shared" si="44"/>
        <v>1</v>
      </c>
      <c r="C122" s="293" t="s">
        <v>405</v>
      </c>
      <c r="D122" s="217" t="s">
        <v>406</v>
      </c>
      <c r="E122" s="218">
        <v>21</v>
      </c>
      <c r="F122" s="219">
        <v>42</v>
      </c>
      <c r="G122" s="219">
        <v>126</v>
      </c>
      <c r="H122" s="219">
        <v>189</v>
      </c>
      <c r="I122" s="219">
        <v>63</v>
      </c>
      <c r="J122" s="219">
        <v>84</v>
      </c>
      <c r="K122" s="219">
        <v>42</v>
      </c>
      <c r="L122" s="219">
        <v>84</v>
      </c>
      <c r="M122" s="219">
        <v>42</v>
      </c>
      <c r="N122" s="219">
        <v>63</v>
      </c>
      <c r="O122" s="219">
        <v>42</v>
      </c>
      <c r="P122" s="219">
        <v>63</v>
      </c>
      <c r="Q122" s="219">
        <v>84</v>
      </c>
      <c r="R122" s="219">
        <f t="shared" si="33"/>
        <v>924</v>
      </c>
      <c r="S122" s="219"/>
      <c r="T122" s="219">
        <f t="shared" si="46"/>
        <v>2</v>
      </c>
      <c r="U122" s="219">
        <f t="shared" si="46"/>
        <v>6</v>
      </c>
      <c r="V122" s="219">
        <f t="shared" si="46"/>
        <v>9</v>
      </c>
      <c r="W122" s="219">
        <f t="shared" si="46"/>
        <v>3</v>
      </c>
      <c r="X122" s="219">
        <f t="shared" si="46"/>
        <v>4</v>
      </c>
      <c r="Y122" s="219">
        <f t="shared" si="46"/>
        <v>2</v>
      </c>
      <c r="Z122" s="219">
        <f t="shared" si="46"/>
        <v>4</v>
      </c>
      <c r="AA122" s="219">
        <f t="shared" si="46"/>
        <v>2</v>
      </c>
      <c r="AB122" s="219">
        <f t="shared" si="46"/>
        <v>3</v>
      </c>
      <c r="AC122" s="219">
        <f t="shared" si="46"/>
        <v>2</v>
      </c>
      <c r="AD122" s="219">
        <f t="shared" si="46"/>
        <v>3</v>
      </c>
      <c r="AE122" s="219">
        <f t="shared" si="46"/>
        <v>4</v>
      </c>
      <c r="AF122" s="220">
        <f t="shared" si="35"/>
        <v>44</v>
      </c>
      <c r="AG122" s="287">
        <f t="shared" si="36"/>
        <v>3.6666666666666665</v>
      </c>
      <c r="AO122" s="218">
        <f t="shared" si="38"/>
        <v>21.846775812846268</v>
      </c>
      <c r="AP122" s="228">
        <f t="shared" si="39"/>
        <v>961.25813576523581</v>
      </c>
      <c r="AQ122" s="228">
        <f t="shared" si="40"/>
        <v>37.258135765235807</v>
      </c>
    </row>
    <row r="123" spans="1:43">
      <c r="A123" s="199" t="str">
        <f t="shared" si="32"/>
        <v>Lewis County UTCCommercialDEL3TEMP-COMM</v>
      </c>
      <c r="B123" s="199">
        <f t="shared" si="44"/>
        <v>1</v>
      </c>
      <c r="C123" s="293" t="s">
        <v>407</v>
      </c>
      <c r="D123" s="217" t="s">
        <v>408</v>
      </c>
      <c r="E123" s="218">
        <v>31</v>
      </c>
      <c r="F123" s="219">
        <v>0</v>
      </c>
      <c r="G123" s="219">
        <v>155</v>
      </c>
      <c r="H123" s="219">
        <v>62</v>
      </c>
      <c r="I123" s="219">
        <v>124</v>
      </c>
      <c r="J123" s="219">
        <v>62</v>
      </c>
      <c r="K123" s="219">
        <v>0</v>
      </c>
      <c r="L123" s="219">
        <v>0</v>
      </c>
      <c r="M123" s="219">
        <v>31</v>
      </c>
      <c r="N123" s="219">
        <v>31</v>
      </c>
      <c r="O123" s="219">
        <v>155</v>
      </c>
      <c r="P123" s="219">
        <v>93</v>
      </c>
      <c r="Q123" s="219">
        <v>62</v>
      </c>
      <c r="R123" s="219">
        <f t="shared" si="33"/>
        <v>775</v>
      </c>
      <c r="S123" s="219"/>
      <c r="T123" s="219">
        <f t="shared" si="46"/>
        <v>0</v>
      </c>
      <c r="U123" s="219">
        <f t="shared" si="46"/>
        <v>5</v>
      </c>
      <c r="V123" s="219">
        <f t="shared" si="46"/>
        <v>2</v>
      </c>
      <c r="W123" s="219">
        <f t="shared" si="46"/>
        <v>4</v>
      </c>
      <c r="X123" s="219">
        <f t="shared" si="46"/>
        <v>2</v>
      </c>
      <c r="Y123" s="219">
        <f t="shared" si="46"/>
        <v>0</v>
      </c>
      <c r="Z123" s="219">
        <f t="shared" si="46"/>
        <v>0</v>
      </c>
      <c r="AA123" s="219">
        <f t="shared" si="46"/>
        <v>1</v>
      </c>
      <c r="AB123" s="219">
        <f t="shared" si="46"/>
        <v>1</v>
      </c>
      <c r="AC123" s="219">
        <f t="shared" si="46"/>
        <v>5</v>
      </c>
      <c r="AD123" s="219">
        <f t="shared" si="46"/>
        <v>3</v>
      </c>
      <c r="AE123" s="219">
        <f t="shared" si="46"/>
        <v>2</v>
      </c>
      <c r="AF123" s="220">
        <f t="shared" si="35"/>
        <v>25</v>
      </c>
      <c r="AG123" s="287">
        <f t="shared" si="36"/>
        <v>2.0833333333333335</v>
      </c>
      <c r="AO123" s="218">
        <f t="shared" si="38"/>
        <v>32.250002390392105</v>
      </c>
      <c r="AP123" s="228">
        <f t="shared" si="39"/>
        <v>806.25005975980264</v>
      </c>
      <c r="AQ123" s="228">
        <f t="shared" si="40"/>
        <v>31.250059759802639</v>
      </c>
    </row>
    <row r="124" spans="1:43">
      <c r="A124" s="199" t="str">
        <f t="shared" ref="A124:A145" si="47">$A$1&amp;"Commercial"&amp;C124</f>
        <v>Lewis County UTCCommercialDEL4TEMP-COMM</v>
      </c>
      <c r="B124" s="199">
        <f t="shared" si="44"/>
        <v>1</v>
      </c>
      <c r="C124" s="293" t="s">
        <v>409</v>
      </c>
      <c r="D124" s="217" t="s">
        <v>410</v>
      </c>
      <c r="E124" s="218">
        <v>31</v>
      </c>
      <c r="F124" s="219">
        <v>31</v>
      </c>
      <c r="G124" s="219">
        <v>0</v>
      </c>
      <c r="H124" s="219">
        <v>93</v>
      </c>
      <c r="I124" s="219">
        <v>62</v>
      </c>
      <c r="J124" s="219">
        <v>0</v>
      </c>
      <c r="K124" s="219">
        <v>0</v>
      </c>
      <c r="L124" s="219">
        <v>0</v>
      </c>
      <c r="M124" s="219">
        <v>0</v>
      </c>
      <c r="N124" s="219">
        <v>31</v>
      </c>
      <c r="O124" s="219">
        <v>0</v>
      </c>
      <c r="P124" s="219">
        <v>31</v>
      </c>
      <c r="Q124" s="219">
        <v>124</v>
      </c>
      <c r="R124" s="219">
        <f t="shared" ref="R124:R128" si="48">SUM(F124:Q124)</f>
        <v>372</v>
      </c>
      <c r="S124" s="219"/>
      <c r="T124" s="219">
        <f t="shared" si="46"/>
        <v>1</v>
      </c>
      <c r="U124" s="219">
        <f t="shared" si="46"/>
        <v>0</v>
      </c>
      <c r="V124" s="219">
        <f t="shared" si="46"/>
        <v>3</v>
      </c>
      <c r="W124" s="219">
        <f t="shared" si="46"/>
        <v>2</v>
      </c>
      <c r="X124" s="219">
        <f t="shared" si="46"/>
        <v>0</v>
      </c>
      <c r="Y124" s="219">
        <f t="shared" si="46"/>
        <v>0</v>
      </c>
      <c r="Z124" s="219">
        <f t="shared" si="46"/>
        <v>0</v>
      </c>
      <c r="AA124" s="219">
        <f t="shared" si="46"/>
        <v>0</v>
      </c>
      <c r="AB124" s="219">
        <f t="shared" si="46"/>
        <v>1</v>
      </c>
      <c r="AC124" s="219">
        <f t="shared" si="46"/>
        <v>0</v>
      </c>
      <c r="AD124" s="219">
        <f t="shared" si="46"/>
        <v>1</v>
      </c>
      <c r="AE124" s="219">
        <f t="shared" si="46"/>
        <v>4</v>
      </c>
      <c r="AF124" s="220">
        <f t="shared" ref="AF124:AF145" si="49">SUM(T124:AE124)</f>
        <v>12</v>
      </c>
      <c r="AG124" s="287">
        <f t="shared" ref="AG124:AG145" si="50">AF124/12</f>
        <v>1</v>
      </c>
      <c r="AO124" s="218">
        <f t="shared" ref="AO124:AO145" si="51">+E124*(1+$AQ$1)</f>
        <v>32.250002390392105</v>
      </c>
      <c r="AP124" s="228">
        <f t="shared" ref="AP124:AP145" si="52">+AG124*12*AO124</f>
        <v>387.00002868470528</v>
      </c>
      <c r="AQ124" s="228">
        <f t="shared" ref="AQ124:AQ145" si="53">+AP124-R124</f>
        <v>15.000028684705285</v>
      </c>
    </row>
    <row r="125" spans="1:43">
      <c r="A125" s="199" t="str">
        <f t="shared" si="47"/>
        <v>Lewis County UTCCommercialDEL6TEMP-COMM</v>
      </c>
      <c r="B125" s="199">
        <f t="shared" si="44"/>
        <v>1</v>
      </c>
      <c r="C125" s="293" t="s">
        <v>411</v>
      </c>
      <c r="D125" s="217" t="s">
        <v>412</v>
      </c>
      <c r="E125" s="218">
        <v>31</v>
      </c>
      <c r="F125" s="219">
        <v>403</v>
      </c>
      <c r="G125" s="219">
        <v>341</v>
      </c>
      <c r="H125" s="219">
        <v>868</v>
      </c>
      <c r="I125" s="219">
        <v>341</v>
      </c>
      <c r="J125" s="219">
        <v>124</v>
      </c>
      <c r="K125" s="219">
        <v>62</v>
      </c>
      <c r="L125" s="219">
        <v>31</v>
      </c>
      <c r="M125" s="219">
        <v>217</v>
      </c>
      <c r="N125" s="219">
        <v>124</v>
      </c>
      <c r="O125" s="219">
        <v>124</v>
      </c>
      <c r="P125" s="219">
        <v>248</v>
      </c>
      <c r="Q125" s="219">
        <v>465</v>
      </c>
      <c r="R125" s="219">
        <f t="shared" si="48"/>
        <v>3348</v>
      </c>
      <c r="S125" s="219"/>
      <c r="T125" s="219">
        <f t="shared" si="46"/>
        <v>13</v>
      </c>
      <c r="U125" s="219">
        <f t="shared" si="46"/>
        <v>11</v>
      </c>
      <c r="V125" s="219">
        <f t="shared" si="46"/>
        <v>28</v>
      </c>
      <c r="W125" s="219">
        <f t="shared" si="46"/>
        <v>11</v>
      </c>
      <c r="X125" s="219">
        <f t="shared" si="46"/>
        <v>4</v>
      </c>
      <c r="Y125" s="219">
        <f t="shared" si="46"/>
        <v>2</v>
      </c>
      <c r="Z125" s="219">
        <f t="shared" si="46"/>
        <v>1</v>
      </c>
      <c r="AA125" s="219">
        <f t="shared" si="46"/>
        <v>7</v>
      </c>
      <c r="AB125" s="219">
        <f t="shared" si="46"/>
        <v>4</v>
      </c>
      <c r="AC125" s="219">
        <f t="shared" si="46"/>
        <v>4</v>
      </c>
      <c r="AD125" s="219">
        <f t="shared" si="46"/>
        <v>8</v>
      </c>
      <c r="AE125" s="219">
        <f t="shared" si="46"/>
        <v>15</v>
      </c>
      <c r="AF125" s="220">
        <f t="shared" si="49"/>
        <v>108</v>
      </c>
      <c r="AG125" s="287">
        <f t="shared" si="50"/>
        <v>9</v>
      </c>
      <c r="AO125" s="218">
        <f t="shared" si="51"/>
        <v>32.250002390392105</v>
      </c>
      <c r="AP125" s="228">
        <f t="shared" si="52"/>
        <v>3483.0002581623471</v>
      </c>
      <c r="AQ125" s="228">
        <f t="shared" si="53"/>
        <v>135.00025816234711</v>
      </c>
    </row>
    <row r="126" spans="1:43">
      <c r="A126" s="199" t="str">
        <f t="shared" si="47"/>
        <v>Lewis County UTCCommercialDRIVEIN-COMM</v>
      </c>
      <c r="B126" s="199">
        <f t="shared" si="44"/>
        <v>1</v>
      </c>
      <c r="C126" s="293" t="s">
        <v>413</v>
      </c>
      <c r="D126" s="217" t="s">
        <v>414</v>
      </c>
      <c r="E126" s="218">
        <v>7.01</v>
      </c>
      <c r="F126" s="219">
        <v>91.13000000000001</v>
      </c>
      <c r="G126" s="219">
        <v>91.13000000000001</v>
      </c>
      <c r="H126" s="219">
        <v>87.63000000000001</v>
      </c>
      <c r="I126" s="219">
        <v>84.12</v>
      </c>
      <c r="J126" s="219">
        <v>84.12</v>
      </c>
      <c r="K126" s="219">
        <v>89.38</v>
      </c>
      <c r="L126" s="219">
        <v>91.13</v>
      </c>
      <c r="M126" s="219">
        <v>91.13</v>
      </c>
      <c r="N126" s="219">
        <v>91.13</v>
      </c>
      <c r="O126" s="219">
        <v>81.319999999999993</v>
      </c>
      <c r="P126" s="219">
        <v>77.11</v>
      </c>
      <c r="Q126" s="219">
        <v>77.11</v>
      </c>
      <c r="R126" s="219">
        <f t="shared" si="48"/>
        <v>1036.44</v>
      </c>
      <c r="S126" s="219"/>
      <c r="T126" s="219">
        <f t="shared" si="46"/>
        <v>13.000000000000002</v>
      </c>
      <c r="U126" s="219">
        <f t="shared" si="46"/>
        <v>13.000000000000002</v>
      </c>
      <c r="V126" s="219">
        <f t="shared" si="46"/>
        <v>12.500713266761771</v>
      </c>
      <c r="W126" s="219">
        <f t="shared" si="46"/>
        <v>12.000000000000002</v>
      </c>
      <c r="X126" s="219">
        <f t="shared" si="46"/>
        <v>12.000000000000002</v>
      </c>
      <c r="Y126" s="219">
        <f t="shared" si="46"/>
        <v>12.750356633380884</v>
      </c>
      <c r="Z126" s="219">
        <f t="shared" si="46"/>
        <v>13</v>
      </c>
      <c r="AA126" s="219">
        <f t="shared" si="46"/>
        <v>13</v>
      </c>
      <c r="AB126" s="219">
        <f t="shared" si="46"/>
        <v>13</v>
      </c>
      <c r="AC126" s="219">
        <f t="shared" si="46"/>
        <v>11.600570613409415</v>
      </c>
      <c r="AD126" s="219">
        <f t="shared" si="46"/>
        <v>11</v>
      </c>
      <c r="AE126" s="219">
        <f t="shared" si="46"/>
        <v>11</v>
      </c>
      <c r="AF126" s="220">
        <f t="shared" si="49"/>
        <v>147.85164051355207</v>
      </c>
      <c r="AG126" s="287">
        <f t="shared" si="50"/>
        <v>12.320970042796006</v>
      </c>
      <c r="AO126" s="218">
        <f t="shared" si="51"/>
        <v>7.2926618308596343</v>
      </c>
      <c r="AP126" s="228">
        <f t="shared" si="52"/>
        <v>1078.2320154031611</v>
      </c>
      <c r="AQ126" s="228">
        <f t="shared" si="53"/>
        <v>41.792015403161031</v>
      </c>
    </row>
    <row r="127" spans="1:43" s="443" customFormat="1">
      <c r="A127" s="443" t="str">
        <f t="shared" si="47"/>
        <v>Lewis County UTCCommercialEXTRA-COMM</v>
      </c>
      <c r="B127" s="443">
        <f t="shared" si="44"/>
        <v>1</v>
      </c>
      <c r="C127" s="452" t="s">
        <v>415</v>
      </c>
      <c r="D127" s="445" t="s">
        <v>416</v>
      </c>
      <c r="E127" s="446">
        <v>4.49</v>
      </c>
      <c r="F127" s="447">
        <v>1432.31</v>
      </c>
      <c r="G127" s="447">
        <v>1140.95</v>
      </c>
      <c r="H127" s="447">
        <v>1225.77</v>
      </c>
      <c r="I127" s="447">
        <v>399.61</v>
      </c>
      <c r="J127" s="447">
        <v>574.72</v>
      </c>
      <c r="K127" s="447">
        <v>466.96000000000004</v>
      </c>
      <c r="L127" s="447">
        <v>642.07000000000005</v>
      </c>
      <c r="M127" s="447">
        <v>669.0100000000001</v>
      </c>
      <c r="N127" s="447">
        <v>484.92</v>
      </c>
      <c r="O127" s="447">
        <v>556.7600000000001</v>
      </c>
      <c r="P127" s="447">
        <v>987.09000000000015</v>
      </c>
      <c r="Q127" s="447">
        <v>1109.03</v>
      </c>
      <c r="R127" s="447">
        <f t="shared" si="48"/>
        <v>9689.2000000000025</v>
      </c>
      <c r="S127" s="447"/>
      <c r="T127" s="447">
        <f t="shared" si="46"/>
        <v>319</v>
      </c>
      <c r="U127" s="447">
        <f t="shared" si="46"/>
        <v>254.10913140311803</v>
      </c>
      <c r="V127" s="447">
        <f t="shared" si="46"/>
        <v>273</v>
      </c>
      <c r="W127" s="447">
        <f t="shared" si="46"/>
        <v>89</v>
      </c>
      <c r="X127" s="447">
        <f t="shared" si="46"/>
        <v>128</v>
      </c>
      <c r="Y127" s="447">
        <f t="shared" si="46"/>
        <v>104</v>
      </c>
      <c r="Z127" s="447">
        <f t="shared" si="46"/>
        <v>143</v>
      </c>
      <c r="AA127" s="447">
        <f t="shared" si="46"/>
        <v>149.00000000000003</v>
      </c>
      <c r="AB127" s="447">
        <f t="shared" si="46"/>
        <v>108</v>
      </c>
      <c r="AC127" s="447">
        <f t="shared" si="46"/>
        <v>124.00000000000001</v>
      </c>
      <c r="AD127" s="447">
        <f t="shared" si="46"/>
        <v>219.84187082405347</v>
      </c>
      <c r="AE127" s="447">
        <f t="shared" si="46"/>
        <v>246.99999999999997</v>
      </c>
      <c r="AF127" s="448">
        <f t="shared" si="49"/>
        <v>2157.9510022271716</v>
      </c>
      <c r="AG127" s="449">
        <f t="shared" si="50"/>
        <v>179.82925018559763</v>
      </c>
      <c r="AO127" s="446">
        <f t="shared" si="51"/>
        <v>4.6710487333180826</v>
      </c>
      <c r="AP127" s="450">
        <f t="shared" si="52"/>
        <v>10079.894295515716</v>
      </c>
      <c r="AQ127" s="450">
        <f t="shared" si="53"/>
        <v>390.69429551571375</v>
      </c>
    </row>
    <row r="128" spans="1:43" s="443" customFormat="1">
      <c r="A128" s="443" t="str">
        <f t="shared" si="47"/>
        <v>Lewis County UTCCommercialEXTRAYDG-COM</v>
      </c>
      <c r="B128" s="443">
        <f t="shared" si="44"/>
        <v>1</v>
      </c>
      <c r="C128" s="452" t="s">
        <v>417</v>
      </c>
      <c r="D128" s="445" t="s">
        <v>418</v>
      </c>
      <c r="E128" s="446">
        <v>30.69</v>
      </c>
      <c r="F128" s="447">
        <v>306.21000000000004</v>
      </c>
      <c r="G128" s="447">
        <v>1465.46</v>
      </c>
      <c r="H128" s="447">
        <v>1150.8799999999999</v>
      </c>
      <c r="I128" s="447">
        <v>460.34999999999997</v>
      </c>
      <c r="J128" s="447">
        <v>951.3900000000001</v>
      </c>
      <c r="K128" s="447">
        <v>184.14000000000001</v>
      </c>
      <c r="L128" s="447">
        <v>506.39</v>
      </c>
      <c r="M128" s="447">
        <v>1964.16</v>
      </c>
      <c r="N128" s="447">
        <v>1074.1500000000001</v>
      </c>
      <c r="O128" s="447">
        <v>997.43000000000006</v>
      </c>
      <c r="P128" s="447">
        <v>583.11</v>
      </c>
      <c r="Q128" s="447">
        <v>1043.46</v>
      </c>
      <c r="R128" s="447">
        <f t="shared" si="48"/>
        <v>10687.130000000001</v>
      </c>
      <c r="S128" s="447"/>
      <c r="T128" s="447">
        <f t="shared" si="46"/>
        <v>9.9775171065493655</v>
      </c>
      <c r="U128" s="447">
        <f t="shared" si="46"/>
        <v>47.750407298794393</v>
      </c>
      <c r="V128" s="447">
        <f t="shared" si="46"/>
        <v>37.500162919517756</v>
      </c>
      <c r="W128" s="447">
        <f t="shared" si="46"/>
        <v>14.999999999999998</v>
      </c>
      <c r="X128" s="447">
        <f t="shared" si="46"/>
        <v>31.000000000000004</v>
      </c>
      <c r="Y128" s="447">
        <f t="shared" si="46"/>
        <v>6</v>
      </c>
      <c r="Z128" s="447">
        <f t="shared" si="46"/>
        <v>16.500162919517756</v>
      </c>
      <c r="AA128" s="447">
        <f t="shared" si="46"/>
        <v>64</v>
      </c>
      <c r="AB128" s="447">
        <f t="shared" si="46"/>
        <v>35</v>
      </c>
      <c r="AC128" s="447">
        <f t="shared" si="46"/>
        <v>32.500162919517756</v>
      </c>
      <c r="AD128" s="447">
        <f t="shared" si="46"/>
        <v>19</v>
      </c>
      <c r="AE128" s="447">
        <f t="shared" si="46"/>
        <v>34</v>
      </c>
      <c r="AF128" s="448">
        <f t="shared" si="49"/>
        <v>348.22841316389707</v>
      </c>
      <c r="AG128" s="449">
        <f t="shared" si="50"/>
        <v>29.019034430324755</v>
      </c>
      <c r="AO128" s="446">
        <f t="shared" si="51"/>
        <v>31.927502366488188</v>
      </c>
      <c r="AP128" s="450">
        <f t="shared" si="52"/>
        <v>11118.06348536875</v>
      </c>
      <c r="AQ128" s="450">
        <f t="shared" si="53"/>
        <v>430.93348536874873</v>
      </c>
    </row>
    <row r="129" spans="1:43">
      <c r="A129" s="199" t="str">
        <f t="shared" si="47"/>
        <v>Lewis County UTCCommercialLCKCEOW</v>
      </c>
      <c r="B129" s="199">
        <f t="shared" si="44"/>
        <v>1</v>
      </c>
      <c r="C129" s="293" t="s">
        <v>419</v>
      </c>
      <c r="D129" s="217" t="s">
        <v>420</v>
      </c>
      <c r="E129" s="218">
        <v>7.6</v>
      </c>
      <c r="F129" s="219">
        <v>22.799999999999997</v>
      </c>
      <c r="G129" s="219">
        <v>22.799999999999997</v>
      </c>
      <c r="H129" s="219">
        <v>22.799999999999997</v>
      </c>
      <c r="I129" s="219">
        <v>22.799999999999997</v>
      </c>
      <c r="J129" s="219">
        <v>22.799999999999997</v>
      </c>
      <c r="K129" s="219">
        <v>22.799999999999997</v>
      </c>
      <c r="L129" s="219">
        <v>22.799999999999997</v>
      </c>
      <c r="M129" s="219">
        <v>22.799999999999997</v>
      </c>
      <c r="N129" s="219">
        <v>22.799999999999997</v>
      </c>
      <c r="O129" s="219">
        <v>22.799999999999997</v>
      </c>
      <c r="P129" s="219">
        <v>22.799999999999997</v>
      </c>
      <c r="Q129" s="219">
        <v>38</v>
      </c>
      <c r="R129" s="219">
        <f t="shared" ref="R129:R140" si="54">SUM(F129:Q129)</f>
        <v>288.8</v>
      </c>
      <c r="S129" s="219"/>
      <c r="T129" s="219">
        <f t="shared" si="46"/>
        <v>2.9999999999999996</v>
      </c>
      <c r="U129" s="219">
        <f t="shared" si="46"/>
        <v>2.9999999999999996</v>
      </c>
      <c r="V129" s="219">
        <f t="shared" si="46"/>
        <v>2.9999999999999996</v>
      </c>
      <c r="W129" s="219">
        <f t="shared" si="46"/>
        <v>2.9999999999999996</v>
      </c>
      <c r="X129" s="219">
        <f t="shared" si="46"/>
        <v>2.9999999999999996</v>
      </c>
      <c r="Y129" s="219">
        <f t="shared" si="46"/>
        <v>2.9999999999999996</v>
      </c>
      <c r="Z129" s="219">
        <f t="shared" si="46"/>
        <v>2.9999999999999996</v>
      </c>
      <c r="AA129" s="219">
        <f t="shared" si="46"/>
        <v>2.9999999999999996</v>
      </c>
      <c r="AB129" s="219">
        <f t="shared" si="46"/>
        <v>2.9999999999999996</v>
      </c>
      <c r="AC129" s="219">
        <f t="shared" si="46"/>
        <v>2.9999999999999996</v>
      </c>
      <c r="AD129" s="219">
        <f t="shared" si="46"/>
        <v>2.9999999999999996</v>
      </c>
      <c r="AE129" s="219">
        <f t="shared" si="46"/>
        <v>5</v>
      </c>
      <c r="AF129" s="220">
        <f t="shared" si="49"/>
        <v>37.999999999999993</v>
      </c>
      <c r="AG129" s="287">
        <f t="shared" si="50"/>
        <v>3.1666666666666661</v>
      </c>
      <c r="AO129" s="218">
        <f t="shared" si="51"/>
        <v>7.9064521989348391</v>
      </c>
      <c r="AP129" s="228">
        <f t="shared" si="52"/>
        <v>300.44518355952385</v>
      </c>
      <c r="AQ129" s="228">
        <f t="shared" si="53"/>
        <v>11.645183559523844</v>
      </c>
    </row>
    <row r="130" spans="1:43">
      <c r="A130" s="199" t="str">
        <f t="shared" si="47"/>
        <v>Lewis County UTCCommercialLCKC</v>
      </c>
      <c r="B130" s="199">
        <f t="shared" si="44"/>
        <v>1</v>
      </c>
      <c r="C130" s="293" t="s">
        <v>421</v>
      </c>
      <c r="D130" s="217" t="s">
        <v>422</v>
      </c>
      <c r="E130" s="218">
        <v>15.16</v>
      </c>
      <c r="F130" s="219">
        <v>15.16</v>
      </c>
      <c r="G130" s="219">
        <v>15.16</v>
      </c>
      <c r="H130" s="219">
        <v>15.16</v>
      </c>
      <c r="I130" s="219">
        <v>15.16</v>
      </c>
      <c r="J130" s="219">
        <v>15.16</v>
      </c>
      <c r="K130" s="219">
        <v>15.16</v>
      </c>
      <c r="L130" s="219">
        <v>15.16</v>
      </c>
      <c r="M130" s="219">
        <v>15.16</v>
      </c>
      <c r="N130" s="219">
        <v>15.16</v>
      </c>
      <c r="O130" s="219">
        <v>15.16</v>
      </c>
      <c r="P130" s="219">
        <v>15.16</v>
      </c>
      <c r="Q130" s="219">
        <v>15.16</v>
      </c>
      <c r="R130" s="219">
        <f t="shared" si="54"/>
        <v>181.92</v>
      </c>
      <c r="S130" s="219"/>
      <c r="T130" s="219">
        <f t="shared" si="46"/>
        <v>1</v>
      </c>
      <c r="U130" s="219">
        <f t="shared" si="46"/>
        <v>1</v>
      </c>
      <c r="V130" s="219">
        <f t="shared" si="46"/>
        <v>1</v>
      </c>
      <c r="W130" s="219">
        <f t="shared" si="46"/>
        <v>1</v>
      </c>
      <c r="X130" s="219">
        <f t="shared" si="46"/>
        <v>1</v>
      </c>
      <c r="Y130" s="219">
        <f t="shared" si="46"/>
        <v>1</v>
      </c>
      <c r="Z130" s="219">
        <f t="shared" si="46"/>
        <v>1</v>
      </c>
      <c r="AA130" s="219">
        <f t="shared" si="46"/>
        <v>1</v>
      </c>
      <c r="AB130" s="219">
        <f t="shared" si="46"/>
        <v>1</v>
      </c>
      <c r="AC130" s="219">
        <f t="shared" si="46"/>
        <v>1</v>
      </c>
      <c r="AD130" s="219">
        <f t="shared" si="46"/>
        <v>1</v>
      </c>
      <c r="AE130" s="219">
        <f t="shared" si="46"/>
        <v>1</v>
      </c>
      <c r="AF130" s="220">
        <f t="shared" si="49"/>
        <v>12</v>
      </c>
      <c r="AG130" s="287">
        <f t="shared" si="50"/>
        <v>1</v>
      </c>
      <c r="AO130" s="218">
        <f t="shared" si="51"/>
        <v>15.771291491559495</v>
      </c>
      <c r="AP130" s="228">
        <f t="shared" si="52"/>
        <v>189.25549789871394</v>
      </c>
      <c r="AQ130" s="228">
        <f t="shared" si="53"/>
        <v>7.3354978987139532</v>
      </c>
    </row>
    <row r="131" spans="1:43">
      <c r="A131" s="199" t="str">
        <f t="shared" si="47"/>
        <v>Lewis County UTCCommercialREDEL-COMM</v>
      </c>
      <c r="B131" s="199">
        <f t="shared" si="44"/>
        <v>1</v>
      </c>
      <c r="C131" s="293" t="s">
        <v>423</v>
      </c>
      <c r="D131" s="217" t="s">
        <v>424</v>
      </c>
      <c r="E131" s="218">
        <v>20.6</v>
      </c>
      <c r="F131" s="219">
        <v>0</v>
      </c>
      <c r="G131" s="219">
        <v>61.800000000000004</v>
      </c>
      <c r="H131" s="219">
        <v>20.6</v>
      </c>
      <c r="I131" s="219">
        <v>0</v>
      </c>
      <c r="J131" s="219">
        <v>63.5</v>
      </c>
      <c r="K131" s="219">
        <v>0</v>
      </c>
      <c r="L131" s="219">
        <v>0</v>
      </c>
      <c r="M131" s="219">
        <v>20.6</v>
      </c>
      <c r="N131" s="219">
        <v>20.6</v>
      </c>
      <c r="O131" s="219">
        <v>41.2</v>
      </c>
      <c r="P131" s="219">
        <v>0</v>
      </c>
      <c r="Q131" s="219">
        <v>0</v>
      </c>
      <c r="R131" s="219">
        <f t="shared" si="54"/>
        <v>228.3</v>
      </c>
      <c r="S131" s="219"/>
      <c r="T131" s="219">
        <f t="shared" si="46"/>
        <v>0</v>
      </c>
      <c r="U131" s="219">
        <f t="shared" si="46"/>
        <v>3</v>
      </c>
      <c r="V131" s="219">
        <f t="shared" si="46"/>
        <v>1</v>
      </c>
      <c r="W131" s="219">
        <f t="shared" si="46"/>
        <v>0</v>
      </c>
      <c r="X131" s="219">
        <f t="shared" si="46"/>
        <v>3.0825242718446599</v>
      </c>
      <c r="Y131" s="219">
        <f t="shared" si="46"/>
        <v>0</v>
      </c>
      <c r="Z131" s="219">
        <f t="shared" si="46"/>
        <v>0</v>
      </c>
      <c r="AA131" s="219">
        <f t="shared" si="46"/>
        <v>1</v>
      </c>
      <c r="AB131" s="219">
        <f t="shared" si="46"/>
        <v>1</v>
      </c>
      <c r="AC131" s="219">
        <f t="shared" si="46"/>
        <v>2</v>
      </c>
      <c r="AD131" s="219">
        <f t="shared" si="46"/>
        <v>0</v>
      </c>
      <c r="AE131" s="219">
        <f t="shared" si="46"/>
        <v>0</v>
      </c>
      <c r="AF131" s="220">
        <f t="shared" si="49"/>
        <v>11.08252427184466</v>
      </c>
      <c r="AG131" s="287">
        <f t="shared" si="50"/>
        <v>0.92354368932038833</v>
      </c>
      <c r="AO131" s="218">
        <f t="shared" si="51"/>
        <v>21.430646749744433</v>
      </c>
      <c r="AP131" s="228">
        <f t="shared" si="52"/>
        <v>237.50566276537154</v>
      </c>
      <c r="AQ131" s="228">
        <f t="shared" si="53"/>
        <v>9.2056627653715282</v>
      </c>
    </row>
    <row r="132" spans="1:43">
      <c r="A132" s="199" t="str">
        <f t="shared" si="47"/>
        <v>Lewis County UTCCommercialREINSTATE-COMM</v>
      </c>
      <c r="B132" s="199">
        <f t="shared" si="44"/>
        <v>1</v>
      </c>
      <c r="C132" s="293" t="s">
        <v>425</v>
      </c>
      <c r="D132" s="217" t="s">
        <v>426</v>
      </c>
      <c r="E132" s="218">
        <v>15</v>
      </c>
      <c r="F132" s="219">
        <v>30</v>
      </c>
      <c r="G132" s="219">
        <v>210</v>
      </c>
      <c r="H132" s="219">
        <v>195</v>
      </c>
      <c r="I132" s="219">
        <v>105</v>
      </c>
      <c r="J132" s="219">
        <v>240</v>
      </c>
      <c r="K132" s="219">
        <v>45</v>
      </c>
      <c r="L132" s="219">
        <v>90</v>
      </c>
      <c r="M132" s="219">
        <v>300</v>
      </c>
      <c r="N132" s="219">
        <v>60</v>
      </c>
      <c r="O132" s="219">
        <v>75</v>
      </c>
      <c r="P132" s="219">
        <v>0</v>
      </c>
      <c r="Q132" s="219">
        <v>0</v>
      </c>
      <c r="R132" s="219">
        <f t="shared" si="54"/>
        <v>1350</v>
      </c>
      <c r="S132" s="219"/>
      <c r="T132" s="219">
        <f t="shared" si="46"/>
        <v>2</v>
      </c>
      <c r="U132" s="219">
        <f t="shared" si="46"/>
        <v>14</v>
      </c>
      <c r="V132" s="219">
        <f t="shared" si="46"/>
        <v>13</v>
      </c>
      <c r="W132" s="219">
        <f t="shared" si="46"/>
        <v>7</v>
      </c>
      <c r="X132" s="219">
        <f t="shared" si="46"/>
        <v>16</v>
      </c>
      <c r="Y132" s="219">
        <f t="shared" si="46"/>
        <v>3</v>
      </c>
      <c r="Z132" s="219">
        <f t="shared" si="46"/>
        <v>6</v>
      </c>
      <c r="AA132" s="219">
        <f t="shared" si="46"/>
        <v>20</v>
      </c>
      <c r="AB132" s="219">
        <f t="shared" si="46"/>
        <v>4</v>
      </c>
      <c r="AC132" s="219">
        <f t="shared" si="46"/>
        <v>5</v>
      </c>
      <c r="AD132" s="219">
        <f t="shared" si="46"/>
        <v>0</v>
      </c>
      <c r="AE132" s="219">
        <f t="shared" si="46"/>
        <v>0</v>
      </c>
      <c r="AF132" s="220">
        <f t="shared" si="49"/>
        <v>90</v>
      </c>
      <c r="AG132" s="287">
        <f t="shared" si="50"/>
        <v>7.5</v>
      </c>
      <c r="AO132" s="218">
        <f t="shared" si="51"/>
        <v>15.604839866318761</v>
      </c>
      <c r="AP132" s="228">
        <f t="shared" si="52"/>
        <v>1404.4355879686884</v>
      </c>
      <c r="AQ132" s="228">
        <f t="shared" si="53"/>
        <v>54.435587968688424</v>
      </c>
    </row>
    <row r="133" spans="1:43">
      <c r="A133" s="199" t="str">
        <f t="shared" si="47"/>
        <v>Lewis County UTCCommercialRENT1.5TEMP-COMM</v>
      </c>
      <c r="B133" s="199">
        <f t="shared" si="44"/>
        <v>1</v>
      </c>
      <c r="C133" s="293" t="s">
        <v>427</v>
      </c>
      <c r="D133" s="217" t="s">
        <v>428</v>
      </c>
      <c r="E133" s="218">
        <v>0.47</v>
      </c>
      <c r="F133" s="219">
        <v>0</v>
      </c>
      <c r="G133" s="219">
        <v>9.4</v>
      </c>
      <c r="H133" s="219">
        <v>14.29</v>
      </c>
      <c r="I133" s="219">
        <v>14.29</v>
      </c>
      <c r="J133" s="219">
        <v>14.1</v>
      </c>
      <c r="K133" s="219">
        <v>0</v>
      </c>
      <c r="L133" s="219">
        <v>0</v>
      </c>
      <c r="M133" s="219">
        <v>14.29</v>
      </c>
      <c r="N133" s="219">
        <v>0</v>
      </c>
      <c r="O133" s="219">
        <v>0</v>
      </c>
      <c r="P133" s="219">
        <v>0</v>
      </c>
      <c r="Q133" s="219">
        <v>0</v>
      </c>
      <c r="R133" s="219">
        <f t="shared" si="54"/>
        <v>66.37</v>
      </c>
      <c r="S133" s="219"/>
      <c r="T133" s="219">
        <f t="shared" si="46"/>
        <v>0</v>
      </c>
      <c r="U133" s="219">
        <f t="shared" si="46"/>
        <v>20.000000000000004</v>
      </c>
      <c r="V133" s="219">
        <f t="shared" si="46"/>
        <v>30.404255319148938</v>
      </c>
      <c r="W133" s="219">
        <f t="shared" si="46"/>
        <v>30.404255319148938</v>
      </c>
      <c r="X133" s="219">
        <f t="shared" si="46"/>
        <v>30</v>
      </c>
      <c r="Y133" s="219">
        <f t="shared" si="46"/>
        <v>0</v>
      </c>
      <c r="Z133" s="219">
        <f t="shared" si="46"/>
        <v>0</v>
      </c>
      <c r="AA133" s="219">
        <f t="shared" si="46"/>
        <v>30.404255319148938</v>
      </c>
      <c r="AB133" s="219">
        <f t="shared" si="46"/>
        <v>0</v>
      </c>
      <c r="AC133" s="219">
        <f t="shared" si="46"/>
        <v>0</v>
      </c>
      <c r="AD133" s="219">
        <f t="shared" si="46"/>
        <v>0</v>
      </c>
      <c r="AE133" s="219">
        <f t="shared" si="46"/>
        <v>0</v>
      </c>
      <c r="AF133" s="220">
        <f t="shared" si="49"/>
        <v>141.21276595744683</v>
      </c>
      <c r="AG133" s="287">
        <f t="shared" si="50"/>
        <v>11.767730496453902</v>
      </c>
      <c r="AO133" s="218">
        <f t="shared" si="51"/>
        <v>0.4889516491446545</v>
      </c>
      <c r="AP133" s="228">
        <f t="shared" si="52"/>
        <v>69.04621479517175</v>
      </c>
      <c r="AQ133" s="228">
        <f t="shared" si="53"/>
        <v>2.6762147951717452</v>
      </c>
    </row>
    <row r="134" spans="1:43">
      <c r="A134" s="199" t="str">
        <f t="shared" si="47"/>
        <v>Lewis County UTCCommercialRENT1TEMP-COMM</v>
      </c>
      <c r="B134" s="199">
        <f t="shared" si="44"/>
        <v>1</v>
      </c>
      <c r="C134" s="293" t="s">
        <v>429</v>
      </c>
      <c r="D134" s="217" t="s">
        <v>430</v>
      </c>
      <c r="E134" s="218">
        <v>0.47</v>
      </c>
      <c r="F134" s="219">
        <v>26.98</v>
      </c>
      <c r="G134" s="219">
        <v>17.860000000000003</v>
      </c>
      <c r="H134" s="219">
        <v>61.67</v>
      </c>
      <c r="I134" s="219">
        <v>57.16</v>
      </c>
      <c r="J134" s="219">
        <v>-28.58</v>
      </c>
      <c r="K134" s="219">
        <v>26.979999999999997</v>
      </c>
      <c r="L134" s="219">
        <v>0</v>
      </c>
      <c r="M134" s="219">
        <v>0</v>
      </c>
      <c r="N134" s="219">
        <v>7.99</v>
      </c>
      <c r="O134" s="219">
        <v>14.29</v>
      </c>
      <c r="P134" s="219">
        <v>14.29</v>
      </c>
      <c r="Q134" s="219">
        <v>14.29</v>
      </c>
      <c r="R134" s="219">
        <f t="shared" si="54"/>
        <v>212.93</v>
      </c>
      <c r="S134" s="219"/>
      <c r="T134" s="219">
        <f t="shared" si="46"/>
        <v>57.404255319148938</v>
      </c>
      <c r="U134" s="219">
        <f t="shared" si="46"/>
        <v>38.000000000000007</v>
      </c>
      <c r="V134" s="219">
        <f t="shared" si="46"/>
        <v>131.21276595744681</v>
      </c>
      <c r="W134" s="219">
        <f t="shared" si="46"/>
        <v>121.61702127659575</v>
      </c>
      <c r="X134" s="219">
        <f t="shared" si="46"/>
        <v>-60.808510638297875</v>
      </c>
      <c r="Y134" s="219">
        <f t="shared" si="46"/>
        <v>57.40425531914893</v>
      </c>
      <c r="Z134" s="219">
        <f t="shared" si="46"/>
        <v>0</v>
      </c>
      <c r="AA134" s="219">
        <f t="shared" si="46"/>
        <v>0</v>
      </c>
      <c r="AB134" s="219">
        <f t="shared" si="46"/>
        <v>17</v>
      </c>
      <c r="AC134" s="219">
        <f t="shared" si="46"/>
        <v>30.404255319148938</v>
      </c>
      <c r="AD134" s="219">
        <f t="shared" si="46"/>
        <v>30.404255319148938</v>
      </c>
      <c r="AE134" s="219">
        <f t="shared" si="46"/>
        <v>30.404255319148938</v>
      </c>
      <c r="AF134" s="220">
        <f t="shared" si="49"/>
        <v>453.04255319148939</v>
      </c>
      <c r="AG134" s="287">
        <f t="shared" si="50"/>
        <v>37.75354609929078</v>
      </c>
      <c r="AO134" s="218">
        <f t="shared" si="51"/>
        <v>0.4889516491446545</v>
      </c>
      <c r="AP134" s="228">
        <f t="shared" si="52"/>
        <v>221.51590351568356</v>
      </c>
      <c r="AQ134" s="228">
        <f t="shared" si="53"/>
        <v>8.5859035156835546</v>
      </c>
    </row>
    <row r="135" spans="1:43">
      <c r="A135" s="199" t="str">
        <f t="shared" si="47"/>
        <v>Lewis County UTCCommercialRENT2TEMP-COMM</v>
      </c>
      <c r="B135" s="199">
        <f t="shared" si="44"/>
        <v>1</v>
      </c>
      <c r="C135" s="293" t="s">
        <v>431</v>
      </c>
      <c r="D135" s="217" t="s">
        <v>432</v>
      </c>
      <c r="E135" s="218">
        <v>0.52</v>
      </c>
      <c r="F135" s="219">
        <v>71.22</v>
      </c>
      <c r="G135" s="219">
        <v>114.88000000000001</v>
      </c>
      <c r="H135" s="219">
        <v>193.87</v>
      </c>
      <c r="I135" s="219">
        <v>201.78</v>
      </c>
      <c r="J135" s="219">
        <v>109.31</v>
      </c>
      <c r="K135" s="219">
        <v>100.88999999999999</v>
      </c>
      <c r="L135" s="219">
        <v>148.41999999999999</v>
      </c>
      <c r="M135" s="219">
        <v>154.25</v>
      </c>
      <c r="N135" s="219">
        <v>126.16</v>
      </c>
      <c r="O135" s="219">
        <v>71.349999999999994</v>
      </c>
      <c r="P135" s="219">
        <v>69.48</v>
      </c>
      <c r="Q135" s="219">
        <v>133.65</v>
      </c>
      <c r="R135" s="219">
        <f t="shared" si="54"/>
        <v>1495.26</v>
      </c>
      <c r="S135" s="219"/>
      <c r="T135" s="219">
        <f t="shared" si="46"/>
        <v>136.96153846153845</v>
      </c>
      <c r="U135" s="219">
        <f t="shared" si="46"/>
        <v>220.92307692307693</v>
      </c>
      <c r="V135" s="219">
        <f t="shared" si="46"/>
        <v>372.82692307692309</v>
      </c>
      <c r="W135" s="219">
        <f t="shared" si="46"/>
        <v>388.03846153846155</v>
      </c>
      <c r="X135" s="219">
        <f t="shared" si="46"/>
        <v>210.21153846153845</v>
      </c>
      <c r="Y135" s="219">
        <f t="shared" si="46"/>
        <v>194.01923076923075</v>
      </c>
      <c r="Z135" s="219">
        <f t="shared" si="46"/>
        <v>285.42307692307691</v>
      </c>
      <c r="AA135" s="219">
        <f t="shared" si="46"/>
        <v>296.63461538461536</v>
      </c>
      <c r="AB135" s="219">
        <f t="shared" si="46"/>
        <v>242.61538461538461</v>
      </c>
      <c r="AC135" s="219">
        <f t="shared" si="46"/>
        <v>137.21153846153845</v>
      </c>
      <c r="AD135" s="219">
        <f t="shared" si="46"/>
        <v>133.61538461538461</v>
      </c>
      <c r="AE135" s="219">
        <f t="shared" si="46"/>
        <v>257.01923076923077</v>
      </c>
      <c r="AF135" s="220">
        <f t="shared" si="49"/>
        <v>2875.5000000000005</v>
      </c>
      <c r="AG135" s="287">
        <f t="shared" si="50"/>
        <v>239.62500000000003</v>
      </c>
      <c r="AO135" s="218">
        <f t="shared" si="51"/>
        <v>0.54096778203238371</v>
      </c>
      <c r="AP135" s="228">
        <f t="shared" si="52"/>
        <v>1555.5528572341195</v>
      </c>
      <c r="AQ135" s="228">
        <f t="shared" si="53"/>
        <v>60.292857234119538</v>
      </c>
    </row>
    <row r="136" spans="1:43">
      <c r="A136" s="199" t="str">
        <f t="shared" si="47"/>
        <v>Lewis County UTCCommercialRENT3TEMP-COMM</v>
      </c>
      <c r="B136" s="199">
        <f t="shared" si="44"/>
        <v>1</v>
      </c>
      <c r="C136" s="293" t="s">
        <v>433</v>
      </c>
      <c r="D136" s="217" t="s">
        <v>434</v>
      </c>
      <c r="E136" s="218">
        <v>0.52</v>
      </c>
      <c r="F136" s="219">
        <v>46.18</v>
      </c>
      <c r="G136" s="219">
        <v>65.52000000000001</v>
      </c>
      <c r="H136" s="219">
        <v>60.64</v>
      </c>
      <c r="I136" s="219">
        <v>51.9</v>
      </c>
      <c r="J136" s="219">
        <v>-6.1400000000000006</v>
      </c>
      <c r="K136" s="219">
        <v>15.81</v>
      </c>
      <c r="L136" s="219">
        <v>15.81</v>
      </c>
      <c r="M136" s="219">
        <v>8.32</v>
      </c>
      <c r="N136" s="219">
        <v>2.6</v>
      </c>
      <c r="O136" s="219">
        <v>32.76</v>
      </c>
      <c r="P136" s="219">
        <v>71.349999999999994</v>
      </c>
      <c r="Q136" s="219">
        <v>96.52</v>
      </c>
      <c r="R136" s="219">
        <f t="shared" si="54"/>
        <v>461.27</v>
      </c>
      <c r="S136" s="219"/>
      <c r="T136" s="219">
        <f t="shared" si="46"/>
        <v>88.807692307692307</v>
      </c>
      <c r="U136" s="219">
        <f t="shared" si="46"/>
        <v>126.00000000000001</v>
      </c>
      <c r="V136" s="219">
        <f t="shared" si="46"/>
        <v>116.61538461538461</v>
      </c>
      <c r="W136" s="219">
        <f t="shared" ref="T136:AE145" si="55">IFERROR(I136/$E136,0)</f>
        <v>99.807692307692307</v>
      </c>
      <c r="X136" s="219">
        <f t="shared" si="55"/>
        <v>-11.807692307692308</v>
      </c>
      <c r="Y136" s="219">
        <f t="shared" si="55"/>
        <v>30.403846153846153</v>
      </c>
      <c r="Z136" s="219">
        <f t="shared" si="55"/>
        <v>30.403846153846153</v>
      </c>
      <c r="AA136" s="219">
        <f t="shared" si="55"/>
        <v>16</v>
      </c>
      <c r="AB136" s="219">
        <f t="shared" si="55"/>
        <v>5</v>
      </c>
      <c r="AC136" s="219">
        <f t="shared" si="55"/>
        <v>62.999999999999993</v>
      </c>
      <c r="AD136" s="219">
        <f t="shared" si="55"/>
        <v>137.21153846153845</v>
      </c>
      <c r="AE136" s="219">
        <f t="shared" si="55"/>
        <v>185.61538461538461</v>
      </c>
      <c r="AF136" s="220">
        <f t="shared" si="49"/>
        <v>887.05769230769226</v>
      </c>
      <c r="AG136" s="287">
        <f t="shared" si="50"/>
        <v>73.921474358974351</v>
      </c>
      <c r="AO136" s="218">
        <f t="shared" si="51"/>
        <v>0.54096778203238371</v>
      </c>
      <c r="AP136" s="228">
        <f t="shared" si="52"/>
        <v>479.8696323424569</v>
      </c>
      <c r="AQ136" s="228">
        <f t="shared" si="53"/>
        <v>18.599632342456914</v>
      </c>
    </row>
    <row r="137" spans="1:43">
      <c r="A137" s="199" t="str">
        <f t="shared" si="47"/>
        <v>Lewis County UTCCommercialRENT4TEMP-COMM</v>
      </c>
      <c r="B137" s="199">
        <f t="shared" si="44"/>
        <v>1</v>
      </c>
      <c r="C137" s="293" t="s">
        <v>435</v>
      </c>
      <c r="D137" s="217" t="s">
        <v>436</v>
      </c>
      <c r="E137" s="218">
        <v>0.56999999999999995</v>
      </c>
      <c r="F137" s="219">
        <v>72.509999999999991</v>
      </c>
      <c r="G137" s="219">
        <v>38.08</v>
      </c>
      <c r="H137" s="219">
        <v>48.68</v>
      </c>
      <c r="I137" s="219">
        <v>5.13</v>
      </c>
      <c r="J137" s="219">
        <v>5.7</v>
      </c>
      <c r="K137" s="219">
        <v>0</v>
      </c>
      <c r="L137" s="219">
        <v>0</v>
      </c>
      <c r="M137" s="219">
        <v>0</v>
      </c>
      <c r="N137" s="219">
        <v>5.7</v>
      </c>
      <c r="O137" s="219">
        <v>17.329999999999998</v>
      </c>
      <c r="P137" s="219">
        <v>23.03</v>
      </c>
      <c r="Q137" s="219">
        <v>66.58</v>
      </c>
      <c r="R137" s="219">
        <f t="shared" si="54"/>
        <v>282.73999999999995</v>
      </c>
      <c r="S137" s="219"/>
      <c r="T137" s="219">
        <f t="shared" si="55"/>
        <v>127.21052631578947</v>
      </c>
      <c r="U137" s="219">
        <f t="shared" si="55"/>
        <v>66.807017543859658</v>
      </c>
      <c r="V137" s="219">
        <f t="shared" si="55"/>
        <v>85.403508771929836</v>
      </c>
      <c r="W137" s="219">
        <f t="shared" si="55"/>
        <v>9</v>
      </c>
      <c r="X137" s="219">
        <f t="shared" si="55"/>
        <v>10.000000000000002</v>
      </c>
      <c r="Y137" s="219">
        <f t="shared" si="55"/>
        <v>0</v>
      </c>
      <c r="Z137" s="219">
        <f t="shared" si="55"/>
        <v>0</v>
      </c>
      <c r="AA137" s="219">
        <f t="shared" si="55"/>
        <v>0</v>
      </c>
      <c r="AB137" s="219">
        <f t="shared" si="55"/>
        <v>10.000000000000002</v>
      </c>
      <c r="AC137" s="219">
        <f t="shared" si="55"/>
        <v>30.403508771929825</v>
      </c>
      <c r="AD137" s="219">
        <f t="shared" si="55"/>
        <v>40.403508771929829</v>
      </c>
      <c r="AE137" s="219">
        <f t="shared" si="55"/>
        <v>116.80701754385966</v>
      </c>
      <c r="AF137" s="220">
        <f t="shared" si="49"/>
        <v>496.03508771929825</v>
      </c>
      <c r="AG137" s="287">
        <f t="shared" si="50"/>
        <v>41.336257309941523</v>
      </c>
      <c r="AO137" s="218">
        <f t="shared" si="51"/>
        <v>0.59298391492011293</v>
      </c>
      <c r="AP137" s="228">
        <f t="shared" si="52"/>
        <v>294.14082825353114</v>
      </c>
      <c r="AQ137" s="228">
        <f t="shared" si="53"/>
        <v>11.400828253531188</v>
      </c>
    </row>
    <row r="138" spans="1:43">
      <c r="A138" s="199" t="str">
        <f t="shared" si="47"/>
        <v>Lewis County UTCCommercialRENT6TEMP-COMM</v>
      </c>
      <c r="B138" s="199">
        <f t="shared" si="44"/>
        <v>1</v>
      </c>
      <c r="C138" s="293" t="s">
        <v>437</v>
      </c>
      <c r="D138" s="217" t="s">
        <v>438</v>
      </c>
      <c r="E138" s="218">
        <v>0.62</v>
      </c>
      <c r="F138" s="219">
        <v>344</v>
      </c>
      <c r="G138" s="219">
        <v>306.54999999999995</v>
      </c>
      <c r="H138" s="219">
        <v>423.73</v>
      </c>
      <c r="I138" s="219">
        <v>414.8</v>
      </c>
      <c r="J138" s="219">
        <v>108.52</v>
      </c>
      <c r="K138" s="219">
        <v>144.22</v>
      </c>
      <c r="L138" s="219">
        <v>75.150000000000006</v>
      </c>
      <c r="M138" s="219">
        <v>93.87</v>
      </c>
      <c r="N138" s="219">
        <v>106.14999999999999</v>
      </c>
      <c r="O138" s="219">
        <v>171.37999999999997</v>
      </c>
      <c r="P138" s="219">
        <v>203.50000000000003</v>
      </c>
      <c r="Q138" s="219">
        <v>287.82</v>
      </c>
      <c r="R138" s="219">
        <f t="shared" si="54"/>
        <v>2679.6900000000005</v>
      </c>
      <c r="S138" s="219"/>
      <c r="T138" s="219">
        <f t="shared" si="55"/>
        <v>554.83870967741939</v>
      </c>
      <c r="U138" s="219">
        <f t="shared" si="55"/>
        <v>494.43548387096769</v>
      </c>
      <c r="V138" s="219">
        <f t="shared" si="55"/>
        <v>683.4354838709678</v>
      </c>
      <c r="W138" s="219">
        <f t="shared" si="55"/>
        <v>669.0322580645161</v>
      </c>
      <c r="X138" s="219">
        <f t="shared" si="55"/>
        <v>175.03225806451613</v>
      </c>
      <c r="Y138" s="219">
        <f t="shared" si="55"/>
        <v>232.61290322580646</v>
      </c>
      <c r="Z138" s="219">
        <f t="shared" si="55"/>
        <v>121.20967741935485</v>
      </c>
      <c r="AA138" s="219">
        <f t="shared" si="55"/>
        <v>151.40322580645162</v>
      </c>
      <c r="AB138" s="219">
        <f t="shared" si="55"/>
        <v>171.20967741935482</v>
      </c>
      <c r="AC138" s="219">
        <f t="shared" si="55"/>
        <v>276.41935483870964</v>
      </c>
      <c r="AD138" s="219">
        <f t="shared" si="55"/>
        <v>328.22580645161293</v>
      </c>
      <c r="AE138" s="219">
        <f t="shared" si="55"/>
        <v>464.22580645161287</v>
      </c>
      <c r="AF138" s="220">
        <f t="shared" si="49"/>
        <v>4322.0806451612898</v>
      </c>
      <c r="AG138" s="287">
        <f t="shared" si="50"/>
        <v>360.17338709677415</v>
      </c>
      <c r="AO138" s="218">
        <f t="shared" si="51"/>
        <v>0.64500004780784215</v>
      </c>
      <c r="AP138" s="228">
        <f t="shared" si="52"/>
        <v>2787.7422227583811</v>
      </c>
      <c r="AQ138" s="228">
        <f t="shared" si="53"/>
        <v>108.05222275838059</v>
      </c>
    </row>
    <row r="139" spans="1:43">
      <c r="A139" s="199" t="str">
        <f t="shared" si="47"/>
        <v>Lewis County UTCCommercialROLL-COMM</v>
      </c>
      <c r="B139" s="199">
        <f t="shared" si="44"/>
        <v>1</v>
      </c>
      <c r="C139" s="293" t="s">
        <v>439</v>
      </c>
      <c r="D139" s="217" t="s">
        <v>440</v>
      </c>
      <c r="E139" s="218">
        <v>19.05</v>
      </c>
      <c r="F139" s="219">
        <v>19.05</v>
      </c>
      <c r="G139" s="219">
        <v>19.05</v>
      </c>
      <c r="H139" s="219">
        <v>19.05</v>
      </c>
      <c r="I139" s="219">
        <v>19.05</v>
      </c>
      <c r="J139" s="219">
        <v>19.05</v>
      </c>
      <c r="K139" s="219">
        <v>19.05</v>
      </c>
      <c r="L139" s="219">
        <v>19.05</v>
      </c>
      <c r="M139" s="219">
        <v>19.05</v>
      </c>
      <c r="N139" s="219">
        <v>19.05</v>
      </c>
      <c r="O139" s="219">
        <v>19.05</v>
      </c>
      <c r="P139" s="219">
        <v>19.05</v>
      </c>
      <c r="Q139" s="219">
        <v>19.05</v>
      </c>
      <c r="R139" s="219">
        <f t="shared" si="54"/>
        <v>228.60000000000005</v>
      </c>
      <c r="S139" s="219"/>
      <c r="T139" s="219">
        <f t="shared" si="55"/>
        <v>1</v>
      </c>
      <c r="U139" s="219">
        <f t="shared" si="55"/>
        <v>1</v>
      </c>
      <c r="V139" s="219">
        <f t="shared" si="55"/>
        <v>1</v>
      </c>
      <c r="W139" s="219">
        <f t="shared" si="55"/>
        <v>1</v>
      </c>
      <c r="X139" s="219">
        <f t="shared" si="55"/>
        <v>1</v>
      </c>
      <c r="Y139" s="219">
        <f t="shared" si="55"/>
        <v>1</v>
      </c>
      <c r="Z139" s="219">
        <f t="shared" si="55"/>
        <v>1</v>
      </c>
      <c r="AA139" s="219">
        <f t="shared" si="55"/>
        <v>1</v>
      </c>
      <c r="AB139" s="219">
        <f t="shared" si="55"/>
        <v>1</v>
      </c>
      <c r="AC139" s="219">
        <f t="shared" si="55"/>
        <v>1</v>
      </c>
      <c r="AD139" s="219">
        <f t="shared" si="55"/>
        <v>1</v>
      </c>
      <c r="AE139" s="219">
        <f t="shared" si="55"/>
        <v>1</v>
      </c>
      <c r="AF139" s="220">
        <f t="shared" si="49"/>
        <v>12</v>
      </c>
      <c r="AG139" s="287">
        <f t="shared" si="50"/>
        <v>1</v>
      </c>
      <c r="AO139" s="218">
        <f t="shared" si="51"/>
        <v>19.818146630224827</v>
      </c>
      <c r="AP139" s="228">
        <f t="shared" si="52"/>
        <v>237.81775956269792</v>
      </c>
      <c r="AQ139" s="228">
        <f t="shared" si="53"/>
        <v>9.2177595626978643</v>
      </c>
    </row>
    <row r="140" spans="1:43">
      <c r="A140" s="199" t="str">
        <f t="shared" si="47"/>
        <v>Lewis County UTCCommercialROLL1W-COMM</v>
      </c>
      <c r="B140" s="199">
        <f t="shared" si="44"/>
        <v>1</v>
      </c>
      <c r="C140" s="293" t="s">
        <v>441</v>
      </c>
      <c r="D140" s="217" t="s">
        <v>442</v>
      </c>
      <c r="E140" s="218">
        <v>4.55</v>
      </c>
      <c r="F140" s="219">
        <v>4.55</v>
      </c>
      <c r="G140" s="219">
        <v>4.55</v>
      </c>
      <c r="H140" s="219">
        <v>4.55</v>
      </c>
      <c r="I140" s="219">
        <v>4.55</v>
      </c>
      <c r="J140" s="219">
        <v>4.55</v>
      </c>
      <c r="K140" s="219">
        <v>4.55</v>
      </c>
      <c r="L140" s="219">
        <v>4.55</v>
      </c>
      <c r="M140" s="219">
        <v>4.55</v>
      </c>
      <c r="N140" s="219">
        <v>4.55</v>
      </c>
      <c r="O140" s="219">
        <v>4.55</v>
      </c>
      <c r="P140" s="219">
        <v>4.55</v>
      </c>
      <c r="Q140" s="219">
        <v>0</v>
      </c>
      <c r="R140" s="219">
        <f t="shared" si="54"/>
        <v>50.04999999999999</v>
      </c>
      <c r="S140" s="219"/>
      <c r="T140" s="219">
        <f t="shared" si="55"/>
        <v>1</v>
      </c>
      <c r="U140" s="219">
        <f t="shared" si="55"/>
        <v>1</v>
      </c>
      <c r="V140" s="219">
        <f t="shared" si="55"/>
        <v>1</v>
      </c>
      <c r="W140" s="219">
        <f t="shared" si="55"/>
        <v>1</v>
      </c>
      <c r="X140" s="219">
        <f t="shared" si="55"/>
        <v>1</v>
      </c>
      <c r="Y140" s="219">
        <f t="shared" si="55"/>
        <v>1</v>
      </c>
      <c r="Z140" s="219">
        <f t="shared" si="55"/>
        <v>1</v>
      </c>
      <c r="AA140" s="219">
        <f t="shared" si="55"/>
        <v>1</v>
      </c>
      <c r="AB140" s="219">
        <f t="shared" si="55"/>
        <v>1</v>
      </c>
      <c r="AC140" s="219">
        <f t="shared" si="55"/>
        <v>1</v>
      </c>
      <c r="AD140" s="219">
        <f t="shared" si="55"/>
        <v>1</v>
      </c>
      <c r="AE140" s="219">
        <f t="shared" si="55"/>
        <v>0</v>
      </c>
      <c r="AF140" s="220">
        <f t="shared" si="49"/>
        <v>11</v>
      </c>
      <c r="AG140" s="287">
        <f t="shared" si="50"/>
        <v>0.91666666666666663</v>
      </c>
      <c r="AO140" s="218">
        <f t="shared" si="51"/>
        <v>4.7334680927833572</v>
      </c>
      <c r="AP140" s="228">
        <f t="shared" si="52"/>
        <v>52.068149020616929</v>
      </c>
      <c r="AQ140" s="228">
        <f t="shared" si="53"/>
        <v>2.0181490206169386</v>
      </c>
    </row>
    <row r="141" spans="1:43">
      <c r="A141" s="199" t="str">
        <f t="shared" si="47"/>
        <v>Lewis County UTCCommercialRTRNCAN-COMM</v>
      </c>
      <c r="B141" s="199">
        <f t="shared" si="44"/>
        <v>1</v>
      </c>
      <c r="C141" s="293" t="s">
        <v>443</v>
      </c>
      <c r="D141" s="217" t="s">
        <v>444</v>
      </c>
      <c r="E141" s="218">
        <v>22.3</v>
      </c>
      <c r="F141" s="219">
        <v>0</v>
      </c>
      <c r="G141" s="219">
        <v>44.6</v>
      </c>
      <c r="H141" s="219">
        <v>22.3</v>
      </c>
      <c r="I141" s="219">
        <v>22.3</v>
      </c>
      <c r="J141" s="219">
        <v>22.3</v>
      </c>
      <c r="K141" s="219">
        <v>0</v>
      </c>
      <c r="L141" s="219">
        <v>0</v>
      </c>
      <c r="M141" s="219">
        <v>0</v>
      </c>
      <c r="N141" s="219">
        <v>22.3</v>
      </c>
      <c r="O141" s="219">
        <v>22.3</v>
      </c>
      <c r="P141" s="219">
        <v>22.3</v>
      </c>
      <c r="Q141" s="219">
        <v>0</v>
      </c>
      <c r="R141" s="219">
        <f t="shared" ref="R141:R145" si="56">SUM(F141:Q141)</f>
        <v>178.40000000000003</v>
      </c>
      <c r="S141" s="219"/>
      <c r="T141" s="219">
        <f t="shared" si="55"/>
        <v>0</v>
      </c>
      <c r="U141" s="219">
        <f t="shared" si="55"/>
        <v>2</v>
      </c>
      <c r="V141" s="219">
        <f t="shared" si="55"/>
        <v>1</v>
      </c>
      <c r="W141" s="219">
        <f t="shared" si="55"/>
        <v>1</v>
      </c>
      <c r="X141" s="219">
        <f t="shared" si="55"/>
        <v>1</v>
      </c>
      <c r="Y141" s="219">
        <f t="shared" si="55"/>
        <v>0</v>
      </c>
      <c r="Z141" s="219">
        <f t="shared" si="55"/>
        <v>0</v>
      </c>
      <c r="AA141" s="219">
        <f t="shared" si="55"/>
        <v>0</v>
      </c>
      <c r="AB141" s="219">
        <f t="shared" si="55"/>
        <v>1</v>
      </c>
      <c r="AC141" s="219">
        <f t="shared" si="55"/>
        <v>1</v>
      </c>
      <c r="AD141" s="219">
        <f t="shared" si="55"/>
        <v>1</v>
      </c>
      <c r="AE141" s="219">
        <f t="shared" si="55"/>
        <v>0</v>
      </c>
      <c r="AF141" s="220">
        <f t="shared" si="49"/>
        <v>8</v>
      </c>
      <c r="AG141" s="287">
        <f t="shared" si="50"/>
        <v>0.66666666666666663</v>
      </c>
      <c r="AO141" s="218">
        <f t="shared" si="51"/>
        <v>23.199195267927227</v>
      </c>
      <c r="AP141" s="228">
        <f t="shared" si="52"/>
        <v>185.59356214341781</v>
      </c>
      <c r="AQ141" s="228">
        <f t="shared" si="53"/>
        <v>7.193562143417779</v>
      </c>
    </row>
    <row r="142" spans="1:43">
      <c r="A142" s="199" t="str">
        <f t="shared" si="47"/>
        <v>Lewis County UTCCommercialRTRNCART65-COMM</v>
      </c>
      <c r="B142" s="199">
        <f t="shared" si="44"/>
        <v>1</v>
      </c>
      <c r="C142" s="293" t="s">
        <v>445</v>
      </c>
      <c r="D142" s="217" t="s">
        <v>446</v>
      </c>
      <c r="E142" s="218">
        <v>22.3</v>
      </c>
      <c r="F142" s="219">
        <v>0</v>
      </c>
      <c r="G142" s="219">
        <v>0</v>
      </c>
      <c r="H142" s="219">
        <v>0</v>
      </c>
      <c r="I142" s="219">
        <v>0</v>
      </c>
      <c r="J142" s="219">
        <v>0</v>
      </c>
      <c r="K142" s="219">
        <v>0</v>
      </c>
      <c r="L142" s="219">
        <v>22.3</v>
      </c>
      <c r="M142" s="219">
        <v>0</v>
      </c>
      <c r="N142" s="219">
        <v>0</v>
      </c>
      <c r="O142" s="219">
        <v>0</v>
      </c>
      <c r="P142" s="219">
        <v>0</v>
      </c>
      <c r="Q142" s="219">
        <v>0</v>
      </c>
      <c r="R142" s="219">
        <f t="shared" si="56"/>
        <v>22.3</v>
      </c>
      <c r="S142" s="219"/>
      <c r="T142" s="219">
        <f t="shared" si="55"/>
        <v>0</v>
      </c>
      <c r="U142" s="219">
        <f t="shared" si="55"/>
        <v>0</v>
      </c>
      <c r="V142" s="219">
        <f t="shared" si="55"/>
        <v>0</v>
      </c>
      <c r="W142" s="219">
        <f t="shared" si="55"/>
        <v>0</v>
      </c>
      <c r="X142" s="219">
        <f t="shared" si="55"/>
        <v>0</v>
      </c>
      <c r="Y142" s="219">
        <f t="shared" si="55"/>
        <v>0</v>
      </c>
      <c r="Z142" s="219">
        <f t="shared" si="55"/>
        <v>1</v>
      </c>
      <c r="AA142" s="219">
        <f t="shared" si="55"/>
        <v>0</v>
      </c>
      <c r="AB142" s="219">
        <f t="shared" si="55"/>
        <v>0</v>
      </c>
      <c r="AC142" s="219">
        <f t="shared" si="55"/>
        <v>0</v>
      </c>
      <c r="AD142" s="219">
        <f t="shared" si="55"/>
        <v>0</v>
      </c>
      <c r="AE142" s="219">
        <f t="shared" si="55"/>
        <v>0</v>
      </c>
      <c r="AF142" s="220">
        <f t="shared" si="49"/>
        <v>1</v>
      </c>
      <c r="AG142" s="287">
        <f t="shared" si="50"/>
        <v>8.3333333333333329E-2</v>
      </c>
      <c r="AI142" s="221"/>
      <c r="AJ142" s="221" t="s">
        <v>135</v>
      </c>
      <c r="AO142" s="218">
        <f t="shared" si="51"/>
        <v>23.199195267927227</v>
      </c>
      <c r="AP142" s="228">
        <f t="shared" si="52"/>
        <v>23.199195267927227</v>
      </c>
      <c r="AQ142" s="228">
        <f t="shared" si="53"/>
        <v>0.89919526792722593</v>
      </c>
    </row>
    <row r="143" spans="1:43">
      <c r="A143" s="199" t="str">
        <f t="shared" si="47"/>
        <v>Lewis County UTCCommercialRTRNTRIP1-COMM</v>
      </c>
      <c r="B143" s="199">
        <f t="shared" si="44"/>
        <v>1</v>
      </c>
      <c r="C143" s="293" t="s">
        <v>447</v>
      </c>
      <c r="D143" s="217" t="s">
        <v>448</v>
      </c>
      <c r="E143" s="218">
        <v>27.75</v>
      </c>
      <c r="F143" s="219">
        <v>0</v>
      </c>
      <c r="G143" s="219">
        <v>0</v>
      </c>
      <c r="H143" s="219">
        <v>0</v>
      </c>
      <c r="I143" s="219">
        <v>0</v>
      </c>
      <c r="J143" s="219">
        <v>0</v>
      </c>
      <c r="K143" s="219">
        <v>22.3</v>
      </c>
      <c r="L143" s="219">
        <v>0</v>
      </c>
      <c r="M143" s="219">
        <v>0</v>
      </c>
      <c r="N143" s="219">
        <v>0</v>
      </c>
      <c r="O143" s="219">
        <v>0</v>
      </c>
      <c r="P143" s="219">
        <v>0</v>
      </c>
      <c r="Q143" s="219">
        <v>0</v>
      </c>
      <c r="R143" s="219">
        <f t="shared" si="56"/>
        <v>22.3</v>
      </c>
      <c r="S143" s="219"/>
      <c r="T143" s="219">
        <f t="shared" si="55"/>
        <v>0</v>
      </c>
      <c r="U143" s="219">
        <f t="shared" si="55"/>
        <v>0</v>
      </c>
      <c r="V143" s="219">
        <f t="shared" si="55"/>
        <v>0</v>
      </c>
      <c r="W143" s="219">
        <f t="shared" si="55"/>
        <v>0</v>
      </c>
      <c r="X143" s="219">
        <f t="shared" si="55"/>
        <v>0</v>
      </c>
      <c r="Y143" s="219">
        <f t="shared" si="55"/>
        <v>0.80360360360360361</v>
      </c>
      <c r="Z143" s="219">
        <f t="shared" si="55"/>
        <v>0</v>
      </c>
      <c r="AA143" s="219">
        <f t="shared" si="55"/>
        <v>0</v>
      </c>
      <c r="AB143" s="219">
        <f t="shared" si="55"/>
        <v>0</v>
      </c>
      <c r="AC143" s="219">
        <f t="shared" si="55"/>
        <v>0</v>
      </c>
      <c r="AD143" s="219">
        <f t="shared" si="55"/>
        <v>0</v>
      </c>
      <c r="AE143" s="219">
        <f t="shared" si="55"/>
        <v>0</v>
      </c>
      <c r="AF143" s="220">
        <f t="shared" si="49"/>
        <v>0.80360360360360361</v>
      </c>
      <c r="AG143" s="287">
        <f t="shared" si="50"/>
        <v>6.6966966966966968E-2</v>
      </c>
      <c r="AI143" s="221" t="s">
        <v>176</v>
      </c>
      <c r="AJ143" s="222">
        <f>+SUM(AM95:AM100,AM92:AM93)</f>
        <v>344.14738516233751</v>
      </c>
      <c r="AO143" s="218">
        <f t="shared" si="51"/>
        <v>28.868953752689709</v>
      </c>
      <c r="AP143" s="228">
        <f t="shared" si="52"/>
        <v>23.199195267927227</v>
      </c>
      <c r="AQ143" s="228">
        <f t="shared" si="53"/>
        <v>0.89919526792722593</v>
      </c>
    </row>
    <row r="144" spans="1:43">
      <c r="A144" s="199" t="str">
        <f t="shared" si="47"/>
        <v>Lewis County UTCCommercialRTRNTRIP2-COMM</v>
      </c>
      <c r="B144" s="199">
        <f t="shared" si="44"/>
        <v>1</v>
      </c>
      <c r="C144" s="293" t="s">
        <v>449</v>
      </c>
      <c r="D144" s="217" t="s">
        <v>450</v>
      </c>
      <c r="E144" s="218">
        <v>27.75</v>
      </c>
      <c r="F144" s="219">
        <v>0</v>
      </c>
      <c r="G144" s="219">
        <v>0</v>
      </c>
      <c r="H144" s="219">
        <v>0</v>
      </c>
      <c r="I144" s="219">
        <v>0</v>
      </c>
      <c r="J144" s="219">
        <v>0</v>
      </c>
      <c r="K144" s="219">
        <v>0</v>
      </c>
      <c r="L144" s="219">
        <v>0</v>
      </c>
      <c r="M144" s="219">
        <v>0</v>
      </c>
      <c r="N144" s="219">
        <v>0</v>
      </c>
      <c r="O144" s="219">
        <v>0</v>
      </c>
      <c r="P144" s="219">
        <v>27.75</v>
      </c>
      <c r="Q144" s="219">
        <v>22.3</v>
      </c>
      <c r="R144" s="219">
        <f t="shared" si="56"/>
        <v>50.05</v>
      </c>
      <c r="S144" s="219"/>
      <c r="T144" s="219">
        <f t="shared" si="55"/>
        <v>0</v>
      </c>
      <c r="U144" s="219">
        <f t="shared" si="55"/>
        <v>0</v>
      </c>
      <c r="V144" s="219">
        <f t="shared" si="55"/>
        <v>0</v>
      </c>
      <c r="W144" s="219">
        <f t="shared" si="55"/>
        <v>0</v>
      </c>
      <c r="X144" s="219">
        <f t="shared" si="55"/>
        <v>0</v>
      </c>
      <c r="Y144" s="219">
        <f t="shared" si="55"/>
        <v>0</v>
      </c>
      <c r="Z144" s="219">
        <f t="shared" si="55"/>
        <v>0</v>
      </c>
      <c r="AA144" s="219">
        <f t="shared" si="55"/>
        <v>0</v>
      </c>
      <c r="AB144" s="219">
        <f t="shared" si="55"/>
        <v>0</v>
      </c>
      <c r="AC144" s="219">
        <f t="shared" si="55"/>
        <v>0</v>
      </c>
      <c r="AD144" s="219">
        <f t="shared" si="55"/>
        <v>1</v>
      </c>
      <c r="AE144" s="219">
        <f t="shared" si="55"/>
        <v>0.80360360360360361</v>
      </c>
      <c r="AF144" s="220">
        <f t="shared" si="49"/>
        <v>1.8036036036036036</v>
      </c>
      <c r="AG144" s="287">
        <f t="shared" si="50"/>
        <v>0.15030030030030031</v>
      </c>
      <c r="AI144" s="221" t="s">
        <v>451</v>
      </c>
      <c r="AJ144" s="222">
        <f>+SUM(AM60:AM91,AM101:AM108)</f>
        <v>1412.668806139236</v>
      </c>
      <c r="AO144" s="218">
        <f t="shared" si="51"/>
        <v>28.868953752689709</v>
      </c>
      <c r="AP144" s="228">
        <f t="shared" si="52"/>
        <v>52.068149020616943</v>
      </c>
      <c r="AQ144" s="228">
        <f t="shared" si="53"/>
        <v>2.0181490206169457</v>
      </c>
    </row>
    <row r="145" spans="1:43">
      <c r="A145" s="200" t="str">
        <f t="shared" si="47"/>
        <v>Lewis County UTCCommercialWI2-COMM</v>
      </c>
      <c r="B145" s="200">
        <f t="shared" si="44"/>
        <v>1</v>
      </c>
      <c r="C145" s="293" t="s">
        <v>452</v>
      </c>
      <c r="D145" s="217" t="s">
        <v>453</v>
      </c>
      <c r="E145" s="218">
        <v>3.51</v>
      </c>
      <c r="F145" s="219">
        <v>3.51</v>
      </c>
      <c r="G145" s="219">
        <v>3.51</v>
      </c>
      <c r="H145" s="219">
        <v>3.51</v>
      </c>
      <c r="I145" s="219">
        <v>3.51</v>
      </c>
      <c r="J145" s="219">
        <v>3.51</v>
      </c>
      <c r="K145" s="219">
        <v>3.51</v>
      </c>
      <c r="L145" s="219">
        <v>3.51</v>
      </c>
      <c r="M145" s="219">
        <v>3.51</v>
      </c>
      <c r="N145" s="219">
        <v>3.51</v>
      </c>
      <c r="O145" s="219">
        <v>3.51</v>
      </c>
      <c r="P145" s="219">
        <v>3.51</v>
      </c>
      <c r="Q145" s="219">
        <v>3.51</v>
      </c>
      <c r="R145" s="219">
        <f t="shared" si="56"/>
        <v>42.119999999999983</v>
      </c>
      <c r="S145" s="219"/>
      <c r="T145" s="219">
        <f t="shared" si="55"/>
        <v>1</v>
      </c>
      <c r="U145" s="219">
        <f t="shared" si="55"/>
        <v>1</v>
      </c>
      <c r="V145" s="219">
        <f t="shared" si="55"/>
        <v>1</v>
      </c>
      <c r="W145" s="219">
        <f t="shared" si="55"/>
        <v>1</v>
      </c>
      <c r="X145" s="219">
        <f t="shared" si="55"/>
        <v>1</v>
      </c>
      <c r="Y145" s="219">
        <f t="shared" si="55"/>
        <v>1</v>
      </c>
      <c r="Z145" s="219">
        <f t="shared" si="55"/>
        <v>1</v>
      </c>
      <c r="AA145" s="219">
        <f t="shared" si="55"/>
        <v>1</v>
      </c>
      <c r="AB145" s="219">
        <f t="shared" si="55"/>
        <v>1</v>
      </c>
      <c r="AC145" s="219">
        <f t="shared" si="55"/>
        <v>1</v>
      </c>
      <c r="AD145" s="219">
        <f t="shared" si="55"/>
        <v>1</v>
      </c>
      <c r="AE145" s="219">
        <f t="shared" si="55"/>
        <v>1</v>
      </c>
      <c r="AF145" s="220">
        <f t="shared" si="49"/>
        <v>12</v>
      </c>
      <c r="AG145" s="287">
        <f t="shared" si="50"/>
        <v>1</v>
      </c>
      <c r="AI145" s="221" t="s">
        <v>57</v>
      </c>
      <c r="AJ145" s="222">
        <f>+SUM(AM94:AM94)</f>
        <v>1</v>
      </c>
      <c r="AO145" s="218">
        <f t="shared" si="51"/>
        <v>3.6515325287185898</v>
      </c>
      <c r="AP145" s="228">
        <f t="shared" si="52"/>
        <v>43.818390344623076</v>
      </c>
      <c r="AQ145" s="228">
        <f t="shared" si="53"/>
        <v>1.6983903446230926</v>
      </c>
    </row>
    <row r="146" spans="1:43">
      <c r="C146" s="223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19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20"/>
      <c r="AG146" s="287"/>
    </row>
    <row r="147" spans="1:43">
      <c r="B147" s="200">
        <f>COUNTIF(C:C,C147)</f>
        <v>0</v>
      </c>
      <c r="C147" s="223"/>
      <c r="D147" s="224" t="s">
        <v>108</v>
      </c>
      <c r="F147" s="301">
        <f t="shared" ref="F147:R147" si="57">SUM(F59:F146)</f>
        <v>187191.38</v>
      </c>
      <c r="G147" s="301">
        <f t="shared" si="57"/>
        <v>192187.81</v>
      </c>
      <c r="H147" s="301">
        <f t="shared" si="57"/>
        <v>195928.57000000007</v>
      </c>
      <c r="I147" s="301">
        <f t="shared" si="57"/>
        <v>190515.28000000003</v>
      </c>
      <c r="J147" s="301">
        <f t="shared" si="57"/>
        <v>178937.93000000002</v>
      </c>
      <c r="K147" s="301">
        <f t="shared" si="57"/>
        <v>173224.61000000002</v>
      </c>
      <c r="L147" s="301">
        <f t="shared" si="57"/>
        <v>171838.91999999995</v>
      </c>
      <c r="M147" s="301">
        <f t="shared" si="57"/>
        <v>178702.39</v>
      </c>
      <c r="N147" s="301">
        <f t="shared" si="57"/>
        <v>176946.74999999994</v>
      </c>
      <c r="O147" s="301">
        <f t="shared" si="57"/>
        <v>171225.94999999998</v>
      </c>
      <c r="P147" s="301">
        <f t="shared" si="57"/>
        <v>169075.54</v>
      </c>
      <c r="Q147" s="301">
        <f t="shared" si="57"/>
        <v>172165.77000000002</v>
      </c>
      <c r="R147" s="296">
        <f t="shared" si="57"/>
        <v>2157940.899999999</v>
      </c>
      <c r="S147" s="227">
        <f>R147-SUM(F147:Q147)</f>
        <v>0</v>
      </c>
      <c r="T147" s="297">
        <f>+SUM(T60:T91,T94:T100)+(SUM(T92:T93)/4.33)</f>
        <v>1734.8888073149478</v>
      </c>
      <c r="U147" s="297">
        <f t="shared" ref="U147:AG147" si="58">+SUM(U60:U91,U94:U100)+(SUM(U92:U93)/4.33)</f>
        <v>1781.500336511551</v>
      </c>
      <c r="V147" s="297">
        <f t="shared" si="58"/>
        <v>1799.5839620323222</v>
      </c>
      <c r="W147" s="297">
        <f t="shared" si="58"/>
        <v>1753.9094264605587</v>
      </c>
      <c r="X147" s="297">
        <f t="shared" si="58"/>
        <v>1721.7113285437558</v>
      </c>
      <c r="Y147" s="297">
        <f t="shared" si="58"/>
        <v>1703.2033603241828</v>
      </c>
      <c r="Z147" s="297">
        <f t="shared" si="58"/>
        <v>1689.3133534679023</v>
      </c>
      <c r="AA147" s="297">
        <f t="shared" si="58"/>
        <v>1706.5900801904245</v>
      </c>
      <c r="AB147" s="297">
        <f t="shared" si="58"/>
        <v>1701.1713389553588</v>
      </c>
      <c r="AC147" s="297">
        <f t="shared" si="58"/>
        <v>1632.4267849109485</v>
      </c>
      <c r="AD147" s="297">
        <f t="shared" si="58"/>
        <v>1637.8644184235272</v>
      </c>
      <c r="AE147" s="297">
        <f t="shared" si="58"/>
        <v>1667.2892113941787</v>
      </c>
      <c r="AF147" s="297">
        <f t="shared" si="58"/>
        <v>20529.452408529658</v>
      </c>
      <c r="AG147" s="297">
        <f t="shared" si="58"/>
        <v>1710.7877007108045</v>
      </c>
      <c r="AP147" s="296">
        <f>SUM(AP59:AP146)</f>
        <v>2244954.812365321</v>
      </c>
      <c r="AQ147" s="296">
        <f>SUM(AQ59:AQ146)</f>
        <v>87013.912365319164</v>
      </c>
    </row>
    <row r="148" spans="1:43" ht="15">
      <c r="A148" s="307"/>
      <c r="C148" s="223"/>
      <c r="D148" s="223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23"/>
      <c r="S148" s="19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20"/>
      <c r="AG148" s="287"/>
    </row>
    <row r="149" spans="1:43">
      <c r="C149" s="223"/>
      <c r="D149" s="223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199"/>
      <c r="S149" s="19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0"/>
      <c r="AG149" s="287"/>
    </row>
    <row r="150" spans="1:43">
      <c r="B150" s="200">
        <f>COUNTIF(C:C,C150)</f>
        <v>1</v>
      </c>
      <c r="C150" s="225" t="s">
        <v>454</v>
      </c>
      <c r="D150" s="225" t="s">
        <v>455</v>
      </c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199"/>
      <c r="S150" s="19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20"/>
      <c r="AG150" s="287"/>
    </row>
    <row r="151" spans="1:43" ht="15">
      <c r="A151" s="199" t="str">
        <f>$A$1&amp;"Commercial"&amp;C151</f>
        <v>Lewis County UTCCommercialMFWBINS</v>
      </c>
      <c r="B151" s="199">
        <f>COUNTIF(C:C,C151)</f>
        <v>1</v>
      </c>
      <c r="C151" s="291" t="s">
        <v>456</v>
      </c>
      <c r="D151" s="300" t="s">
        <v>457</v>
      </c>
      <c r="E151" s="218">
        <v>5.42</v>
      </c>
      <c r="F151" s="219">
        <v>37.94</v>
      </c>
      <c r="G151" s="219">
        <v>37.94</v>
      </c>
      <c r="H151" s="219">
        <v>37.94</v>
      </c>
      <c r="I151" s="219">
        <v>37.94</v>
      </c>
      <c r="J151" s="219">
        <v>37.94</v>
      </c>
      <c r="K151" s="219">
        <v>37.94</v>
      </c>
      <c r="L151" s="219">
        <v>37.94</v>
      </c>
      <c r="M151" s="219">
        <v>37.94</v>
      </c>
      <c r="N151" s="219">
        <v>37.94</v>
      </c>
      <c r="O151" s="219">
        <v>37.94</v>
      </c>
      <c r="P151" s="219">
        <v>37.94</v>
      </c>
      <c r="Q151" s="219">
        <v>37.94</v>
      </c>
      <c r="R151" s="219">
        <f>SUM(F151:Q151)</f>
        <v>455.28</v>
      </c>
      <c r="S151" s="219"/>
      <c r="T151" s="219">
        <f t="shared" ref="T151:AE152" si="59">IFERROR(F151/$E151,0)</f>
        <v>7</v>
      </c>
      <c r="U151" s="219">
        <f t="shared" si="59"/>
        <v>7</v>
      </c>
      <c r="V151" s="219">
        <f t="shared" si="59"/>
        <v>7</v>
      </c>
      <c r="W151" s="219">
        <f t="shared" si="59"/>
        <v>7</v>
      </c>
      <c r="X151" s="219">
        <f t="shared" si="59"/>
        <v>7</v>
      </c>
      <c r="Y151" s="219">
        <f t="shared" si="59"/>
        <v>7</v>
      </c>
      <c r="Z151" s="219">
        <f t="shared" si="59"/>
        <v>7</v>
      </c>
      <c r="AA151" s="219">
        <f t="shared" si="59"/>
        <v>7</v>
      </c>
      <c r="AB151" s="219">
        <f t="shared" si="59"/>
        <v>7</v>
      </c>
      <c r="AC151" s="219">
        <f t="shared" si="59"/>
        <v>7</v>
      </c>
      <c r="AD151" s="219">
        <f t="shared" si="59"/>
        <v>7</v>
      </c>
      <c r="AE151" s="219">
        <f t="shared" si="59"/>
        <v>7</v>
      </c>
      <c r="AF151" s="220">
        <f>SUM(T151:AE151)</f>
        <v>84</v>
      </c>
      <c r="AG151" s="287">
        <f>AF151/12</f>
        <v>7</v>
      </c>
      <c r="AI151" s="55">
        <v>96</v>
      </c>
      <c r="AJ151" s="55"/>
      <c r="AK151" s="55"/>
      <c r="AL151" s="55">
        <v>1</v>
      </c>
      <c r="AM151" s="155">
        <f>+AL151*AG151</f>
        <v>7</v>
      </c>
      <c r="AN151" s="155"/>
      <c r="AO151" s="218">
        <f>+E151*(1+$AQ$2)</f>
        <v>7.9066541694155958</v>
      </c>
      <c r="AP151" s="228">
        <f t="shared" ref="AP151" si="60">+AG151*12*AO151</f>
        <v>664.15895023091002</v>
      </c>
      <c r="AQ151" s="228">
        <f t="shared" ref="AQ151" si="61">+AP151-R151</f>
        <v>208.87895023091005</v>
      </c>
    </row>
    <row r="152" spans="1:43">
      <c r="A152" s="199"/>
      <c r="B152" s="200">
        <f>COUNTIF(C:C,C152)</f>
        <v>0</v>
      </c>
      <c r="C152" s="223"/>
      <c r="D152" s="223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199"/>
      <c r="S152" s="199"/>
      <c r="T152" s="219">
        <f t="shared" si="59"/>
        <v>0</v>
      </c>
      <c r="U152" s="219">
        <f t="shared" si="59"/>
        <v>0</v>
      </c>
      <c r="V152" s="219">
        <f t="shared" si="59"/>
        <v>0</v>
      </c>
      <c r="W152" s="219">
        <f t="shared" si="59"/>
        <v>0</v>
      </c>
      <c r="X152" s="219">
        <f t="shared" si="59"/>
        <v>0</v>
      </c>
      <c r="Y152" s="219">
        <f t="shared" si="59"/>
        <v>0</v>
      </c>
      <c r="Z152" s="219">
        <f t="shared" si="59"/>
        <v>0</v>
      </c>
      <c r="AA152" s="219">
        <f t="shared" si="59"/>
        <v>0</v>
      </c>
      <c r="AB152" s="219">
        <f t="shared" si="59"/>
        <v>0</v>
      </c>
      <c r="AC152" s="219">
        <f t="shared" si="59"/>
        <v>0</v>
      </c>
      <c r="AD152" s="219">
        <f t="shared" si="59"/>
        <v>0</v>
      </c>
      <c r="AE152" s="219">
        <f t="shared" si="59"/>
        <v>0</v>
      </c>
      <c r="AF152" s="220">
        <f>SUM(T152:AE152)</f>
        <v>0</v>
      </c>
      <c r="AG152" s="287">
        <f>AF152/12</f>
        <v>0</v>
      </c>
      <c r="AH152" s="221"/>
      <c r="AI152" s="221" t="s">
        <v>135</v>
      </c>
    </row>
    <row r="153" spans="1:43">
      <c r="B153" s="200">
        <f>COUNTIF(C:C,C153)</f>
        <v>0</v>
      </c>
      <c r="C153" s="223"/>
      <c r="D153" s="224" t="s">
        <v>458</v>
      </c>
      <c r="F153" s="301">
        <f t="shared" ref="F153:R153" si="62">SUM(F151:F152)</f>
        <v>37.94</v>
      </c>
      <c r="G153" s="301">
        <f t="shared" si="62"/>
        <v>37.94</v>
      </c>
      <c r="H153" s="301">
        <f t="shared" si="62"/>
        <v>37.94</v>
      </c>
      <c r="I153" s="301">
        <f t="shared" si="62"/>
        <v>37.94</v>
      </c>
      <c r="J153" s="301">
        <f t="shared" si="62"/>
        <v>37.94</v>
      </c>
      <c r="K153" s="301">
        <f t="shared" si="62"/>
        <v>37.94</v>
      </c>
      <c r="L153" s="301">
        <f t="shared" si="62"/>
        <v>37.94</v>
      </c>
      <c r="M153" s="301">
        <f t="shared" si="62"/>
        <v>37.94</v>
      </c>
      <c r="N153" s="301">
        <f t="shared" si="62"/>
        <v>37.94</v>
      </c>
      <c r="O153" s="301">
        <f t="shared" si="62"/>
        <v>37.94</v>
      </c>
      <c r="P153" s="301">
        <f t="shared" si="62"/>
        <v>37.94</v>
      </c>
      <c r="Q153" s="301">
        <f t="shared" si="62"/>
        <v>37.94</v>
      </c>
      <c r="R153" s="296">
        <f t="shared" si="62"/>
        <v>455.28</v>
      </c>
      <c r="S153" s="227">
        <f>R153-SUM(F153:Q153)</f>
        <v>0</v>
      </c>
      <c r="T153" s="297">
        <f t="shared" ref="T153:AG153" si="63">SUM(T151:T152)</f>
        <v>7</v>
      </c>
      <c r="U153" s="297">
        <f t="shared" si="63"/>
        <v>7</v>
      </c>
      <c r="V153" s="297">
        <f t="shared" si="63"/>
        <v>7</v>
      </c>
      <c r="W153" s="297">
        <f t="shared" si="63"/>
        <v>7</v>
      </c>
      <c r="X153" s="297">
        <f t="shared" si="63"/>
        <v>7</v>
      </c>
      <c r="Y153" s="297">
        <f t="shared" si="63"/>
        <v>7</v>
      </c>
      <c r="Z153" s="297">
        <f t="shared" si="63"/>
        <v>7</v>
      </c>
      <c r="AA153" s="297">
        <f t="shared" si="63"/>
        <v>7</v>
      </c>
      <c r="AB153" s="297">
        <f t="shared" si="63"/>
        <v>7</v>
      </c>
      <c r="AC153" s="297">
        <f t="shared" si="63"/>
        <v>7</v>
      </c>
      <c r="AD153" s="297">
        <f t="shared" si="63"/>
        <v>7</v>
      </c>
      <c r="AE153" s="297">
        <f t="shared" si="63"/>
        <v>7</v>
      </c>
      <c r="AF153" s="302">
        <f t="shared" si="63"/>
        <v>84</v>
      </c>
      <c r="AG153" s="302">
        <f t="shared" si="63"/>
        <v>7</v>
      </c>
      <c r="AH153" s="221" t="s">
        <v>176</v>
      </c>
      <c r="AI153" s="222">
        <f>+SUM(AM151:AM151)</f>
        <v>7</v>
      </c>
      <c r="AP153" s="296">
        <f>SUM(AP151:AP152)</f>
        <v>664.15895023091002</v>
      </c>
      <c r="AQ153" s="296">
        <f>SUM(AQ151:AQ152)</f>
        <v>208.87895023091005</v>
      </c>
    </row>
    <row r="154" spans="1:43">
      <c r="C154" s="223"/>
      <c r="D154" s="224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23"/>
      <c r="S154" s="19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20"/>
      <c r="AG154" s="287"/>
    </row>
    <row r="155" spans="1:43">
      <c r="C155" s="223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0"/>
      <c r="AG155" s="287"/>
    </row>
    <row r="156" spans="1:43">
      <c r="B156" s="200">
        <f>COUNTIF(C:C,C156)</f>
        <v>1</v>
      </c>
      <c r="C156" s="308" t="s">
        <v>109</v>
      </c>
      <c r="D156" s="212" t="s">
        <v>109</v>
      </c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199"/>
      <c r="S156" s="19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20"/>
      <c r="AG156" s="287"/>
    </row>
    <row r="157" spans="1:43">
      <c r="C157" s="308"/>
      <c r="D157" s="214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199"/>
      <c r="S157" s="19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0"/>
      <c r="AG157" s="287"/>
    </row>
    <row r="158" spans="1:43">
      <c r="B158" s="200">
        <f t="shared" ref="B158:B186" si="64">COUNTIF(C:C,C158)</f>
        <v>1</v>
      </c>
      <c r="C158" s="225" t="s">
        <v>110</v>
      </c>
      <c r="D158" s="225" t="s">
        <v>110</v>
      </c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199"/>
      <c r="S158" s="19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20"/>
      <c r="AG158" s="287"/>
    </row>
    <row r="159" spans="1:43">
      <c r="A159" s="200" t="str">
        <f t="shared" ref="A159:A186" si="65">$A$1&amp;"Rolloff"&amp;C159</f>
        <v>Lewis County UTCRolloffHAUL20-RO</v>
      </c>
      <c r="B159" s="200">
        <f t="shared" si="64"/>
        <v>1</v>
      </c>
      <c r="C159" s="293" t="s">
        <v>459</v>
      </c>
      <c r="D159" s="217" t="s">
        <v>460</v>
      </c>
      <c r="E159" s="218">
        <v>156.37</v>
      </c>
      <c r="F159" s="219">
        <v>5942.0599999999995</v>
      </c>
      <c r="G159" s="219">
        <v>4847.4699999999993</v>
      </c>
      <c r="H159" s="219">
        <v>3596.51</v>
      </c>
      <c r="I159" s="219">
        <v>3440.14</v>
      </c>
      <c r="J159" s="219">
        <v>4221.99</v>
      </c>
      <c r="K159" s="219">
        <v>3752.88</v>
      </c>
      <c r="L159" s="219">
        <v>2814.66</v>
      </c>
      <c r="M159" s="219">
        <v>3909.25</v>
      </c>
      <c r="N159" s="219">
        <v>3283.77</v>
      </c>
      <c r="O159" s="219">
        <v>3596.51</v>
      </c>
      <c r="P159" s="219">
        <v>3596.5099999999998</v>
      </c>
      <c r="Q159" s="219">
        <v>4065.62</v>
      </c>
      <c r="R159" s="219">
        <f t="shared" ref="R159:R186" si="66">SUM(F159:Q159)</f>
        <v>47067.37</v>
      </c>
      <c r="S159" s="219"/>
      <c r="T159" s="219">
        <f t="shared" ref="T159:AE174" si="67">IFERROR(F159/$E159,0)</f>
        <v>37.999999999999993</v>
      </c>
      <c r="U159" s="219">
        <f t="shared" si="67"/>
        <v>30.999999999999996</v>
      </c>
      <c r="V159" s="219">
        <f t="shared" si="67"/>
        <v>23</v>
      </c>
      <c r="W159" s="219">
        <f t="shared" si="67"/>
        <v>22</v>
      </c>
      <c r="X159" s="219">
        <f t="shared" si="67"/>
        <v>26.999999999999996</v>
      </c>
      <c r="Y159" s="219">
        <f t="shared" si="67"/>
        <v>24</v>
      </c>
      <c r="Z159" s="219">
        <f t="shared" si="67"/>
        <v>18</v>
      </c>
      <c r="AA159" s="219">
        <f t="shared" si="67"/>
        <v>25</v>
      </c>
      <c r="AB159" s="219">
        <f t="shared" si="67"/>
        <v>21</v>
      </c>
      <c r="AC159" s="219">
        <f t="shared" si="67"/>
        <v>23</v>
      </c>
      <c r="AD159" s="219">
        <f t="shared" si="67"/>
        <v>22.999999999999996</v>
      </c>
      <c r="AE159" s="219">
        <f t="shared" si="67"/>
        <v>26</v>
      </c>
      <c r="AF159" s="220">
        <f t="shared" ref="AF159:AF186" si="68">SUM(T159:AE159)</f>
        <v>300.99999999999994</v>
      </c>
      <c r="AG159" s="287">
        <f t="shared" ref="AG159:AG186" si="69">AF159/12</f>
        <v>25.083333333333329</v>
      </c>
      <c r="AO159" s="218">
        <f t="shared" ref="AO159:AO186" si="70">+E159*(1+$AQ$1)</f>
        <v>162.67525399308431</v>
      </c>
      <c r="AP159" s="228">
        <f t="shared" ref="AP159:AP186" si="71">+AG159*12*AO159</f>
        <v>48965.251451918368</v>
      </c>
      <c r="AQ159" s="228">
        <f t="shared" ref="AQ159:AQ186" si="72">+AP159-R159</f>
        <v>1897.8814519183652</v>
      </c>
    </row>
    <row r="160" spans="1:43">
      <c r="A160" s="200" t="str">
        <f t="shared" si="65"/>
        <v>Lewis County UTCRolloffFINAL20-RO</v>
      </c>
      <c r="B160" s="200">
        <f t="shared" si="64"/>
        <v>1</v>
      </c>
      <c r="C160" s="293" t="s">
        <v>461</v>
      </c>
      <c r="D160" s="217" t="s">
        <v>462</v>
      </c>
      <c r="E160" s="218">
        <v>156.37</v>
      </c>
      <c r="F160" s="219">
        <v>0</v>
      </c>
      <c r="G160" s="219">
        <v>312.74</v>
      </c>
      <c r="H160" s="219">
        <v>312.74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  <c r="O160" s="219">
        <v>0</v>
      </c>
      <c r="P160" s="219">
        <v>0</v>
      </c>
      <c r="Q160" s="219">
        <v>0</v>
      </c>
      <c r="R160" s="219">
        <f t="shared" si="66"/>
        <v>625.48</v>
      </c>
      <c r="S160" s="219"/>
      <c r="T160" s="219">
        <f t="shared" si="67"/>
        <v>0</v>
      </c>
      <c r="U160" s="219">
        <f t="shared" si="67"/>
        <v>2</v>
      </c>
      <c r="V160" s="219">
        <f t="shared" si="67"/>
        <v>2</v>
      </c>
      <c r="W160" s="219">
        <f t="shared" si="67"/>
        <v>0</v>
      </c>
      <c r="X160" s="219">
        <f t="shared" si="67"/>
        <v>0</v>
      </c>
      <c r="Y160" s="219">
        <f t="shared" si="67"/>
        <v>0</v>
      </c>
      <c r="Z160" s="219">
        <f t="shared" si="67"/>
        <v>0</v>
      </c>
      <c r="AA160" s="219">
        <f t="shared" si="67"/>
        <v>0</v>
      </c>
      <c r="AB160" s="219">
        <f t="shared" si="67"/>
        <v>0</v>
      </c>
      <c r="AC160" s="219">
        <f t="shared" si="67"/>
        <v>0</v>
      </c>
      <c r="AD160" s="219">
        <f t="shared" si="67"/>
        <v>0</v>
      </c>
      <c r="AE160" s="219">
        <f t="shared" si="67"/>
        <v>0</v>
      </c>
      <c r="AF160" s="220">
        <f t="shared" si="68"/>
        <v>4</v>
      </c>
      <c r="AG160" s="287">
        <f t="shared" si="69"/>
        <v>0.33333333333333331</v>
      </c>
      <c r="AO160" s="218">
        <f t="shared" si="70"/>
        <v>162.67525399308431</v>
      </c>
      <c r="AP160" s="228">
        <f t="shared" si="71"/>
        <v>650.70101597233725</v>
      </c>
      <c r="AQ160" s="228">
        <f t="shared" si="72"/>
        <v>25.221015972337227</v>
      </c>
    </row>
    <row r="161" spans="1:43">
      <c r="A161" s="200" t="str">
        <f t="shared" si="65"/>
        <v>Lewis County UTCRolloffHAUL30-RO</v>
      </c>
      <c r="B161" s="200">
        <f t="shared" si="64"/>
        <v>1</v>
      </c>
      <c r="C161" s="293" t="s">
        <v>463</v>
      </c>
      <c r="D161" s="217" t="s">
        <v>464</v>
      </c>
      <c r="E161" s="218">
        <v>169.53</v>
      </c>
      <c r="F161" s="219">
        <v>4577.3100000000004</v>
      </c>
      <c r="G161" s="219">
        <v>4577.3100000000004</v>
      </c>
      <c r="H161" s="219">
        <v>4068.72</v>
      </c>
      <c r="I161" s="219">
        <v>3899.19</v>
      </c>
      <c r="J161" s="219">
        <v>4746.84</v>
      </c>
      <c r="K161" s="219">
        <v>5085.8999999999996</v>
      </c>
      <c r="L161" s="219">
        <v>3560.13</v>
      </c>
      <c r="M161" s="219">
        <v>4577.3099999999995</v>
      </c>
      <c r="N161" s="219">
        <v>4407.7800000000007</v>
      </c>
      <c r="O161" s="219">
        <v>5085.8999999999996</v>
      </c>
      <c r="P161" s="219">
        <v>4916.37</v>
      </c>
      <c r="Q161" s="219">
        <v>3899.19</v>
      </c>
      <c r="R161" s="219">
        <f t="shared" si="66"/>
        <v>53401.950000000004</v>
      </c>
      <c r="S161" s="219"/>
      <c r="T161" s="219">
        <f t="shared" si="67"/>
        <v>27.000000000000004</v>
      </c>
      <c r="U161" s="219">
        <f t="shared" si="67"/>
        <v>27.000000000000004</v>
      </c>
      <c r="V161" s="219">
        <f t="shared" si="67"/>
        <v>24</v>
      </c>
      <c r="W161" s="219">
        <f t="shared" si="67"/>
        <v>23</v>
      </c>
      <c r="X161" s="219">
        <f t="shared" si="67"/>
        <v>28</v>
      </c>
      <c r="Y161" s="219">
        <f t="shared" si="67"/>
        <v>29.999999999999996</v>
      </c>
      <c r="Z161" s="219">
        <f t="shared" si="67"/>
        <v>21</v>
      </c>
      <c r="AA161" s="219">
        <f t="shared" si="67"/>
        <v>26.999999999999996</v>
      </c>
      <c r="AB161" s="219">
        <f t="shared" si="67"/>
        <v>26.000000000000004</v>
      </c>
      <c r="AC161" s="219">
        <f t="shared" si="67"/>
        <v>29.999999999999996</v>
      </c>
      <c r="AD161" s="219">
        <f t="shared" si="67"/>
        <v>29</v>
      </c>
      <c r="AE161" s="219">
        <f t="shared" si="67"/>
        <v>23</v>
      </c>
      <c r="AF161" s="220">
        <f t="shared" si="68"/>
        <v>315</v>
      </c>
      <c r="AG161" s="287">
        <f t="shared" si="69"/>
        <v>26.25</v>
      </c>
      <c r="AO161" s="218">
        <f t="shared" si="70"/>
        <v>176.36590016913465</v>
      </c>
      <c r="AP161" s="228">
        <f t="shared" si="71"/>
        <v>55555.258553277417</v>
      </c>
      <c r="AQ161" s="228">
        <f t="shared" si="72"/>
        <v>2153.308553277413</v>
      </c>
    </row>
    <row r="162" spans="1:43">
      <c r="A162" s="200" t="str">
        <f t="shared" si="65"/>
        <v>Lewis County UTCRolloffHAUL40-RO</v>
      </c>
      <c r="B162" s="200">
        <f t="shared" si="64"/>
        <v>1</v>
      </c>
      <c r="C162" s="293" t="s">
        <v>465</v>
      </c>
      <c r="D162" s="217" t="s">
        <v>466</v>
      </c>
      <c r="E162" s="218">
        <v>197.5</v>
      </c>
      <c r="F162" s="219">
        <v>9282.5</v>
      </c>
      <c r="G162" s="219">
        <v>10467.5</v>
      </c>
      <c r="H162" s="219">
        <v>9085</v>
      </c>
      <c r="I162" s="219">
        <v>8887.5</v>
      </c>
      <c r="J162" s="219">
        <v>9677.5</v>
      </c>
      <c r="K162" s="219">
        <v>6320</v>
      </c>
      <c r="L162" s="219">
        <v>8887.5</v>
      </c>
      <c r="M162" s="219">
        <v>8887.5</v>
      </c>
      <c r="N162" s="219">
        <v>8690</v>
      </c>
      <c r="O162" s="219">
        <v>9875</v>
      </c>
      <c r="P162" s="219">
        <v>6320</v>
      </c>
      <c r="Q162" s="219">
        <v>6122.5</v>
      </c>
      <c r="R162" s="219">
        <f t="shared" si="66"/>
        <v>102502.5</v>
      </c>
      <c r="S162" s="219"/>
      <c r="T162" s="219">
        <f t="shared" si="67"/>
        <v>47</v>
      </c>
      <c r="U162" s="219">
        <f t="shared" si="67"/>
        <v>53</v>
      </c>
      <c r="V162" s="219">
        <f t="shared" si="67"/>
        <v>46</v>
      </c>
      <c r="W162" s="219">
        <f t="shared" si="67"/>
        <v>45</v>
      </c>
      <c r="X162" s="219">
        <f t="shared" si="67"/>
        <v>49</v>
      </c>
      <c r="Y162" s="219">
        <f t="shared" si="67"/>
        <v>32</v>
      </c>
      <c r="Z162" s="219">
        <f t="shared" si="67"/>
        <v>45</v>
      </c>
      <c r="AA162" s="219">
        <f t="shared" si="67"/>
        <v>45</v>
      </c>
      <c r="AB162" s="219">
        <f t="shared" si="67"/>
        <v>44</v>
      </c>
      <c r="AC162" s="219">
        <f t="shared" si="67"/>
        <v>50</v>
      </c>
      <c r="AD162" s="219">
        <f t="shared" si="67"/>
        <v>32</v>
      </c>
      <c r="AE162" s="219">
        <f t="shared" si="67"/>
        <v>31</v>
      </c>
      <c r="AF162" s="220">
        <f t="shared" si="68"/>
        <v>519</v>
      </c>
      <c r="AG162" s="287">
        <f t="shared" si="69"/>
        <v>43.25</v>
      </c>
      <c r="AO162" s="218">
        <f t="shared" si="70"/>
        <v>205.46372490653036</v>
      </c>
      <c r="AP162" s="228">
        <f t="shared" si="71"/>
        <v>106635.67322648926</v>
      </c>
      <c r="AQ162" s="228">
        <f t="shared" si="72"/>
        <v>4133.1732264892635</v>
      </c>
    </row>
    <row r="163" spans="1:43">
      <c r="A163" s="200" t="str">
        <f t="shared" si="65"/>
        <v>Lewis County UTCRolloffFINAL40-RO</v>
      </c>
      <c r="B163" s="200">
        <f t="shared" si="64"/>
        <v>1</v>
      </c>
      <c r="C163" s="293" t="s">
        <v>467</v>
      </c>
      <c r="D163" s="217" t="s">
        <v>468</v>
      </c>
      <c r="E163" s="218">
        <v>197.5</v>
      </c>
      <c r="F163" s="219">
        <v>0</v>
      </c>
      <c r="G163" s="219">
        <v>197.5</v>
      </c>
      <c r="H163" s="219">
        <v>197.5</v>
      </c>
      <c r="I163" s="219">
        <v>197.5</v>
      </c>
      <c r="J163" s="219">
        <v>0</v>
      </c>
      <c r="K163" s="219">
        <v>197.5</v>
      </c>
      <c r="L163" s="219">
        <v>0</v>
      </c>
      <c r="M163" s="219">
        <v>0</v>
      </c>
      <c r="N163" s="219">
        <v>197.5</v>
      </c>
      <c r="O163" s="219">
        <v>0</v>
      </c>
      <c r="P163" s="219">
        <v>395</v>
      </c>
      <c r="Q163" s="219">
        <v>395</v>
      </c>
      <c r="R163" s="219">
        <f t="shared" si="66"/>
        <v>1777.5</v>
      </c>
      <c r="S163" s="219"/>
      <c r="T163" s="219">
        <f t="shared" si="67"/>
        <v>0</v>
      </c>
      <c r="U163" s="219">
        <f t="shared" si="67"/>
        <v>1</v>
      </c>
      <c r="V163" s="219">
        <f t="shared" si="67"/>
        <v>1</v>
      </c>
      <c r="W163" s="219">
        <f t="shared" si="67"/>
        <v>1</v>
      </c>
      <c r="X163" s="219">
        <f t="shared" si="67"/>
        <v>0</v>
      </c>
      <c r="Y163" s="219">
        <f t="shared" si="67"/>
        <v>1</v>
      </c>
      <c r="Z163" s="219">
        <f t="shared" si="67"/>
        <v>0</v>
      </c>
      <c r="AA163" s="219">
        <f t="shared" si="67"/>
        <v>0</v>
      </c>
      <c r="AB163" s="219">
        <f t="shared" si="67"/>
        <v>1</v>
      </c>
      <c r="AC163" s="219">
        <f t="shared" si="67"/>
        <v>0</v>
      </c>
      <c r="AD163" s="219">
        <f t="shared" si="67"/>
        <v>2</v>
      </c>
      <c r="AE163" s="219">
        <f t="shared" si="67"/>
        <v>2</v>
      </c>
      <c r="AF163" s="220">
        <f t="shared" si="68"/>
        <v>9</v>
      </c>
      <c r="AG163" s="287">
        <f t="shared" si="69"/>
        <v>0.75</v>
      </c>
      <c r="AO163" s="218">
        <f t="shared" si="70"/>
        <v>205.46372490653036</v>
      </c>
      <c r="AP163" s="228">
        <f t="shared" si="71"/>
        <v>1849.1735241587733</v>
      </c>
      <c r="AQ163" s="228">
        <f t="shared" si="72"/>
        <v>71.673524158773262</v>
      </c>
    </row>
    <row r="164" spans="1:43">
      <c r="A164" s="200" t="str">
        <f t="shared" si="65"/>
        <v>Lewis County UTCRolloffFINAL30-RO</v>
      </c>
      <c r="B164" s="200">
        <f t="shared" si="64"/>
        <v>1</v>
      </c>
      <c r="C164" s="293" t="s">
        <v>469</v>
      </c>
      <c r="D164" s="217" t="s">
        <v>470</v>
      </c>
      <c r="E164" s="218">
        <v>169.53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169.53</v>
      </c>
      <c r="L164" s="219">
        <v>0</v>
      </c>
      <c r="M164" s="219">
        <v>169.53</v>
      </c>
      <c r="N164" s="219">
        <v>0</v>
      </c>
      <c r="O164" s="219">
        <v>0</v>
      </c>
      <c r="P164" s="219">
        <v>0</v>
      </c>
      <c r="Q164" s="219">
        <v>169.53</v>
      </c>
      <c r="R164" s="219">
        <f t="shared" si="66"/>
        <v>508.59000000000003</v>
      </c>
      <c r="S164" s="219"/>
      <c r="T164" s="219">
        <f t="shared" si="67"/>
        <v>0</v>
      </c>
      <c r="U164" s="219">
        <f t="shared" si="67"/>
        <v>0</v>
      </c>
      <c r="V164" s="219">
        <f t="shared" si="67"/>
        <v>0</v>
      </c>
      <c r="W164" s="219">
        <f t="shared" si="67"/>
        <v>0</v>
      </c>
      <c r="X164" s="219">
        <f t="shared" si="67"/>
        <v>0</v>
      </c>
      <c r="Y164" s="219">
        <f t="shared" si="67"/>
        <v>1</v>
      </c>
      <c r="Z164" s="219">
        <f t="shared" si="67"/>
        <v>0</v>
      </c>
      <c r="AA164" s="219">
        <f t="shared" si="67"/>
        <v>1</v>
      </c>
      <c r="AB164" s="219">
        <f t="shared" si="67"/>
        <v>0</v>
      </c>
      <c r="AC164" s="219">
        <f t="shared" si="67"/>
        <v>0</v>
      </c>
      <c r="AD164" s="219">
        <f t="shared" si="67"/>
        <v>0</v>
      </c>
      <c r="AE164" s="219">
        <f t="shared" si="67"/>
        <v>1</v>
      </c>
      <c r="AF164" s="220">
        <f t="shared" si="68"/>
        <v>3</v>
      </c>
      <c r="AG164" s="287">
        <f t="shared" si="69"/>
        <v>0.25</v>
      </c>
      <c r="AO164" s="218">
        <f t="shared" si="70"/>
        <v>176.36590016913465</v>
      </c>
      <c r="AP164" s="228">
        <f t="shared" si="71"/>
        <v>529.09770050740394</v>
      </c>
      <c r="AQ164" s="228">
        <f t="shared" si="72"/>
        <v>20.507700507403911</v>
      </c>
    </row>
    <row r="165" spans="1:43">
      <c r="A165" s="200" t="str">
        <f t="shared" si="65"/>
        <v>Lewis County UTCRolloffHAUL20TEMP-RO</v>
      </c>
      <c r="B165" s="200">
        <f t="shared" si="64"/>
        <v>1</v>
      </c>
      <c r="C165" s="293" t="s">
        <v>471</v>
      </c>
      <c r="D165" s="217" t="s">
        <v>472</v>
      </c>
      <c r="E165" s="218">
        <v>169.54</v>
      </c>
      <c r="F165" s="219">
        <v>1695.3999999999999</v>
      </c>
      <c r="G165" s="219">
        <v>2034.48</v>
      </c>
      <c r="H165" s="219">
        <v>1525.86</v>
      </c>
      <c r="I165" s="219">
        <v>1186.78</v>
      </c>
      <c r="J165" s="219">
        <v>1186.78</v>
      </c>
      <c r="K165" s="219">
        <v>1186.78</v>
      </c>
      <c r="L165" s="219">
        <v>1017.24</v>
      </c>
      <c r="M165" s="219">
        <v>847.69999999999993</v>
      </c>
      <c r="N165" s="219">
        <v>1525.8600000000001</v>
      </c>
      <c r="O165" s="219">
        <v>1695.4</v>
      </c>
      <c r="P165" s="219">
        <v>847.7</v>
      </c>
      <c r="Q165" s="219">
        <v>2543.1</v>
      </c>
      <c r="R165" s="219">
        <f t="shared" si="66"/>
        <v>17293.080000000002</v>
      </c>
      <c r="S165" s="219"/>
      <c r="T165" s="219">
        <f t="shared" si="67"/>
        <v>10</v>
      </c>
      <c r="U165" s="219">
        <f t="shared" si="67"/>
        <v>12</v>
      </c>
      <c r="V165" s="219">
        <f t="shared" si="67"/>
        <v>9</v>
      </c>
      <c r="W165" s="219">
        <f t="shared" si="67"/>
        <v>7</v>
      </c>
      <c r="X165" s="219">
        <f t="shared" si="67"/>
        <v>7</v>
      </c>
      <c r="Y165" s="219">
        <f t="shared" si="67"/>
        <v>7</v>
      </c>
      <c r="Z165" s="219">
        <f t="shared" si="67"/>
        <v>6</v>
      </c>
      <c r="AA165" s="219">
        <f t="shared" si="67"/>
        <v>5</v>
      </c>
      <c r="AB165" s="219">
        <f t="shared" si="67"/>
        <v>9.0000000000000018</v>
      </c>
      <c r="AC165" s="219">
        <f t="shared" si="67"/>
        <v>10.000000000000002</v>
      </c>
      <c r="AD165" s="219">
        <f t="shared" si="67"/>
        <v>5.0000000000000009</v>
      </c>
      <c r="AE165" s="219">
        <f t="shared" si="67"/>
        <v>15</v>
      </c>
      <c r="AF165" s="220">
        <f t="shared" si="68"/>
        <v>102</v>
      </c>
      <c r="AG165" s="287">
        <f t="shared" si="69"/>
        <v>8.5</v>
      </c>
      <c r="AO165" s="218">
        <f t="shared" si="70"/>
        <v>176.37630339571217</v>
      </c>
      <c r="AP165" s="228">
        <f t="shared" si="71"/>
        <v>17990.382946362643</v>
      </c>
      <c r="AQ165" s="228">
        <f t="shared" si="72"/>
        <v>697.3029463626408</v>
      </c>
    </row>
    <row r="166" spans="1:43">
      <c r="A166" s="200" t="str">
        <f t="shared" si="65"/>
        <v>Lewis County UTCRolloffFINAL20TEMP-RO</v>
      </c>
      <c r="B166" s="200">
        <f t="shared" si="64"/>
        <v>1</v>
      </c>
      <c r="C166" s="293" t="s">
        <v>473</v>
      </c>
      <c r="D166" s="217" t="s">
        <v>474</v>
      </c>
      <c r="E166" s="218">
        <v>169.54</v>
      </c>
      <c r="F166" s="219">
        <v>2373.56</v>
      </c>
      <c r="G166" s="219">
        <v>2882.18</v>
      </c>
      <c r="H166" s="219">
        <v>1695.3999999999999</v>
      </c>
      <c r="I166" s="219">
        <v>2034.48</v>
      </c>
      <c r="J166" s="219">
        <v>2204.02</v>
      </c>
      <c r="K166" s="219">
        <v>678.16</v>
      </c>
      <c r="L166" s="219">
        <v>1186.78</v>
      </c>
      <c r="M166" s="219">
        <v>1017.24</v>
      </c>
      <c r="N166" s="219">
        <v>339.08</v>
      </c>
      <c r="O166" s="219">
        <v>1017.24</v>
      </c>
      <c r="P166" s="219">
        <v>2034.48</v>
      </c>
      <c r="Q166" s="219">
        <v>1356.3200000000002</v>
      </c>
      <c r="R166" s="219">
        <f t="shared" si="66"/>
        <v>18818.939999999999</v>
      </c>
      <c r="S166" s="219"/>
      <c r="T166" s="219">
        <f t="shared" si="67"/>
        <v>14</v>
      </c>
      <c r="U166" s="219">
        <f t="shared" si="67"/>
        <v>17</v>
      </c>
      <c r="V166" s="219">
        <f t="shared" si="67"/>
        <v>10</v>
      </c>
      <c r="W166" s="219">
        <f t="shared" si="67"/>
        <v>12</v>
      </c>
      <c r="X166" s="219">
        <f t="shared" si="67"/>
        <v>13</v>
      </c>
      <c r="Y166" s="219">
        <f t="shared" si="67"/>
        <v>4</v>
      </c>
      <c r="Z166" s="219">
        <f t="shared" si="67"/>
        <v>7</v>
      </c>
      <c r="AA166" s="219">
        <f t="shared" si="67"/>
        <v>6</v>
      </c>
      <c r="AB166" s="219">
        <f t="shared" si="67"/>
        <v>2</v>
      </c>
      <c r="AC166" s="219">
        <f t="shared" si="67"/>
        <v>6</v>
      </c>
      <c r="AD166" s="219">
        <f t="shared" si="67"/>
        <v>12</v>
      </c>
      <c r="AE166" s="219">
        <f t="shared" si="67"/>
        <v>8.0000000000000018</v>
      </c>
      <c r="AF166" s="220">
        <f t="shared" si="68"/>
        <v>111</v>
      </c>
      <c r="AG166" s="287">
        <f t="shared" si="69"/>
        <v>9.25</v>
      </c>
      <c r="AO166" s="218">
        <f t="shared" si="70"/>
        <v>176.37630339571217</v>
      </c>
      <c r="AP166" s="228">
        <f t="shared" si="71"/>
        <v>19577.76967692405</v>
      </c>
      <c r="AQ166" s="228">
        <f t="shared" si="72"/>
        <v>758.82967692405145</v>
      </c>
    </row>
    <row r="167" spans="1:43">
      <c r="A167" s="200" t="str">
        <f t="shared" si="65"/>
        <v>Lewis County UTCRolloffHAUL30TEMP-RO</v>
      </c>
      <c r="B167" s="200">
        <f t="shared" si="64"/>
        <v>1</v>
      </c>
      <c r="C167" s="293" t="s">
        <v>475</v>
      </c>
      <c r="D167" s="217" t="s">
        <v>476</v>
      </c>
      <c r="E167" s="218">
        <v>185.97</v>
      </c>
      <c r="F167" s="219">
        <v>1115.82</v>
      </c>
      <c r="G167" s="219">
        <v>2231.64</v>
      </c>
      <c r="H167" s="219">
        <v>2603.58</v>
      </c>
      <c r="I167" s="219">
        <v>3905.37</v>
      </c>
      <c r="J167" s="219">
        <v>5207.16</v>
      </c>
      <c r="K167" s="219">
        <v>2789.5499999999997</v>
      </c>
      <c r="L167" s="219">
        <v>929.84999999999991</v>
      </c>
      <c r="M167" s="219">
        <v>929.85</v>
      </c>
      <c r="N167" s="219">
        <v>1487.76</v>
      </c>
      <c r="O167" s="219">
        <v>2231.64</v>
      </c>
      <c r="P167" s="219">
        <v>1301.79</v>
      </c>
      <c r="Q167" s="219">
        <v>1859.6999999999998</v>
      </c>
      <c r="R167" s="219">
        <f t="shared" si="66"/>
        <v>26593.709999999995</v>
      </c>
      <c r="S167" s="219"/>
      <c r="T167" s="219">
        <f t="shared" si="67"/>
        <v>6</v>
      </c>
      <c r="U167" s="219">
        <f t="shared" si="67"/>
        <v>12</v>
      </c>
      <c r="V167" s="219">
        <f t="shared" si="67"/>
        <v>14</v>
      </c>
      <c r="W167" s="219">
        <f t="shared" si="67"/>
        <v>21</v>
      </c>
      <c r="X167" s="219">
        <f t="shared" si="67"/>
        <v>28</v>
      </c>
      <c r="Y167" s="219">
        <f t="shared" si="67"/>
        <v>14.999999999999998</v>
      </c>
      <c r="Z167" s="219">
        <f t="shared" si="67"/>
        <v>4.9999999999999991</v>
      </c>
      <c r="AA167" s="219">
        <f t="shared" si="67"/>
        <v>5</v>
      </c>
      <c r="AB167" s="219">
        <f t="shared" si="67"/>
        <v>8</v>
      </c>
      <c r="AC167" s="219">
        <f t="shared" si="67"/>
        <v>12</v>
      </c>
      <c r="AD167" s="219">
        <f t="shared" si="67"/>
        <v>7</v>
      </c>
      <c r="AE167" s="219">
        <f t="shared" si="67"/>
        <v>9.9999999999999982</v>
      </c>
      <c r="AF167" s="220">
        <f t="shared" si="68"/>
        <v>143</v>
      </c>
      <c r="AG167" s="287">
        <f t="shared" si="69"/>
        <v>11.916666666666666</v>
      </c>
      <c r="AO167" s="218">
        <f t="shared" si="70"/>
        <v>193.46880466262002</v>
      </c>
      <c r="AP167" s="228">
        <f t="shared" si="71"/>
        <v>27666.039066754664</v>
      </c>
      <c r="AQ167" s="228">
        <f t="shared" si="72"/>
        <v>1072.329066754668</v>
      </c>
    </row>
    <row r="168" spans="1:43">
      <c r="A168" s="200" t="str">
        <f t="shared" si="65"/>
        <v>Lewis County UTCRolloffFINAL30TEMP-RO</v>
      </c>
      <c r="B168" s="200">
        <f t="shared" si="64"/>
        <v>1</v>
      </c>
      <c r="C168" s="293" t="s">
        <v>477</v>
      </c>
      <c r="D168" s="217" t="s">
        <v>478</v>
      </c>
      <c r="E168" s="218">
        <v>185.97</v>
      </c>
      <c r="F168" s="219">
        <v>1487.76</v>
      </c>
      <c r="G168" s="219">
        <v>371.94</v>
      </c>
      <c r="H168" s="219">
        <v>1301.79</v>
      </c>
      <c r="I168" s="219">
        <v>1115.82</v>
      </c>
      <c r="J168" s="219">
        <v>743.88</v>
      </c>
      <c r="K168" s="219">
        <v>557.91</v>
      </c>
      <c r="L168" s="219">
        <v>1115.82</v>
      </c>
      <c r="M168" s="219">
        <v>557.91</v>
      </c>
      <c r="N168" s="219">
        <v>185.97</v>
      </c>
      <c r="O168" s="219">
        <v>1115.82</v>
      </c>
      <c r="P168" s="219">
        <v>371.94</v>
      </c>
      <c r="Q168" s="219">
        <v>743.88</v>
      </c>
      <c r="R168" s="219">
        <f t="shared" si="66"/>
        <v>9670.4399999999987</v>
      </c>
      <c r="S168" s="219"/>
      <c r="T168" s="219">
        <f t="shared" si="67"/>
        <v>8</v>
      </c>
      <c r="U168" s="219">
        <f t="shared" si="67"/>
        <v>2</v>
      </c>
      <c r="V168" s="219">
        <f t="shared" si="67"/>
        <v>7</v>
      </c>
      <c r="W168" s="219">
        <f t="shared" si="67"/>
        <v>6</v>
      </c>
      <c r="X168" s="219">
        <f t="shared" si="67"/>
        <v>4</v>
      </c>
      <c r="Y168" s="219">
        <f t="shared" si="67"/>
        <v>3</v>
      </c>
      <c r="Z168" s="219">
        <f t="shared" si="67"/>
        <v>6</v>
      </c>
      <c r="AA168" s="219">
        <f t="shared" si="67"/>
        <v>3</v>
      </c>
      <c r="AB168" s="219">
        <f t="shared" si="67"/>
        <v>1</v>
      </c>
      <c r="AC168" s="219">
        <f t="shared" si="67"/>
        <v>6</v>
      </c>
      <c r="AD168" s="219">
        <f t="shared" si="67"/>
        <v>2</v>
      </c>
      <c r="AE168" s="219">
        <f t="shared" si="67"/>
        <v>4</v>
      </c>
      <c r="AF168" s="220">
        <f t="shared" si="68"/>
        <v>52</v>
      </c>
      <c r="AG168" s="287">
        <f t="shared" si="69"/>
        <v>4.333333333333333</v>
      </c>
      <c r="AO168" s="218">
        <f t="shared" si="70"/>
        <v>193.46880466262002</v>
      </c>
      <c r="AP168" s="228">
        <f t="shared" si="71"/>
        <v>10060.377842456241</v>
      </c>
      <c r="AQ168" s="228">
        <f t="shared" si="72"/>
        <v>389.93784245624192</v>
      </c>
    </row>
    <row r="169" spans="1:43">
      <c r="A169" s="200" t="str">
        <f t="shared" si="65"/>
        <v>Lewis County UTCRolloffHAUL40TEMP-RO</v>
      </c>
      <c r="B169" s="200">
        <f t="shared" si="64"/>
        <v>1</v>
      </c>
      <c r="C169" s="293" t="s">
        <v>479</v>
      </c>
      <c r="D169" s="217" t="s">
        <v>480</v>
      </c>
      <c r="E169" s="218">
        <v>217.25</v>
      </c>
      <c r="F169" s="219">
        <v>4562.25</v>
      </c>
      <c r="G169" s="219">
        <v>4127.75</v>
      </c>
      <c r="H169" s="219">
        <v>2607</v>
      </c>
      <c r="I169" s="219">
        <v>2172.5</v>
      </c>
      <c r="J169" s="219">
        <v>2824.25</v>
      </c>
      <c r="K169" s="219">
        <v>1955.25</v>
      </c>
      <c r="L169" s="219">
        <v>651.75</v>
      </c>
      <c r="M169" s="219">
        <v>2172.5</v>
      </c>
      <c r="N169" s="219">
        <v>217.25</v>
      </c>
      <c r="O169" s="219">
        <v>1086.25</v>
      </c>
      <c r="P169" s="219">
        <v>1738</v>
      </c>
      <c r="Q169" s="219">
        <v>2607</v>
      </c>
      <c r="R169" s="219">
        <f t="shared" si="66"/>
        <v>26721.75</v>
      </c>
      <c r="S169" s="219"/>
      <c r="T169" s="219">
        <f t="shared" si="67"/>
        <v>21</v>
      </c>
      <c r="U169" s="219">
        <f t="shared" si="67"/>
        <v>19</v>
      </c>
      <c r="V169" s="219">
        <f t="shared" si="67"/>
        <v>12</v>
      </c>
      <c r="W169" s="219">
        <f t="shared" si="67"/>
        <v>10</v>
      </c>
      <c r="X169" s="219">
        <f t="shared" si="67"/>
        <v>13</v>
      </c>
      <c r="Y169" s="219">
        <f t="shared" si="67"/>
        <v>9</v>
      </c>
      <c r="Z169" s="219">
        <f t="shared" si="67"/>
        <v>3</v>
      </c>
      <c r="AA169" s="219">
        <f t="shared" si="67"/>
        <v>10</v>
      </c>
      <c r="AB169" s="219">
        <f t="shared" si="67"/>
        <v>1</v>
      </c>
      <c r="AC169" s="219">
        <f t="shared" si="67"/>
        <v>5</v>
      </c>
      <c r="AD169" s="219">
        <f t="shared" si="67"/>
        <v>8</v>
      </c>
      <c r="AE169" s="219">
        <f t="shared" si="67"/>
        <v>12</v>
      </c>
      <c r="AF169" s="220">
        <f t="shared" si="68"/>
        <v>123</v>
      </c>
      <c r="AG169" s="287">
        <f t="shared" si="69"/>
        <v>10.25</v>
      </c>
      <c r="AO169" s="218">
        <f t="shared" si="70"/>
        <v>226.01009739718339</v>
      </c>
      <c r="AP169" s="228">
        <f t="shared" si="71"/>
        <v>27799.241979853556</v>
      </c>
      <c r="AQ169" s="228">
        <f t="shared" si="72"/>
        <v>1077.4919798535557</v>
      </c>
    </row>
    <row r="170" spans="1:43">
      <c r="A170" s="200" t="str">
        <f t="shared" si="65"/>
        <v>Lewis County UTCRolloffFINAL40TEMP-RO</v>
      </c>
      <c r="B170" s="200">
        <f t="shared" si="64"/>
        <v>1</v>
      </c>
      <c r="C170" s="293" t="s">
        <v>481</v>
      </c>
      <c r="D170" s="217" t="s">
        <v>482</v>
      </c>
      <c r="E170" s="218">
        <v>217.25</v>
      </c>
      <c r="F170" s="219">
        <v>2824.25</v>
      </c>
      <c r="G170" s="219">
        <v>2172.5</v>
      </c>
      <c r="H170" s="219">
        <v>1086.25</v>
      </c>
      <c r="I170" s="219">
        <v>1303.5</v>
      </c>
      <c r="J170" s="219">
        <v>1520.75</v>
      </c>
      <c r="K170" s="219">
        <v>1303.5</v>
      </c>
      <c r="L170" s="219">
        <v>434.5</v>
      </c>
      <c r="M170" s="219">
        <v>651.75</v>
      </c>
      <c r="N170" s="219">
        <v>1086.25</v>
      </c>
      <c r="O170" s="219">
        <v>1520.75</v>
      </c>
      <c r="P170" s="219">
        <v>1738</v>
      </c>
      <c r="Q170" s="219">
        <v>1086.25</v>
      </c>
      <c r="R170" s="219">
        <f t="shared" si="66"/>
        <v>16728.25</v>
      </c>
      <c r="S170" s="219"/>
      <c r="T170" s="219">
        <f t="shared" si="67"/>
        <v>13</v>
      </c>
      <c r="U170" s="219">
        <f t="shared" si="67"/>
        <v>10</v>
      </c>
      <c r="V170" s="219">
        <f t="shared" si="67"/>
        <v>5</v>
      </c>
      <c r="W170" s="219">
        <f t="shared" si="67"/>
        <v>6</v>
      </c>
      <c r="X170" s="219">
        <f t="shared" si="67"/>
        <v>7</v>
      </c>
      <c r="Y170" s="219">
        <f t="shared" si="67"/>
        <v>6</v>
      </c>
      <c r="Z170" s="219">
        <f t="shared" si="67"/>
        <v>2</v>
      </c>
      <c r="AA170" s="219">
        <f t="shared" si="67"/>
        <v>3</v>
      </c>
      <c r="AB170" s="219">
        <f t="shared" si="67"/>
        <v>5</v>
      </c>
      <c r="AC170" s="219">
        <f t="shared" si="67"/>
        <v>7</v>
      </c>
      <c r="AD170" s="219">
        <f t="shared" si="67"/>
        <v>8</v>
      </c>
      <c r="AE170" s="219">
        <f t="shared" si="67"/>
        <v>5</v>
      </c>
      <c r="AF170" s="220">
        <f t="shared" si="68"/>
        <v>77</v>
      </c>
      <c r="AG170" s="287">
        <f t="shared" si="69"/>
        <v>6.416666666666667</v>
      </c>
      <c r="AO170" s="218">
        <f t="shared" si="70"/>
        <v>226.01009739718339</v>
      </c>
      <c r="AP170" s="228">
        <f t="shared" si="71"/>
        <v>17402.777499583121</v>
      </c>
      <c r="AQ170" s="228">
        <f t="shared" si="72"/>
        <v>674.52749958312052</v>
      </c>
    </row>
    <row r="171" spans="1:43">
      <c r="A171" s="200" t="str">
        <f t="shared" si="65"/>
        <v>Lewis County UTCRolloffHAUL20-CP</v>
      </c>
      <c r="B171" s="200">
        <f t="shared" si="64"/>
        <v>1</v>
      </c>
      <c r="C171" s="293" t="s">
        <v>483</v>
      </c>
      <c r="D171" s="217" t="s">
        <v>484</v>
      </c>
      <c r="E171" s="218">
        <v>208.15</v>
      </c>
      <c r="F171" s="219">
        <v>208.15</v>
      </c>
      <c r="G171" s="219">
        <v>624.45000000000005</v>
      </c>
      <c r="H171" s="219">
        <v>416.3</v>
      </c>
      <c r="I171" s="219">
        <v>208.15</v>
      </c>
      <c r="J171" s="219">
        <v>416.3</v>
      </c>
      <c r="K171" s="219">
        <v>416.3</v>
      </c>
      <c r="L171" s="219">
        <v>208.15</v>
      </c>
      <c r="M171" s="219">
        <v>624.45000000000005</v>
      </c>
      <c r="N171" s="219">
        <v>208.15</v>
      </c>
      <c r="O171" s="219">
        <v>208.15</v>
      </c>
      <c r="P171" s="219">
        <v>208.15</v>
      </c>
      <c r="Q171" s="219">
        <v>208.15</v>
      </c>
      <c r="R171" s="219">
        <f t="shared" si="66"/>
        <v>3954.8500000000004</v>
      </c>
      <c r="S171" s="219"/>
      <c r="T171" s="219">
        <f t="shared" si="67"/>
        <v>1</v>
      </c>
      <c r="U171" s="219">
        <f t="shared" si="67"/>
        <v>3</v>
      </c>
      <c r="V171" s="219">
        <f t="shared" si="67"/>
        <v>2</v>
      </c>
      <c r="W171" s="219">
        <f t="shared" si="67"/>
        <v>1</v>
      </c>
      <c r="X171" s="219">
        <f t="shared" si="67"/>
        <v>2</v>
      </c>
      <c r="Y171" s="219">
        <f t="shared" si="67"/>
        <v>2</v>
      </c>
      <c r="Z171" s="219">
        <f t="shared" si="67"/>
        <v>1</v>
      </c>
      <c r="AA171" s="219">
        <f t="shared" si="67"/>
        <v>3</v>
      </c>
      <c r="AB171" s="219">
        <f t="shared" si="67"/>
        <v>1</v>
      </c>
      <c r="AC171" s="219">
        <f t="shared" si="67"/>
        <v>1</v>
      </c>
      <c r="AD171" s="219">
        <f t="shared" si="67"/>
        <v>1</v>
      </c>
      <c r="AE171" s="219">
        <f t="shared" si="67"/>
        <v>1</v>
      </c>
      <c r="AF171" s="220">
        <f t="shared" si="68"/>
        <v>19</v>
      </c>
      <c r="AG171" s="287">
        <f t="shared" si="69"/>
        <v>1.5833333333333333</v>
      </c>
      <c r="AO171" s="218">
        <f t="shared" si="70"/>
        <v>216.54316121161668</v>
      </c>
      <c r="AP171" s="228">
        <f t="shared" si="71"/>
        <v>4114.3200630207166</v>
      </c>
      <c r="AQ171" s="228">
        <f t="shared" si="72"/>
        <v>159.47006302071622</v>
      </c>
    </row>
    <row r="172" spans="1:43">
      <c r="A172" s="200" t="str">
        <f t="shared" si="65"/>
        <v>Lewis County UTCRolloffHAUL25-CP</v>
      </c>
      <c r="B172" s="200">
        <f t="shared" si="64"/>
        <v>1</v>
      </c>
      <c r="C172" s="293" t="s">
        <v>485</v>
      </c>
      <c r="D172" s="217" t="s">
        <v>486</v>
      </c>
      <c r="E172" s="218">
        <v>230</v>
      </c>
      <c r="F172" s="219">
        <v>230</v>
      </c>
      <c r="G172" s="219">
        <v>460</v>
      </c>
      <c r="H172" s="219">
        <v>460</v>
      </c>
      <c r="I172" s="219">
        <v>0</v>
      </c>
      <c r="J172" s="219">
        <v>230</v>
      </c>
      <c r="K172" s="219">
        <v>0</v>
      </c>
      <c r="L172" s="219">
        <v>0</v>
      </c>
      <c r="M172" s="219">
        <v>0</v>
      </c>
      <c r="N172" s="219">
        <v>0</v>
      </c>
      <c r="O172" s="219">
        <v>230</v>
      </c>
      <c r="P172" s="219">
        <v>0</v>
      </c>
      <c r="Q172" s="219">
        <v>0</v>
      </c>
      <c r="R172" s="219">
        <f t="shared" si="66"/>
        <v>1610</v>
      </c>
      <c r="S172" s="219"/>
      <c r="T172" s="219">
        <f t="shared" si="67"/>
        <v>1</v>
      </c>
      <c r="U172" s="219">
        <f t="shared" si="67"/>
        <v>2</v>
      </c>
      <c r="V172" s="219">
        <f t="shared" si="67"/>
        <v>2</v>
      </c>
      <c r="W172" s="219">
        <f t="shared" si="67"/>
        <v>0</v>
      </c>
      <c r="X172" s="219">
        <f t="shared" si="67"/>
        <v>1</v>
      </c>
      <c r="Y172" s="219">
        <f t="shared" si="67"/>
        <v>0</v>
      </c>
      <c r="Z172" s="219">
        <f t="shared" si="67"/>
        <v>0</v>
      </c>
      <c r="AA172" s="219">
        <f t="shared" si="67"/>
        <v>0</v>
      </c>
      <c r="AB172" s="219">
        <f t="shared" si="67"/>
        <v>0</v>
      </c>
      <c r="AC172" s="219">
        <f t="shared" si="67"/>
        <v>1</v>
      </c>
      <c r="AD172" s="219">
        <f t="shared" si="67"/>
        <v>0</v>
      </c>
      <c r="AE172" s="219">
        <f t="shared" si="67"/>
        <v>0</v>
      </c>
      <c r="AF172" s="220">
        <f t="shared" si="68"/>
        <v>7</v>
      </c>
      <c r="AG172" s="287">
        <f t="shared" si="69"/>
        <v>0.58333333333333337</v>
      </c>
      <c r="AO172" s="218">
        <f t="shared" si="70"/>
        <v>239.27421128355434</v>
      </c>
      <c r="AP172" s="228">
        <f t="shared" si="71"/>
        <v>1674.9194789848802</v>
      </c>
      <c r="AQ172" s="228">
        <f t="shared" si="72"/>
        <v>64.919478984880243</v>
      </c>
    </row>
    <row r="173" spans="1:43">
      <c r="A173" s="200" t="str">
        <f t="shared" si="65"/>
        <v>Lewis County UTCRolloffHAUL30-CP</v>
      </c>
      <c r="B173" s="200">
        <f t="shared" si="64"/>
        <v>1</v>
      </c>
      <c r="C173" s="293" t="s">
        <v>487</v>
      </c>
      <c r="D173" s="217" t="s">
        <v>488</v>
      </c>
      <c r="E173" s="218">
        <v>238.65</v>
      </c>
      <c r="F173" s="219">
        <v>2147.8500000000004</v>
      </c>
      <c r="G173" s="219">
        <v>1193.25</v>
      </c>
      <c r="H173" s="219">
        <v>1670.55</v>
      </c>
      <c r="I173" s="219">
        <v>1670.55</v>
      </c>
      <c r="J173" s="219">
        <v>1670.5500000000002</v>
      </c>
      <c r="K173" s="219">
        <v>2147.85</v>
      </c>
      <c r="L173" s="219">
        <v>4295.7</v>
      </c>
      <c r="M173" s="219">
        <v>3341.1</v>
      </c>
      <c r="N173" s="219">
        <v>3579.75</v>
      </c>
      <c r="O173" s="219">
        <v>3579.75</v>
      </c>
      <c r="P173" s="219">
        <v>3818.4</v>
      </c>
      <c r="Q173" s="219">
        <v>4295.7</v>
      </c>
      <c r="R173" s="219">
        <f t="shared" si="66"/>
        <v>33411</v>
      </c>
      <c r="S173" s="219"/>
      <c r="T173" s="219">
        <f t="shared" si="67"/>
        <v>9.0000000000000018</v>
      </c>
      <c r="U173" s="219">
        <f t="shared" si="67"/>
        <v>5</v>
      </c>
      <c r="V173" s="219">
        <f t="shared" si="67"/>
        <v>7</v>
      </c>
      <c r="W173" s="219">
        <f t="shared" si="67"/>
        <v>7</v>
      </c>
      <c r="X173" s="219">
        <f t="shared" si="67"/>
        <v>7.0000000000000009</v>
      </c>
      <c r="Y173" s="219">
        <f t="shared" si="67"/>
        <v>9</v>
      </c>
      <c r="Z173" s="219">
        <f t="shared" si="67"/>
        <v>18</v>
      </c>
      <c r="AA173" s="219">
        <f t="shared" si="67"/>
        <v>14</v>
      </c>
      <c r="AB173" s="219">
        <f t="shared" si="67"/>
        <v>15</v>
      </c>
      <c r="AC173" s="219">
        <f t="shared" si="67"/>
        <v>15</v>
      </c>
      <c r="AD173" s="219">
        <f t="shared" si="67"/>
        <v>16</v>
      </c>
      <c r="AE173" s="219">
        <f t="shared" si="67"/>
        <v>18</v>
      </c>
      <c r="AF173" s="220">
        <f t="shared" si="68"/>
        <v>140</v>
      </c>
      <c r="AG173" s="287">
        <f t="shared" si="69"/>
        <v>11.666666666666666</v>
      </c>
      <c r="AO173" s="218">
        <f t="shared" si="70"/>
        <v>248.27300227313151</v>
      </c>
      <c r="AP173" s="228">
        <f t="shared" si="71"/>
        <v>34758.220318238411</v>
      </c>
      <c r="AQ173" s="228">
        <f t="shared" si="72"/>
        <v>1347.220318238411</v>
      </c>
    </row>
    <row r="174" spans="1:43">
      <c r="A174" s="200" t="str">
        <f t="shared" si="65"/>
        <v>Lewis County UTCRolloffHAUL40-CP</v>
      </c>
      <c r="B174" s="200">
        <f t="shared" si="64"/>
        <v>1</v>
      </c>
      <c r="C174" s="293" t="s">
        <v>489</v>
      </c>
      <c r="D174" s="217" t="s">
        <v>490</v>
      </c>
      <c r="E174" s="218">
        <v>246.85</v>
      </c>
      <c r="F174" s="219">
        <v>2221.6499999999996</v>
      </c>
      <c r="G174" s="219">
        <v>3455.8999999999996</v>
      </c>
      <c r="H174" s="219">
        <v>2468.5</v>
      </c>
      <c r="I174" s="219">
        <v>2221.65</v>
      </c>
      <c r="J174" s="219">
        <v>3455.9</v>
      </c>
      <c r="K174" s="219">
        <v>1974.8</v>
      </c>
      <c r="L174" s="219">
        <v>3209.05</v>
      </c>
      <c r="M174" s="219">
        <v>2468.5</v>
      </c>
      <c r="N174" s="219">
        <v>2221.6499999999996</v>
      </c>
      <c r="O174" s="219">
        <v>2962.2</v>
      </c>
      <c r="P174" s="219">
        <v>2221.6499999999996</v>
      </c>
      <c r="Q174" s="219">
        <v>2221.6499999999996</v>
      </c>
      <c r="R174" s="219">
        <f t="shared" si="66"/>
        <v>31103.1</v>
      </c>
      <c r="S174" s="219"/>
      <c r="T174" s="219">
        <f t="shared" si="67"/>
        <v>8.9999999999999982</v>
      </c>
      <c r="U174" s="219">
        <f t="shared" si="67"/>
        <v>13.999999999999998</v>
      </c>
      <c r="V174" s="219">
        <f t="shared" si="67"/>
        <v>10</v>
      </c>
      <c r="W174" s="219">
        <f t="shared" si="67"/>
        <v>9</v>
      </c>
      <c r="X174" s="219">
        <f t="shared" si="67"/>
        <v>14</v>
      </c>
      <c r="Y174" s="219">
        <f t="shared" si="67"/>
        <v>8</v>
      </c>
      <c r="Z174" s="219">
        <f t="shared" si="67"/>
        <v>13.000000000000002</v>
      </c>
      <c r="AA174" s="219">
        <f t="shared" si="67"/>
        <v>10</v>
      </c>
      <c r="AB174" s="219">
        <f t="shared" si="67"/>
        <v>8.9999999999999982</v>
      </c>
      <c r="AC174" s="219">
        <f t="shared" si="67"/>
        <v>12</v>
      </c>
      <c r="AD174" s="219">
        <f t="shared" si="67"/>
        <v>8.9999999999999982</v>
      </c>
      <c r="AE174" s="219">
        <f t="shared" si="67"/>
        <v>8.9999999999999982</v>
      </c>
      <c r="AF174" s="220">
        <f t="shared" si="68"/>
        <v>126</v>
      </c>
      <c r="AG174" s="287">
        <f t="shared" si="69"/>
        <v>10.5</v>
      </c>
      <c r="AO174" s="218">
        <f t="shared" si="70"/>
        <v>256.80364806671906</v>
      </c>
      <c r="AP174" s="228">
        <f t="shared" si="71"/>
        <v>32357.259656406601</v>
      </c>
      <c r="AQ174" s="228">
        <f t="shared" si="72"/>
        <v>1254.1596564066022</v>
      </c>
    </row>
    <row r="175" spans="1:43" s="456" customFormat="1">
      <c r="A175" s="456" t="str">
        <f t="shared" si="65"/>
        <v>Lewis County UTCRolloffRENT20MO-RO</v>
      </c>
      <c r="B175" s="456">
        <f t="shared" si="64"/>
        <v>1</v>
      </c>
      <c r="C175" s="457" t="s">
        <v>491</v>
      </c>
      <c r="D175" s="458" t="s">
        <v>492</v>
      </c>
      <c r="E175" s="459">
        <v>90.5</v>
      </c>
      <c r="F175" s="460">
        <v>1267</v>
      </c>
      <c r="G175" s="460">
        <v>1538.5</v>
      </c>
      <c r="H175" s="460">
        <v>1357.5</v>
      </c>
      <c r="I175" s="460">
        <v>1357.5</v>
      </c>
      <c r="J175" s="460">
        <v>1357.5</v>
      </c>
      <c r="K175" s="460">
        <v>1448</v>
      </c>
      <c r="L175" s="460">
        <v>1448</v>
      </c>
      <c r="M175" s="460">
        <v>1448</v>
      </c>
      <c r="N175" s="460">
        <v>1629</v>
      </c>
      <c r="O175" s="460">
        <v>1629</v>
      </c>
      <c r="P175" s="460">
        <v>1629</v>
      </c>
      <c r="Q175" s="460">
        <v>1629</v>
      </c>
      <c r="R175" s="460">
        <f t="shared" si="66"/>
        <v>17738</v>
      </c>
      <c r="S175" s="460"/>
      <c r="T175" s="460">
        <f t="shared" ref="T175:AE186" si="73">IFERROR(F175/$E175,0)</f>
        <v>14</v>
      </c>
      <c r="U175" s="460">
        <f t="shared" si="73"/>
        <v>17</v>
      </c>
      <c r="V175" s="460">
        <f t="shared" si="73"/>
        <v>15</v>
      </c>
      <c r="W175" s="460">
        <f t="shared" si="73"/>
        <v>15</v>
      </c>
      <c r="X175" s="460">
        <f t="shared" si="73"/>
        <v>15</v>
      </c>
      <c r="Y175" s="460">
        <f t="shared" si="73"/>
        <v>16</v>
      </c>
      <c r="Z175" s="460">
        <f t="shared" si="73"/>
        <v>16</v>
      </c>
      <c r="AA175" s="460">
        <f t="shared" si="73"/>
        <v>16</v>
      </c>
      <c r="AB175" s="460">
        <f t="shared" si="73"/>
        <v>18</v>
      </c>
      <c r="AC175" s="460">
        <f t="shared" si="73"/>
        <v>18</v>
      </c>
      <c r="AD175" s="460">
        <f t="shared" si="73"/>
        <v>18</v>
      </c>
      <c r="AE175" s="460">
        <f t="shared" si="73"/>
        <v>18</v>
      </c>
      <c r="AF175" s="461">
        <f t="shared" si="68"/>
        <v>196</v>
      </c>
      <c r="AG175" s="462">
        <f t="shared" si="69"/>
        <v>16.333333333333332</v>
      </c>
      <c r="AK175" s="456">
        <v>20</v>
      </c>
      <c r="AL175" s="456">
        <v>1</v>
      </c>
      <c r="AM175" s="459">
        <f t="shared" ref="AM175:AM177" si="74">+AG175*AL175</f>
        <v>16.333333333333332</v>
      </c>
      <c r="AN175" s="459"/>
      <c r="AO175" s="459">
        <f t="shared" si="70"/>
        <v>94.149200526789855</v>
      </c>
      <c r="AP175" s="463">
        <f t="shared" si="71"/>
        <v>18453.243303250812</v>
      </c>
      <c r="AQ175" s="463">
        <f t="shared" si="72"/>
        <v>715.24330325081246</v>
      </c>
    </row>
    <row r="176" spans="1:43" s="456" customFormat="1">
      <c r="A176" s="456" t="str">
        <f t="shared" si="65"/>
        <v>Lewis County UTCRolloffRENT30MO-RO</v>
      </c>
      <c r="B176" s="456">
        <f t="shared" si="64"/>
        <v>1</v>
      </c>
      <c r="C176" s="457" t="s">
        <v>493</v>
      </c>
      <c r="D176" s="458" t="s">
        <v>494</v>
      </c>
      <c r="E176" s="459">
        <v>126.7</v>
      </c>
      <c r="F176" s="460">
        <v>1647.1</v>
      </c>
      <c r="G176" s="460">
        <v>1647.1</v>
      </c>
      <c r="H176" s="460">
        <v>1647.1</v>
      </c>
      <c r="I176" s="460">
        <v>1773.8</v>
      </c>
      <c r="J176" s="460">
        <v>1900.5</v>
      </c>
      <c r="K176" s="460">
        <v>1900.5</v>
      </c>
      <c r="L176" s="460">
        <v>1773.8</v>
      </c>
      <c r="M176" s="460">
        <v>1773.8</v>
      </c>
      <c r="N176" s="460">
        <v>1900.5</v>
      </c>
      <c r="O176" s="460">
        <v>1900.5</v>
      </c>
      <c r="P176" s="460">
        <v>2027.2</v>
      </c>
      <c r="Q176" s="460">
        <v>2027.2</v>
      </c>
      <c r="R176" s="460">
        <f t="shared" si="66"/>
        <v>21919.1</v>
      </c>
      <c r="S176" s="460"/>
      <c r="T176" s="460">
        <f t="shared" si="73"/>
        <v>12.999999999999998</v>
      </c>
      <c r="U176" s="460">
        <f t="shared" si="73"/>
        <v>12.999999999999998</v>
      </c>
      <c r="V176" s="460">
        <f t="shared" si="73"/>
        <v>12.999999999999998</v>
      </c>
      <c r="W176" s="460">
        <f t="shared" si="73"/>
        <v>14</v>
      </c>
      <c r="X176" s="460">
        <f t="shared" si="73"/>
        <v>15</v>
      </c>
      <c r="Y176" s="460">
        <f t="shared" si="73"/>
        <v>15</v>
      </c>
      <c r="Z176" s="460">
        <f t="shared" si="73"/>
        <v>14</v>
      </c>
      <c r="AA176" s="460">
        <f t="shared" si="73"/>
        <v>14</v>
      </c>
      <c r="AB176" s="460">
        <f t="shared" si="73"/>
        <v>15</v>
      </c>
      <c r="AC176" s="460">
        <f t="shared" si="73"/>
        <v>15</v>
      </c>
      <c r="AD176" s="460">
        <f t="shared" si="73"/>
        <v>16</v>
      </c>
      <c r="AE176" s="460">
        <f t="shared" si="73"/>
        <v>16</v>
      </c>
      <c r="AF176" s="461">
        <f t="shared" si="68"/>
        <v>173</v>
      </c>
      <c r="AG176" s="462">
        <f t="shared" si="69"/>
        <v>14.416666666666666</v>
      </c>
      <c r="AK176" s="456">
        <v>30</v>
      </c>
      <c r="AL176" s="456">
        <v>1</v>
      </c>
      <c r="AM176" s="459">
        <f t="shared" si="74"/>
        <v>14.416666666666666</v>
      </c>
      <c r="AN176" s="459"/>
      <c r="AO176" s="459">
        <f t="shared" si="70"/>
        <v>131.8088807375058</v>
      </c>
      <c r="AP176" s="463">
        <f t="shared" si="71"/>
        <v>22802.936367588503</v>
      </c>
      <c r="AQ176" s="463">
        <f t="shared" si="72"/>
        <v>883.8363675885048</v>
      </c>
    </row>
    <row r="177" spans="1:44" s="456" customFormat="1">
      <c r="A177" s="456" t="str">
        <f t="shared" si="65"/>
        <v>Lewis County UTCRolloffRENT40MO-RO</v>
      </c>
      <c r="B177" s="456">
        <f t="shared" si="64"/>
        <v>1</v>
      </c>
      <c r="C177" s="457" t="s">
        <v>495</v>
      </c>
      <c r="D177" s="458" t="s">
        <v>496</v>
      </c>
      <c r="E177" s="459">
        <v>148.1</v>
      </c>
      <c r="F177" s="460">
        <v>3168.1</v>
      </c>
      <c r="G177" s="460">
        <v>3168.1</v>
      </c>
      <c r="H177" s="460">
        <v>3168.1</v>
      </c>
      <c r="I177" s="460">
        <v>3316.2</v>
      </c>
      <c r="J177" s="460">
        <v>3168.1</v>
      </c>
      <c r="K177" s="460">
        <v>3168.1</v>
      </c>
      <c r="L177" s="460">
        <v>3316.2000000000003</v>
      </c>
      <c r="M177" s="460">
        <v>3464.2999999999997</v>
      </c>
      <c r="N177" s="460">
        <v>3760.5</v>
      </c>
      <c r="O177" s="460">
        <v>3612.3999999999996</v>
      </c>
      <c r="P177" s="460">
        <v>3612.3999999999996</v>
      </c>
      <c r="Q177" s="460">
        <v>3464.2999999999997</v>
      </c>
      <c r="R177" s="460">
        <f t="shared" si="66"/>
        <v>40386.800000000003</v>
      </c>
      <c r="S177" s="460"/>
      <c r="T177" s="460">
        <f t="shared" si="73"/>
        <v>21.391627278865631</v>
      </c>
      <c r="U177" s="460">
        <f t="shared" si="73"/>
        <v>21.391627278865631</v>
      </c>
      <c r="V177" s="460">
        <f t="shared" si="73"/>
        <v>21.391627278865631</v>
      </c>
      <c r="W177" s="460">
        <f t="shared" si="73"/>
        <v>22.391627278865631</v>
      </c>
      <c r="X177" s="460">
        <f t="shared" si="73"/>
        <v>21.391627278865631</v>
      </c>
      <c r="Y177" s="460">
        <f t="shared" si="73"/>
        <v>21.391627278865631</v>
      </c>
      <c r="Z177" s="460">
        <f t="shared" si="73"/>
        <v>22.391627278865634</v>
      </c>
      <c r="AA177" s="460">
        <f t="shared" si="73"/>
        <v>23.391627278865631</v>
      </c>
      <c r="AB177" s="460">
        <f t="shared" si="73"/>
        <v>25.391627278865631</v>
      </c>
      <c r="AC177" s="460">
        <f t="shared" si="73"/>
        <v>24.391627278865631</v>
      </c>
      <c r="AD177" s="460">
        <f t="shared" si="73"/>
        <v>24.391627278865631</v>
      </c>
      <c r="AE177" s="460">
        <f t="shared" si="73"/>
        <v>23.391627278865631</v>
      </c>
      <c r="AF177" s="461">
        <f t="shared" si="68"/>
        <v>272.69952734638758</v>
      </c>
      <c r="AG177" s="462">
        <f t="shared" si="69"/>
        <v>22.724960612198966</v>
      </c>
      <c r="AK177" s="456">
        <v>40</v>
      </c>
      <c r="AL177" s="456">
        <v>1</v>
      </c>
      <c r="AM177" s="459">
        <f t="shared" si="74"/>
        <v>22.724960612198966</v>
      </c>
      <c r="AN177" s="459"/>
      <c r="AO177" s="459">
        <f t="shared" si="70"/>
        <v>154.0717856134539</v>
      </c>
      <c r="AP177" s="463">
        <f t="shared" si="71"/>
        <v>42015.303114202834</v>
      </c>
      <c r="AQ177" s="463">
        <f t="shared" si="72"/>
        <v>1628.5031142028311</v>
      </c>
    </row>
    <row r="178" spans="1:44" s="456" customFormat="1">
      <c r="A178" s="456" t="str">
        <f t="shared" si="65"/>
        <v>Lewis County UTCRolloffRENT20TEMP-RO</v>
      </c>
      <c r="B178" s="456">
        <f t="shared" si="64"/>
        <v>1</v>
      </c>
      <c r="C178" s="457" t="s">
        <v>497</v>
      </c>
      <c r="D178" s="458" t="s">
        <v>498</v>
      </c>
      <c r="E178" s="459">
        <v>7.42</v>
      </c>
      <c r="F178" s="460">
        <v>2379.34</v>
      </c>
      <c r="G178" s="460">
        <v>2805.3700000000003</v>
      </c>
      <c r="H178" s="460">
        <v>2839.3800000000006</v>
      </c>
      <c r="I178" s="460">
        <v>2667.48</v>
      </c>
      <c r="J178" s="460">
        <v>2029.7799999999997</v>
      </c>
      <c r="K178" s="460">
        <v>1622.5</v>
      </c>
      <c r="L178" s="460">
        <v>1788.83</v>
      </c>
      <c r="M178" s="460">
        <v>993.04</v>
      </c>
      <c r="N178" s="460">
        <v>1211.31</v>
      </c>
      <c r="O178" s="460">
        <v>2093.0500000000002</v>
      </c>
      <c r="P178" s="460">
        <v>1956.3999999999999</v>
      </c>
      <c r="Q178" s="460">
        <v>2242.69</v>
      </c>
      <c r="R178" s="460">
        <f t="shared" si="66"/>
        <v>24629.170000000002</v>
      </c>
      <c r="S178" s="460"/>
      <c r="T178" s="460">
        <f t="shared" si="73"/>
        <v>320.6657681940701</v>
      </c>
      <c r="U178" s="460">
        <f t="shared" si="73"/>
        <v>378.08221024258768</v>
      </c>
      <c r="V178" s="460">
        <f t="shared" si="73"/>
        <v>382.66576819407015</v>
      </c>
      <c r="W178" s="460">
        <f t="shared" si="73"/>
        <v>359.49865229110515</v>
      </c>
      <c r="X178" s="460">
        <f t="shared" si="73"/>
        <v>273.55525606469001</v>
      </c>
      <c r="Y178" s="460">
        <f t="shared" si="73"/>
        <v>218.6657681940701</v>
      </c>
      <c r="Z178" s="460">
        <f t="shared" si="73"/>
        <v>241.08221024258759</v>
      </c>
      <c r="AA178" s="460">
        <f t="shared" si="73"/>
        <v>133.83288409703505</v>
      </c>
      <c r="AB178" s="460">
        <f t="shared" si="73"/>
        <v>163.24932614555254</v>
      </c>
      <c r="AC178" s="460">
        <f t="shared" si="73"/>
        <v>282.08221024258762</v>
      </c>
      <c r="AD178" s="460">
        <f t="shared" si="73"/>
        <v>263.66576819407004</v>
      </c>
      <c r="AE178" s="460">
        <f t="shared" si="73"/>
        <v>302.24932614555257</v>
      </c>
      <c r="AF178" s="461">
        <f t="shared" si="68"/>
        <v>3319.2951482479784</v>
      </c>
      <c r="AG178" s="462">
        <f t="shared" si="69"/>
        <v>276.60792902066487</v>
      </c>
      <c r="AK178" s="456">
        <v>20</v>
      </c>
      <c r="AL178" s="456">
        <v>1</v>
      </c>
      <c r="AM178" s="459">
        <f>+(AG178/30)*AL178</f>
        <v>9.2202643006888287</v>
      </c>
      <c r="AN178" s="456" t="s">
        <v>499</v>
      </c>
      <c r="AO178" s="459">
        <f t="shared" si="70"/>
        <v>7.7191941205390142</v>
      </c>
      <c r="AP178" s="463">
        <f t="shared" si="71"/>
        <v>25622.28359268947</v>
      </c>
      <c r="AQ178" s="463">
        <f t="shared" si="72"/>
        <v>993.11359268946762</v>
      </c>
    </row>
    <row r="179" spans="1:44" s="456" customFormat="1">
      <c r="A179" s="456" t="str">
        <f t="shared" si="65"/>
        <v>Lewis County UTCRolloffRENT30TEMP-RO</v>
      </c>
      <c r="B179" s="456">
        <f t="shared" si="64"/>
        <v>1</v>
      </c>
      <c r="C179" s="457" t="s">
        <v>500</v>
      </c>
      <c r="D179" s="458" t="s">
        <v>501</v>
      </c>
      <c r="E179" s="459">
        <v>9.07</v>
      </c>
      <c r="F179" s="460">
        <v>811</v>
      </c>
      <c r="G179" s="460">
        <v>1529.77</v>
      </c>
      <c r="H179" s="460">
        <v>1462.51</v>
      </c>
      <c r="I179" s="460">
        <v>1023.38</v>
      </c>
      <c r="J179" s="460">
        <v>1331.76</v>
      </c>
      <c r="K179" s="460">
        <v>1358.97</v>
      </c>
      <c r="L179" s="460">
        <v>1566.0500000000002</v>
      </c>
      <c r="M179" s="460">
        <v>1308.32</v>
      </c>
      <c r="N179" s="460">
        <v>1587.96</v>
      </c>
      <c r="O179" s="460">
        <v>1141.29</v>
      </c>
      <c r="P179" s="460">
        <v>896.4</v>
      </c>
      <c r="Q179" s="460">
        <v>1765.59</v>
      </c>
      <c r="R179" s="460">
        <f t="shared" si="66"/>
        <v>15783.000000000002</v>
      </c>
      <c r="S179" s="460"/>
      <c r="T179" s="460">
        <f t="shared" si="73"/>
        <v>89.415656008820278</v>
      </c>
      <c r="U179" s="460">
        <f t="shared" si="73"/>
        <v>168.66262403528114</v>
      </c>
      <c r="V179" s="460">
        <f t="shared" si="73"/>
        <v>161.24696802646085</v>
      </c>
      <c r="W179" s="460">
        <f t="shared" si="73"/>
        <v>112.83131201764057</v>
      </c>
      <c r="X179" s="460">
        <f t="shared" si="73"/>
        <v>146.83131201764056</v>
      </c>
      <c r="Y179" s="460">
        <f t="shared" si="73"/>
        <v>149.83131201764058</v>
      </c>
      <c r="Z179" s="460">
        <f t="shared" si="73"/>
        <v>172.66262403528117</v>
      </c>
      <c r="AA179" s="460">
        <f t="shared" si="73"/>
        <v>144.24696802646085</v>
      </c>
      <c r="AB179" s="460">
        <f t="shared" si="73"/>
        <v>175.07828004410143</v>
      </c>
      <c r="AC179" s="460">
        <f t="shared" si="73"/>
        <v>125.83131201764057</v>
      </c>
      <c r="AD179" s="460">
        <f t="shared" si="73"/>
        <v>98.83131201764057</v>
      </c>
      <c r="AE179" s="460">
        <f t="shared" si="73"/>
        <v>194.66262403528114</v>
      </c>
      <c r="AF179" s="461">
        <f t="shared" si="68"/>
        <v>1740.1323042998897</v>
      </c>
      <c r="AG179" s="462">
        <f t="shared" si="69"/>
        <v>145.01102535832413</v>
      </c>
      <c r="AK179" s="456">
        <v>30</v>
      </c>
      <c r="AL179" s="456">
        <v>1</v>
      </c>
      <c r="AM179" s="459">
        <f>+(AG179/30)*AL179</f>
        <v>4.8337008452774715</v>
      </c>
      <c r="AN179" s="456" t="s">
        <v>499</v>
      </c>
      <c r="AO179" s="459">
        <f t="shared" si="70"/>
        <v>9.4357265058340776</v>
      </c>
      <c r="AP179" s="463">
        <f t="shared" si="71"/>
        <v>16419.412507340599</v>
      </c>
      <c r="AQ179" s="463">
        <f t="shared" si="72"/>
        <v>636.41250734059759</v>
      </c>
    </row>
    <row r="180" spans="1:44" s="456" customFormat="1">
      <c r="A180" s="456" t="str">
        <f t="shared" si="65"/>
        <v>Lewis County UTCRolloffRENT40TEMP-RO</v>
      </c>
      <c r="B180" s="456">
        <f t="shared" si="64"/>
        <v>1</v>
      </c>
      <c r="C180" s="457" t="s">
        <v>502</v>
      </c>
      <c r="D180" s="458" t="s">
        <v>503</v>
      </c>
      <c r="E180" s="459">
        <v>10.46</v>
      </c>
      <c r="F180" s="460">
        <v>2058.86</v>
      </c>
      <c r="G180" s="460">
        <v>1870.58</v>
      </c>
      <c r="H180" s="460">
        <v>2599.2600000000002</v>
      </c>
      <c r="I180" s="460">
        <v>2695.16</v>
      </c>
      <c r="J180" s="460">
        <v>2946.2</v>
      </c>
      <c r="K180" s="460">
        <v>2674.24</v>
      </c>
      <c r="L180" s="460">
        <v>1659.62</v>
      </c>
      <c r="M180" s="460">
        <v>1826.98</v>
      </c>
      <c r="N180" s="460">
        <v>1322.31</v>
      </c>
      <c r="O180" s="460">
        <v>1441.7199999999998</v>
      </c>
      <c r="P180" s="460">
        <v>1630.0000000000002</v>
      </c>
      <c r="Q180" s="460">
        <v>1749.4099999999999</v>
      </c>
      <c r="R180" s="460">
        <f t="shared" si="66"/>
        <v>24474.340000000004</v>
      </c>
      <c r="S180" s="460"/>
      <c r="T180" s="460">
        <f t="shared" si="73"/>
        <v>196.83173996175907</v>
      </c>
      <c r="U180" s="460">
        <f t="shared" si="73"/>
        <v>178.83173996175907</v>
      </c>
      <c r="V180" s="460">
        <f t="shared" si="73"/>
        <v>248.49521988527724</v>
      </c>
      <c r="W180" s="460">
        <f t="shared" si="73"/>
        <v>257.66347992351814</v>
      </c>
      <c r="X180" s="460">
        <f t="shared" si="73"/>
        <v>281.66347992351814</v>
      </c>
      <c r="Y180" s="460">
        <f t="shared" si="73"/>
        <v>255.66347992351811</v>
      </c>
      <c r="Z180" s="460">
        <f t="shared" si="73"/>
        <v>158.66347992351814</v>
      </c>
      <c r="AA180" s="460">
        <f t="shared" si="73"/>
        <v>174.66347992351814</v>
      </c>
      <c r="AB180" s="460">
        <f t="shared" si="73"/>
        <v>126.41586998087952</v>
      </c>
      <c r="AC180" s="460">
        <f t="shared" si="73"/>
        <v>137.83173996175904</v>
      </c>
      <c r="AD180" s="460">
        <f t="shared" si="73"/>
        <v>155.8317399617591</v>
      </c>
      <c r="AE180" s="460">
        <f t="shared" si="73"/>
        <v>167.2476099426386</v>
      </c>
      <c r="AF180" s="461">
        <f t="shared" si="68"/>
        <v>2339.8030592734217</v>
      </c>
      <c r="AG180" s="462">
        <f t="shared" si="69"/>
        <v>194.98358827278514</v>
      </c>
      <c r="AK180" s="456">
        <v>40</v>
      </c>
      <c r="AL180" s="456">
        <v>1</v>
      </c>
      <c r="AM180" s="459">
        <f>+(AG180/30)*AL180</f>
        <v>6.4994529424261716</v>
      </c>
      <c r="AN180" s="456" t="s">
        <v>499</v>
      </c>
      <c r="AO180" s="459">
        <f t="shared" si="70"/>
        <v>10.881775000112951</v>
      </c>
      <c r="AP180" s="463">
        <f t="shared" si="71"/>
        <v>25461.210435589321</v>
      </c>
      <c r="AQ180" s="463">
        <f t="shared" si="72"/>
        <v>986.87043558931691</v>
      </c>
    </row>
    <row r="181" spans="1:44" s="456" customFormat="1">
      <c r="A181" s="464" t="str">
        <f t="shared" si="65"/>
        <v>Lewis County UTCRolloffDEL20TEMP-RO</v>
      </c>
      <c r="B181" s="464">
        <f t="shared" si="64"/>
        <v>1</v>
      </c>
      <c r="C181" s="457" t="s">
        <v>504</v>
      </c>
      <c r="D181" s="458" t="s">
        <v>505</v>
      </c>
      <c r="E181" s="459">
        <v>131.65</v>
      </c>
      <c r="F181" s="460">
        <v>1974.75</v>
      </c>
      <c r="G181" s="460">
        <v>2338.0499999999997</v>
      </c>
      <c r="H181" s="460">
        <v>1548.15</v>
      </c>
      <c r="I181" s="460">
        <v>1548.15</v>
      </c>
      <c r="J181" s="460">
        <v>1579.8000000000002</v>
      </c>
      <c r="K181" s="460">
        <v>526.6</v>
      </c>
      <c r="L181" s="460">
        <v>789.90000000000009</v>
      </c>
      <c r="M181" s="460">
        <v>789.90000000000009</v>
      </c>
      <c r="N181" s="460">
        <v>658.25</v>
      </c>
      <c r="O181" s="460">
        <v>658.25</v>
      </c>
      <c r="P181" s="460">
        <v>1316.5</v>
      </c>
      <c r="Q181" s="460">
        <v>2238.0500000000002</v>
      </c>
      <c r="R181" s="460">
        <f t="shared" si="66"/>
        <v>15966.349999999999</v>
      </c>
      <c r="S181" s="460"/>
      <c r="T181" s="460">
        <f t="shared" si="73"/>
        <v>15</v>
      </c>
      <c r="U181" s="460">
        <f t="shared" si="73"/>
        <v>17.759589821496387</v>
      </c>
      <c r="V181" s="460">
        <f t="shared" si="73"/>
        <v>11.759589821496393</v>
      </c>
      <c r="W181" s="460">
        <f t="shared" si="73"/>
        <v>11.759589821496393</v>
      </c>
      <c r="X181" s="460">
        <f t="shared" si="73"/>
        <v>12</v>
      </c>
      <c r="Y181" s="460">
        <f t="shared" si="73"/>
        <v>4</v>
      </c>
      <c r="Z181" s="460">
        <f t="shared" si="73"/>
        <v>6</v>
      </c>
      <c r="AA181" s="460">
        <f t="shared" si="73"/>
        <v>6</v>
      </c>
      <c r="AB181" s="460">
        <f t="shared" si="73"/>
        <v>5</v>
      </c>
      <c r="AC181" s="460">
        <f t="shared" si="73"/>
        <v>5</v>
      </c>
      <c r="AD181" s="460">
        <f t="shared" si="73"/>
        <v>10</v>
      </c>
      <c r="AE181" s="460">
        <f t="shared" si="73"/>
        <v>17</v>
      </c>
      <c r="AF181" s="461">
        <f t="shared" si="68"/>
        <v>121.27876946448917</v>
      </c>
      <c r="AG181" s="462">
        <f t="shared" si="69"/>
        <v>10.106564122040764</v>
      </c>
      <c r="AK181" s="456">
        <v>20</v>
      </c>
      <c r="AL181" s="456">
        <v>1</v>
      </c>
      <c r="AM181" s="459">
        <f>+AG181*AL181</f>
        <v>10.106564122040764</v>
      </c>
      <c r="AN181" s="459"/>
      <c r="AO181" s="459">
        <f t="shared" si="70"/>
        <v>136.95847789339101</v>
      </c>
      <c r="AP181" s="463">
        <f t="shared" si="71"/>
        <v>16610.155666639901</v>
      </c>
      <c r="AQ181" s="463">
        <f t="shared" si="72"/>
        <v>643.80566663990248</v>
      </c>
    </row>
    <row r="182" spans="1:44">
      <c r="A182" s="200" t="str">
        <f t="shared" si="65"/>
        <v>Lewis County UTCRolloffDEL30TEMP-RO</v>
      </c>
      <c r="B182" s="200">
        <f t="shared" si="64"/>
        <v>1</v>
      </c>
      <c r="C182" s="293" t="s">
        <v>506</v>
      </c>
      <c r="D182" s="217" t="s">
        <v>507</v>
      </c>
      <c r="E182" s="218">
        <v>131.65</v>
      </c>
      <c r="F182" s="219">
        <v>1448.15</v>
      </c>
      <c r="G182" s="219">
        <v>658.25</v>
      </c>
      <c r="H182" s="219">
        <v>789.90000000000009</v>
      </c>
      <c r="I182" s="219">
        <v>394.95000000000005</v>
      </c>
      <c r="J182" s="219">
        <v>789.90000000000009</v>
      </c>
      <c r="K182" s="219">
        <v>658.25</v>
      </c>
      <c r="L182" s="219">
        <v>526.6</v>
      </c>
      <c r="M182" s="219">
        <v>394.95000000000005</v>
      </c>
      <c r="N182" s="219">
        <v>263.3</v>
      </c>
      <c r="O182" s="219">
        <v>658.25</v>
      </c>
      <c r="P182" s="219">
        <v>263.3</v>
      </c>
      <c r="Q182" s="219">
        <v>789.9</v>
      </c>
      <c r="R182" s="219">
        <f t="shared" si="66"/>
        <v>7635.7</v>
      </c>
      <c r="S182" s="219"/>
      <c r="T182" s="219">
        <f t="shared" si="73"/>
        <v>11</v>
      </c>
      <c r="U182" s="219">
        <f t="shared" si="73"/>
        <v>5</v>
      </c>
      <c r="V182" s="219">
        <f t="shared" si="73"/>
        <v>6</v>
      </c>
      <c r="W182" s="219">
        <f t="shared" si="73"/>
        <v>3</v>
      </c>
      <c r="X182" s="219">
        <f t="shared" si="73"/>
        <v>6</v>
      </c>
      <c r="Y182" s="219">
        <f t="shared" si="73"/>
        <v>5</v>
      </c>
      <c r="Z182" s="219">
        <f t="shared" si="73"/>
        <v>4</v>
      </c>
      <c r="AA182" s="219">
        <f t="shared" si="73"/>
        <v>3</v>
      </c>
      <c r="AB182" s="219">
        <f t="shared" si="73"/>
        <v>2</v>
      </c>
      <c r="AC182" s="219">
        <f t="shared" si="73"/>
        <v>5</v>
      </c>
      <c r="AD182" s="219">
        <f t="shared" si="73"/>
        <v>2</v>
      </c>
      <c r="AE182" s="219">
        <f t="shared" si="73"/>
        <v>6</v>
      </c>
      <c r="AF182" s="220">
        <f t="shared" si="68"/>
        <v>58</v>
      </c>
      <c r="AG182" s="287">
        <f t="shared" si="69"/>
        <v>4.833333333333333</v>
      </c>
      <c r="AK182" s="199">
        <v>30</v>
      </c>
      <c r="AL182" s="199">
        <v>1</v>
      </c>
      <c r="AM182" s="218">
        <f>+AG182*AL182</f>
        <v>4.833333333333333</v>
      </c>
      <c r="AN182" s="218"/>
      <c r="AO182" s="218">
        <f t="shared" si="70"/>
        <v>136.95847789339101</v>
      </c>
      <c r="AP182" s="228">
        <f t="shared" si="71"/>
        <v>7943.5917178166783</v>
      </c>
      <c r="AQ182" s="228">
        <f t="shared" si="72"/>
        <v>307.89171781667847</v>
      </c>
    </row>
    <row r="183" spans="1:44">
      <c r="A183" s="200" t="str">
        <f t="shared" si="65"/>
        <v>Lewis County UTCRolloffDEL40TEMP-RO</v>
      </c>
      <c r="B183" s="200">
        <f t="shared" si="64"/>
        <v>1</v>
      </c>
      <c r="C183" s="293" t="s">
        <v>508</v>
      </c>
      <c r="D183" s="217" t="s">
        <v>509</v>
      </c>
      <c r="E183" s="218">
        <v>131.65</v>
      </c>
      <c r="F183" s="219">
        <v>1053.2</v>
      </c>
      <c r="G183" s="219">
        <v>2206.4</v>
      </c>
      <c r="H183" s="219">
        <v>789.90000000000009</v>
      </c>
      <c r="I183" s="219">
        <v>789.9</v>
      </c>
      <c r="J183" s="219">
        <v>921.55</v>
      </c>
      <c r="K183" s="219">
        <v>658.25</v>
      </c>
      <c r="L183" s="219">
        <v>394.95</v>
      </c>
      <c r="M183" s="219">
        <v>658.25</v>
      </c>
      <c r="N183" s="219">
        <v>526.6</v>
      </c>
      <c r="O183" s="219">
        <v>1184.8499999999999</v>
      </c>
      <c r="P183" s="219">
        <v>789.9</v>
      </c>
      <c r="Q183" s="219">
        <v>789.90000000000009</v>
      </c>
      <c r="R183" s="219">
        <f t="shared" si="66"/>
        <v>10763.65</v>
      </c>
      <c r="S183" s="219"/>
      <c r="T183" s="219">
        <f t="shared" si="73"/>
        <v>8</v>
      </c>
      <c r="U183" s="219">
        <f t="shared" si="73"/>
        <v>16.759589821496391</v>
      </c>
      <c r="V183" s="219">
        <f t="shared" si="73"/>
        <v>6</v>
      </c>
      <c r="W183" s="219">
        <f t="shared" si="73"/>
        <v>6</v>
      </c>
      <c r="X183" s="219">
        <f t="shared" si="73"/>
        <v>6.9999999999999991</v>
      </c>
      <c r="Y183" s="219">
        <f t="shared" si="73"/>
        <v>5</v>
      </c>
      <c r="Z183" s="219">
        <f t="shared" si="73"/>
        <v>3</v>
      </c>
      <c r="AA183" s="219">
        <f t="shared" si="73"/>
        <v>5</v>
      </c>
      <c r="AB183" s="219">
        <f t="shared" si="73"/>
        <v>4</v>
      </c>
      <c r="AC183" s="219">
        <f t="shared" si="73"/>
        <v>8.9999999999999982</v>
      </c>
      <c r="AD183" s="219">
        <f t="shared" si="73"/>
        <v>6</v>
      </c>
      <c r="AE183" s="219">
        <f t="shared" si="73"/>
        <v>6</v>
      </c>
      <c r="AF183" s="220">
        <f t="shared" si="68"/>
        <v>81.759589821496391</v>
      </c>
      <c r="AG183" s="287">
        <f t="shared" si="69"/>
        <v>6.8132991517913659</v>
      </c>
      <c r="AK183" s="199">
        <v>40</v>
      </c>
      <c r="AL183" s="199">
        <v>1</v>
      </c>
      <c r="AM183" s="218">
        <f>+AG183*AL183</f>
        <v>6.8132991517913659</v>
      </c>
      <c r="AN183" s="218"/>
      <c r="AO183" s="218">
        <f t="shared" si="70"/>
        <v>136.95847789339101</v>
      </c>
      <c r="AP183" s="228">
        <f t="shared" si="71"/>
        <v>11197.66897514013</v>
      </c>
      <c r="AQ183" s="228">
        <f t="shared" si="72"/>
        <v>434.01897514013035</v>
      </c>
    </row>
    <row r="184" spans="1:44">
      <c r="A184" s="200" t="str">
        <f t="shared" si="65"/>
        <v>Lewis County UTCRolloffMILE-RO</v>
      </c>
      <c r="B184" s="200">
        <f t="shared" si="64"/>
        <v>1</v>
      </c>
      <c r="C184" s="293" t="s">
        <v>510</v>
      </c>
      <c r="D184" s="217" t="s">
        <v>511</v>
      </c>
      <c r="E184" s="218">
        <v>3.79</v>
      </c>
      <c r="F184" s="219">
        <v>4438.09</v>
      </c>
      <c r="G184" s="219">
        <v>4385.03</v>
      </c>
      <c r="H184" s="219">
        <v>4381.24</v>
      </c>
      <c r="I184" s="219">
        <v>4468.41</v>
      </c>
      <c r="J184" s="219">
        <v>4760.24</v>
      </c>
      <c r="K184" s="219">
        <v>2543.09</v>
      </c>
      <c r="L184" s="219">
        <v>3338.9900000000002</v>
      </c>
      <c r="M184" s="219">
        <v>2751.54</v>
      </c>
      <c r="N184" s="219">
        <v>2815.97</v>
      </c>
      <c r="O184" s="219">
        <v>4123.53</v>
      </c>
      <c r="P184" s="219">
        <v>3126.7599999999998</v>
      </c>
      <c r="Q184" s="219">
        <v>4548</v>
      </c>
      <c r="R184" s="219">
        <f t="shared" si="66"/>
        <v>45680.89</v>
      </c>
      <c r="S184" s="219"/>
      <c r="T184" s="219">
        <f t="shared" si="73"/>
        <v>1171</v>
      </c>
      <c r="U184" s="219">
        <f t="shared" si="73"/>
        <v>1157</v>
      </c>
      <c r="V184" s="219">
        <f t="shared" si="73"/>
        <v>1156</v>
      </c>
      <c r="W184" s="219">
        <f t="shared" si="73"/>
        <v>1179</v>
      </c>
      <c r="X184" s="219">
        <f t="shared" si="73"/>
        <v>1256</v>
      </c>
      <c r="Y184" s="219">
        <f t="shared" si="73"/>
        <v>671</v>
      </c>
      <c r="Z184" s="219">
        <f t="shared" si="73"/>
        <v>881</v>
      </c>
      <c r="AA184" s="219">
        <f t="shared" si="73"/>
        <v>726</v>
      </c>
      <c r="AB184" s="219">
        <f t="shared" si="73"/>
        <v>742.99999999999989</v>
      </c>
      <c r="AC184" s="219">
        <f t="shared" si="73"/>
        <v>1088.0026385224273</v>
      </c>
      <c r="AD184" s="219">
        <f t="shared" si="73"/>
        <v>825.00263852242733</v>
      </c>
      <c r="AE184" s="219">
        <f t="shared" si="73"/>
        <v>1200</v>
      </c>
      <c r="AF184" s="220">
        <f t="shared" si="68"/>
        <v>12053.005277044853</v>
      </c>
      <c r="AG184" s="287">
        <f t="shared" si="69"/>
        <v>1004.4171064204044</v>
      </c>
      <c r="AO184" s="218">
        <f t="shared" si="70"/>
        <v>3.9428228728898738</v>
      </c>
      <c r="AP184" s="228">
        <f t="shared" si="71"/>
        <v>47522.864893394799</v>
      </c>
      <c r="AQ184" s="228">
        <f t="shared" si="72"/>
        <v>1841.9748933947994</v>
      </c>
    </row>
    <row r="185" spans="1:44" ht="13.5" customHeight="1">
      <c r="A185" s="200" t="str">
        <f t="shared" si="65"/>
        <v>Lewis County UTCRolloffTIME-RO</v>
      </c>
      <c r="B185" s="200">
        <f t="shared" si="64"/>
        <v>1</v>
      </c>
      <c r="C185" s="293" t="s">
        <v>512</v>
      </c>
      <c r="D185" s="217" t="s">
        <v>513</v>
      </c>
      <c r="E185" s="218">
        <v>120</v>
      </c>
      <c r="F185" s="219">
        <v>0</v>
      </c>
      <c r="G185" s="219">
        <v>250</v>
      </c>
      <c r="H185" s="219">
        <v>324</v>
      </c>
      <c r="I185" s="219">
        <v>515</v>
      </c>
      <c r="J185" s="219">
        <v>558</v>
      </c>
      <c r="K185" s="219">
        <v>120</v>
      </c>
      <c r="L185" s="219">
        <v>174</v>
      </c>
      <c r="M185" s="219">
        <v>594</v>
      </c>
      <c r="N185" s="219">
        <v>79.2</v>
      </c>
      <c r="O185" s="219">
        <v>339.6</v>
      </c>
      <c r="P185" s="219">
        <v>139.19999999999999</v>
      </c>
      <c r="Q185" s="219">
        <v>199.2</v>
      </c>
      <c r="R185" s="219">
        <f t="shared" si="66"/>
        <v>3292.1999999999994</v>
      </c>
      <c r="S185" s="219"/>
      <c r="T185" s="219">
        <f t="shared" si="73"/>
        <v>0</v>
      </c>
      <c r="U185" s="219">
        <f t="shared" si="73"/>
        <v>2.0833333333333335</v>
      </c>
      <c r="V185" s="219">
        <f t="shared" si="73"/>
        <v>2.7</v>
      </c>
      <c r="W185" s="219">
        <f t="shared" si="73"/>
        <v>4.291666666666667</v>
      </c>
      <c r="X185" s="219">
        <f t="shared" si="73"/>
        <v>4.6500000000000004</v>
      </c>
      <c r="Y185" s="219">
        <f t="shared" si="73"/>
        <v>1</v>
      </c>
      <c r="Z185" s="219">
        <f t="shared" si="73"/>
        <v>1.45</v>
      </c>
      <c r="AA185" s="219">
        <f t="shared" si="73"/>
        <v>4.95</v>
      </c>
      <c r="AB185" s="219">
        <f t="shared" si="73"/>
        <v>0.66</v>
      </c>
      <c r="AC185" s="219">
        <f t="shared" si="73"/>
        <v>2.83</v>
      </c>
      <c r="AD185" s="219">
        <f t="shared" si="73"/>
        <v>1.1599999999999999</v>
      </c>
      <c r="AE185" s="219">
        <f t="shared" si="73"/>
        <v>1.66</v>
      </c>
      <c r="AF185" s="220">
        <f t="shared" si="68"/>
        <v>27.435000000000002</v>
      </c>
      <c r="AG185" s="287">
        <f t="shared" si="69"/>
        <v>2.2862500000000003</v>
      </c>
      <c r="AI185" s="294"/>
      <c r="AJ185" s="294" t="s">
        <v>135</v>
      </c>
      <c r="AO185" s="218">
        <f t="shared" si="70"/>
        <v>124.83871893055009</v>
      </c>
      <c r="AP185" s="228">
        <f t="shared" si="71"/>
        <v>3424.9502538596421</v>
      </c>
      <c r="AQ185" s="228">
        <f t="shared" si="72"/>
        <v>132.75025385964273</v>
      </c>
    </row>
    <row r="186" spans="1:44">
      <c r="A186" s="200" t="str">
        <f t="shared" si="65"/>
        <v>Lewis County UTCRolloffEXWGHT-RO</v>
      </c>
      <c r="B186" s="200">
        <f t="shared" si="64"/>
        <v>1</v>
      </c>
      <c r="C186" s="223" t="s">
        <v>514</v>
      </c>
      <c r="D186" s="217" t="s">
        <v>515</v>
      </c>
      <c r="E186" s="218">
        <v>0.1</v>
      </c>
      <c r="F186" s="219">
        <v>310.8</v>
      </c>
      <c r="G186" s="219">
        <v>2511.6</v>
      </c>
      <c r="H186" s="219">
        <v>0</v>
      </c>
      <c r="I186" s="219">
        <v>106.4</v>
      </c>
      <c r="J186" s="219">
        <v>0</v>
      </c>
      <c r="K186" s="219">
        <v>1870.4</v>
      </c>
      <c r="L186" s="219">
        <v>252</v>
      </c>
      <c r="M186" s="219">
        <v>439.6</v>
      </c>
      <c r="N186" s="219">
        <v>630</v>
      </c>
      <c r="O186" s="219">
        <v>1220.8000000000002</v>
      </c>
      <c r="P186" s="219">
        <v>0</v>
      </c>
      <c r="Q186" s="219">
        <v>-552.4</v>
      </c>
      <c r="R186" s="219">
        <f t="shared" si="66"/>
        <v>6789.2000000000016</v>
      </c>
      <c r="S186" s="219"/>
      <c r="T186" s="219">
        <f t="shared" si="73"/>
        <v>3108</v>
      </c>
      <c r="U186" s="219">
        <f t="shared" si="73"/>
        <v>25115.999999999996</v>
      </c>
      <c r="V186" s="219">
        <f t="shared" si="73"/>
        <v>0</v>
      </c>
      <c r="W186" s="219">
        <f t="shared" si="73"/>
        <v>1064</v>
      </c>
      <c r="X186" s="219">
        <f t="shared" si="73"/>
        <v>0</v>
      </c>
      <c r="Y186" s="219">
        <f t="shared" si="73"/>
        <v>18704</v>
      </c>
      <c r="Z186" s="219">
        <f t="shared" si="73"/>
        <v>2520</v>
      </c>
      <c r="AA186" s="219">
        <f t="shared" si="73"/>
        <v>4396</v>
      </c>
      <c r="AB186" s="219">
        <f t="shared" si="73"/>
        <v>6300</v>
      </c>
      <c r="AC186" s="219">
        <f t="shared" si="73"/>
        <v>12208.000000000002</v>
      </c>
      <c r="AD186" s="219">
        <f t="shared" si="73"/>
        <v>0</v>
      </c>
      <c r="AE186" s="219">
        <f t="shared" si="73"/>
        <v>-5523.9999999999991</v>
      </c>
      <c r="AF186" s="220">
        <f t="shared" si="68"/>
        <v>67892</v>
      </c>
      <c r="AG186" s="287">
        <f t="shared" si="69"/>
        <v>5657.666666666667</v>
      </c>
      <c r="AI186" s="294" t="s">
        <v>178</v>
      </c>
      <c r="AJ186" s="310">
        <f>+SUM(AM175:AM183)</f>
        <v>95.78157530775691</v>
      </c>
      <c r="AO186" s="218">
        <f t="shared" si="70"/>
        <v>0.10403226577545842</v>
      </c>
      <c r="AP186" s="228">
        <f t="shared" si="71"/>
        <v>7062.9585880274226</v>
      </c>
      <c r="AQ186" s="228">
        <f t="shared" si="72"/>
        <v>273.75858802742096</v>
      </c>
    </row>
    <row r="187" spans="1:44">
      <c r="C187" s="223"/>
      <c r="D187" s="223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199"/>
      <c r="S187" s="19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20"/>
      <c r="AG187" s="287"/>
    </row>
    <row r="188" spans="1:44">
      <c r="B188" s="200">
        <f>COUNTIF(C:C,C188)</f>
        <v>0</v>
      </c>
      <c r="C188" s="223"/>
      <c r="D188" s="224" t="s">
        <v>111</v>
      </c>
      <c r="E188" s="218">
        <v>0</v>
      </c>
      <c r="F188" s="301">
        <f t="shared" ref="F188:R188" si="75">SUM(F159:F187)</f>
        <v>59224.950000000012</v>
      </c>
      <c r="G188" s="301">
        <f t="shared" si="75"/>
        <v>64865.359999999993</v>
      </c>
      <c r="H188" s="301">
        <f t="shared" si="75"/>
        <v>54002.740000000005</v>
      </c>
      <c r="I188" s="301">
        <f t="shared" si="75"/>
        <v>52899.460000000014</v>
      </c>
      <c r="J188" s="301">
        <f t="shared" si="75"/>
        <v>59449.250000000007</v>
      </c>
      <c r="K188" s="301">
        <f t="shared" si="75"/>
        <v>47084.80999999999</v>
      </c>
      <c r="L188" s="301">
        <f t="shared" si="75"/>
        <v>45340.07</v>
      </c>
      <c r="M188" s="301">
        <f t="shared" si="75"/>
        <v>46597.270000000004</v>
      </c>
      <c r="N188" s="301">
        <f t="shared" si="75"/>
        <v>43815.67</v>
      </c>
      <c r="O188" s="301">
        <f t="shared" si="75"/>
        <v>54207.850000000006</v>
      </c>
      <c r="P188" s="301">
        <f t="shared" si="75"/>
        <v>46895.05000000001</v>
      </c>
      <c r="Q188" s="301">
        <f t="shared" si="75"/>
        <v>52464.43</v>
      </c>
      <c r="R188" s="296">
        <f t="shared" si="75"/>
        <v>626846.9099999998</v>
      </c>
      <c r="S188" s="227">
        <f>R188-SUM(F188:Q188)</f>
        <v>0</v>
      </c>
      <c r="T188" s="311">
        <f t="shared" ref="T188:AE188" si="76">+SUM(T175:T177)+(SUM(T178:T180)/30)</f>
        <v>68.622066084353946</v>
      </c>
      <c r="U188" s="311">
        <f t="shared" si="76"/>
        <v>75.57751308685323</v>
      </c>
      <c r="V188" s="311">
        <f t="shared" si="76"/>
        <v>75.805225815725905</v>
      </c>
      <c r="W188" s="311">
        <f t="shared" si="76"/>
        <v>75.724742086607762</v>
      </c>
      <c r="X188" s="311">
        <f t="shared" si="76"/>
        <v>74.793295545727247</v>
      </c>
      <c r="Y188" s="311">
        <f t="shared" si="76"/>
        <v>73.196979283373253</v>
      </c>
      <c r="Z188" s="311">
        <f t="shared" si="76"/>
        <v>71.471904418911862</v>
      </c>
      <c r="AA188" s="311">
        <f t="shared" si="76"/>
        <v>68.483071680432758</v>
      </c>
      <c r="AB188" s="311">
        <f t="shared" si="76"/>
        <v>73.883076484550074</v>
      </c>
      <c r="AC188" s="311">
        <f t="shared" si="76"/>
        <v>75.583136019598527</v>
      </c>
      <c r="AD188" s="311">
        <f t="shared" si="76"/>
        <v>75.669254617981281</v>
      </c>
      <c r="AE188" s="311">
        <f t="shared" si="76"/>
        <v>79.530279282981368</v>
      </c>
      <c r="AF188" s="311">
        <f>+SUM(AF175:AF177)+(SUM(AF178:AF180)/30)</f>
        <v>888.34054440709724</v>
      </c>
      <c r="AG188" s="311">
        <f>+SUM(AG175:AG177)+(SUM(AG178:AG180)/30)</f>
        <v>74.028378700591446</v>
      </c>
      <c r="AP188" s="296">
        <f>SUM(AP159:AP187)</f>
        <v>652123.04341644852</v>
      </c>
      <c r="AQ188" s="296">
        <f>SUM(AQ159:AQ187)</f>
        <v>25276.133416448549</v>
      </c>
      <c r="AR188" s="312">
        <f>+AQ188/R188</f>
        <v>4.032265775458406E-2</v>
      </c>
    </row>
    <row r="189" spans="1:44">
      <c r="C189" s="223"/>
      <c r="D189" s="223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26"/>
      <c r="S189" s="19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20"/>
      <c r="AG189" s="287"/>
    </row>
    <row r="190" spans="1:44">
      <c r="B190" s="200">
        <f>COUNTIF(C:C,C190)</f>
        <v>1</v>
      </c>
      <c r="C190" s="225" t="s">
        <v>112</v>
      </c>
      <c r="D190" s="225" t="s">
        <v>112</v>
      </c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199"/>
      <c r="S190" s="19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20"/>
      <c r="AG190" s="287"/>
    </row>
    <row r="191" spans="1:44">
      <c r="A191" s="200" t="str">
        <f>$A$1&amp;"Rolloff"&amp;C191</f>
        <v>Lewis County UTCRolloffDISP-RO</v>
      </c>
      <c r="B191" s="200">
        <f>COUNTIF(C:C,C191)</f>
        <v>1</v>
      </c>
      <c r="C191" s="293" t="s">
        <v>516</v>
      </c>
      <c r="D191" s="217" t="s">
        <v>517</v>
      </c>
      <c r="E191" s="218">
        <v>90</v>
      </c>
      <c r="F191" s="219">
        <v>57538.8</v>
      </c>
      <c r="G191" s="219">
        <v>57511.799999999996</v>
      </c>
      <c r="H191" s="219">
        <v>46989.899999999994</v>
      </c>
      <c r="I191" s="219">
        <v>48259.8</v>
      </c>
      <c r="J191" s="219">
        <v>63202.5</v>
      </c>
      <c r="K191" s="219">
        <v>38959.199999999997</v>
      </c>
      <c r="L191" s="219">
        <v>45396.9</v>
      </c>
      <c r="M191" s="219">
        <v>53936.100000000006</v>
      </c>
      <c r="N191" s="219">
        <v>49664.700000000004</v>
      </c>
      <c r="O191" s="219">
        <v>54654.3</v>
      </c>
      <c r="P191" s="219">
        <v>48857.8</v>
      </c>
      <c r="Q191" s="219">
        <v>49869.599999999999</v>
      </c>
      <c r="R191" s="219">
        <f>SUM(F191:Q191)</f>
        <v>614841.4</v>
      </c>
      <c r="S191" s="219"/>
      <c r="T191" s="219">
        <f t="shared" ref="T191:AE191" si="77">IFERROR(F191/$E191,0)</f>
        <v>639.32000000000005</v>
      </c>
      <c r="U191" s="219">
        <f t="shared" si="77"/>
        <v>639.02</v>
      </c>
      <c r="V191" s="219">
        <f t="shared" si="77"/>
        <v>522.1099999999999</v>
      </c>
      <c r="W191" s="219">
        <f t="shared" si="77"/>
        <v>536.22</v>
      </c>
      <c r="X191" s="219">
        <f t="shared" si="77"/>
        <v>702.25</v>
      </c>
      <c r="Y191" s="219">
        <f t="shared" si="77"/>
        <v>432.88</v>
      </c>
      <c r="Z191" s="219">
        <f t="shared" si="77"/>
        <v>504.41</v>
      </c>
      <c r="AA191" s="219">
        <f t="shared" si="77"/>
        <v>599.29000000000008</v>
      </c>
      <c r="AB191" s="219">
        <f t="shared" si="77"/>
        <v>551.83000000000004</v>
      </c>
      <c r="AC191" s="219">
        <f t="shared" si="77"/>
        <v>607.27</v>
      </c>
      <c r="AD191" s="219">
        <f t="shared" si="77"/>
        <v>542.86444444444453</v>
      </c>
      <c r="AE191" s="219">
        <f t="shared" si="77"/>
        <v>554.10666666666668</v>
      </c>
      <c r="AF191" s="220">
        <f>SUM(T191:AE191)</f>
        <v>6831.5711111111113</v>
      </c>
      <c r="AG191" s="287">
        <f>AF191/12</f>
        <v>569.29759259259265</v>
      </c>
      <c r="AO191" s="218">
        <f>+E191</f>
        <v>90</v>
      </c>
      <c r="AP191" s="228">
        <f t="shared" ref="AP191" si="78">+AG191*12*AO191</f>
        <v>614841.40000000014</v>
      </c>
      <c r="AQ191" s="228">
        <f t="shared" ref="AQ191" si="79">+AP191-R191</f>
        <v>0</v>
      </c>
    </row>
    <row r="192" spans="1:44"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287"/>
    </row>
    <row r="193" spans="1:46">
      <c r="B193" s="200">
        <f t="shared" ref="B193:B200" si="80">COUNTIF(C:C,C193)</f>
        <v>0</v>
      </c>
      <c r="C193" s="223"/>
      <c r="D193" s="224" t="s">
        <v>113</v>
      </c>
      <c r="F193" s="301">
        <f t="shared" ref="F193:Q193" si="81">SUM(F191:F191)</f>
        <v>57538.8</v>
      </c>
      <c r="G193" s="301">
        <f t="shared" si="81"/>
        <v>57511.799999999996</v>
      </c>
      <c r="H193" s="301">
        <f t="shared" si="81"/>
        <v>46989.899999999994</v>
      </c>
      <c r="I193" s="301">
        <f t="shared" si="81"/>
        <v>48259.8</v>
      </c>
      <c r="J193" s="301">
        <f t="shared" si="81"/>
        <v>63202.5</v>
      </c>
      <c r="K193" s="301">
        <f t="shared" si="81"/>
        <v>38959.199999999997</v>
      </c>
      <c r="L193" s="301">
        <f t="shared" si="81"/>
        <v>45396.9</v>
      </c>
      <c r="M193" s="301">
        <f t="shared" si="81"/>
        <v>53936.100000000006</v>
      </c>
      <c r="N193" s="301">
        <f t="shared" si="81"/>
        <v>49664.700000000004</v>
      </c>
      <c r="O193" s="301">
        <f t="shared" si="81"/>
        <v>54654.3</v>
      </c>
      <c r="P193" s="301">
        <f t="shared" si="81"/>
        <v>48857.8</v>
      </c>
      <c r="Q193" s="301">
        <f t="shared" si="81"/>
        <v>49869.599999999999</v>
      </c>
      <c r="R193" s="296">
        <f>SUM(R191:R192)</f>
        <v>614841.4</v>
      </c>
      <c r="S193" s="227">
        <f>R193-SUM(F193:Q193)</f>
        <v>0</v>
      </c>
      <c r="T193" s="297">
        <f t="shared" ref="T193:AG193" si="82">SUM(T191:T191)</f>
        <v>639.32000000000005</v>
      </c>
      <c r="U193" s="297">
        <f t="shared" si="82"/>
        <v>639.02</v>
      </c>
      <c r="V193" s="297">
        <f t="shared" si="82"/>
        <v>522.1099999999999</v>
      </c>
      <c r="W193" s="297">
        <f t="shared" si="82"/>
        <v>536.22</v>
      </c>
      <c r="X193" s="297">
        <f t="shared" si="82"/>
        <v>702.25</v>
      </c>
      <c r="Y193" s="297">
        <f t="shared" si="82"/>
        <v>432.88</v>
      </c>
      <c r="Z193" s="297">
        <f t="shared" si="82"/>
        <v>504.41</v>
      </c>
      <c r="AA193" s="297">
        <f t="shared" si="82"/>
        <v>599.29000000000008</v>
      </c>
      <c r="AB193" s="297">
        <f t="shared" si="82"/>
        <v>551.83000000000004</v>
      </c>
      <c r="AC193" s="297">
        <f t="shared" si="82"/>
        <v>607.27</v>
      </c>
      <c r="AD193" s="297">
        <f t="shared" si="82"/>
        <v>542.86444444444453</v>
      </c>
      <c r="AE193" s="297">
        <f t="shared" si="82"/>
        <v>554.10666666666668</v>
      </c>
      <c r="AF193" s="302">
        <f t="shared" si="82"/>
        <v>6831.5711111111113</v>
      </c>
      <c r="AG193" s="302">
        <f t="shared" si="82"/>
        <v>569.29759259259265</v>
      </c>
      <c r="AP193" s="296">
        <f>SUM(AP191:AP192)</f>
        <v>614841.40000000014</v>
      </c>
      <c r="AQ193" s="296">
        <f>SUM(AQ191:AQ192)</f>
        <v>0</v>
      </c>
    </row>
    <row r="194" spans="1:46">
      <c r="B194" s="200">
        <f t="shared" si="80"/>
        <v>0</v>
      </c>
      <c r="C194" s="223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219">
        <f t="shared" ref="T194:AE200" si="83">IFERROR(F194/$E194,0)</f>
        <v>0</v>
      </c>
      <c r="U194" s="219">
        <f t="shared" si="83"/>
        <v>0</v>
      </c>
      <c r="V194" s="219">
        <f t="shared" si="83"/>
        <v>0</v>
      </c>
      <c r="W194" s="219">
        <f t="shared" si="83"/>
        <v>0</v>
      </c>
      <c r="X194" s="219">
        <f t="shared" si="83"/>
        <v>0</v>
      </c>
      <c r="Y194" s="219">
        <f t="shared" si="83"/>
        <v>0</v>
      </c>
      <c r="Z194" s="219">
        <f t="shared" si="83"/>
        <v>0</v>
      </c>
      <c r="AA194" s="219">
        <f t="shared" si="83"/>
        <v>0</v>
      </c>
      <c r="AB194" s="219">
        <f t="shared" si="83"/>
        <v>0</v>
      </c>
      <c r="AC194" s="219">
        <f t="shared" si="83"/>
        <v>0</v>
      </c>
      <c r="AD194" s="219">
        <f t="shared" si="83"/>
        <v>0</v>
      </c>
      <c r="AE194" s="219">
        <f t="shared" si="83"/>
        <v>0</v>
      </c>
      <c r="AF194" s="220">
        <f t="shared" ref="AF194:AF200" si="84">SUM(T194:AE194)</f>
        <v>0</v>
      </c>
      <c r="AG194" s="287">
        <f t="shared" ref="AG194:AG200" si="85">AF194/12</f>
        <v>0</v>
      </c>
    </row>
    <row r="195" spans="1:46">
      <c r="B195" s="200">
        <f t="shared" si="80"/>
        <v>0</v>
      </c>
      <c r="C195" s="223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219">
        <f t="shared" si="83"/>
        <v>0</v>
      </c>
      <c r="U195" s="219">
        <f t="shared" si="83"/>
        <v>0</v>
      </c>
      <c r="V195" s="219">
        <f t="shared" si="83"/>
        <v>0</v>
      </c>
      <c r="W195" s="219">
        <f t="shared" si="83"/>
        <v>0</v>
      </c>
      <c r="X195" s="219">
        <f t="shared" si="83"/>
        <v>0</v>
      </c>
      <c r="Y195" s="219">
        <f t="shared" si="83"/>
        <v>0</v>
      </c>
      <c r="Z195" s="219">
        <f t="shared" si="83"/>
        <v>0</v>
      </c>
      <c r="AA195" s="219">
        <f t="shared" si="83"/>
        <v>0</v>
      </c>
      <c r="AB195" s="219">
        <f t="shared" si="83"/>
        <v>0</v>
      </c>
      <c r="AC195" s="219">
        <f t="shared" si="83"/>
        <v>0</v>
      </c>
      <c r="AD195" s="219">
        <f t="shared" si="83"/>
        <v>0</v>
      </c>
      <c r="AE195" s="219">
        <f t="shared" si="83"/>
        <v>0</v>
      </c>
      <c r="AF195" s="220">
        <f t="shared" si="84"/>
        <v>0</v>
      </c>
      <c r="AG195" s="287">
        <f t="shared" si="85"/>
        <v>0</v>
      </c>
    </row>
    <row r="196" spans="1:46">
      <c r="B196" s="200">
        <f t="shared" si="80"/>
        <v>1</v>
      </c>
      <c r="C196" s="308" t="s">
        <v>137</v>
      </c>
      <c r="D196" s="214" t="s">
        <v>137</v>
      </c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199"/>
      <c r="S196" s="199"/>
      <c r="T196" s="219">
        <f t="shared" si="83"/>
        <v>0</v>
      </c>
      <c r="U196" s="219">
        <f t="shared" si="83"/>
        <v>0</v>
      </c>
      <c r="V196" s="219">
        <f t="shared" si="83"/>
        <v>0</v>
      </c>
      <c r="W196" s="219">
        <f t="shared" si="83"/>
        <v>0</v>
      </c>
      <c r="X196" s="219">
        <f t="shared" si="83"/>
        <v>0</v>
      </c>
      <c r="Y196" s="219">
        <f t="shared" si="83"/>
        <v>0</v>
      </c>
      <c r="Z196" s="219">
        <f t="shared" si="83"/>
        <v>0</v>
      </c>
      <c r="AA196" s="219">
        <f t="shared" si="83"/>
        <v>0</v>
      </c>
      <c r="AB196" s="219">
        <f t="shared" si="83"/>
        <v>0</v>
      </c>
      <c r="AC196" s="219">
        <f t="shared" si="83"/>
        <v>0</v>
      </c>
      <c r="AD196" s="219">
        <f t="shared" si="83"/>
        <v>0</v>
      </c>
      <c r="AE196" s="219">
        <f t="shared" si="83"/>
        <v>0</v>
      </c>
      <c r="AF196" s="220">
        <f t="shared" si="84"/>
        <v>0</v>
      </c>
      <c r="AG196" s="287">
        <f t="shared" si="85"/>
        <v>0</v>
      </c>
    </row>
    <row r="197" spans="1:46">
      <c r="A197" s="200" t="str">
        <f>$A$1&amp;"ACCOUNTING ADJUSTMENTS"&amp;C197</f>
        <v>Lewis County UTCACCOUNTING ADJUSTMENTSFINCHG</v>
      </c>
      <c r="B197" s="200">
        <f t="shared" si="80"/>
        <v>1</v>
      </c>
      <c r="C197" s="293" t="s">
        <v>114</v>
      </c>
      <c r="D197" s="217" t="s">
        <v>138</v>
      </c>
      <c r="E197" s="218">
        <v>1</v>
      </c>
      <c r="F197" s="219">
        <v>1126.54</v>
      </c>
      <c r="G197" s="219">
        <v>879.81999999999994</v>
      </c>
      <c r="H197" s="219">
        <v>713.43</v>
      </c>
      <c r="I197" s="219">
        <v>840.29000000000008</v>
      </c>
      <c r="J197" s="219">
        <v>721.78000000000009</v>
      </c>
      <c r="K197" s="219">
        <v>882.41</v>
      </c>
      <c r="L197" s="219">
        <v>842.6099999999999</v>
      </c>
      <c r="M197" s="219">
        <v>787.46</v>
      </c>
      <c r="N197" s="219">
        <v>809.15999999999985</v>
      </c>
      <c r="O197" s="219">
        <v>699.77</v>
      </c>
      <c r="P197" s="219">
        <v>986.44</v>
      </c>
      <c r="Q197" s="219">
        <v>1018.8499999999999</v>
      </c>
      <c r="R197" s="219">
        <f t="shared" ref="R197:R200" si="86">SUM(F197:Q197)</f>
        <v>10308.56</v>
      </c>
      <c r="S197" s="219"/>
      <c r="T197" s="219">
        <f t="shared" si="83"/>
        <v>1126.54</v>
      </c>
      <c r="U197" s="219">
        <f t="shared" si="83"/>
        <v>879.81999999999994</v>
      </c>
      <c r="V197" s="219">
        <f t="shared" si="83"/>
        <v>713.43</v>
      </c>
      <c r="W197" s="219">
        <f t="shared" si="83"/>
        <v>840.29000000000008</v>
      </c>
      <c r="X197" s="219">
        <f t="shared" si="83"/>
        <v>721.78000000000009</v>
      </c>
      <c r="Y197" s="219">
        <f t="shared" si="83"/>
        <v>882.41</v>
      </c>
      <c r="Z197" s="219">
        <f t="shared" si="83"/>
        <v>842.6099999999999</v>
      </c>
      <c r="AA197" s="219">
        <f t="shared" si="83"/>
        <v>787.46</v>
      </c>
      <c r="AB197" s="219">
        <f t="shared" si="83"/>
        <v>809.15999999999985</v>
      </c>
      <c r="AC197" s="219">
        <f t="shared" si="83"/>
        <v>699.77</v>
      </c>
      <c r="AD197" s="219">
        <f t="shared" si="83"/>
        <v>986.44</v>
      </c>
      <c r="AE197" s="219">
        <f t="shared" si="83"/>
        <v>1018.8499999999999</v>
      </c>
      <c r="AF197" s="220">
        <f t="shared" si="84"/>
        <v>10308.56</v>
      </c>
      <c r="AG197" s="287">
        <f t="shared" si="85"/>
        <v>859.04666666666662</v>
      </c>
      <c r="AO197" s="218">
        <f>+E197</f>
        <v>1</v>
      </c>
      <c r="AP197" s="228">
        <f t="shared" ref="AP197:AP200" si="87">+AG197*12*AO197</f>
        <v>10308.56</v>
      </c>
      <c r="AQ197" s="228">
        <f t="shared" ref="AQ197:AQ200" si="88">+AP197-R197</f>
        <v>0</v>
      </c>
    </row>
    <row r="198" spans="1:46">
      <c r="A198" s="200" t="str">
        <f>$A$1&amp;"ACCOUNTING ADJUSTMENTS"&amp;C198</f>
        <v>Lewis County UTCACCOUNTING ADJUSTMENTSC19-ADJFIN</v>
      </c>
      <c r="B198" s="200">
        <f t="shared" si="80"/>
        <v>1</v>
      </c>
      <c r="C198" s="217" t="s">
        <v>139</v>
      </c>
      <c r="D198" s="217" t="s">
        <v>518</v>
      </c>
      <c r="E198" s="218">
        <v>1</v>
      </c>
      <c r="F198" s="219">
        <v>0</v>
      </c>
      <c r="G198" s="219">
        <v>0</v>
      </c>
      <c r="H198" s="219">
        <v>0</v>
      </c>
      <c r="I198" s="219">
        <v>0</v>
      </c>
      <c r="J198" s="219">
        <v>0</v>
      </c>
      <c r="K198" s="219">
        <v>0</v>
      </c>
      <c r="L198" s="219">
        <v>0</v>
      </c>
      <c r="M198" s="219">
        <v>0</v>
      </c>
      <c r="N198" s="219">
        <v>0</v>
      </c>
      <c r="O198" s="219">
        <v>-742.01</v>
      </c>
      <c r="P198" s="219">
        <v>-1006.62</v>
      </c>
      <c r="Q198" s="219">
        <v>-1018.8499999999999</v>
      </c>
      <c r="R198" s="219">
        <f t="shared" si="86"/>
        <v>-2767.48</v>
      </c>
      <c r="S198" s="219"/>
      <c r="T198" s="219">
        <f t="shared" si="83"/>
        <v>0</v>
      </c>
      <c r="U198" s="219">
        <f t="shared" si="83"/>
        <v>0</v>
      </c>
      <c r="V198" s="219">
        <f t="shared" si="83"/>
        <v>0</v>
      </c>
      <c r="W198" s="219">
        <f t="shared" si="83"/>
        <v>0</v>
      </c>
      <c r="X198" s="219">
        <f t="shared" si="83"/>
        <v>0</v>
      </c>
      <c r="Y198" s="219">
        <f t="shared" si="83"/>
        <v>0</v>
      </c>
      <c r="Z198" s="219">
        <f t="shared" si="83"/>
        <v>0</v>
      </c>
      <c r="AA198" s="219">
        <f t="shared" si="83"/>
        <v>0</v>
      </c>
      <c r="AB198" s="219">
        <f t="shared" si="83"/>
        <v>0</v>
      </c>
      <c r="AC198" s="219">
        <f t="shared" si="83"/>
        <v>-742.01</v>
      </c>
      <c r="AD198" s="219">
        <f t="shared" si="83"/>
        <v>-1006.62</v>
      </c>
      <c r="AE198" s="219">
        <f t="shared" si="83"/>
        <v>-1018.8499999999999</v>
      </c>
      <c r="AF198" s="220">
        <f t="shared" si="84"/>
        <v>-2767.48</v>
      </c>
      <c r="AG198" s="287">
        <f t="shared" si="85"/>
        <v>-230.62333333333333</v>
      </c>
      <c r="AO198" s="218">
        <f>+E198</f>
        <v>1</v>
      </c>
      <c r="AP198" s="228">
        <f t="shared" si="87"/>
        <v>-2767.48</v>
      </c>
      <c r="AQ198" s="228">
        <f t="shared" si="88"/>
        <v>0</v>
      </c>
    </row>
    <row r="199" spans="1:46">
      <c r="A199" s="200" t="str">
        <f>$A$1&amp;"ACCOUNTING ADJUSTMENTS"&amp;C199</f>
        <v>Lewis County UTCACCOUNTING ADJUSTMENTSRETCKC</v>
      </c>
      <c r="B199" s="200">
        <f t="shared" si="80"/>
        <v>1</v>
      </c>
      <c r="C199" s="293" t="s">
        <v>519</v>
      </c>
      <c r="D199" s="217" t="s">
        <v>520</v>
      </c>
      <c r="E199" s="218">
        <v>22.3</v>
      </c>
      <c r="F199" s="219">
        <v>22.3</v>
      </c>
      <c r="G199" s="219">
        <v>22.3</v>
      </c>
      <c r="H199" s="219">
        <v>66.900000000000006</v>
      </c>
      <c r="I199" s="219">
        <v>44.6</v>
      </c>
      <c r="J199" s="219">
        <v>44.6</v>
      </c>
      <c r="K199" s="219">
        <v>44.6</v>
      </c>
      <c r="L199" s="219">
        <v>89.2</v>
      </c>
      <c r="M199" s="219">
        <v>111.5</v>
      </c>
      <c r="N199" s="219">
        <v>22.3</v>
      </c>
      <c r="O199" s="219">
        <v>0</v>
      </c>
      <c r="P199" s="219">
        <v>0</v>
      </c>
      <c r="Q199" s="219">
        <v>0</v>
      </c>
      <c r="R199" s="219">
        <f t="shared" si="86"/>
        <v>468.3</v>
      </c>
      <c r="S199" s="219"/>
      <c r="T199" s="219">
        <f t="shared" si="83"/>
        <v>1</v>
      </c>
      <c r="U199" s="219">
        <f t="shared" si="83"/>
        <v>1</v>
      </c>
      <c r="V199" s="219">
        <f t="shared" si="83"/>
        <v>3</v>
      </c>
      <c r="W199" s="219">
        <f t="shared" si="83"/>
        <v>2</v>
      </c>
      <c r="X199" s="219">
        <f t="shared" si="83"/>
        <v>2</v>
      </c>
      <c r="Y199" s="219">
        <f t="shared" si="83"/>
        <v>2</v>
      </c>
      <c r="Z199" s="219">
        <f t="shared" si="83"/>
        <v>4</v>
      </c>
      <c r="AA199" s="219">
        <f t="shared" si="83"/>
        <v>5</v>
      </c>
      <c r="AB199" s="219">
        <f t="shared" si="83"/>
        <v>1</v>
      </c>
      <c r="AC199" s="219">
        <f t="shared" si="83"/>
        <v>0</v>
      </c>
      <c r="AD199" s="219">
        <f t="shared" si="83"/>
        <v>0</v>
      </c>
      <c r="AE199" s="219">
        <f t="shared" si="83"/>
        <v>0</v>
      </c>
      <c r="AF199" s="220">
        <f t="shared" si="84"/>
        <v>21</v>
      </c>
      <c r="AG199" s="287">
        <f t="shared" si="85"/>
        <v>1.75</v>
      </c>
      <c r="AO199" s="218">
        <f>+E199*(1+$AQ$1)</f>
        <v>23.199195267927227</v>
      </c>
      <c r="AP199" s="228">
        <f t="shared" si="87"/>
        <v>487.18310062647174</v>
      </c>
      <c r="AQ199" s="228">
        <f t="shared" si="88"/>
        <v>18.88310062647173</v>
      </c>
    </row>
    <row r="200" spans="1:46">
      <c r="A200" s="200" t="str">
        <f>$A$1&amp;"ACCOUNTING ADJUSTMENTS"&amp;C200</f>
        <v>Lewis County UTCACCOUNTING ADJUSTMENTSCOLLFEE</v>
      </c>
      <c r="B200" s="200">
        <f t="shared" si="80"/>
        <v>1</v>
      </c>
      <c r="C200" s="293" t="s">
        <v>521</v>
      </c>
      <c r="D200" s="300" t="s">
        <v>140</v>
      </c>
      <c r="E200" s="218">
        <v>1</v>
      </c>
      <c r="F200" s="219">
        <v>-79.28</v>
      </c>
      <c r="G200" s="219">
        <v>-18.809999999999999</v>
      </c>
      <c r="H200" s="219">
        <v>0</v>
      </c>
      <c r="I200" s="219">
        <v>-28.09</v>
      </c>
      <c r="J200" s="219">
        <v>-24.87</v>
      </c>
      <c r="K200" s="219">
        <v>0</v>
      </c>
      <c r="L200" s="219">
        <v>0</v>
      </c>
      <c r="M200" s="219">
        <v>-219</v>
      </c>
      <c r="N200" s="219">
        <v>-77.86</v>
      </c>
      <c r="O200" s="219">
        <v>0</v>
      </c>
      <c r="P200" s="219">
        <v>-62.63</v>
      </c>
      <c r="Q200" s="219">
        <v>-106.32999999999998</v>
      </c>
      <c r="R200" s="219">
        <f t="shared" si="86"/>
        <v>-616.87</v>
      </c>
      <c r="S200" s="219"/>
      <c r="T200" s="219">
        <f t="shared" si="83"/>
        <v>-79.28</v>
      </c>
      <c r="U200" s="219">
        <f t="shared" si="83"/>
        <v>-18.809999999999999</v>
      </c>
      <c r="V200" s="219">
        <f t="shared" si="83"/>
        <v>0</v>
      </c>
      <c r="W200" s="219">
        <f t="shared" si="83"/>
        <v>-28.09</v>
      </c>
      <c r="X200" s="219">
        <f t="shared" si="83"/>
        <v>-24.87</v>
      </c>
      <c r="Y200" s="219">
        <f t="shared" si="83"/>
        <v>0</v>
      </c>
      <c r="Z200" s="219">
        <f t="shared" si="83"/>
        <v>0</v>
      </c>
      <c r="AA200" s="219">
        <f t="shared" si="83"/>
        <v>-219</v>
      </c>
      <c r="AB200" s="219">
        <f t="shared" si="83"/>
        <v>-77.86</v>
      </c>
      <c r="AC200" s="219">
        <f t="shared" si="83"/>
        <v>0</v>
      </c>
      <c r="AD200" s="219">
        <f t="shared" si="83"/>
        <v>-62.63</v>
      </c>
      <c r="AE200" s="219">
        <f t="shared" si="83"/>
        <v>-106.32999999999998</v>
      </c>
      <c r="AF200" s="220">
        <f t="shared" si="84"/>
        <v>-616.87</v>
      </c>
      <c r="AG200" s="287">
        <f t="shared" si="85"/>
        <v>-51.405833333333334</v>
      </c>
      <c r="AO200" s="218">
        <f>+E200</f>
        <v>1</v>
      </c>
      <c r="AP200" s="228">
        <f t="shared" si="87"/>
        <v>-616.87</v>
      </c>
      <c r="AQ200" s="228">
        <f t="shared" si="88"/>
        <v>0</v>
      </c>
    </row>
    <row r="201" spans="1:46">
      <c r="C201" s="223"/>
      <c r="D201" s="223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199"/>
      <c r="S201" s="19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20"/>
      <c r="AG201" s="287"/>
    </row>
    <row r="202" spans="1:46">
      <c r="B202" s="200">
        <f>COUNTIF(C:C,C202)</f>
        <v>0</v>
      </c>
      <c r="C202" s="223"/>
      <c r="D202" s="229" t="s">
        <v>115</v>
      </c>
      <c r="E202" s="313"/>
      <c r="F202" s="301">
        <f t="shared" ref="F202:R202" si="89">SUM(F197:F201)</f>
        <v>1069.56</v>
      </c>
      <c r="G202" s="301">
        <f t="shared" si="89"/>
        <v>883.31</v>
      </c>
      <c r="H202" s="301">
        <f t="shared" si="89"/>
        <v>780.32999999999993</v>
      </c>
      <c r="I202" s="301">
        <f t="shared" si="89"/>
        <v>856.80000000000007</v>
      </c>
      <c r="J202" s="301">
        <f t="shared" si="89"/>
        <v>741.5100000000001</v>
      </c>
      <c r="K202" s="301">
        <f t="shared" si="89"/>
        <v>927.01</v>
      </c>
      <c r="L202" s="301">
        <f t="shared" si="89"/>
        <v>931.81</v>
      </c>
      <c r="M202" s="301">
        <f t="shared" si="89"/>
        <v>679.96</v>
      </c>
      <c r="N202" s="301">
        <f t="shared" si="89"/>
        <v>753.5999999999998</v>
      </c>
      <c r="O202" s="301">
        <f t="shared" si="89"/>
        <v>-42.240000000000009</v>
      </c>
      <c r="P202" s="301">
        <f t="shared" si="89"/>
        <v>-82.809999999999945</v>
      </c>
      <c r="Q202" s="301">
        <f t="shared" si="89"/>
        <v>-106.32999999999998</v>
      </c>
      <c r="R202" s="296">
        <f t="shared" si="89"/>
        <v>7392.51</v>
      </c>
      <c r="S202" s="226"/>
      <c r="T202" s="314">
        <f t="shared" ref="T202:AG202" si="90">SUM(T197:T201)</f>
        <v>1048.26</v>
      </c>
      <c r="U202" s="314">
        <f t="shared" si="90"/>
        <v>862.01</v>
      </c>
      <c r="V202" s="314">
        <f t="shared" si="90"/>
        <v>716.43</v>
      </c>
      <c r="W202" s="314">
        <f t="shared" si="90"/>
        <v>814.2</v>
      </c>
      <c r="X202" s="314">
        <f t="shared" si="90"/>
        <v>698.91000000000008</v>
      </c>
      <c r="Y202" s="314">
        <f t="shared" si="90"/>
        <v>884.41</v>
      </c>
      <c r="Z202" s="314">
        <f t="shared" si="90"/>
        <v>846.6099999999999</v>
      </c>
      <c r="AA202" s="314">
        <f t="shared" si="90"/>
        <v>573.46</v>
      </c>
      <c r="AB202" s="314">
        <f t="shared" si="90"/>
        <v>732.29999999999984</v>
      </c>
      <c r="AC202" s="314">
        <f t="shared" si="90"/>
        <v>-42.240000000000009</v>
      </c>
      <c r="AD202" s="314">
        <f t="shared" si="90"/>
        <v>-82.809999999999945</v>
      </c>
      <c r="AE202" s="314">
        <f t="shared" si="90"/>
        <v>-106.32999999999998</v>
      </c>
      <c r="AF202" s="314">
        <f t="shared" si="90"/>
        <v>6945.21</v>
      </c>
      <c r="AG202" s="314">
        <f t="shared" si="90"/>
        <v>578.76749999999993</v>
      </c>
      <c r="AP202" s="296">
        <f>SUM(AP197:AP201)</f>
        <v>7411.393100626472</v>
      </c>
      <c r="AQ202" s="296">
        <f>SUM(AQ197:AQ201)</f>
        <v>18.88310062647173</v>
      </c>
    </row>
    <row r="203" spans="1:46">
      <c r="B203" s="200">
        <f>COUNTIF(C:C,C203)</f>
        <v>0</v>
      </c>
      <c r="C203" s="223"/>
      <c r="I203" s="199"/>
      <c r="J203" s="199"/>
      <c r="K203" s="199"/>
      <c r="L203" s="199"/>
      <c r="M203" s="199"/>
      <c r="N203" s="199"/>
      <c r="O203" s="199"/>
      <c r="P203" s="199"/>
      <c r="Q203" s="199"/>
      <c r="R203" s="226"/>
      <c r="S203" s="226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</row>
    <row r="204" spans="1:46" s="198" customFormat="1" ht="12.75" thickBot="1">
      <c r="A204" s="215"/>
      <c r="B204" s="200">
        <f>COUNTIF(C:C,C204)</f>
        <v>0</v>
      </c>
      <c r="D204" s="229" t="s">
        <v>141</v>
      </c>
      <c r="E204" s="313"/>
      <c r="F204" s="316">
        <f t="shared" ref="F204:R204" si="91">F202+F193+F188+F153+F147+F54+F46+F40</f>
        <v>565387.60000000009</v>
      </c>
      <c r="G204" s="316">
        <f t="shared" si="91"/>
        <v>579156.78499999992</v>
      </c>
      <c r="H204" s="316">
        <f t="shared" si="91"/>
        <v>562677.43000000017</v>
      </c>
      <c r="I204" s="316">
        <f t="shared" si="91"/>
        <v>558446.84499999997</v>
      </c>
      <c r="J204" s="316">
        <f t="shared" si="91"/>
        <v>567194.77</v>
      </c>
      <c r="K204" s="316">
        <f t="shared" si="91"/>
        <v>524115.28500000003</v>
      </c>
      <c r="L204" s="316">
        <f t="shared" si="91"/>
        <v>526795.26</v>
      </c>
      <c r="M204" s="316">
        <f t="shared" si="91"/>
        <v>543966.51000000013</v>
      </c>
      <c r="N204" s="316">
        <f t="shared" si="91"/>
        <v>533570.73499999987</v>
      </c>
      <c r="O204" s="316">
        <f t="shared" si="91"/>
        <v>541213.38</v>
      </c>
      <c r="P204" s="316">
        <f t="shared" si="91"/>
        <v>529258.97500000009</v>
      </c>
      <c r="Q204" s="316">
        <f t="shared" si="91"/>
        <v>536160.69500000007</v>
      </c>
      <c r="R204" s="230">
        <f t="shared" si="91"/>
        <v>6567944.2699999996</v>
      </c>
      <c r="S204" s="317"/>
      <c r="T204" s="318">
        <f t="shared" ref="T204:AG204" si="92">T202+T193+T188+T153+T147+T54+T46+T40</f>
        <v>25670.092175173984</v>
      </c>
      <c r="U204" s="318">
        <f t="shared" si="92"/>
        <v>25694.583555027326</v>
      </c>
      <c r="V204" s="318">
        <f t="shared" si="92"/>
        <v>25528.043538699134</v>
      </c>
      <c r="W204" s="318">
        <f t="shared" si="92"/>
        <v>25717.063914490707</v>
      </c>
      <c r="X204" s="318">
        <f t="shared" si="92"/>
        <v>25696.315947876792</v>
      </c>
      <c r="Y204" s="318">
        <f t="shared" si="92"/>
        <v>25501.013760260968</v>
      </c>
      <c r="Z204" s="318">
        <f t="shared" si="92"/>
        <v>25438.676796223612</v>
      </c>
      <c r="AA204" s="318">
        <f t="shared" si="92"/>
        <v>25292.72114649964</v>
      </c>
      <c r="AB204" s="318">
        <f t="shared" si="92"/>
        <v>25331.165822732921</v>
      </c>
      <c r="AC204" s="318">
        <f t="shared" si="92"/>
        <v>24484.791878723641</v>
      </c>
      <c r="AD204" s="318">
        <f t="shared" si="92"/>
        <v>24675.212919277837</v>
      </c>
      <c r="AE204" s="318">
        <f t="shared" si="92"/>
        <v>24541.089635254459</v>
      </c>
      <c r="AF204" s="318">
        <f t="shared" si="92"/>
        <v>303570.77109024103</v>
      </c>
      <c r="AG204" s="318">
        <f t="shared" si="92"/>
        <v>25297.564257520087</v>
      </c>
      <c r="AP204" s="230">
        <f>AP202+AP193+AP188+AP153+AP147+AP54+AP46+AP40</f>
        <v>7147705.1240352849</v>
      </c>
      <c r="AQ204" s="230">
        <f>AQ202+AQ193+AQ188+AQ153+AQ147+AQ54+AQ46+AQ40</f>
        <v>579760.85403528379</v>
      </c>
      <c r="AT204" s="319"/>
    </row>
    <row r="205" spans="1:46" s="198" customFormat="1" ht="12.75" thickTop="1">
      <c r="A205" s="215"/>
      <c r="B205" s="215"/>
      <c r="E205" s="320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317"/>
      <c r="AG205" s="232"/>
      <c r="AQ205" s="321" t="s">
        <v>142</v>
      </c>
      <c r="AR205" s="321" t="s">
        <v>522</v>
      </c>
      <c r="AS205" s="321" t="s">
        <v>180</v>
      </c>
    </row>
    <row r="206" spans="1:46" s="198" customFormat="1">
      <c r="A206" s="215"/>
      <c r="B206" s="215"/>
      <c r="E206" s="320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  <c r="Y206" s="313"/>
      <c r="Z206" s="313"/>
      <c r="AA206" s="313"/>
      <c r="AB206" s="313"/>
      <c r="AC206" s="313"/>
      <c r="AD206" s="313"/>
      <c r="AE206" s="313"/>
      <c r="AF206" s="313"/>
      <c r="AG206" s="313"/>
      <c r="AO206" s="198" t="s">
        <v>128</v>
      </c>
      <c r="AP206" s="317"/>
      <c r="AQ206" s="317">
        <f>+AQ40+AQ147+AQ188+AQ193+AQ202</f>
        <v>209551.3055657731</v>
      </c>
      <c r="AR206" s="317">
        <v>205117.14247235004</v>
      </c>
      <c r="AS206" s="317">
        <f>AR206-AQ206</f>
        <v>-4434.1630934230634</v>
      </c>
    </row>
    <row r="207" spans="1:46">
      <c r="C207" s="223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287"/>
      <c r="AO207" s="198" t="s">
        <v>129</v>
      </c>
      <c r="AP207" s="198"/>
      <c r="AQ207" s="317">
        <f>+AQ46+AQ153</f>
        <v>327079.25905132218</v>
      </c>
      <c r="AR207" s="317">
        <v>326904.20427423145</v>
      </c>
      <c r="AS207" s="317">
        <f>AR207-AQ207</f>
        <v>-175.05477709072875</v>
      </c>
      <c r="AT207" s="226"/>
    </row>
    <row r="208" spans="1:46"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  <c r="AD208" s="287"/>
      <c r="AE208" s="287"/>
      <c r="AF208" s="287"/>
      <c r="AG208" s="287"/>
      <c r="AO208" s="198" t="s">
        <v>213</v>
      </c>
      <c r="AP208" s="198"/>
      <c r="AQ208" s="322">
        <f>+AQ54</f>
        <v>43130.289418188549</v>
      </c>
      <c r="AR208" s="322">
        <v>43220.892289498785</v>
      </c>
      <c r="AS208" s="322">
        <f>AR208-AQ208</f>
        <v>90.602871310235059</v>
      </c>
    </row>
    <row r="209" spans="1:45" s="198" customFormat="1">
      <c r="A209" s="215"/>
      <c r="B209" s="215"/>
      <c r="D209" s="199"/>
      <c r="E209" s="313"/>
      <c r="AG209" s="232"/>
      <c r="AQ209" s="317">
        <f>SUM(AQ206:AQ208)</f>
        <v>579760.85403528379</v>
      </c>
      <c r="AR209" s="317">
        <f>SUM(AR206:AR208)</f>
        <v>575242.23903608031</v>
      </c>
      <c r="AS209" s="317">
        <f>SUM(AS206:AS208)</f>
        <v>-4518.6149992035571</v>
      </c>
    </row>
    <row r="210" spans="1:45" s="198" customFormat="1">
      <c r="A210" s="215"/>
      <c r="B210" s="215"/>
      <c r="D210" s="199"/>
      <c r="E210" s="320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AG210" s="232"/>
    </row>
    <row r="211" spans="1:45" s="198" customFormat="1">
      <c r="A211" s="215"/>
      <c r="B211" s="215"/>
      <c r="E211" s="320"/>
      <c r="F211" s="229"/>
      <c r="G211" s="229"/>
      <c r="H211" s="229"/>
      <c r="I211" s="229"/>
      <c r="J211" s="229"/>
      <c r="K211" s="229"/>
      <c r="L211" s="323"/>
      <c r="M211" s="229"/>
      <c r="N211" s="229"/>
      <c r="O211" s="229"/>
      <c r="P211" s="229"/>
      <c r="Q211" s="229"/>
      <c r="AG211" s="232"/>
      <c r="AL211" s="198" t="s">
        <v>14</v>
      </c>
      <c r="AM211" s="231">
        <f>+SUM(AM8:AM210)</f>
        <v>24242.472763153</v>
      </c>
      <c r="AN211" s="231"/>
      <c r="AR211" s="317">
        <v>560701.43168118317</v>
      </c>
    </row>
    <row r="212" spans="1:45">
      <c r="I212" s="199"/>
      <c r="J212" s="199"/>
      <c r="K212" s="199"/>
      <c r="L212" s="227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287"/>
      <c r="AL212" s="199" t="s">
        <v>523</v>
      </c>
      <c r="AM212" s="220">
        <f>+AJ145+AJ38</f>
        <v>1</v>
      </c>
      <c r="AN212" s="220"/>
    </row>
    <row r="213" spans="1:45"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287"/>
      <c r="AL213" s="199" t="s">
        <v>524</v>
      </c>
      <c r="AM213" s="220">
        <f>+AM211-AM212</f>
        <v>24241.472763153</v>
      </c>
      <c r="AN213" s="220"/>
    </row>
    <row r="214" spans="1:45"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287"/>
    </row>
    <row r="215" spans="1:45">
      <c r="E215" s="320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287"/>
    </row>
    <row r="216" spans="1:45"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287"/>
    </row>
    <row r="217" spans="1:45"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287"/>
    </row>
    <row r="218" spans="1:45"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287"/>
    </row>
    <row r="219" spans="1:45"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287"/>
    </row>
    <row r="220" spans="1:45"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287"/>
    </row>
    <row r="221" spans="1:45"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287"/>
    </row>
    <row r="222" spans="1:45"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287"/>
    </row>
    <row r="223" spans="1:45"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287"/>
    </row>
    <row r="224" spans="1:45"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287"/>
    </row>
    <row r="225" spans="1:33"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287"/>
    </row>
    <row r="226" spans="1:33"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287"/>
    </row>
    <row r="227" spans="1:33"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287"/>
    </row>
    <row r="228" spans="1:33"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287"/>
    </row>
    <row r="229" spans="1:33"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287"/>
    </row>
    <row r="230" spans="1:33"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287"/>
    </row>
    <row r="231" spans="1:33"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287"/>
    </row>
    <row r="232" spans="1:33"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287"/>
    </row>
    <row r="233" spans="1:33"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287"/>
    </row>
    <row r="234" spans="1:33">
      <c r="A234" s="199"/>
      <c r="B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219"/>
    </row>
    <row r="235" spans="1:33">
      <c r="A235" s="199"/>
      <c r="B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219"/>
    </row>
    <row r="236" spans="1:33"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287"/>
    </row>
    <row r="237" spans="1:33">
      <c r="A237" s="199"/>
      <c r="B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219"/>
    </row>
    <row r="238" spans="1:33">
      <c r="A238" s="199"/>
      <c r="B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219"/>
    </row>
    <row r="239" spans="1:33">
      <c r="A239" s="199"/>
      <c r="B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219"/>
    </row>
    <row r="241" spans="1:33">
      <c r="A241" s="199"/>
      <c r="B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219"/>
    </row>
    <row r="242" spans="1:33">
      <c r="A242" s="199"/>
      <c r="B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219"/>
    </row>
    <row r="243" spans="1:33">
      <c r="A243" s="199"/>
      <c r="B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219"/>
    </row>
    <row r="244" spans="1:33">
      <c r="A244" s="199"/>
      <c r="B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219"/>
    </row>
    <row r="245" spans="1:33">
      <c r="A245" s="199"/>
      <c r="B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219"/>
    </row>
  </sheetData>
  <mergeCells count="1">
    <mergeCell ref="AI4:AM4"/>
  </mergeCells>
  <conditionalFormatting sqref="C94">
    <cfRule type="duplicateValues" dxfId="5" priority="2"/>
  </conditionalFormatting>
  <conditionalFormatting sqref="C106:C108">
    <cfRule type="duplicateValues" dxfId="4" priority="1"/>
  </conditionalFormatting>
  <conditionalFormatting sqref="C193:C202 C95:C105 C109:C191 C10:C93">
    <cfRule type="duplicateValues" dxfId="3" priority="3"/>
  </conditionalFormatting>
  <pageMargins left="0.7" right="0.7" top="0.75" bottom="0.75" header="0.3" footer="0.3"/>
  <pageSetup scale="50" fitToHeight="4" orientation="landscape" r:id="rId1"/>
  <headerFooter alignWithMargins="0">
    <oddHeader>&amp;R&amp;F
&amp;A</oddHeader>
    <oddFooter>&amp;L&amp;D&amp;C&amp;P&amp;R&amp;T</oddFooter>
  </headerFooter>
  <rowBreaks count="1" manualBreakCount="1">
    <brk id="4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7" tint="0.59999389629810485"/>
    <pageSetUpPr fitToPage="1"/>
  </sheetPr>
  <dimension ref="A1:J359"/>
  <sheetViews>
    <sheetView showGridLines="0" view="pageBreakPreview" zoomScale="85" zoomScaleNormal="90" zoomScaleSheetLayoutView="85" workbookViewId="0">
      <pane ySplit="14" topLeftCell="A132" activePane="bottomLeft" state="frozen"/>
      <selection activeCell="A42" sqref="A42"/>
      <selection pane="bottomLeft" activeCell="A42" sqref="A42"/>
    </sheetView>
  </sheetViews>
  <sheetFormatPr defaultColWidth="9.140625" defaultRowHeight="12.75" outlineLevelRow="1"/>
  <cols>
    <col min="1" max="1" width="9.140625" style="363"/>
    <col min="2" max="2" width="9.140625" style="439" customWidth="1"/>
    <col min="3" max="3" width="39.42578125" style="328" customWidth="1"/>
    <col min="4" max="4" width="10.28515625" style="328" customWidth="1"/>
    <col min="5" max="5" width="15.42578125" style="329" customWidth="1"/>
    <col min="6" max="8" width="15.42578125" style="330" customWidth="1"/>
    <col min="9" max="9" width="10.5703125" style="330" bestFit="1" customWidth="1"/>
    <col min="10" max="16384" width="9.140625" style="330"/>
  </cols>
  <sheetData>
    <row r="1" spans="1:9">
      <c r="A1" s="325" t="s">
        <v>529</v>
      </c>
      <c r="B1" s="326"/>
      <c r="C1" s="327"/>
    </row>
    <row r="2" spans="1:9">
      <c r="A2" s="325" t="s">
        <v>525</v>
      </c>
      <c r="B2" s="326"/>
      <c r="C2" s="327"/>
    </row>
    <row r="3" spans="1:9">
      <c r="A3" s="325" t="s">
        <v>530</v>
      </c>
      <c r="B3" s="326"/>
    </row>
    <row r="4" spans="1:9">
      <c r="A4" s="325" t="s">
        <v>531</v>
      </c>
      <c r="B4" s="326"/>
      <c r="C4" s="325"/>
      <c r="D4" s="330"/>
    </row>
    <row r="5" spans="1:9">
      <c r="A5" s="325"/>
      <c r="B5" s="326"/>
      <c r="C5" s="440" t="s">
        <v>804</v>
      </c>
      <c r="D5" s="331"/>
      <c r="E5" s="332"/>
      <c r="F5" s="333"/>
      <c r="G5" s="333"/>
      <c r="H5" s="333"/>
    </row>
    <row r="6" spans="1:9" outlineLevel="1">
      <c r="A6" s="334"/>
      <c r="B6" s="335"/>
      <c r="C6" s="336"/>
      <c r="D6" s="337"/>
      <c r="E6" s="338"/>
      <c r="F6" s="337"/>
      <c r="G6" s="337"/>
      <c r="H6" s="337"/>
    </row>
    <row r="7" spans="1:9" outlineLevel="1">
      <c r="A7" s="334"/>
      <c r="B7" s="335"/>
      <c r="C7" s="336"/>
      <c r="D7" s="336"/>
      <c r="E7" s="338"/>
      <c r="F7" s="337"/>
      <c r="G7" s="337"/>
      <c r="H7" s="337"/>
    </row>
    <row r="8" spans="1:9" outlineLevel="1">
      <c r="A8" s="334"/>
      <c r="B8" s="335"/>
      <c r="C8" s="339"/>
      <c r="D8" s="340" t="s">
        <v>532</v>
      </c>
      <c r="E8" s="341"/>
      <c r="F8" s="342"/>
      <c r="G8" s="342"/>
      <c r="H8" s="343"/>
    </row>
    <row r="9" spans="1:9" outlineLevel="1">
      <c r="A9" s="334"/>
      <c r="B9" s="335"/>
      <c r="C9" s="344"/>
      <c r="D9" s="345"/>
      <c r="E9" s="346"/>
      <c r="F9" s="347" t="s">
        <v>533</v>
      </c>
      <c r="G9" s="347" t="s">
        <v>534</v>
      </c>
      <c r="H9" s="347" t="s">
        <v>535</v>
      </c>
    </row>
    <row r="10" spans="1:9" outlineLevel="1">
      <c r="A10" s="334"/>
      <c r="B10" s="335"/>
      <c r="C10" s="348" t="s">
        <v>536</v>
      </c>
      <c r="D10" s="349" t="s">
        <v>537</v>
      </c>
      <c r="E10" s="350"/>
      <c r="F10" s="351">
        <v>0.79700945739454576</v>
      </c>
      <c r="G10" s="351">
        <v>0.18531183222028463</v>
      </c>
      <c r="H10" s="351">
        <v>1.7678710385169587E-2</v>
      </c>
      <c r="I10" s="352">
        <f>+SUM(F10:H10)</f>
        <v>0.99999999999999989</v>
      </c>
    </row>
    <row r="11" spans="1:9" outlineLevel="1">
      <c r="A11" s="334"/>
      <c r="B11" s="335"/>
      <c r="C11" s="353" t="s">
        <v>99</v>
      </c>
      <c r="D11" s="354" t="s">
        <v>538</v>
      </c>
      <c r="E11" s="355"/>
      <c r="F11" s="356">
        <f>F27</f>
        <v>0.88578457309511405</v>
      </c>
      <c r="G11" s="356">
        <f>G27</f>
        <v>0.10885541203320985</v>
      </c>
      <c r="H11" s="356">
        <f>H27</f>
        <v>5.3600148716759759E-3</v>
      </c>
      <c r="I11" s="352">
        <f>+SUM(F11:H11)</f>
        <v>0.99999999999999978</v>
      </c>
    </row>
    <row r="12" spans="1:9" outlineLevel="1">
      <c r="A12" s="334"/>
      <c r="B12" s="335"/>
      <c r="C12" s="348" t="s">
        <v>123</v>
      </c>
      <c r="D12" s="349" t="s">
        <v>539</v>
      </c>
      <c r="E12" s="350"/>
      <c r="F12" s="351">
        <v>0.54107813754993084</v>
      </c>
      <c r="G12" s="351">
        <v>0.44416340501297519</v>
      </c>
      <c r="H12" s="351">
        <v>1.475845743709389E-2</v>
      </c>
      <c r="I12" s="352">
        <f>+SUM(F12:H12)</f>
        <v>0.99999999999999989</v>
      </c>
    </row>
    <row r="13" spans="1:9">
      <c r="A13" s="334"/>
      <c r="B13" s="335"/>
      <c r="C13" s="357" t="s">
        <v>540</v>
      </c>
      <c r="D13" s="328" t="s">
        <v>541</v>
      </c>
    </row>
    <row r="14" spans="1:9" ht="26.25" customHeight="1">
      <c r="A14" s="358" t="s">
        <v>542</v>
      </c>
      <c r="B14" s="359" t="s">
        <v>543</v>
      </c>
      <c r="C14" s="358" t="s">
        <v>526</v>
      </c>
      <c r="D14" s="358" t="s">
        <v>544</v>
      </c>
      <c r="E14" s="503" t="s">
        <v>545</v>
      </c>
      <c r="F14" s="347" t="s">
        <v>533</v>
      </c>
      <c r="G14" s="347" t="s">
        <v>534</v>
      </c>
      <c r="H14" s="347" t="s">
        <v>535</v>
      </c>
    </row>
    <row r="15" spans="1:9">
      <c r="A15" s="360"/>
      <c r="B15" s="361" t="s">
        <v>99</v>
      </c>
      <c r="C15" s="360"/>
      <c r="D15" s="360"/>
      <c r="E15" s="362"/>
      <c r="F15" s="360"/>
      <c r="G15" s="360"/>
      <c r="H15" s="360"/>
    </row>
    <row r="16" spans="1:9">
      <c r="B16" s="364">
        <v>31000</v>
      </c>
      <c r="C16" s="365" t="s">
        <v>143</v>
      </c>
      <c r="D16" s="365" t="s">
        <v>541</v>
      </c>
      <c r="E16" s="366">
        <v>2411606.33</v>
      </c>
      <c r="F16" s="367">
        <f>E16</f>
        <v>2411606.33</v>
      </c>
      <c r="G16" s="368"/>
      <c r="H16" s="368"/>
      <c r="I16" s="369">
        <f>E16-F16-G16-H16</f>
        <v>0</v>
      </c>
    </row>
    <row r="17" spans="1:9">
      <c r="B17" s="364">
        <v>31100</v>
      </c>
      <c r="C17" s="365" t="s">
        <v>274</v>
      </c>
      <c r="D17" s="365" t="s">
        <v>541</v>
      </c>
      <c r="E17" s="366">
        <v>713696.28500000003</v>
      </c>
      <c r="F17" s="368"/>
      <c r="G17" s="367">
        <f>+E17</f>
        <v>713696.28500000003</v>
      </c>
      <c r="H17" s="368"/>
      <c r="I17" s="369">
        <f t="shared" ref="I17:I47" si="0">E17-F17-G17-H17</f>
        <v>0</v>
      </c>
    </row>
    <row r="18" spans="1:9">
      <c r="B18" s="364">
        <v>31110</v>
      </c>
      <c r="C18" s="365" t="s">
        <v>546</v>
      </c>
      <c r="D18" s="365" t="s">
        <v>541</v>
      </c>
      <c r="E18" s="366">
        <v>35164.654999999999</v>
      </c>
      <c r="F18" s="368"/>
      <c r="G18" s="368"/>
      <c r="H18" s="367">
        <f>+E18</f>
        <v>35164.654999999999</v>
      </c>
      <c r="I18" s="369">
        <f t="shared" si="0"/>
        <v>0</v>
      </c>
    </row>
    <row r="19" spans="1:9">
      <c r="B19" s="364">
        <v>32000</v>
      </c>
      <c r="C19" s="365" t="s">
        <v>12</v>
      </c>
      <c r="D19" s="365" t="s">
        <v>541</v>
      </c>
      <c r="E19" s="366">
        <v>2157940.899999999</v>
      </c>
      <c r="F19" s="367">
        <f>E19</f>
        <v>2157940.899999999</v>
      </c>
      <c r="G19" s="368"/>
      <c r="H19" s="368"/>
      <c r="I19" s="369">
        <f t="shared" si="0"/>
        <v>0</v>
      </c>
    </row>
    <row r="20" spans="1:9">
      <c r="B20" s="364"/>
      <c r="C20" s="365" t="s">
        <v>547</v>
      </c>
      <c r="D20" s="365" t="s">
        <v>541</v>
      </c>
      <c r="E20" s="366">
        <v>455.28</v>
      </c>
      <c r="F20" s="367"/>
      <c r="G20" s="367">
        <f>+E20</f>
        <v>455.28</v>
      </c>
      <c r="H20" s="368"/>
      <c r="I20" s="369"/>
    </row>
    <row r="21" spans="1:9">
      <c r="B21" s="370">
        <v>33000</v>
      </c>
      <c r="C21" s="371" t="s">
        <v>179</v>
      </c>
      <c r="D21" s="371" t="s">
        <v>541</v>
      </c>
      <c r="E21" s="366">
        <v>626846.9099999998</v>
      </c>
      <c r="F21" s="367">
        <f>+E21</f>
        <v>626846.9099999998</v>
      </c>
      <c r="G21" s="368"/>
      <c r="H21" s="368"/>
      <c r="I21" s="369">
        <f t="shared" si="0"/>
        <v>0</v>
      </c>
    </row>
    <row r="22" spans="1:9">
      <c r="B22" s="370">
        <v>33104</v>
      </c>
      <c r="C22" s="371" t="s">
        <v>548</v>
      </c>
      <c r="D22" s="371" t="s">
        <v>541</v>
      </c>
      <c r="E22" s="366">
        <v>0</v>
      </c>
      <c r="F22" s="368"/>
      <c r="G22" s="367">
        <f>+E22</f>
        <v>0</v>
      </c>
      <c r="H22" s="368"/>
      <c r="I22" s="369">
        <f t="shared" si="0"/>
        <v>0</v>
      </c>
    </row>
    <row r="23" spans="1:9">
      <c r="B23" s="370">
        <v>33100</v>
      </c>
      <c r="C23" s="371" t="s">
        <v>549</v>
      </c>
      <c r="D23" s="371" t="s">
        <v>541</v>
      </c>
      <c r="E23" s="366">
        <v>614841.4</v>
      </c>
      <c r="F23" s="367">
        <f>E23</f>
        <v>614841.4</v>
      </c>
      <c r="G23" s="368"/>
      <c r="H23" s="368"/>
      <c r="I23" s="369">
        <f t="shared" si="0"/>
        <v>0</v>
      </c>
    </row>
    <row r="24" spans="1:9">
      <c r="B24" s="370">
        <v>34000</v>
      </c>
      <c r="C24" s="371" t="s">
        <v>550</v>
      </c>
      <c r="D24" s="371" t="s">
        <v>541</v>
      </c>
      <c r="E24" s="366">
        <v>0</v>
      </c>
      <c r="F24" s="368"/>
      <c r="G24" s="367">
        <f>+E24</f>
        <v>0</v>
      </c>
      <c r="H24" s="368"/>
      <c r="I24" s="369">
        <f t="shared" si="0"/>
        <v>0</v>
      </c>
    </row>
    <row r="25" spans="1:9">
      <c r="B25" s="370"/>
      <c r="C25" s="371"/>
      <c r="D25" s="371"/>
      <c r="E25" s="366"/>
      <c r="F25" s="368"/>
      <c r="G25" s="368"/>
      <c r="H25" s="368"/>
      <c r="I25" s="369">
        <f t="shared" si="0"/>
        <v>0</v>
      </c>
    </row>
    <row r="26" spans="1:9">
      <c r="A26" s="372"/>
      <c r="B26" s="373"/>
      <c r="C26" s="374" t="s">
        <v>551</v>
      </c>
      <c r="D26" s="374"/>
      <c r="E26" s="375">
        <f>SUM(E16:E25)</f>
        <v>6560551.7599999998</v>
      </c>
      <c r="F26" s="376">
        <f>SUM(F16:F25)</f>
        <v>5811235.5399999991</v>
      </c>
      <c r="G26" s="376">
        <f>SUM(G16:G25)</f>
        <v>714151.56500000006</v>
      </c>
      <c r="H26" s="376">
        <f>SUM(H16:H25)</f>
        <v>35164.654999999999</v>
      </c>
      <c r="I26" s="369">
        <f t="shared" si="0"/>
        <v>6.1118043959140778E-10</v>
      </c>
    </row>
    <row r="27" spans="1:9">
      <c r="B27" s="370"/>
      <c r="C27" s="377"/>
      <c r="D27" s="377"/>
      <c r="E27" s="366"/>
      <c r="F27" s="378">
        <f>F26/E26</f>
        <v>0.88578457309511405</v>
      </c>
      <c r="G27" s="378">
        <f>G26/E26</f>
        <v>0.10885541203320985</v>
      </c>
      <c r="H27" s="378">
        <f>H26/E26</f>
        <v>5.3600148716759759E-3</v>
      </c>
      <c r="I27" s="369"/>
    </row>
    <row r="28" spans="1:9">
      <c r="B28" s="370"/>
      <c r="C28" s="377"/>
      <c r="D28" s="377"/>
      <c r="E28" s="366"/>
      <c r="F28" s="368"/>
      <c r="G28" s="368"/>
      <c r="H28" s="368"/>
      <c r="I28" s="369">
        <f t="shared" si="0"/>
        <v>0</v>
      </c>
    </row>
    <row r="29" spans="1:9">
      <c r="B29" s="370">
        <v>35000</v>
      </c>
      <c r="C29" s="371" t="s">
        <v>552</v>
      </c>
      <c r="D29" s="371" t="s">
        <v>541</v>
      </c>
      <c r="E29" s="366">
        <v>0</v>
      </c>
      <c r="F29" s="368"/>
      <c r="G29" s="368"/>
      <c r="H29" s="368"/>
      <c r="I29" s="369">
        <f t="shared" si="0"/>
        <v>0</v>
      </c>
    </row>
    <row r="30" spans="1:9">
      <c r="A30" s="379"/>
      <c r="B30" s="380">
        <v>35001</v>
      </c>
      <c r="C30" s="381" t="s">
        <v>553</v>
      </c>
      <c r="D30" s="371" t="s">
        <v>541</v>
      </c>
      <c r="E30" s="366">
        <v>0</v>
      </c>
      <c r="F30" s="367"/>
      <c r="G30" s="367">
        <f>E30</f>
        <v>0</v>
      </c>
      <c r="H30" s="367"/>
      <c r="I30" s="369">
        <f t="shared" si="0"/>
        <v>0</v>
      </c>
    </row>
    <row r="31" spans="1:9">
      <c r="A31" s="379"/>
      <c r="B31" s="380">
        <v>35009</v>
      </c>
      <c r="C31" s="381" t="s">
        <v>554</v>
      </c>
      <c r="D31" s="371" t="s">
        <v>541</v>
      </c>
      <c r="E31" s="366">
        <v>0</v>
      </c>
      <c r="F31" s="367"/>
      <c r="G31" s="367"/>
      <c r="H31" s="367"/>
      <c r="I31" s="369"/>
    </row>
    <row r="32" spans="1:9">
      <c r="B32" s="370"/>
      <c r="C32" s="371"/>
      <c r="D32" s="371"/>
      <c r="E32" s="366"/>
      <c r="F32" s="368"/>
      <c r="G32" s="368"/>
      <c r="H32" s="368"/>
      <c r="I32" s="369">
        <f t="shared" si="0"/>
        <v>0</v>
      </c>
    </row>
    <row r="33" spans="1:9">
      <c r="A33" s="382"/>
      <c r="B33" s="383"/>
      <c r="C33" s="384" t="s">
        <v>555</v>
      </c>
      <c r="D33" s="384"/>
      <c r="E33" s="385">
        <f>SUM(E29:E32)</f>
        <v>0</v>
      </c>
      <c r="F33" s="386">
        <f>SUM(F29:F32)</f>
        <v>0</v>
      </c>
      <c r="G33" s="386">
        <f>SUM(G29:G32)</f>
        <v>0</v>
      </c>
      <c r="H33" s="386">
        <f>SUM(H29:H32)</f>
        <v>0</v>
      </c>
      <c r="I33" s="369">
        <f t="shared" si="0"/>
        <v>0</v>
      </c>
    </row>
    <row r="34" spans="1:9">
      <c r="B34" s="370"/>
      <c r="C34" s="377"/>
      <c r="D34" s="377"/>
      <c r="E34" s="366"/>
      <c r="F34" s="368"/>
      <c r="G34" s="368"/>
      <c r="H34" s="368"/>
      <c r="I34" s="369">
        <f t="shared" si="0"/>
        <v>0</v>
      </c>
    </row>
    <row r="35" spans="1:9">
      <c r="B35" s="370">
        <v>35510</v>
      </c>
      <c r="C35" s="371" t="s">
        <v>556</v>
      </c>
      <c r="D35" s="371" t="s">
        <v>541</v>
      </c>
      <c r="E35" s="366" t="s">
        <v>805</v>
      </c>
      <c r="F35" s="368"/>
      <c r="G35" s="368"/>
      <c r="H35" s="368"/>
      <c r="I35" s="369">
        <f t="shared" si="0"/>
        <v>0</v>
      </c>
    </row>
    <row r="36" spans="1:9">
      <c r="B36" s="370">
        <v>35517</v>
      </c>
      <c r="C36" s="371" t="s">
        <v>557</v>
      </c>
      <c r="D36" s="371" t="s">
        <v>541</v>
      </c>
      <c r="E36" s="366" t="s">
        <v>805</v>
      </c>
      <c r="F36" s="368"/>
      <c r="G36" s="367"/>
      <c r="H36" s="367"/>
      <c r="I36" s="369"/>
    </row>
    <row r="37" spans="1:9">
      <c r="B37" s="370">
        <v>35520</v>
      </c>
      <c r="C37" s="371" t="s">
        <v>558</v>
      </c>
      <c r="D37" s="371" t="s">
        <v>541</v>
      </c>
      <c r="E37" s="366" t="s">
        <v>805</v>
      </c>
      <c r="F37" s="368"/>
      <c r="G37" s="367"/>
      <c r="H37" s="367"/>
      <c r="I37" s="369"/>
    </row>
    <row r="38" spans="1:9">
      <c r="B38" s="370">
        <v>35571</v>
      </c>
      <c r="C38" s="371" t="s">
        <v>559</v>
      </c>
      <c r="D38" s="371" t="s">
        <v>541</v>
      </c>
      <c r="E38" s="366" t="s">
        <v>805</v>
      </c>
      <c r="F38" s="368"/>
      <c r="G38" s="367"/>
      <c r="H38" s="367"/>
      <c r="I38" s="369"/>
    </row>
    <row r="39" spans="1:9">
      <c r="B39" s="370"/>
      <c r="C39" s="371"/>
      <c r="D39" s="371"/>
      <c r="E39" s="366"/>
      <c r="F39" s="368"/>
      <c r="G39" s="368"/>
      <c r="H39" s="368"/>
      <c r="I39" s="369">
        <f t="shared" si="0"/>
        <v>0</v>
      </c>
    </row>
    <row r="40" spans="1:9">
      <c r="A40" s="382"/>
      <c r="B40" s="383"/>
      <c r="C40" s="384" t="s">
        <v>560</v>
      </c>
      <c r="D40" s="384"/>
      <c r="E40" s="385">
        <f>SUM(E35:E39)</f>
        <v>0</v>
      </c>
      <c r="F40" s="386">
        <f>SUM(F35:F39)</f>
        <v>0</v>
      </c>
      <c r="G40" s="386">
        <f>SUM(G35:G39)</f>
        <v>0</v>
      </c>
      <c r="H40" s="386">
        <f>SUM(H35:H39)</f>
        <v>0</v>
      </c>
      <c r="I40" s="369">
        <f t="shared" si="0"/>
        <v>0</v>
      </c>
    </row>
    <row r="41" spans="1:9">
      <c r="B41" s="370"/>
      <c r="C41" s="377"/>
      <c r="D41" s="377"/>
      <c r="E41" s="366"/>
      <c r="F41" s="368"/>
      <c r="G41" s="368"/>
      <c r="H41" s="368"/>
      <c r="I41" s="369">
        <f t="shared" si="0"/>
        <v>0</v>
      </c>
    </row>
    <row r="42" spans="1:9">
      <c r="B42" s="370">
        <v>38000</v>
      </c>
      <c r="C42" s="371" t="s">
        <v>561</v>
      </c>
      <c r="D42" s="371" t="s">
        <v>538</v>
      </c>
      <c r="E42" s="366">
        <v>7392.51</v>
      </c>
      <c r="F42" s="387">
        <f t="shared" ref="F42:F43" si="1">IF(($E42=0),0,IF(($D42="ACT"),"0",(VLOOKUP($D42,$D$10:$H$13,3,FALSE)*$E42)))</f>
        <v>6548.1713144513615</v>
      </c>
      <c r="G42" s="387">
        <f t="shared" ref="G42:G43" si="2">IF(($E42=0),0,IF(($D42="ACT"),"0",(VLOOKUP($D42,$D$10:$H$13,4,FALSE)*$E42)))</f>
        <v>804.71472200962421</v>
      </c>
      <c r="H42" s="388">
        <f t="shared" ref="H42:H43" si="3">IF(($E42=0),0,IF(($D42="ACT"),"0",(VLOOKUP($D42,$D$10:$H$13,5,FALSE)*$E42)))</f>
        <v>39.623963539013367</v>
      </c>
      <c r="I42" s="369">
        <f t="shared" si="0"/>
        <v>1.1723955140041653E-12</v>
      </c>
    </row>
    <row r="43" spans="1:9">
      <c r="A43" s="379"/>
      <c r="B43" s="370">
        <v>38001</v>
      </c>
      <c r="C43" s="371" t="s">
        <v>562</v>
      </c>
      <c r="D43" s="371" t="s">
        <v>538</v>
      </c>
      <c r="E43" s="366">
        <v>6389.0999741906635</v>
      </c>
      <c r="F43" s="387">
        <f t="shared" si="1"/>
        <v>5659.3661931004808</v>
      </c>
      <c r="G43" s="387">
        <f t="shared" si="2"/>
        <v>695.4881102118951</v>
      </c>
      <c r="H43" s="388">
        <f t="shared" si="3"/>
        <v>34.245670878286553</v>
      </c>
      <c r="I43" s="369">
        <f t="shared" si="0"/>
        <v>1.0160761121369433E-12</v>
      </c>
    </row>
    <row r="44" spans="1:9">
      <c r="B44" s="370"/>
      <c r="C44" s="371"/>
      <c r="D44" s="371"/>
      <c r="E44" s="366"/>
      <c r="F44" s="368"/>
      <c r="G44" s="368"/>
      <c r="H44" s="368"/>
      <c r="I44" s="369">
        <f t="shared" si="0"/>
        <v>0</v>
      </c>
    </row>
    <row r="45" spans="1:9">
      <c r="A45" s="382"/>
      <c r="B45" s="383"/>
      <c r="C45" s="384" t="s">
        <v>563</v>
      </c>
      <c r="D45" s="384"/>
      <c r="E45" s="385">
        <f>SUM(E42:E44)</f>
        <v>13781.609974190664</v>
      </c>
      <c r="F45" s="386">
        <f>SUM(F42:F44)</f>
        <v>12207.537507551842</v>
      </c>
      <c r="G45" s="386">
        <f>SUM(G42:G44)</f>
        <v>1500.2028322215192</v>
      </c>
      <c r="H45" s="386">
        <f>SUM(H42:H44)</f>
        <v>73.86963441729992</v>
      </c>
      <c r="I45" s="369">
        <f t="shared" si="0"/>
        <v>2.3021584638627246E-12</v>
      </c>
    </row>
    <row r="46" spans="1:9">
      <c r="B46" s="370"/>
      <c r="C46" s="377"/>
      <c r="D46" s="377"/>
      <c r="E46" s="366"/>
      <c r="F46" s="368"/>
      <c r="G46" s="368"/>
      <c r="H46" s="368"/>
      <c r="I46" s="369">
        <f t="shared" si="0"/>
        <v>0</v>
      </c>
    </row>
    <row r="47" spans="1:9" ht="13.5" thickBot="1">
      <c r="B47" s="370"/>
      <c r="C47" s="389" t="s">
        <v>141</v>
      </c>
      <c r="D47" s="389"/>
      <c r="E47" s="390">
        <f>E45+E40+E33+E26</f>
        <v>6574333.3699741904</v>
      </c>
      <c r="F47" s="391">
        <f>F45+F40+F33+F26</f>
        <v>5823443.0775075508</v>
      </c>
      <c r="G47" s="391">
        <f>G45+G40+G33+G26</f>
        <v>715651.76783222158</v>
      </c>
      <c r="H47" s="391">
        <f>H45+H40+H33+H26</f>
        <v>35238.524634417299</v>
      </c>
      <c r="I47" s="369">
        <f t="shared" si="0"/>
        <v>6.6211214289069176E-10</v>
      </c>
    </row>
    <row r="48" spans="1:9">
      <c r="B48" s="370"/>
      <c r="C48" s="377"/>
      <c r="D48" s="377"/>
      <c r="E48" s="366">
        <v>0</v>
      </c>
      <c r="F48" s="392"/>
      <c r="G48" s="392"/>
      <c r="H48" s="392"/>
    </row>
    <row r="49" spans="1:9">
      <c r="B49" s="370"/>
      <c r="C49" s="377"/>
      <c r="D49" s="363"/>
      <c r="E49" s="366"/>
      <c r="F49" s="368"/>
      <c r="G49" s="368"/>
      <c r="H49" s="368"/>
    </row>
    <row r="50" spans="1:9">
      <c r="A50" s="393"/>
      <c r="B50" s="394" t="s">
        <v>564</v>
      </c>
      <c r="C50" s="393"/>
      <c r="D50" s="395"/>
      <c r="E50" s="396"/>
      <c r="F50" s="397"/>
      <c r="G50" s="397"/>
      <c r="H50" s="397"/>
    </row>
    <row r="51" spans="1:9">
      <c r="B51" s="398"/>
      <c r="C51" s="363"/>
      <c r="D51" s="363"/>
      <c r="E51" s="366"/>
      <c r="F51" s="368"/>
      <c r="G51" s="368"/>
      <c r="H51" s="368"/>
    </row>
    <row r="52" spans="1:9">
      <c r="A52" s="363">
        <v>4115</v>
      </c>
      <c r="B52" s="399">
        <v>52010</v>
      </c>
      <c r="C52" s="400" t="s">
        <v>565</v>
      </c>
      <c r="D52" s="371" t="s">
        <v>537</v>
      </c>
      <c r="E52" s="366">
        <v>33665.837820315137</v>
      </c>
      <c r="F52" s="387">
        <f t="shared" ref="F52:F65" si="4">IF(($E52=0),0,IF(($D52="ACT"),"0",(VLOOKUP($D52,$D$10:$H$13,3,FALSE)*$E52)))</f>
        <v>26831.991133902146</v>
      </c>
      <c r="G52" s="387">
        <f t="shared" ref="G52:G65" si="5">IF(($E52=0),0,IF(($D52="ACT"),"0",(VLOOKUP($D52,$D$10:$H$13,4,FALSE)*$E52)))</f>
        <v>6238.6780897135513</v>
      </c>
      <c r="H52" s="388">
        <f t="shared" ref="H52:H65" si="6">IF(($E52=0),0,IF(($D52="ACT"),"0",(VLOOKUP($D52,$D$10:$H$13,5,FALSE)*$E52)))</f>
        <v>595.16859669944029</v>
      </c>
      <c r="I52" s="369">
        <f t="shared" ref="I52:I65" si="7">E52-F52-G52-H52</f>
        <v>0</v>
      </c>
    </row>
    <row r="53" spans="1:9">
      <c r="A53" s="363">
        <v>4115</v>
      </c>
      <c r="B53" s="399">
        <v>52020</v>
      </c>
      <c r="C53" s="401" t="s">
        <v>566</v>
      </c>
      <c r="D53" s="371" t="s">
        <v>537</v>
      </c>
      <c r="E53" s="366">
        <v>208077.19636081098</v>
      </c>
      <c r="F53" s="387">
        <f t="shared" si="4"/>
        <v>165839.49336770832</v>
      </c>
      <c r="G53" s="387">
        <f t="shared" si="5"/>
        <v>38559.166500881824</v>
      </c>
      <c r="H53" s="388">
        <f t="shared" si="6"/>
        <v>3678.5364922208405</v>
      </c>
      <c r="I53" s="369">
        <f t="shared" si="7"/>
        <v>0</v>
      </c>
    </row>
    <row r="54" spans="1:9">
      <c r="A54" s="363">
        <v>4115</v>
      </c>
      <c r="B54" s="399">
        <v>52025</v>
      </c>
      <c r="C54" s="400" t="s">
        <v>567</v>
      </c>
      <c r="D54" s="371" t="s">
        <v>537</v>
      </c>
      <c r="E54" s="366">
        <v>28949.719407119726</v>
      </c>
      <c r="F54" s="387">
        <f t="shared" si="4"/>
        <v>23073.200156392842</v>
      </c>
      <c r="G54" s="387">
        <f t="shared" si="5"/>
        <v>5364.7255455964887</v>
      </c>
      <c r="H54" s="388">
        <f t="shared" si="6"/>
        <v>511.79370513039305</v>
      </c>
      <c r="I54" s="369">
        <f t="shared" si="7"/>
        <v>2.1600499167107046E-12</v>
      </c>
    </row>
    <row r="55" spans="1:9">
      <c r="A55" s="363">
        <v>4115</v>
      </c>
      <c r="B55" s="399">
        <v>52035</v>
      </c>
      <c r="C55" s="400" t="s">
        <v>568</v>
      </c>
      <c r="D55" s="371" t="s">
        <v>537</v>
      </c>
      <c r="E55" s="366">
        <v>996.27756934496358</v>
      </c>
      <c r="F55" s="387">
        <f t="shared" si="4"/>
        <v>794.04264495798634</v>
      </c>
      <c r="G55" s="387">
        <f t="shared" si="5"/>
        <v>184.62202177528687</v>
      </c>
      <c r="H55" s="388">
        <f t="shared" si="6"/>
        <v>17.61290261169032</v>
      </c>
      <c r="I55" s="369">
        <f t="shared" si="7"/>
        <v>5.3290705182007514E-14</v>
      </c>
    </row>
    <row r="56" spans="1:9">
      <c r="A56" s="363">
        <v>4115</v>
      </c>
      <c r="B56" s="399">
        <v>52036</v>
      </c>
      <c r="C56" s="400" t="s">
        <v>569</v>
      </c>
      <c r="D56" s="371" t="s">
        <v>537</v>
      </c>
      <c r="E56" s="366">
        <v>3144.5725565691109</v>
      </c>
      <c r="F56" s="387">
        <f t="shared" si="4"/>
        <v>2506.2540670489266</v>
      </c>
      <c r="G56" s="387">
        <f t="shared" si="5"/>
        <v>582.72650200744658</v>
      </c>
      <c r="H56" s="388">
        <f t="shared" si="6"/>
        <v>55.591987512737624</v>
      </c>
      <c r="I56" s="369">
        <f t="shared" si="7"/>
        <v>1.4921397450962104E-13</v>
      </c>
    </row>
    <row r="57" spans="1:9">
      <c r="A57" s="363">
        <v>4115</v>
      </c>
      <c r="B57" s="402">
        <v>52065</v>
      </c>
      <c r="C57" s="400" t="s">
        <v>570</v>
      </c>
      <c r="D57" s="371" t="s">
        <v>537</v>
      </c>
      <c r="E57" s="366">
        <v>9696.0586271611992</v>
      </c>
      <c r="F57" s="387">
        <f t="shared" si="4"/>
        <v>7727.8504252994517</v>
      </c>
      <c r="G57" s="387">
        <f t="shared" si="5"/>
        <v>1796.7943895145395</v>
      </c>
      <c r="H57" s="388">
        <f t="shared" si="6"/>
        <v>171.41381234720785</v>
      </c>
      <c r="I57" s="369">
        <f t="shared" si="7"/>
        <v>0</v>
      </c>
    </row>
    <row r="58" spans="1:9">
      <c r="A58" s="363">
        <v>4115</v>
      </c>
      <c r="B58" s="402">
        <v>52070</v>
      </c>
      <c r="C58" s="400" t="s">
        <v>571</v>
      </c>
      <c r="D58" s="371" t="s">
        <v>537</v>
      </c>
      <c r="E58" s="366">
        <v>6694.2870736236828</v>
      </c>
      <c r="F58" s="387">
        <f t="shared" si="4"/>
        <v>5335.4101081921326</v>
      </c>
      <c r="G58" s="387">
        <f t="shared" si="5"/>
        <v>1240.5306030217721</v>
      </c>
      <c r="H58" s="388">
        <f t="shared" si="6"/>
        <v>118.34636240977753</v>
      </c>
      <c r="I58" s="369">
        <f t="shared" si="7"/>
        <v>5.4001247917767614E-13</v>
      </c>
    </row>
    <row r="59" spans="1:9">
      <c r="A59" s="363">
        <v>4115</v>
      </c>
      <c r="B59" s="402">
        <v>52045</v>
      </c>
      <c r="C59" s="400" t="s">
        <v>572</v>
      </c>
      <c r="D59" s="371" t="s">
        <v>537</v>
      </c>
      <c r="E59" s="366">
        <v>509.12696196328255</v>
      </c>
      <c r="F59" s="387">
        <f t="shared" si="4"/>
        <v>405.77900369928938</v>
      </c>
      <c r="G59" s="387">
        <f t="shared" si="5"/>
        <v>94.347250154163049</v>
      </c>
      <c r="H59" s="388">
        <f t="shared" si="6"/>
        <v>9.0007081098301249</v>
      </c>
      <c r="I59" s="369">
        <f t="shared" si="7"/>
        <v>0</v>
      </c>
    </row>
    <row r="60" spans="1:9">
      <c r="A60" s="363">
        <v>4115</v>
      </c>
      <c r="B60" s="402">
        <v>55020</v>
      </c>
      <c r="C60" s="400" t="s">
        <v>573</v>
      </c>
      <c r="D60" s="371" t="s">
        <v>574</v>
      </c>
      <c r="E60" s="366">
        <v>0</v>
      </c>
      <c r="F60" s="387">
        <f t="shared" si="4"/>
        <v>0</v>
      </c>
      <c r="G60" s="387">
        <f t="shared" si="5"/>
        <v>0</v>
      </c>
      <c r="H60" s="388">
        <f t="shared" si="6"/>
        <v>0</v>
      </c>
      <c r="I60" s="369">
        <f t="shared" si="7"/>
        <v>0</v>
      </c>
    </row>
    <row r="61" spans="1:9">
      <c r="A61" s="363">
        <v>4115</v>
      </c>
      <c r="B61" s="402">
        <v>55025</v>
      </c>
      <c r="C61" s="400" t="s">
        <v>575</v>
      </c>
      <c r="D61" s="371" t="s">
        <v>574</v>
      </c>
      <c r="E61" s="366">
        <v>0</v>
      </c>
      <c r="F61" s="387">
        <f t="shared" si="4"/>
        <v>0</v>
      </c>
      <c r="G61" s="387">
        <f t="shared" si="5"/>
        <v>0</v>
      </c>
      <c r="H61" s="388">
        <f t="shared" si="6"/>
        <v>0</v>
      </c>
      <c r="I61" s="369">
        <f t="shared" si="7"/>
        <v>0</v>
      </c>
    </row>
    <row r="62" spans="1:9">
      <c r="A62" s="363">
        <v>4115</v>
      </c>
      <c r="B62" s="402">
        <v>55035</v>
      </c>
      <c r="C62" s="400" t="s">
        <v>576</v>
      </c>
      <c r="D62" s="371" t="s">
        <v>574</v>
      </c>
      <c r="E62" s="366">
        <v>0</v>
      </c>
      <c r="F62" s="387">
        <f t="shared" si="4"/>
        <v>0</v>
      </c>
      <c r="G62" s="387">
        <f t="shared" si="5"/>
        <v>0</v>
      </c>
      <c r="H62" s="388">
        <f t="shared" si="6"/>
        <v>0</v>
      </c>
      <c r="I62" s="369">
        <f t="shared" si="7"/>
        <v>0</v>
      </c>
    </row>
    <row r="63" spans="1:9">
      <c r="A63" s="363">
        <v>4115</v>
      </c>
      <c r="B63" s="402">
        <v>55036</v>
      </c>
      <c r="C63" s="400" t="s">
        <v>569</v>
      </c>
      <c r="D63" s="371" t="s">
        <v>574</v>
      </c>
      <c r="E63" s="366">
        <v>0</v>
      </c>
      <c r="F63" s="387">
        <f t="shared" si="4"/>
        <v>0</v>
      </c>
      <c r="G63" s="387">
        <f t="shared" si="5"/>
        <v>0</v>
      </c>
      <c r="H63" s="388">
        <f t="shared" si="6"/>
        <v>0</v>
      </c>
      <c r="I63" s="369">
        <f t="shared" si="7"/>
        <v>0</v>
      </c>
    </row>
    <row r="64" spans="1:9">
      <c r="A64" s="363">
        <v>4115</v>
      </c>
      <c r="B64" s="402">
        <v>55065</v>
      </c>
      <c r="C64" s="400" t="s">
        <v>570</v>
      </c>
      <c r="D64" s="371" t="s">
        <v>574</v>
      </c>
      <c r="E64" s="366">
        <v>0</v>
      </c>
      <c r="F64" s="387">
        <f t="shared" si="4"/>
        <v>0</v>
      </c>
      <c r="G64" s="387">
        <f t="shared" si="5"/>
        <v>0</v>
      </c>
      <c r="H64" s="388">
        <f t="shared" si="6"/>
        <v>0</v>
      </c>
      <c r="I64" s="369">
        <f t="shared" si="7"/>
        <v>0</v>
      </c>
    </row>
    <row r="65" spans="1:9">
      <c r="A65" s="363">
        <v>4115</v>
      </c>
      <c r="B65" s="402">
        <v>55070</v>
      </c>
      <c r="C65" s="400" t="s">
        <v>571</v>
      </c>
      <c r="D65" s="371" t="s">
        <v>574</v>
      </c>
      <c r="E65" s="366">
        <v>0</v>
      </c>
      <c r="F65" s="387">
        <f t="shared" si="4"/>
        <v>0</v>
      </c>
      <c r="G65" s="387">
        <f t="shared" si="5"/>
        <v>0</v>
      </c>
      <c r="H65" s="388">
        <f t="shared" si="6"/>
        <v>0</v>
      </c>
      <c r="I65" s="369">
        <f t="shared" si="7"/>
        <v>0</v>
      </c>
    </row>
    <row r="66" spans="1:9">
      <c r="B66" s="402"/>
      <c r="C66" s="400"/>
      <c r="D66" s="371"/>
      <c r="E66" s="366"/>
      <c r="F66" s="388"/>
      <c r="G66" s="388"/>
      <c r="H66" s="388"/>
      <c r="I66" s="369"/>
    </row>
    <row r="67" spans="1:9">
      <c r="B67" s="402"/>
      <c r="C67" s="400"/>
      <c r="D67" s="371"/>
      <c r="E67" s="366"/>
      <c r="F67" s="387"/>
      <c r="G67" s="387"/>
      <c r="H67" s="388"/>
      <c r="I67" s="369"/>
    </row>
    <row r="68" spans="1:9">
      <c r="A68" s="403"/>
      <c r="B68" s="404"/>
      <c r="C68" s="405" t="s">
        <v>577</v>
      </c>
      <c r="D68" s="406"/>
      <c r="E68" s="385">
        <f>SUM(E52:E67)</f>
        <v>291733.07637690811</v>
      </c>
      <c r="F68" s="407">
        <f>SUM(F52:F67)</f>
        <v>232514.02090720108</v>
      </c>
      <c r="G68" s="407">
        <f>SUM(G52:G67)</f>
        <v>54061.59090266507</v>
      </c>
      <c r="H68" s="407">
        <f>SUM(H52:H67)</f>
        <v>5157.4645670419177</v>
      </c>
      <c r="I68" s="369">
        <f t="shared" ref="I68:I131" si="8">E68-F68-G68-H68</f>
        <v>4.5474735088646412E-11</v>
      </c>
    </row>
    <row r="69" spans="1:9">
      <c r="A69" s="408"/>
      <c r="B69" s="402"/>
      <c r="C69" s="400"/>
      <c r="D69" s="371"/>
      <c r="E69" s="366"/>
      <c r="F69" s="387"/>
      <c r="G69" s="387"/>
      <c r="H69" s="387"/>
      <c r="I69" s="369">
        <f t="shared" si="8"/>
        <v>0</v>
      </c>
    </row>
    <row r="70" spans="1:9">
      <c r="A70" s="363">
        <v>4120</v>
      </c>
      <c r="B70" s="402">
        <v>57147</v>
      </c>
      <c r="C70" s="401" t="s">
        <v>578</v>
      </c>
      <c r="D70" s="371" t="s">
        <v>537</v>
      </c>
      <c r="E70" s="366">
        <v>32726.247193924828</v>
      </c>
      <c r="F70" s="387">
        <f t="shared" ref="F70" si="9">IF(($E70=0),0,IF(($D70="ACT"),"0",(VLOOKUP($D70,$D$10:$H$13,3,FALSE)*$E70)))</f>
        <v>26083.128518589801</v>
      </c>
      <c r="G70" s="387">
        <f t="shared" ref="G70" si="10">IF(($E70=0),0,IF(($D70="ACT"),"0",(VLOOKUP($D70,$D$10:$H$13,4,FALSE)*$E70)))</f>
        <v>6064.5608292001589</v>
      </c>
      <c r="H70" s="388">
        <f t="shared" ref="H70" si="11">IF(($E70=0),0,IF(($D70="ACT"),"0",(VLOOKUP($D70,$D$10:$H$13,5,FALSE)*$E70)))</f>
        <v>578.55784613486594</v>
      </c>
      <c r="I70" s="369">
        <f t="shared" si="8"/>
        <v>1.8189894035458565E-12</v>
      </c>
    </row>
    <row r="71" spans="1:9">
      <c r="B71" s="402"/>
      <c r="C71" s="401"/>
      <c r="D71" s="371"/>
      <c r="E71" s="366"/>
      <c r="F71" s="387"/>
      <c r="G71" s="387"/>
      <c r="H71" s="387"/>
      <c r="I71" s="369">
        <f t="shared" si="8"/>
        <v>0</v>
      </c>
    </row>
    <row r="72" spans="1:9">
      <c r="A72" s="403"/>
      <c r="B72" s="404"/>
      <c r="C72" s="405" t="s">
        <v>579</v>
      </c>
      <c r="D72" s="406"/>
      <c r="E72" s="385">
        <f>SUM(E70:E71)</f>
        <v>32726.247193924828</v>
      </c>
      <c r="F72" s="407">
        <f>SUM(F70:F71)</f>
        <v>26083.128518589801</v>
      </c>
      <c r="G72" s="407">
        <f>SUM(G70:G71)</f>
        <v>6064.5608292001589</v>
      </c>
      <c r="H72" s="407">
        <f>SUM(H70:H71)</f>
        <v>578.55784613486594</v>
      </c>
      <c r="I72" s="369">
        <f t="shared" si="8"/>
        <v>1.8189894035458565E-12</v>
      </c>
    </row>
    <row r="73" spans="1:9">
      <c r="B73" s="402"/>
      <c r="C73" s="400"/>
      <c r="D73" s="371"/>
      <c r="E73" s="366"/>
      <c r="F73" s="387"/>
      <c r="G73" s="387"/>
      <c r="H73" s="387"/>
      <c r="I73" s="369">
        <f t="shared" si="8"/>
        <v>0</v>
      </c>
    </row>
    <row r="74" spans="1:9">
      <c r="A74" s="363">
        <v>4130</v>
      </c>
      <c r="B74" s="399">
        <v>52120</v>
      </c>
      <c r="C74" s="400" t="s">
        <v>580</v>
      </c>
      <c r="D74" s="371" t="s">
        <v>537</v>
      </c>
      <c r="E74" s="366">
        <v>168347.83765169061</v>
      </c>
      <c r="F74" s="387">
        <f>IF(($E74=0),0,IF(($D74="ACT"),"0",(VLOOKUP($D74,$D$10:$H$13,3,FALSE)*$E74)))</f>
        <v>134174.81874031902</v>
      </c>
      <c r="G74" s="387">
        <f t="shared" ref="G74:G81" si="12">IF(($E74=0),0,IF(($D74="ACT"),"0",(VLOOKUP($D74,$D$10:$H$13,4,FALSE)*$E74)))</f>
        <v>31196.846245557808</v>
      </c>
      <c r="H74" s="388">
        <f t="shared" ref="H74:H81" si="13">IF(($E74=0),0,IF(($D74="ACT"),"0",(VLOOKUP($D74,$D$10:$H$13,5,FALSE)*$E74)))</f>
        <v>2976.1726658137864</v>
      </c>
      <c r="I74" s="369">
        <f t="shared" si="8"/>
        <v>-5.0022208597511053E-12</v>
      </c>
    </row>
    <row r="75" spans="1:9">
      <c r="A75" s="363">
        <v>4130</v>
      </c>
      <c r="B75" s="399">
        <v>52125</v>
      </c>
      <c r="C75" s="400" t="s">
        <v>581</v>
      </c>
      <c r="D75" s="371" t="s">
        <v>537</v>
      </c>
      <c r="E75" s="366">
        <v>10796.031930075846</v>
      </c>
      <c r="F75" s="387">
        <f t="shared" ref="F75:F81" si="14">IF(($E75=0),0,IF(($D75="ACT"),"0",(VLOOKUP($D75,$D$10:$H$13,3,FALSE)*$E75)))</f>
        <v>8604.5395506039404</v>
      </c>
      <c r="G75" s="387">
        <f t="shared" si="12"/>
        <v>2000.6324576710508</v>
      </c>
      <c r="H75" s="388">
        <f t="shared" si="13"/>
        <v>190.85992180085432</v>
      </c>
      <c r="I75" s="369">
        <f t="shared" si="8"/>
        <v>0</v>
      </c>
    </row>
    <row r="76" spans="1:9">
      <c r="A76" s="363">
        <v>4130</v>
      </c>
      <c r="B76" s="399">
        <v>52135</v>
      </c>
      <c r="C76" s="400" t="s">
        <v>582</v>
      </c>
      <c r="D76" s="371" t="s">
        <v>537</v>
      </c>
      <c r="E76" s="366">
        <v>660.62099882862492</v>
      </c>
      <c r="F76" s="387">
        <f t="shared" si="14"/>
        <v>526.52118381984519</v>
      </c>
      <c r="G76" s="387">
        <f t="shared" si="12"/>
        <v>122.420887696127</v>
      </c>
      <c r="H76" s="388">
        <f t="shared" si="13"/>
        <v>11.678927312652718</v>
      </c>
      <c r="I76" s="369">
        <f t="shared" si="8"/>
        <v>1.4210854715202004E-14</v>
      </c>
    </row>
    <row r="77" spans="1:9">
      <c r="A77" s="363">
        <v>4130</v>
      </c>
      <c r="B77" s="399">
        <v>55120</v>
      </c>
      <c r="C77" s="400" t="s">
        <v>580</v>
      </c>
      <c r="D77" s="371" t="s">
        <v>537</v>
      </c>
      <c r="E77" s="366">
        <v>16161.347197321022</v>
      </c>
      <c r="F77" s="387">
        <f t="shared" si="14"/>
        <v>12880.74656050169</v>
      </c>
      <c r="G77" s="387">
        <f t="shared" si="12"/>
        <v>2994.8888602837205</v>
      </c>
      <c r="H77" s="388">
        <f t="shared" si="13"/>
        <v>285.71177653561057</v>
      </c>
      <c r="I77" s="369">
        <f t="shared" si="8"/>
        <v>9.6633812063373625E-13</v>
      </c>
    </row>
    <row r="78" spans="1:9">
      <c r="A78" s="363">
        <v>4130</v>
      </c>
      <c r="B78" s="399">
        <v>55125</v>
      </c>
      <c r="C78" s="400" t="s">
        <v>581</v>
      </c>
      <c r="D78" s="371" t="s">
        <v>537</v>
      </c>
      <c r="E78" s="366">
        <v>10947.793424238629</v>
      </c>
      <c r="F78" s="387">
        <f t="shared" si="14"/>
        <v>8725.4948967200053</v>
      </c>
      <c r="G78" s="387">
        <f t="shared" si="12"/>
        <v>2028.7556582148443</v>
      </c>
      <c r="H78" s="388">
        <f t="shared" si="13"/>
        <v>193.54286930377876</v>
      </c>
      <c r="I78" s="369">
        <f t="shared" si="8"/>
        <v>7.673861546209082E-13</v>
      </c>
    </row>
    <row r="79" spans="1:9">
      <c r="A79" s="363">
        <v>4130</v>
      </c>
      <c r="B79" s="402">
        <v>52147</v>
      </c>
      <c r="C79" s="400" t="s">
        <v>583</v>
      </c>
      <c r="D79" s="371" t="s">
        <v>537</v>
      </c>
      <c r="E79" s="366">
        <v>61264.513118642004</v>
      </c>
      <c r="F79" s="387">
        <f t="shared" si="14"/>
        <v>48828.396358229897</v>
      </c>
      <c r="G79" s="387">
        <f t="shared" si="12"/>
        <v>11353.039176099213</v>
      </c>
      <c r="H79" s="388">
        <f t="shared" si="13"/>
        <v>1083.0775843128947</v>
      </c>
      <c r="I79" s="369">
        <f t="shared" si="8"/>
        <v>0</v>
      </c>
    </row>
    <row r="80" spans="1:9">
      <c r="A80" s="363">
        <v>4130</v>
      </c>
      <c r="B80" s="402">
        <v>52181</v>
      </c>
      <c r="C80" s="400" t="s">
        <v>584</v>
      </c>
      <c r="D80" s="371" t="s">
        <v>537</v>
      </c>
      <c r="E80" s="366">
        <v>1074.4069021254634</v>
      </c>
      <c r="F80" s="387">
        <f t="shared" si="14"/>
        <v>856.31246208397044</v>
      </c>
      <c r="G80" s="387">
        <f t="shared" si="12"/>
        <v>199.10031158298963</v>
      </c>
      <c r="H80" s="388">
        <f t="shared" si="13"/>
        <v>18.994128458503315</v>
      </c>
      <c r="I80" s="369">
        <f t="shared" si="8"/>
        <v>0</v>
      </c>
    </row>
    <row r="81" spans="1:9">
      <c r="A81" s="363">
        <v>4130</v>
      </c>
      <c r="B81" s="399">
        <v>55147</v>
      </c>
      <c r="C81" s="400" t="s">
        <v>583</v>
      </c>
      <c r="D81" s="371" t="s">
        <v>539</v>
      </c>
      <c r="E81" s="366">
        <v>19048.223164618186</v>
      </c>
      <c r="F81" s="387">
        <f t="shared" si="14"/>
        <v>10306.577113547059</v>
      </c>
      <c r="G81" s="387">
        <f t="shared" si="12"/>
        <v>8460.5236602438436</v>
      </c>
      <c r="H81" s="388">
        <f t="shared" si="13"/>
        <v>281.12239082728337</v>
      </c>
      <c r="I81" s="369">
        <f t="shared" si="8"/>
        <v>7.3896444519050419E-13</v>
      </c>
    </row>
    <row r="82" spans="1:9">
      <c r="B82" s="399"/>
      <c r="C82" s="400"/>
      <c r="D82" s="371"/>
      <c r="E82" s="366"/>
      <c r="F82" s="387"/>
      <c r="G82" s="387"/>
      <c r="H82" s="387"/>
      <c r="I82" s="369">
        <f t="shared" si="8"/>
        <v>0</v>
      </c>
    </row>
    <row r="83" spans="1:9">
      <c r="A83" s="403"/>
      <c r="B83" s="404"/>
      <c r="C83" s="405" t="s">
        <v>585</v>
      </c>
      <c r="D83" s="406"/>
      <c r="E83" s="385">
        <f>SUM(E74:E82)</f>
        <v>288300.77438754035</v>
      </c>
      <c r="F83" s="386">
        <f t="shared" ref="F83:H83" si="15">SUM(F74:F82)</f>
        <v>224903.40686582547</v>
      </c>
      <c r="G83" s="386">
        <f t="shared" si="15"/>
        <v>58356.207257349597</v>
      </c>
      <c r="H83" s="386">
        <f t="shared" si="15"/>
        <v>5041.1602643653641</v>
      </c>
      <c r="I83" s="369">
        <f t="shared" si="8"/>
        <v>-7.6397554948925972E-11</v>
      </c>
    </row>
    <row r="84" spans="1:9">
      <c r="A84" s="408"/>
      <c r="B84" s="402"/>
      <c r="C84" s="400"/>
      <c r="D84" s="371"/>
      <c r="E84" s="366"/>
      <c r="F84" s="387"/>
      <c r="G84" s="387"/>
      <c r="H84" s="387"/>
      <c r="I84" s="369">
        <f t="shared" si="8"/>
        <v>0</v>
      </c>
    </row>
    <row r="85" spans="1:9">
      <c r="A85" s="363">
        <v>4160</v>
      </c>
      <c r="B85" s="402">
        <v>52140</v>
      </c>
      <c r="C85" s="400" t="s">
        <v>586</v>
      </c>
      <c r="D85" s="371" t="s">
        <v>537</v>
      </c>
      <c r="E85" s="366">
        <v>59489.342314172463</v>
      </c>
      <c r="F85" s="387">
        <f t="shared" ref="F85" si="16">IF(($E85=0),0,IF(($D85="ACT"),"0",(VLOOKUP($D85,$D$10:$H$13,3,FALSE)*$E85)))</f>
        <v>47413.568438576985</v>
      </c>
      <c r="G85" s="387">
        <f t="shared" ref="G85" si="17">IF(($E85=0),0,IF(($D85="ACT"),"0",(VLOOKUP($D85,$D$10:$H$13,4,FALSE)*$E85)))</f>
        <v>11024.079021819007</v>
      </c>
      <c r="H85" s="388">
        <f t="shared" ref="H85" si="18">IF(($E85=0),0,IF(($D85="ACT"),"0",(VLOOKUP($D85,$D$10:$H$13,5,FALSE)*$E85)))</f>
        <v>1051.6948537764692</v>
      </c>
      <c r="I85" s="369">
        <f t="shared" si="8"/>
        <v>1.8189894035458565E-12</v>
      </c>
    </row>
    <row r="86" spans="1:9">
      <c r="B86" s="402"/>
      <c r="C86" s="400"/>
      <c r="D86" s="371"/>
      <c r="E86" s="366"/>
      <c r="F86" s="387"/>
      <c r="G86" s="387"/>
      <c r="H86" s="387"/>
      <c r="I86" s="369">
        <f t="shared" si="8"/>
        <v>0</v>
      </c>
    </row>
    <row r="87" spans="1:9">
      <c r="A87" s="409"/>
      <c r="B87" s="402"/>
      <c r="C87" s="410" t="s">
        <v>587</v>
      </c>
      <c r="D87" s="406"/>
      <c r="E87" s="385">
        <f>SUM(E85:E86)</f>
        <v>59489.342314172463</v>
      </c>
      <c r="F87" s="407">
        <f>SUM(F85:F86)</f>
        <v>47413.568438576985</v>
      </c>
      <c r="G87" s="407">
        <f>SUM(G85:G86)</f>
        <v>11024.079021819007</v>
      </c>
      <c r="H87" s="407">
        <f>SUM(H85:H86)</f>
        <v>1051.6948537764692</v>
      </c>
      <c r="I87" s="369">
        <f t="shared" si="8"/>
        <v>1.8189894035458565E-12</v>
      </c>
    </row>
    <row r="88" spans="1:9">
      <c r="A88" s="408"/>
      <c r="B88" s="402"/>
      <c r="C88" s="400"/>
      <c r="D88" s="371"/>
      <c r="E88" s="366"/>
      <c r="F88" s="387"/>
      <c r="G88" s="387"/>
      <c r="H88" s="387"/>
      <c r="I88" s="369">
        <f t="shared" si="8"/>
        <v>0</v>
      </c>
    </row>
    <row r="89" spans="1:9">
      <c r="A89" s="363">
        <v>4180</v>
      </c>
      <c r="B89" s="399">
        <v>52090</v>
      </c>
      <c r="C89" s="400" t="s">
        <v>588</v>
      </c>
      <c r="D89" s="371" t="s">
        <v>537</v>
      </c>
      <c r="E89" s="366">
        <v>4035.2189792618847</v>
      </c>
      <c r="F89" s="387">
        <f t="shared" ref="F89:F91" si="19">IF(($E89=0),0,IF(($D89="ACT"),"0",(VLOOKUP($D89,$D$10:$H$13,3,FALSE)*$E89)))</f>
        <v>3216.1076891296875</v>
      </c>
      <c r="G89" s="387">
        <f t="shared" ref="G89:G91" si="20">IF(($E89=0),0,IF(($D89="ACT"),"0",(VLOOKUP($D89,$D$10:$H$13,4,FALSE)*$E89)))</f>
        <v>747.77382245708657</v>
      </c>
      <c r="H89" s="388">
        <f t="shared" ref="H89:H91" si="21">IF(($E89=0),0,IF(($D89="ACT"),"0",(VLOOKUP($D89,$D$10:$H$13,5,FALSE)*$E89)))</f>
        <v>71.337467675110503</v>
      </c>
      <c r="I89" s="369">
        <f t="shared" si="8"/>
        <v>0</v>
      </c>
    </row>
    <row r="90" spans="1:9">
      <c r="A90" s="363">
        <v>4180</v>
      </c>
      <c r="B90" s="399">
        <v>52182</v>
      </c>
      <c r="C90" s="400" t="s">
        <v>589</v>
      </c>
      <c r="D90" s="371" t="s">
        <v>537</v>
      </c>
      <c r="E90" s="366">
        <v>4893.9604105339586</v>
      </c>
      <c r="F90" s="387">
        <f t="shared" si="19"/>
        <v>3900.5327313100588</v>
      </c>
      <c r="G90" s="387">
        <f t="shared" si="20"/>
        <v>906.90877048958419</v>
      </c>
      <c r="H90" s="388">
        <f t="shared" si="21"/>
        <v>86.518908734315517</v>
      </c>
      <c r="I90" s="369">
        <f t="shared" si="8"/>
        <v>0</v>
      </c>
    </row>
    <row r="91" spans="1:9">
      <c r="A91" s="363">
        <v>4180</v>
      </c>
      <c r="B91" s="399">
        <v>57176</v>
      </c>
      <c r="C91" s="400" t="s">
        <v>590</v>
      </c>
      <c r="D91" s="371" t="s">
        <v>537</v>
      </c>
      <c r="E91" s="366">
        <v>0</v>
      </c>
      <c r="F91" s="387">
        <f t="shared" si="19"/>
        <v>0</v>
      </c>
      <c r="G91" s="387">
        <f t="shared" si="20"/>
        <v>0</v>
      </c>
      <c r="H91" s="388">
        <f t="shared" si="21"/>
        <v>0</v>
      </c>
      <c r="I91" s="369">
        <f t="shared" si="8"/>
        <v>0</v>
      </c>
    </row>
    <row r="92" spans="1:9">
      <c r="B92" s="399"/>
      <c r="C92" s="400"/>
      <c r="D92" s="371"/>
      <c r="E92" s="366"/>
      <c r="F92" s="387"/>
      <c r="G92" s="387"/>
      <c r="H92" s="387"/>
      <c r="I92" s="369">
        <f t="shared" si="8"/>
        <v>0</v>
      </c>
    </row>
    <row r="93" spans="1:9">
      <c r="A93" s="409"/>
      <c r="B93" s="402"/>
      <c r="C93" s="410" t="s">
        <v>591</v>
      </c>
      <c r="D93" s="406"/>
      <c r="E93" s="385">
        <f>SUM(E89:E92)</f>
        <v>8929.1793897958432</v>
      </c>
      <c r="F93" s="407">
        <f>SUM(F89:F92)</f>
        <v>7116.6404204397459</v>
      </c>
      <c r="G93" s="407">
        <f>SUM(G89:G92)</f>
        <v>1654.6825929466709</v>
      </c>
      <c r="H93" s="407">
        <f>SUM(H89:H92)</f>
        <v>157.85637640942602</v>
      </c>
      <c r="I93" s="369">
        <f t="shared" si="8"/>
        <v>4.8316906031686813E-13</v>
      </c>
    </row>
    <row r="94" spans="1:9">
      <c r="A94" s="408"/>
      <c r="B94" s="411"/>
      <c r="C94" s="408"/>
      <c r="D94" s="371"/>
      <c r="E94" s="366"/>
      <c r="F94" s="387"/>
      <c r="G94" s="387"/>
      <c r="H94" s="387"/>
      <c r="I94" s="369">
        <f t="shared" si="8"/>
        <v>0</v>
      </c>
    </row>
    <row r="95" spans="1:9">
      <c r="A95" s="409"/>
      <c r="B95" s="402"/>
      <c r="C95" s="412" t="s">
        <v>592</v>
      </c>
      <c r="D95" s="413"/>
      <c r="E95" s="375">
        <f>E93+E87+E83+E72+E68</f>
        <v>681178.61966234166</v>
      </c>
      <c r="F95" s="414">
        <f>F93+F87+F83+F72+F68</f>
        <v>538030.76515063306</v>
      </c>
      <c r="G95" s="414">
        <f>G93+G87+G83+G72+G68</f>
        <v>131161.1206039805</v>
      </c>
      <c r="H95" s="414">
        <f>H93+H87+H83+H72+H68</f>
        <v>11986.733907728043</v>
      </c>
      <c r="I95" s="369">
        <f t="shared" si="8"/>
        <v>6.3664629124104977E-11</v>
      </c>
    </row>
    <row r="96" spans="1:9">
      <c r="B96" s="402"/>
      <c r="C96" s="400"/>
      <c r="D96" s="371"/>
      <c r="E96" s="366"/>
      <c r="F96" s="387"/>
      <c r="G96" s="387"/>
      <c r="H96" s="387"/>
      <c r="I96" s="369">
        <f t="shared" si="8"/>
        <v>0</v>
      </c>
    </row>
    <row r="97" spans="1:9">
      <c r="A97" s="363">
        <v>4210</v>
      </c>
      <c r="B97" s="399">
        <v>56010</v>
      </c>
      <c r="C97" s="400" t="s">
        <v>593</v>
      </c>
      <c r="D97" s="371" t="s">
        <v>537</v>
      </c>
      <c r="E97" s="366">
        <v>91962.821254557814</v>
      </c>
      <c r="F97" s="387">
        <f t="shared" ref="F97:F99" si="22">IF(($E97=0),0,IF(($D97="ACT"),"0",(VLOOKUP($D97,$D$10:$H$13,3,FALSE)*$E97)))</f>
        <v>73295.238268566725</v>
      </c>
      <c r="G97" s="387">
        <f t="shared" ref="G97:G99" si="23">IF(($E97=0),0,IF(($D97="ACT"),"0",(VLOOKUP($D97,$D$10:$H$13,4,FALSE)*$E97)))</f>
        <v>17041.798902828643</v>
      </c>
      <c r="H97" s="388">
        <f t="shared" ref="H97:H99" si="24">IF(($E97=0),0,IF(($D97="ACT"),"0",(VLOOKUP($D97,$D$10:$H$13,5,FALSE)*$E97)))</f>
        <v>1625.7840831624458</v>
      </c>
      <c r="I97" s="369">
        <f t="shared" si="8"/>
        <v>0</v>
      </c>
    </row>
    <row r="98" spans="1:9">
      <c r="A98" s="363">
        <v>4210</v>
      </c>
      <c r="B98" s="399">
        <v>56036</v>
      </c>
      <c r="C98" s="400" t="s">
        <v>569</v>
      </c>
      <c r="D98" s="371" t="s">
        <v>537</v>
      </c>
      <c r="E98" s="366">
        <v>1015.0767915239878</v>
      </c>
      <c r="F98" s="387">
        <f t="shared" si="22"/>
        <v>809.02580282632994</v>
      </c>
      <c r="G98" s="387">
        <f t="shared" si="23"/>
        <v>188.10574008159807</v>
      </c>
      <c r="H98" s="388">
        <f t="shared" si="24"/>
        <v>17.945248616059747</v>
      </c>
      <c r="I98" s="369">
        <f t="shared" si="8"/>
        <v>6.7501559897209518E-14</v>
      </c>
    </row>
    <row r="99" spans="1:9">
      <c r="A99" s="363">
        <v>4210</v>
      </c>
      <c r="B99" s="402">
        <v>56065</v>
      </c>
      <c r="C99" s="400" t="s">
        <v>570</v>
      </c>
      <c r="D99" s="371" t="s">
        <v>537</v>
      </c>
      <c r="E99" s="366">
        <v>268.96376958700932</v>
      </c>
      <c r="F99" s="387">
        <f t="shared" si="22"/>
        <v>214.36666805733392</v>
      </c>
      <c r="G99" s="387">
        <f t="shared" si="23"/>
        <v>49.84216894304317</v>
      </c>
      <c r="H99" s="388">
        <f t="shared" si="24"/>
        <v>4.7549325866322221</v>
      </c>
      <c r="I99" s="369">
        <f t="shared" si="8"/>
        <v>7.1054273576010019E-15</v>
      </c>
    </row>
    <row r="100" spans="1:9">
      <c r="B100" s="402"/>
      <c r="C100" s="400"/>
      <c r="D100" s="371"/>
      <c r="E100" s="366"/>
      <c r="F100" s="387"/>
      <c r="G100" s="387"/>
      <c r="H100" s="387"/>
      <c r="I100" s="369">
        <f t="shared" si="8"/>
        <v>0</v>
      </c>
    </row>
    <row r="101" spans="1:9">
      <c r="A101" s="409"/>
      <c r="B101" s="402"/>
      <c r="C101" s="410" t="s">
        <v>594</v>
      </c>
      <c r="D101" s="406"/>
      <c r="E101" s="385">
        <f>SUM(E97:E100)</f>
        <v>93246.861815668803</v>
      </c>
      <c r="F101" s="407">
        <f>SUM(F97:F100)</f>
        <v>74318.630739450397</v>
      </c>
      <c r="G101" s="407">
        <f>SUM(G97:G100)</f>
        <v>17279.746811853285</v>
      </c>
      <c r="H101" s="407">
        <f>SUM(H97:H100)</f>
        <v>1648.4842643651377</v>
      </c>
      <c r="I101" s="369">
        <f t="shared" si="8"/>
        <v>-1.6825651982799172E-11</v>
      </c>
    </row>
    <row r="102" spans="1:9">
      <c r="A102" s="408"/>
      <c r="B102" s="402"/>
      <c r="C102" s="400"/>
      <c r="D102" s="371"/>
      <c r="E102" s="366"/>
      <c r="F102" s="387"/>
      <c r="G102" s="387"/>
      <c r="H102" s="387"/>
      <c r="I102" s="369">
        <f t="shared" si="8"/>
        <v>0</v>
      </c>
    </row>
    <row r="103" spans="1:9">
      <c r="A103" s="363">
        <v>4213</v>
      </c>
      <c r="B103" s="399">
        <v>50020</v>
      </c>
      <c r="C103" s="400" t="s">
        <v>573</v>
      </c>
      <c r="D103" s="371" t="s">
        <v>537</v>
      </c>
      <c r="E103" s="366">
        <v>671481.06225624168</v>
      </c>
      <c r="F103" s="387">
        <f t="shared" ref="F103:F109" si="25">IF(($E103=0),0,IF(($D103="ACT"),"0",(VLOOKUP($D103,$D$10:$H$13,3,FALSE)*$E103)))</f>
        <v>535176.75707956043</v>
      </c>
      <c r="G103" s="387">
        <f t="shared" ref="G103:G109" si="26">IF(($E103=0),0,IF(($D103="ACT"),"0",(VLOOKUP($D103,$D$10:$H$13,4,FALSE)*$E103)))</f>
        <v>124433.38594792716</v>
      </c>
      <c r="H103" s="388">
        <f t="shared" ref="H103:H109" si="27">IF(($E103=0),0,IF(($D103="ACT"),"0",(VLOOKUP($D103,$D$10:$H$13,5,FALSE)*$E103)))</f>
        <v>11870.919228754126</v>
      </c>
      <c r="I103" s="369">
        <f t="shared" si="8"/>
        <v>-3.2741809263825417E-11</v>
      </c>
    </row>
    <row r="104" spans="1:9">
      <c r="A104" s="363">
        <v>4213</v>
      </c>
      <c r="B104" s="399">
        <v>50020.1</v>
      </c>
      <c r="C104" s="400" t="s">
        <v>595</v>
      </c>
      <c r="D104" s="371" t="s">
        <v>541</v>
      </c>
      <c r="E104" s="366">
        <v>4663.8315180234622</v>
      </c>
      <c r="F104" s="387" t="str">
        <f t="shared" si="25"/>
        <v>0</v>
      </c>
      <c r="G104" s="387">
        <f>+E104</f>
        <v>4663.8315180234622</v>
      </c>
      <c r="H104" s="388" t="str">
        <f t="shared" si="27"/>
        <v>0</v>
      </c>
      <c r="I104" s="369">
        <f t="shared" si="8"/>
        <v>0</v>
      </c>
    </row>
    <row r="105" spans="1:9">
      <c r="A105" s="363">
        <v>4213</v>
      </c>
      <c r="B105" s="399">
        <v>50025</v>
      </c>
      <c r="C105" s="400" t="s">
        <v>596</v>
      </c>
      <c r="D105" s="371" t="s">
        <v>537</v>
      </c>
      <c r="E105" s="366">
        <v>161603.3742043988</v>
      </c>
      <c r="F105" s="387">
        <f t="shared" si="25"/>
        <v>128799.41758777562</v>
      </c>
      <c r="G105" s="387">
        <f t="shared" si="26"/>
        <v>29947.017366797423</v>
      </c>
      <c r="H105" s="388">
        <f t="shared" si="27"/>
        <v>2856.9392498257521</v>
      </c>
      <c r="I105" s="369">
        <f t="shared" si="8"/>
        <v>6.3664629124104977E-12</v>
      </c>
    </row>
    <row r="106" spans="1:9">
      <c r="A106" s="363">
        <v>4213</v>
      </c>
      <c r="B106" s="399">
        <v>50035</v>
      </c>
      <c r="C106" s="400" t="s">
        <v>597</v>
      </c>
      <c r="D106" s="371" t="s">
        <v>537</v>
      </c>
      <c r="E106" s="366">
        <v>4477.6165137224798</v>
      </c>
      <c r="F106" s="387">
        <f t="shared" si="25"/>
        <v>3568.7027080228113</v>
      </c>
      <c r="G106" s="387">
        <f t="shared" si="26"/>
        <v>829.75532013771601</v>
      </c>
      <c r="H106" s="388">
        <f t="shared" si="27"/>
        <v>79.158485561952446</v>
      </c>
      <c r="I106" s="369">
        <f t="shared" si="8"/>
        <v>0</v>
      </c>
    </row>
    <row r="107" spans="1:9">
      <c r="A107" s="363">
        <v>4213</v>
      </c>
      <c r="B107" s="399">
        <v>50036</v>
      </c>
      <c r="C107" s="400" t="s">
        <v>569</v>
      </c>
      <c r="D107" s="371" t="s">
        <v>537</v>
      </c>
      <c r="E107" s="366">
        <v>10425.790565409186</v>
      </c>
      <c r="F107" s="387">
        <f t="shared" si="25"/>
        <v>8309.4536814459498</v>
      </c>
      <c r="G107" s="387">
        <f t="shared" si="26"/>
        <v>1932.0223520209336</v>
      </c>
      <c r="H107" s="388">
        <f t="shared" si="27"/>
        <v>184.31453194230249</v>
      </c>
      <c r="I107" s="369">
        <f t="shared" si="8"/>
        <v>6.2527760746888816E-13</v>
      </c>
    </row>
    <row r="108" spans="1:9">
      <c r="A108" s="363">
        <v>4213</v>
      </c>
      <c r="B108" s="399">
        <v>50065</v>
      </c>
      <c r="C108" s="400" t="s">
        <v>570</v>
      </c>
      <c r="D108" s="371" t="s">
        <v>537</v>
      </c>
      <c r="E108" s="366">
        <v>37743.848469118806</v>
      </c>
      <c r="F108" s="387">
        <f t="shared" si="25"/>
        <v>30082.204188354335</v>
      </c>
      <c r="G108" s="387">
        <f t="shared" si="26"/>
        <v>6994.3817148571916</v>
      </c>
      <c r="H108" s="388">
        <f t="shared" si="27"/>
        <v>667.26256590727792</v>
      </c>
      <c r="I108" s="369">
        <f t="shared" si="8"/>
        <v>1.2505552149377763E-12</v>
      </c>
    </row>
    <row r="109" spans="1:9">
      <c r="A109" s="363">
        <v>4213</v>
      </c>
      <c r="B109" s="399">
        <v>50070</v>
      </c>
      <c r="C109" s="400" t="s">
        <v>571</v>
      </c>
      <c r="D109" s="371" t="s">
        <v>537</v>
      </c>
      <c r="E109" s="366">
        <v>25815.017908416638</v>
      </c>
      <c r="F109" s="387">
        <f t="shared" si="25"/>
        <v>20574.813415817625</v>
      </c>
      <c r="G109" s="387">
        <f t="shared" si="26"/>
        <v>4783.8282674081474</v>
      </c>
      <c r="H109" s="388">
        <f t="shared" si="27"/>
        <v>456.37622519086409</v>
      </c>
      <c r="I109" s="369">
        <f t="shared" si="8"/>
        <v>6.2527760746888816E-13</v>
      </c>
    </row>
    <row r="110" spans="1:9">
      <c r="B110" s="399"/>
      <c r="C110" s="400"/>
      <c r="D110" s="371"/>
      <c r="E110" s="366"/>
      <c r="F110" s="387"/>
      <c r="G110" s="387"/>
      <c r="H110" s="387"/>
      <c r="I110" s="369">
        <f t="shared" si="8"/>
        <v>0</v>
      </c>
    </row>
    <row r="111" spans="1:9">
      <c r="A111" s="409"/>
      <c r="B111" s="402"/>
      <c r="C111" s="410" t="s">
        <v>598</v>
      </c>
      <c r="D111" s="406"/>
      <c r="E111" s="385">
        <f>SUM(E103:E110)</f>
        <v>916210.54143533122</v>
      </c>
      <c r="F111" s="386">
        <f t="shared" ref="F111:H111" si="28">SUM(F103:F110)</f>
        <v>726511.34866097663</v>
      </c>
      <c r="G111" s="386">
        <f t="shared" si="28"/>
        <v>173584.22248717202</v>
      </c>
      <c r="H111" s="386">
        <f t="shared" si="28"/>
        <v>16114.970287182276</v>
      </c>
      <c r="I111" s="369">
        <f t="shared" si="8"/>
        <v>2.9649527277797461E-10</v>
      </c>
    </row>
    <row r="112" spans="1:9">
      <c r="A112" s="408"/>
      <c r="B112" s="402"/>
      <c r="C112" s="400"/>
      <c r="D112" s="371"/>
      <c r="E112" s="366"/>
      <c r="F112" s="387"/>
      <c r="G112" s="387"/>
      <c r="H112" s="387"/>
      <c r="I112" s="369">
        <f t="shared" si="8"/>
        <v>0</v>
      </c>
    </row>
    <row r="113" spans="1:9">
      <c r="A113" s="363">
        <v>4240</v>
      </c>
      <c r="B113" s="399">
        <v>52142</v>
      </c>
      <c r="C113" s="400" t="s">
        <v>599</v>
      </c>
      <c r="D113" s="371" t="s">
        <v>537</v>
      </c>
      <c r="E113" s="366">
        <v>314900.59157347231</v>
      </c>
      <c r="F113" s="387">
        <f t="shared" ref="F113:F115" si="29">IF(($E113=0),0,IF(($D113="ACT"),"0",(VLOOKUP($D113,$D$10:$H$13,3,FALSE)*$E113)))</f>
        <v>250978.74962319463</v>
      </c>
      <c r="G113" s="387">
        <f t="shared" ref="G113:G115" si="30">IF(($E113=0),0,IF(($D113="ACT"),"0",(VLOOKUP($D113,$D$10:$H$13,4,FALSE)*$E113)))</f>
        <v>58354.805591731674</v>
      </c>
      <c r="H113" s="388">
        <f t="shared" ref="H113:H115" si="31">IF(($E113=0),0,IF(($D113="ACT"),"0",(VLOOKUP($D113,$D$10:$H$13,5,FALSE)*$E113)))</f>
        <v>5567.0363585459918</v>
      </c>
      <c r="I113" s="369">
        <f t="shared" si="8"/>
        <v>1.546140993013978E-11</v>
      </c>
    </row>
    <row r="114" spans="1:9">
      <c r="A114" s="363">
        <v>4240</v>
      </c>
      <c r="B114" s="399">
        <v>52144</v>
      </c>
      <c r="C114" s="400" t="s">
        <v>600</v>
      </c>
      <c r="D114" s="371" t="s">
        <v>537</v>
      </c>
      <c r="E114" s="366">
        <v>2950.2507670521663</v>
      </c>
      <c r="F114" s="387">
        <f t="shared" si="29"/>
        <v>2351.3777630260897</v>
      </c>
      <c r="G114" s="387">
        <f t="shared" si="30"/>
        <v>546.71637515173711</v>
      </c>
      <c r="H114" s="388">
        <f t="shared" si="31"/>
        <v>52.156628874339674</v>
      </c>
      <c r="I114" s="369">
        <f t="shared" si="8"/>
        <v>-1.7053025658242404E-13</v>
      </c>
    </row>
    <row r="115" spans="1:9">
      <c r="A115" s="363">
        <v>4240</v>
      </c>
      <c r="B115" s="399">
        <v>52146</v>
      </c>
      <c r="C115" s="400" t="s">
        <v>601</v>
      </c>
      <c r="D115" s="371" t="s">
        <v>537</v>
      </c>
      <c r="E115" s="366">
        <v>24111.92206759769</v>
      </c>
      <c r="F115" s="387">
        <f t="shared" si="29"/>
        <v>19217.429923835611</v>
      </c>
      <c r="G115" s="387">
        <f t="shared" si="30"/>
        <v>4468.2244566992422</v>
      </c>
      <c r="H115" s="388">
        <f t="shared" si="31"/>
        <v>426.26768706283906</v>
      </c>
      <c r="I115" s="369">
        <f t="shared" si="8"/>
        <v>-1.5916157281026244E-12</v>
      </c>
    </row>
    <row r="116" spans="1:9">
      <c r="B116" s="399"/>
      <c r="C116" s="400"/>
      <c r="D116" s="371"/>
      <c r="E116" s="366"/>
      <c r="F116" s="387"/>
      <c r="G116" s="387"/>
      <c r="H116" s="387"/>
      <c r="I116" s="369">
        <f t="shared" si="8"/>
        <v>0</v>
      </c>
    </row>
    <row r="117" spans="1:9">
      <c r="A117" s="409"/>
      <c r="B117" s="402"/>
      <c r="C117" s="410" t="s">
        <v>602</v>
      </c>
      <c r="D117" s="406"/>
      <c r="E117" s="385">
        <f>SUM(E113:E116)</f>
        <v>341962.76440812217</v>
      </c>
      <c r="F117" s="407">
        <f>SUM(F113:F116)</f>
        <v>272547.55731005635</v>
      </c>
      <c r="G117" s="407">
        <f>SUM(G113:G116)</f>
        <v>63369.746423582656</v>
      </c>
      <c r="H117" s="407">
        <f>SUM(H113:H116)</f>
        <v>6045.4606744831708</v>
      </c>
      <c r="I117" s="369">
        <f t="shared" si="8"/>
        <v>-9.0949470177292824E-12</v>
      </c>
    </row>
    <row r="118" spans="1:9">
      <c r="A118" s="408"/>
      <c r="B118" s="411"/>
      <c r="C118" s="408"/>
      <c r="D118" s="371"/>
      <c r="E118" s="366"/>
      <c r="F118" s="387"/>
      <c r="G118" s="387"/>
      <c r="H118" s="387"/>
      <c r="I118" s="369">
        <f t="shared" si="8"/>
        <v>0</v>
      </c>
    </row>
    <row r="119" spans="1:9">
      <c r="A119" s="363">
        <v>4260</v>
      </c>
      <c r="B119" s="399">
        <v>41121</v>
      </c>
      <c r="C119" s="415" t="s">
        <v>603</v>
      </c>
      <c r="D119" s="371" t="s">
        <v>541</v>
      </c>
      <c r="E119" s="366">
        <v>-33265.239404704691</v>
      </c>
      <c r="F119" s="387">
        <v>2587.0381659181189</v>
      </c>
      <c r="G119" s="387">
        <f>E119-F119</f>
        <v>-35852.277570622813</v>
      </c>
      <c r="H119" s="388" t="str">
        <f t="shared" ref="H119" si="32">IF(($E119=0),0,IF(($D119="ACT"),"0",(VLOOKUP($D119,$D$10:$H$13,5,FALSE)*$E119)))</f>
        <v>0</v>
      </c>
      <c r="I119" s="369">
        <f>E119-F119-G119-H119</f>
        <v>0</v>
      </c>
    </row>
    <row r="120" spans="1:9">
      <c r="B120" s="399"/>
      <c r="C120" s="415"/>
      <c r="D120" s="371"/>
      <c r="E120" s="366"/>
      <c r="F120" s="387"/>
      <c r="G120" s="387"/>
      <c r="H120" s="387"/>
      <c r="I120" s="369">
        <f t="shared" si="8"/>
        <v>0</v>
      </c>
    </row>
    <row r="121" spans="1:9">
      <c r="A121" s="409"/>
      <c r="B121" s="402"/>
      <c r="C121" s="410" t="s">
        <v>604</v>
      </c>
      <c r="D121" s="406"/>
      <c r="E121" s="385">
        <f>SUM(E119:E120)</f>
        <v>-33265.239404704691</v>
      </c>
      <c r="F121" s="407">
        <f>SUM(F119:F120)</f>
        <v>2587.0381659181189</v>
      </c>
      <c r="G121" s="407">
        <f>SUM(G119:G120)</f>
        <v>-35852.277570622813</v>
      </c>
      <c r="H121" s="407">
        <f>SUM(H119:H120)</f>
        <v>0</v>
      </c>
      <c r="I121" s="369">
        <f t="shared" si="8"/>
        <v>0</v>
      </c>
    </row>
    <row r="122" spans="1:9">
      <c r="A122" s="408"/>
      <c r="B122" s="402"/>
      <c r="C122" s="400"/>
      <c r="D122" s="371"/>
      <c r="E122" s="366"/>
      <c r="F122" s="387"/>
      <c r="G122" s="387"/>
      <c r="H122" s="387"/>
      <c r="I122" s="369">
        <f t="shared" si="8"/>
        <v>0</v>
      </c>
    </row>
    <row r="123" spans="1:9">
      <c r="A123" s="363">
        <v>4280</v>
      </c>
      <c r="B123" s="402">
        <v>50045</v>
      </c>
      <c r="C123" s="400" t="s">
        <v>572</v>
      </c>
      <c r="D123" s="371" t="s">
        <v>539</v>
      </c>
      <c r="E123" s="366">
        <v>20495.236655707053</v>
      </c>
      <c r="F123" s="387">
        <f t="shared" ref="F123:F127" si="33">IF(($E123=0),0,IF(($D123="ACT"),"0",(VLOOKUP($D123,$D$10:$H$13,3,FALSE)*$E123)))</f>
        <v>11089.524478315045</v>
      </c>
      <c r="G123" s="387">
        <f t="shared" ref="G123:G127" si="34">IF(($E123=0),0,IF(($D123="ACT"),"0",(VLOOKUP($D123,$D$10:$H$13,4,FALSE)*$E123)))</f>
        <v>9103.234099545587</v>
      </c>
      <c r="H123" s="388">
        <f t="shared" ref="H123:H127" si="35">IF(($E123=0),0,IF(($D123="ACT"),"0",(VLOOKUP($D123,$D$10:$H$13,5,FALSE)*$E123)))</f>
        <v>302.47807784641907</v>
      </c>
      <c r="I123" s="369">
        <f t="shared" si="8"/>
        <v>1.9326762412674725E-12</v>
      </c>
    </row>
    <row r="124" spans="1:9">
      <c r="A124" s="363">
        <v>4280</v>
      </c>
      <c r="B124" s="402">
        <v>55045</v>
      </c>
      <c r="C124" s="400" t="s">
        <v>572</v>
      </c>
      <c r="D124" s="371" t="s">
        <v>541</v>
      </c>
      <c r="E124" s="366">
        <v>0</v>
      </c>
      <c r="F124" s="387">
        <f t="shared" si="33"/>
        <v>0</v>
      </c>
      <c r="G124" s="387">
        <f t="shared" si="34"/>
        <v>0</v>
      </c>
      <c r="H124" s="388">
        <f t="shared" si="35"/>
        <v>0</v>
      </c>
      <c r="I124" s="369">
        <f t="shared" si="8"/>
        <v>0</v>
      </c>
    </row>
    <row r="125" spans="1:9">
      <c r="A125" s="363">
        <v>4280</v>
      </c>
      <c r="B125" s="399">
        <v>57125</v>
      </c>
      <c r="C125" s="400" t="s">
        <v>581</v>
      </c>
      <c r="D125" s="371" t="s">
        <v>537</v>
      </c>
      <c r="E125" s="366">
        <v>3216.2053978838576</v>
      </c>
      <c r="F125" s="387">
        <f t="shared" si="33"/>
        <v>2563.3461190368225</v>
      </c>
      <c r="G125" s="387">
        <f t="shared" si="34"/>
        <v>596.00091507862714</v>
      </c>
      <c r="H125" s="388">
        <f t="shared" si="35"/>
        <v>56.858363768407841</v>
      </c>
      <c r="I125" s="369">
        <f t="shared" si="8"/>
        <v>7.1054273576010019E-14</v>
      </c>
    </row>
    <row r="126" spans="1:9">
      <c r="A126" s="363">
        <v>4280</v>
      </c>
      <c r="B126" s="399">
        <v>57255</v>
      </c>
      <c r="C126" s="400" t="s">
        <v>605</v>
      </c>
      <c r="D126" s="371" t="s">
        <v>537</v>
      </c>
      <c r="E126" s="366">
        <v>2391.3043711149903</v>
      </c>
      <c r="F126" s="387">
        <f t="shared" si="33"/>
        <v>1905.8921992875639</v>
      </c>
      <c r="G126" s="387">
        <f t="shared" si="34"/>
        <v>443.13699440769437</v>
      </c>
      <c r="H126" s="388">
        <f t="shared" si="35"/>
        <v>42.27517741973201</v>
      </c>
      <c r="I126" s="369">
        <f t="shared" si="8"/>
        <v>0</v>
      </c>
    </row>
    <row r="127" spans="1:9">
      <c r="A127" s="363">
        <v>4280</v>
      </c>
      <c r="B127" s="399">
        <v>50090</v>
      </c>
      <c r="C127" s="400" t="s">
        <v>588</v>
      </c>
      <c r="D127" s="371" t="s">
        <v>537</v>
      </c>
      <c r="E127" s="366">
        <v>5153.8155577116931</v>
      </c>
      <c r="F127" s="387">
        <f t="shared" si="33"/>
        <v>4107.6397411633652</v>
      </c>
      <c r="G127" s="387">
        <f t="shared" si="34"/>
        <v>955.063003924962</v>
      </c>
      <c r="H127" s="388">
        <f t="shared" si="35"/>
        <v>91.112812623366295</v>
      </c>
      <c r="I127" s="369">
        <f t="shared" si="8"/>
        <v>-3.694822225952521E-13</v>
      </c>
    </row>
    <row r="128" spans="1:9">
      <c r="B128" s="402"/>
      <c r="C128" s="400"/>
      <c r="D128" s="371"/>
      <c r="E128" s="366"/>
      <c r="F128" s="387"/>
      <c r="G128" s="387"/>
      <c r="H128" s="387"/>
      <c r="I128" s="369">
        <f t="shared" si="8"/>
        <v>0</v>
      </c>
    </row>
    <row r="129" spans="1:10">
      <c r="A129" s="409"/>
      <c r="B129" s="402"/>
      <c r="C129" s="410" t="s">
        <v>606</v>
      </c>
      <c r="D129" s="406"/>
      <c r="E129" s="385">
        <f>SUM(E123:E128)</f>
        <v>31256.561982417592</v>
      </c>
      <c r="F129" s="407">
        <f>SUM(F123:F128)</f>
        <v>19666.402537802795</v>
      </c>
      <c r="G129" s="407">
        <f>SUM(G123:G128)</f>
        <v>11097.43501295687</v>
      </c>
      <c r="H129" s="407">
        <f>SUM(H123:H128)</f>
        <v>492.72443165792527</v>
      </c>
      <c r="I129" s="369">
        <f t="shared" si="8"/>
        <v>1.9326762412674725E-12</v>
      </c>
    </row>
    <row r="130" spans="1:10">
      <c r="A130" s="408"/>
      <c r="B130" s="411"/>
      <c r="C130" s="408"/>
      <c r="D130" s="371"/>
      <c r="E130" s="366"/>
      <c r="F130" s="387">
        <f>IF(($E130=0),0,IF(($D130="ACT"),"0",(VLOOKUP($D130,$D$10:$H$13,3,FALSE)*$E130)))</f>
        <v>0</v>
      </c>
      <c r="G130" s="387">
        <f>IF(($E130=0),0,IF(($D130="ACT"),"0",(VLOOKUP($D130,$D$10:$H$13,4,FALSE)*$E130)))</f>
        <v>0</v>
      </c>
      <c r="H130" s="387"/>
      <c r="I130" s="369">
        <f t="shared" si="8"/>
        <v>0</v>
      </c>
    </row>
    <row r="131" spans="1:10">
      <c r="A131" s="409"/>
      <c r="B131" s="402"/>
      <c r="C131" s="412" t="s">
        <v>607</v>
      </c>
      <c r="D131" s="413"/>
      <c r="E131" s="375">
        <f>E129+E121+E117+E111+E101</f>
        <v>1349411.4902368351</v>
      </c>
      <c r="F131" s="414">
        <f>F129+F121+F117+F111+F101</f>
        <v>1095630.9774142043</v>
      </c>
      <c r="G131" s="414">
        <f>G129+G121+G117+G111+G101</f>
        <v>229478.87316494202</v>
      </c>
      <c r="H131" s="414">
        <f>H129+H121+H117+H111+H101</f>
        <v>24301.639657688513</v>
      </c>
      <c r="I131" s="369">
        <f t="shared" si="8"/>
        <v>2.801243681460619E-10</v>
      </c>
    </row>
    <row r="132" spans="1:10">
      <c r="A132" s="408"/>
      <c r="B132" s="402"/>
      <c r="C132" s="400"/>
      <c r="D132" s="371"/>
      <c r="E132" s="366"/>
      <c r="F132" s="387"/>
      <c r="G132" s="387"/>
      <c r="H132" s="387"/>
      <c r="I132" s="369">
        <f t="shared" ref="I132:I209" si="36">E132-F132-G132-H132</f>
        <v>0</v>
      </c>
    </row>
    <row r="133" spans="1:10">
      <c r="A133" s="363">
        <v>4360</v>
      </c>
      <c r="B133" s="399">
        <v>40101</v>
      </c>
      <c r="C133" s="400" t="s">
        <v>608</v>
      </c>
      <c r="D133" s="371" t="s">
        <v>541</v>
      </c>
      <c r="E133" s="366">
        <v>0</v>
      </c>
      <c r="F133" s="387">
        <f>E133</f>
        <v>0</v>
      </c>
      <c r="G133" s="387">
        <f>IF(($E133=0),0,IF(($D133="ACT"),"0",(VLOOKUP($D133,$D$10:$H$13,4,FALSE)*$E133)))</f>
        <v>0</v>
      </c>
      <c r="H133" s="388">
        <f>IF(($E133=0),0,IF(($D133="ACT"),"0",(VLOOKUP($D133,$D$10:$H$13,5,FALSE)*$E133)))</f>
        <v>0</v>
      </c>
      <c r="I133" s="369">
        <f t="shared" si="36"/>
        <v>0</v>
      </c>
      <c r="J133" s="408"/>
    </row>
    <row r="134" spans="1:10">
      <c r="A134" s="363">
        <v>4360</v>
      </c>
      <c r="B134" s="399">
        <v>40109</v>
      </c>
      <c r="C134" s="400" t="s">
        <v>609</v>
      </c>
      <c r="D134" s="371" t="s">
        <v>541</v>
      </c>
      <c r="E134" s="366">
        <v>0</v>
      </c>
      <c r="F134" s="387">
        <f>E134</f>
        <v>0</v>
      </c>
      <c r="G134" s="387">
        <f>IF(($E134=0),0,IF(($D134="ACT"),"0",(VLOOKUP($D134,$D$10:$H$13,4,FALSE)*$E134)))</f>
        <v>0</v>
      </c>
      <c r="H134" s="388">
        <f>IF(($E134=0),0,IF(($D134="ACT"),"0",(VLOOKUP($D134,$D$10:$H$13,5,FALSE)*$E134)))</f>
        <v>0</v>
      </c>
      <c r="I134" s="369">
        <f t="shared" si="36"/>
        <v>0</v>
      </c>
      <c r="J134" s="408"/>
    </row>
    <row r="135" spans="1:10">
      <c r="A135" s="363">
        <v>4360</v>
      </c>
      <c r="B135" s="399">
        <v>40122</v>
      </c>
      <c r="C135" s="400" t="s">
        <v>610</v>
      </c>
      <c r="D135" s="371" t="s">
        <v>541</v>
      </c>
      <c r="E135" s="366" t="s">
        <v>805</v>
      </c>
      <c r="F135" s="387" t="str">
        <f>IF(($E135=0),0,IF(($D135="ACT"),"0",(VLOOKUP($D135,$D$10:$H$13,3,FALSE)*$E135)))</f>
        <v>0</v>
      </c>
      <c r="G135" s="387" t="str">
        <f>E135</f>
        <v>0</v>
      </c>
      <c r="H135" s="388" t="str">
        <f>IF(($E135=0),0,IF(($D135="ACT"),"0",(VLOOKUP($D135,$D$10:$H$13,5,FALSE)*$E135)))</f>
        <v>0</v>
      </c>
      <c r="I135" s="369">
        <f t="shared" si="36"/>
        <v>0</v>
      </c>
      <c r="J135" s="408"/>
    </row>
    <row r="136" spans="1:10">
      <c r="A136" s="416">
        <v>4360</v>
      </c>
      <c r="B136" s="417">
        <v>40131</v>
      </c>
      <c r="C136" s="418" t="s">
        <v>611</v>
      </c>
      <c r="D136" s="419" t="s">
        <v>541</v>
      </c>
      <c r="E136" s="420">
        <v>1715919.5610569925</v>
      </c>
      <c r="F136" s="387">
        <f>+E136</f>
        <v>1715919.5610569925</v>
      </c>
      <c r="G136" s="387" t="str">
        <f t="shared" ref="G136:G137" si="37">IF(($E136=0),0,IF(($D136="ACT"),"0",(VLOOKUP($D136,$D$10:$H$13,4,FALSE)*$E136)))</f>
        <v>0</v>
      </c>
      <c r="H136" s="388" t="str">
        <f t="shared" ref="H136:H140" si="38">IF(($E136=0),0,IF(($D136="ACT"),"0",(VLOOKUP($D136,$D$10:$H$13,5,FALSE)*$E136)))</f>
        <v>0</v>
      </c>
      <c r="I136" s="369">
        <f t="shared" si="36"/>
        <v>0</v>
      </c>
    </row>
    <row r="137" spans="1:10">
      <c r="A137" s="363">
        <v>4360</v>
      </c>
      <c r="B137" s="399">
        <v>40139</v>
      </c>
      <c r="C137" s="400" t="s">
        <v>612</v>
      </c>
      <c r="D137" s="371" t="s">
        <v>541</v>
      </c>
      <c r="E137" s="366">
        <v>13844.51883573747</v>
      </c>
      <c r="F137" s="387" t="str">
        <f t="shared" ref="F137:F140" si="39">IF(($E137=0),0,IF(($D137="ACT"),"0",(VLOOKUP($D137,$D$10:$H$13,3,FALSE)*$E137)))</f>
        <v>0</v>
      </c>
      <c r="G137" s="387" t="str">
        <f t="shared" si="37"/>
        <v>0</v>
      </c>
      <c r="H137" s="388">
        <f>+E137</f>
        <v>13844.51883573747</v>
      </c>
      <c r="I137" s="369">
        <f t="shared" si="36"/>
        <v>0</v>
      </c>
    </row>
    <row r="138" spans="1:10">
      <c r="A138" s="416"/>
      <c r="B138" s="417"/>
      <c r="C138" s="418" t="s">
        <v>549</v>
      </c>
      <c r="D138" s="419" t="s">
        <v>541</v>
      </c>
      <c r="E138" s="420">
        <v>614841.4</v>
      </c>
      <c r="F138" s="387">
        <f>E138</f>
        <v>614841.4</v>
      </c>
      <c r="G138" s="387" t="str">
        <f>IF(($E138=0),0,IF(($D138="ACT"),"0",(VLOOKUP($D138,$D$10:$H$13,4,FALSE)*$E138)))</f>
        <v>0</v>
      </c>
      <c r="H138" s="388" t="str">
        <f>IF(($E138=0),0,IF(($D138="ACT"),"0",(VLOOKUP($D138,$D$10:$H$13,5,FALSE)*$E138)))</f>
        <v>0</v>
      </c>
      <c r="I138" s="369">
        <f>E138-F138-G138-H138</f>
        <v>0</v>
      </c>
      <c r="J138" s="408"/>
    </row>
    <row r="139" spans="1:10">
      <c r="A139" s="363">
        <v>4360</v>
      </c>
      <c r="B139" s="399">
        <v>40861</v>
      </c>
      <c r="C139" s="400" t="s">
        <v>613</v>
      </c>
      <c r="D139" s="371" t="s">
        <v>541</v>
      </c>
      <c r="E139" s="366">
        <v>73742.29755805574</v>
      </c>
      <c r="F139" s="387" t="str">
        <f t="shared" si="39"/>
        <v>0</v>
      </c>
      <c r="G139" s="387">
        <f>+E139</f>
        <v>73742.29755805574</v>
      </c>
      <c r="H139" s="388" t="str">
        <f t="shared" si="38"/>
        <v>0</v>
      </c>
      <c r="I139" s="369">
        <f t="shared" si="36"/>
        <v>0</v>
      </c>
    </row>
    <row r="140" spans="1:10">
      <c r="A140" s="363">
        <v>4360</v>
      </c>
      <c r="B140" s="399">
        <v>40869</v>
      </c>
      <c r="C140" s="400" t="s">
        <v>614</v>
      </c>
      <c r="D140" s="371" t="s">
        <v>541</v>
      </c>
      <c r="E140" s="366" t="s">
        <v>805</v>
      </c>
      <c r="F140" s="387" t="str">
        <f t="shared" si="39"/>
        <v>0</v>
      </c>
      <c r="G140" s="387" t="str">
        <f>+E140</f>
        <v>0</v>
      </c>
      <c r="H140" s="388" t="str">
        <f t="shared" si="38"/>
        <v>0</v>
      </c>
      <c r="I140" s="369">
        <f t="shared" si="36"/>
        <v>0</v>
      </c>
    </row>
    <row r="141" spans="1:10">
      <c r="B141" s="399"/>
      <c r="C141" s="400"/>
      <c r="D141" s="371"/>
      <c r="E141" s="366"/>
      <c r="F141" s="387"/>
      <c r="G141" s="387"/>
      <c r="H141" s="387"/>
      <c r="I141" s="369">
        <f t="shared" si="36"/>
        <v>0</v>
      </c>
    </row>
    <row r="142" spans="1:10">
      <c r="A142" s="409"/>
      <c r="B142" s="402"/>
      <c r="C142" s="410" t="s">
        <v>615</v>
      </c>
      <c r="D142" s="406"/>
      <c r="E142" s="385">
        <f>SUM(E133:E141)</f>
        <v>2418347.7774507855</v>
      </c>
      <c r="F142" s="386">
        <f>SUM(F133:F141)</f>
        <v>2330760.9610569924</v>
      </c>
      <c r="G142" s="386">
        <f>SUM(G133:G141)</f>
        <v>73742.29755805574</v>
      </c>
      <c r="H142" s="386">
        <f>SUM(H133:H141)</f>
        <v>13844.51883573747</v>
      </c>
      <c r="I142" s="369">
        <f t="shared" si="36"/>
        <v>-1.1459633242338896E-10</v>
      </c>
    </row>
    <row r="143" spans="1:10">
      <c r="A143" s="408"/>
      <c r="B143" s="411"/>
      <c r="C143" s="408"/>
      <c r="D143" s="371"/>
      <c r="E143" s="366"/>
      <c r="F143" s="387"/>
      <c r="G143" s="387"/>
      <c r="H143" s="387"/>
      <c r="I143" s="369">
        <f t="shared" si="36"/>
        <v>0</v>
      </c>
    </row>
    <row r="144" spans="1:10">
      <c r="A144" s="363">
        <v>4365</v>
      </c>
      <c r="B144" s="399">
        <v>44169</v>
      </c>
      <c r="C144" s="415" t="s">
        <v>616</v>
      </c>
      <c r="D144" s="371" t="s">
        <v>541</v>
      </c>
      <c r="E144" s="366" t="s">
        <v>805</v>
      </c>
      <c r="F144" s="387" t="str">
        <f>IF(($E144=0),0,IF(($D144="ACT"),"0",(VLOOKUP($D144,$D$10:$H$13,3,FALSE)*$E144)))</f>
        <v>0</v>
      </c>
      <c r="G144" s="387" t="str">
        <f>E144</f>
        <v>0</v>
      </c>
      <c r="H144" s="388" t="str">
        <f>IF(($E144=0),0,IF(($D144="ACT"),"0",(VLOOKUP($D144,$D$10:$H$13,5,FALSE)*$E144)))</f>
        <v>0</v>
      </c>
      <c r="I144" s="369">
        <f t="shared" si="36"/>
        <v>0</v>
      </c>
    </row>
    <row r="145" spans="1:9">
      <c r="A145" s="363">
        <v>4365</v>
      </c>
      <c r="B145" s="421">
        <v>44168</v>
      </c>
      <c r="C145" s="415" t="s">
        <v>617</v>
      </c>
      <c r="D145" s="371" t="s">
        <v>541</v>
      </c>
      <c r="E145" s="366" t="s">
        <v>805</v>
      </c>
      <c r="F145" s="387" t="str">
        <f>IF(($E145=0),0,IF(($D145="ACT"),"0",(VLOOKUP($D145,$D$10:$H$13,3,FALSE)*$E145)))</f>
        <v>0</v>
      </c>
      <c r="G145" s="387" t="str">
        <f>E145</f>
        <v>0</v>
      </c>
      <c r="H145" s="388" t="str">
        <f>IF(($E145=0),0,IF(($D145="ACT"),"0",(VLOOKUP($D145,$D$10:$H$13,5,FALSE)*$E145)))</f>
        <v>0</v>
      </c>
      <c r="I145" s="369">
        <f t="shared" si="36"/>
        <v>0</v>
      </c>
    </row>
    <row r="146" spans="1:9">
      <c r="B146" s="398"/>
      <c r="C146" s="363"/>
      <c r="D146" s="371"/>
      <c r="E146" s="366"/>
      <c r="F146" s="387"/>
      <c r="G146" s="387"/>
      <c r="H146" s="387"/>
      <c r="I146" s="369">
        <f t="shared" si="36"/>
        <v>0</v>
      </c>
    </row>
    <row r="147" spans="1:9">
      <c r="A147" s="409"/>
      <c r="B147" s="402"/>
      <c r="C147" s="410" t="s">
        <v>618</v>
      </c>
      <c r="D147" s="406"/>
      <c r="E147" s="385">
        <f>SUM(E144:E146)</f>
        <v>0</v>
      </c>
      <c r="F147" s="407">
        <f>SUM(F144:F146)</f>
        <v>0</v>
      </c>
      <c r="G147" s="407">
        <f>SUM(G144:G146)</f>
        <v>0</v>
      </c>
      <c r="H147" s="407">
        <f>SUM(H144:H146)</f>
        <v>0</v>
      </c>
      <c r="I147" s="369">
        <f t="shared" si="36"/>
        <v>0</v>
      </c>
    </row>
    <row r="148" spans="1:9">
      <c r="A148" s="408"/>
      <c r="B148" s="411"/>
      <c r="C148" s="408"/>
      <c r="D148" s="371"/>
      <c r="E148" s="366"/>
      <c r="F148" s="387"/>
      <c r="G148" s="387"/>
      <c r="H148" s="387"/>
      <c r="I148" s="369">
        <f t="shared" si="36"/>
        <v>0</v>
      </c>
    </row>
    <row r="149" spans="1:9">
      <c r="A149" s="409"/>
      <c r="B149" s="402"/>
      <c r="C149" s="412" t="s">
        <v>619</v>
      </c>
      <c r="D149" s="413"/>
      <c r="E149" s="375">
        <f>E142+E147</f>
        <v>2418347.7774507855</v>
      </c>
      <c r="F149" s="414">
        <f>F142+F147</f>
        <v>2330760.9610569924</v>
      </c>
      <c r="G149" s="414">
        <f>G142+G147</f>
        <v>73742.29755805574</v>
      </c>
      <c r="H149" s="414">
        <f>H142+H147</f>
        <v>13844.51883573747</v>
      </c>
      <c r="I149" s="369">
        <f t="shared" si="36"/>
        <v>-1.1459633242338896E-10</v>
      </c>
    </row>
    <row r="150" spans="1:9">
      <c r="A150" s="408"/>
      <c r="B150" s="411"/>
      <c r="C150" s="408"/>
      <c r="D150" s="371"/>
      <c r="E150" s="366"/>
      <c r="F150" s="387"/>
      <c r="G150" s="387"/>
      <c r="H150" s="387"/>
      <c r="I150" s="369">
        <f t="shared" si="36"/>
        <v>0</v>
      </c>
    </row>
    <row r="151" spans="1:9">
      <c r="A151" s="363">
        <v>4450</v>
      </c>
      <c r="B151" s="399">
        <v>70225</v>
      </c>
      <c r="C151" s="415" t="s">
        <v>620</v>
      </c>
      <c r="D151" s="371" t="s">
        <v>539</v>
      </c>
      <c r="E151" s="366">
        <v>1314.4774815838184</v>
      </c>
      <c r="F151" s="387">
        <f t="shared" ref="F151" si="40">IF(($E151=0),0,IF(($D151="ACT"),"0",(VLOOKUP($D151,$D$10:$H$13,3,FALSE)*$E151)))</f>
        <v>711.23502758669599</v>
      </c>
      <c r="G151" s="387">
        <f t="shared" ref="G151" si="41">IF(($E151=0),0,IF(($D151="ACT"),"0",(VLOOKUP($D151,$D$10:$H$13,4,FALSE)*$E151)))</f>
        <v>583.84279403314918</v>
      </c>
      <c r="H151" s="388">
        <f t="shared" ref="H151" si="42">IF(($E151=0),0,IF(($D151="ACT"),"0",(VLOOKUP($D151,$D$10:$H$13,5,FALSE)*$E151)))</f>
        <v>19.39965996397315</v>
      </c>
      <c r="I151" s="369">
        <f t="shared" si="36"/>
        <v>9.9475983006414026E-14</v>
      </c>
    </row>
    <row r="152" spans="1:9">
      <c r="A152" s="408"/>
      <c r="B152" s="411"/>
      <c r="C152" s="408"/>
      <c r="D152" s="371"/>
      <c r="E152" s="366"/>
      <c r="F152" s="387"/>
      <c r="G152" s="387"/>
      <c r="H152" s="388"/>
      <c r="I152" s="369">
        <f t="shared" si="36"/>
        <v>0</v>
      </c>
    </row>
    <row r="153" spans="1:9">
      <c r="A153" s="409"/>
      <c r="B153" s="402"/>
      <c r="C153" s="410" t="s">
        <v>621</v>
      </c>
      <c r="D153" s="406"/>
      <c r="E153" s="385">
        <f>SUM(E151:E152)</f>
        <v>1314.4774815838184</v>
      </c>
      <c r="F153" s="407">
        <f>SUM(F151:F152)</f>
        <v>711.23502758669599</v>
      </c>
      <c r="G153" s="407">
        <f>SUM(G151:G152)</f>
        <v>583.84279403314918</v>
      </c>
      <c r="H153" s="407">
        <f>SUM(H151:H152)</f>
        <v>19.39965996397315</v>
      </c>
      <c r="I153" s="369">
        <f t="shared" si="36"/>
        <v>9.9475983006414026E-14</v>
      </c>
    </row>
    <row r="154" spans="1:9">
      <c r="A154" s="409"/>
      <c r="B154" s="402"/>
      <c r="C154" s="422"/>
      <c r="D154" s="423"/>
      <c r="E154" s="424"/>
      <c r="F154" s="425"/>
      <c r="G154" s="425"/>
      <c r="H154" s="425"/>
      <c r="I154" s="369"/>
    </row>
    <row r="155" spans="1:9">
      <c r="A155" s="363">
        <v>4410</v>
      </c>
      <c r="B155" s="402">
        <v>60010</v>
      </c>
      <c r="C155" s="422" t="s">
        <v>565</v>
      </c>
      <c r="D155" s="371" t="s">
        <v>541</v>
      </c>
      <c r="E155" s="366">
        <v>0</v>
      </c>
      <c r="F155" s="387">
        <f t="shared" ref="F155:F157" si="43">IF(($E155=0),0,IF(($D155="ACT"),"0",(VLOOKUP($D155,$D$10:$H$13,3,FALSE)*$E155)))</f>
        <v>0</v>
      </c>
      <c r="G155" s="387">
        <f t="shared" ref="G155:G157" si="44">IF(($E155=0),0,IF(($D155="ACT"),"0",(VLOOKUP($D155,$D$10:$H$13,4,FALSE)*$E155)))</f>
        <v>0</v>
      </c>
      <c r="H155" s="388">
        <f t="shared" ref="H155:H157" si="45">IF(($E155=0),0,IF(($D155="ACT"),"0",(VLOOKUP($D155,$D$10:$H$13,5,FALSE)*$E155)))</f>
        <v>0</v>
      </c>
      <c r="I155" s="369">
        <f t="shared" ref="I155:I157" si="46">E155-F155-G155-H155</f>
        <v>0</v>
      </c>
    </row>
    <row r="156" spans="1:9">
      <c r="A156" s="363">
        <v>4410</v>
      </c>
      <c r="B156" s="402">
        <v>60030</v>
      </c>
      <c r="C156" s="422" t="s">
        <v>622</v>
      </c>
      <c r="D156" s="371" t="s">
        <v>541</v>
      </c>
      <c r="E156" s="366">
        <v>0</v>
      </c>
      <c r="F156" s="387">
        <f t="shared" si="43"/>
        <v>0</v>
      </c>
      <c r="G156" s="387">
        <f t="shared" si="44"/>
        <v>0</v>
      </c>
      <c r="H156" s="388">
        <f t="shared" si="45"/>
        <v>0</v>
      </c>
      <c r="I156" s="369">
        <f t="shared" si="46"/>
        <v>0</v>
      </c>
    </row>
    <row r="157" spans="1:9">
      <c r="A157" s="363">
        <v>4410</v>
      </c>
      <c r="B157" s="402">
        <v>60065</v>
      </c>
      <c r="C157" s="422" t="s">
        <v>570</v>
      </c>
      <c r="D157" s="371" t="s">
        <v>541</v>
      </c>
      <c r="E157" s="366">
        <v>0</v>
      </c>
      <c r="F157" s="387">
        <f t="shared" si="43"/>
        <v>0</v>
      </c>
      <c r="G157" s="387">
        <f t="shared" si="44"/>
        <v>0</v>
      </c>
      <c r="H157" s="388">
        <f t="shared" si="45"/>
        <v>0</v>
      </c>
      <c r="I157" s="369">
        <f t="shared" si="46"/>
        <v>0</v>
      </c>
    </row>
    <row r="158" spans="1:9">
      <c r="A158" s="409"/>
      <c r="B158" s="402"/>
      <c r="C158" s="422"/>
      <c r="D158" s="423"/>
      <c r="E158" s="424"/>
      <c r="F158" s="425"/>
      <c r="G158" s="425"/>
      <c r="H158" s="425"/>
      <c r="I158" s="369"/>
    </row>
    <row r="159" spans="1:9">
      <c r="A159" s="409"/>
      <c r="B159" s="402"/>
      <c r="C159" s="410" t="s">
        <v>623</v>
      </c>
      <c r="D159" s="406"/>
      <c r="E159" s="385">
        <f>+SUM(E155:E158)</f>
        <v>0</v>
      </c>
      <c r="F159" s="386">
        <f>+SUM(F155:F158)</f>
        <v>0</v>
      </c>
      <c r="G159" s="386">
        <f>+SUM(G155:G158)</f>
        <v>0</v>
      </c>
      <c r="H159" s="386">
        <f>+SUM(H155:H158)</f>
        <v>0</v>
      </c>
      <c r="I159" s="369">
        <f t="shared" ref="I159" si="47">E159-F159-G159-H159</f>
        <v>0</v>
      </c>
    </row>
    <row r="160" spans="1:9">
      <c r="A160" s="409"/>
      <c r="B160" s="402"/>
      <c r="C160" s="422"/>
      <c r="D160" s="423"/>
      <c r="E160" s="424"/>
      <c r="F160" s="425"/>
      <c r="G160" s="425"/>
      <c r="H160" s="425"/>
      <c r="I160" s="369"/>
    </row>
    <row r="161" spans="1:9">
      <c r="A161" s="426">
        <v>4450</v>
      </c>
      <c r="B161" s="402">
        <v>60204</v>
      </c>
      <c r="C161" s="422" t="s">
        <v>624</v>
      </c>
      <c r="D161" s="371" t="s">
        <v>541</v>
      </c>
      <c r="E161" s="427">
        <v>0</v>
      </c>
      <c r="F161" s="428">
        <f t="shared" ref="F161:F163" si="48">IF(($E161=0),0,IF(($D161="ACT"),"0",(VLOOKUP($D161,$D$10:$H$13,3,FALSE)*$E161)))</f>
        <v>0</v>
      </c>
      <c r="G161" s="428">
        <f t="shared" ref="G161:G163" si="49">IF(($E161=0),0,IF(($D161="ACT"),"0",(VLOOKUP($D161,$D$10:$H$13,4,FALSE)*$E161)))</f>
        <v>0</v>
      </c>
      <c r="H161" s="429">
        <f t="shared" ref="H161:H163" si="50">IF(($E161=0),0,IF(($D161="ACT"),"0",(VLOOKUP($D161,$D$10:$H$13,5,FALSE)*$E161)))</f>
        <v>0</v>
      </c>
      <c r="I161" s="369">
        <f t="shared" ref="I161:I163" si="51">E161-F161-G161-H161</f>
        <v>0</v>
      </c>
    </row>
    <row r="162" spans="1:9">
      <c r="A162" s="426">
        <v>4450</v>
      </c>
      <c r="B162" s="402">
        <v>60207</v>
      </c>
      <c r="C162" s="422" t="s">
        <v>625</v>
      </c>
      <c r="D162" s="371" t="s">
        <v>541</v>
      </c>
      <c r="E162" s="427" t="s">
        <v>805</v>
      </c>
      <c r="F162" s="428" t="str">
        <f t="shared" si="48"/>
        <v>0</v>
      </c>
      <c r="G162" s="428" t="str">
        <f t="shared" si="49"/>
        <v>0</v>
      </c>
      <c r="H162" s="429" t="str">
        <f t="shared" si="50"/>
        <v>0</v>
      </c>
      <c r="I162" s="369">
        <f t="shared" si="51"/>
        <v>0</v>
      </c>
    </row>
    <row r="163" spans="1:9">
      <c r="A163" s="426">
        <v>4450</v>
      </c>
      <c r="B163" s="402">
        <v>60225</v>
      </c>
      <c r="C163" s="422" t="s">
        <v>620</v>
      </c>
      <c r="D163" s="371" t="s">
        <v>541</v>
      </c>
      <c r="E163" s="427" t="s">
        <v>805</v>
      </c>
      <c r="F163" s="428" t="str">
        <f t="shared" si="48"/>
        <v>0</v>
      </c>
      <c r="G163" s="428" t="str">
        <f t="shared" si="49"/>
        <v>0</v>
      </c>
      <c r="H163" s="429" t="str">
        <f t="shared" si="50"/>
        <v>0</v>
      </c>
      <c r="I163" s="369">
        <f t="shared" si="51"/>
        <v>0</v>
      </c>
    </row>
    <row r="164" spans="1:9">
      <c r="A164" s="426"/>
      <c r="B164" s="402"/>
      <c r="C164" s="422"/>
      <c r="D164" s="371"/>
      <c r="E164" s="366"/>
      <c r="F164" s="387"/>
      <c r="G164" s="387"/>
      <c r="H164" s="388"/>
      <c r="I164" s="369"/>
    </row>
    <row r="165" spans="1:9">
      <c r="A165" s="426"/>
      <c r="B165" s="402"/>
      <c r="C165" s="410" t="s">
        <v>626</v>
      </c>
      <c r="D165" s="430"/>
      <c r="E165" s="385">
        <f>+SUM(E161:E164)</f>
        <v>0</v>
      </c>
      <c r="F165" s="386">
        <f>+SUM(F161:F164)</f>
        <v>0</v>
      </c>
      <c r="G165" s="386">
        <f>+SUM(G161:G164)</f>
        <v>0</v>
      </c>
      <c r="H165" s="386">
        <f>+SUM(H161:H164)</f>
        <v>0</v>
      </c>
      <c r="I165" s="369">
        <f t="shared" ref="I165" si="52">E165-F165-G165-H165</f>
        <v>0</v>
      </c>
    </row>
    <row r="166" spans="1:9">
      <c r="A166" s="408"/>
      <c r="B166" s="411"/>
      <c r="C166" s="408"/>
      <c r="D166" s="371"/>
      <c r="E166" s="366"/>
      <c r="F166" s="387"/>
      <c r="G166" s="387"/>
      <c r="H166" s="387"/>
      <c r="I166" s="369"/>
    </row>
    <row r="167" spans="1:9">
      <c r="A167" s="409"/>
      <c r="B167" s="402"/>
      <c r="C167" s="412" t="s">
        <v>627</v>
      </c>
      <c r="D167" s="413"/>
      <c r="E167" s="375">
        <f>E153+E159+E165</f>
        <v>1314.4774815838184</v>
      </c>
      <c r="F167" s="376">
        <f>F153+F159+F165</f>
        <v>711.23502758669599</v>
      </c>
      <c r="G167" s="376">
        <f>G153+G159+G165</f>
        <v>583.84279403314918</v>
      </c>
      <c r="H167" s="376">
        <f>H153+H159+H165</f>
        <v>19.39965996397315</v>
      </c>
      <c r="I167" s="369">
        <f t="shared" si="36"/>
        <v>9.9475983006414026E-14</v>
      </c>
    </row>
    <row r="168" spans="1:9">
      <c r="A168" s="409"/>
      <c r="B168" s="402"/>
      <c r="C168" s="431"/>
      <c r="D168" s="432"/>
      <c r="E168" s="433"/>
      <c r="F168" s="434"/>
      <c r="G168" s="434"/>
      <c r="H168" s="434"/>
      <c r="I168" s="369"/>
    </row>
    <row r="169" spans="1:9">
      <c r="A169" s="408">
        <v>4530</v>
      </c>
      <c r="B169" s="402">
        <v>59271</v>
      </c>
      <c r="C169" s="400" t="s">
        <v>628</v>
      </c>
      <c r="D169" s="371" t="s">
        <v>537</v>
      </c>
      <c r="E169" s="366">
        <v>0</v>
      </c>
      <c r="F169" s="387">
        <f t="shared" ref="F169:F174" si="53">IF(($E169=0),0,IF(($D169="ACT"),"0",(VLOOKUP($D169,$D$10:$H$13,3,FALSE)*$E169)))</f>
        <v>0</v>
      </c>
      <c r="G169" s="387">
        <f t="shared" ref="G169:G174" si="54">IF(($E169=0),0,IF(($D169="ACT"),"0",(VLOOKUP($D169,$D$10:$H$13,4,FALSE)*$E169)))</f>
        <v>0</v>
      </c>
      <c r="H169" s="388">
        <f t="shared" ref="H169:H174" si="55">IF(($E169=0),0,IF(($D169="ACT"),"0",(VLOOKUP($D169,$D$10:$H$13,5,FALSE)*$E169)))</f>
        <v>0</v>
      </c>
      <c r="I169" s="369">
        <f t="shared" ref="I169:I174" si="56">E169-F169-G169-H169</f>
        <v>0</v>
      </c>
    </row>
    <row r="170" spans="1:9">
      <c r="A170" s="363">
        <v>4530</v>
      </c>
      <c r="B170" s="399">
        <v>59340</v>
      </c>
      <c r="C170" s="400" t="s">
        <v>629</v>
      </c>
      <c r="D170" s="371" t="s">
        <v>537</v>
      </c>
      <c r="E170" s="366">
        <v>23829.058513145414</v>
      </c>
      <c r="F170" s="387">
        <f t="shared" si="53"/>
        <v>18991.984995784907</v>
      </c>
      <c r="G170" s="387">
        <f t="shared" si="54"/>
        <v>4415.8064931553481</v>
      </c>
      <c r="H170" s="388">
        <f t="shared" si="55"/>
        <v>421.26702420515761</v>
      </c>
      <c r="I170" s="369">
        <f t="shared" si="56"/>
        <v>5.1159076974727213E-13</v>
      </c>
    </row>
    <row r="171" spans="1:9">
      <c r="A171" s="363">
        <v>4530</v>
      </c>
      <c r="B171" s="399">
        <v>59341</v>
      </c>
      <c r="C171" s="400" t="s">
        <v>630</v>
      </c>
      <c r="D171" s="371" t="s">
        <v>537</v>
      </c>
      <c r="E171" s="366">
        <v>6241.551094827727</v>
      </c>
      <c r="F171" s="387">
        <f t="shared" si="53"/>
        <v>4974.5752513889793</v>
      </c>
      <c r="G171" s="387">
        <f t="shared" si="54"/>
        <v>1156.6332692790495</v>
      </c>
      <c r="H171" s="388">
        <f t="shared" si="55"/>
        <v>110.34257415969755</v>
      </c>
      <c r="I171" s="369">
        <f t="shared" si="56"/>
        <v>6.3948846218409017E-13</v>
      </c>
    </row>
    <row r="172" spans="1:9">
      <c r="A172" s="363">
        <v>4530</v>
      </c>
      <c r="B172" s="399">
        <v>59342</v>
      </c>
      <c r="C172" s="400" t="s">
        <v>631</v>
      </c>
      <c r="D172" s="371" t="s">
        <v>537</v>
      </c>
      <c r="E172" s="366">
        <v>6198.2474677560722</v>
      </c>
      <c r="F172" s="387">
        <f t="shared" si="53"/>
        <v>4940.0618510733848</v>
      </c>
      <c r="G172" s="387">
        <f t="shared" si="54"/>
        <v>1148.6085948046173</v>
      </c>
      <c r="H172" s="388">
        <f t="shared" si="55"/>
        <v>109.57702187807037</v>
      </c>
      <c r="I172" s="369">
        <f t="shared" si="56"/>
        <v>-2.4158453015843406E-13</v>
      </c>
    </row>
    <row r="173" spans="1:9">
      <c r="A173" s="363">
        <v>4530</v>
      </c>
      <c r="B173" s="399">
        <v>59343</v>
      </c>
      <c r="C173" s="400" t="s">
        <v>632</v>
      </c>
      <c r="D173" s="371" t="s">
        <v>537</v>
      </c>
      <c r="E173" s="366">
        <v>10320.182878309508</v>
      </c>
      <c r="F173" s="387">
        <f t="shared" si="53"/>
        <v>8225.283356053942</v>
      </c>
      <c r="G173" s="387">
        <f t="shared" si="54"/>
        <v>1912.4519980279456</v>
      </c>
      <c r="H173" s="388">
        <f t="shared" si="55"/>
        <v>182.44752422761965</v>
      </c>
      <c r="I173" s="369">
        <f t="shared" si="56"/>
        <v>6.5369931689929217E-13</v>
      </c>
    </row>
    <row r="174" spans="1:9">
      <c r="A174" s="363">
        <v>4530</v>
      </c>
      <c r="B174" s="402">
        <v>59400</v>
      </c>
      <c r="C174" s="400" t="s">
        <v>633</v>
      </c>
      <c r="D174" s="371" t="s">
        <v>537</v>
      </c>
      <c r="E174" s="366">
        <v>1983.7271286203534</v>
      </c>
      <c r="F174" s="387">
        <f t="shared" si="53"/>
        <v>1581.0492824005482</v>
      </c>
      <c r="G174" s="387">
        <f t="shared" si="54"/>
        <v>367.60810882972191</v>
      </c>
      <c r="H174" s="388">
        <f t="shared" si="55"/>
        <v>35.06973739008329</v>
      </c>
      <c r="I174" s="369">
        <f t="shared" si="56"/>
        <v>-7.1054273576010019E-14</v>
      </c>
    </row>
    <row r="175" spans="1:9">
      <c r="B175" s="399"/>
      <c r="C175" s="400"/>
      <c r="D175" s="371"/>
      <c r="E175" s="366"/>
      <c r="F175" s="387"/>
      <c r="G175" s="387"/>
      <c r="H175" s="387"/>
      <c r="I175" s="369">
        <f t="shared" si="36"/>
        <v>0</v>
      </c>
    </row>
    <row r="176" spans="1:9">
      <c r="A176" s="409"/>
      <c r="B176" s="402"/>
      <c r="C176" s="410" t="s">
        <v>634</v>
      </c>
      <c r="D176" s="406"/>
      <c r="E176" s="385">
        <f>SUM(E169:E175)</f>
        <v>48572.767082659069</v>
      </c>
      <c r="F176" s="386">
        <f t="shared" ref="F176:H176" si="57">SUM(F169:F175)</f>
        <v>38712.954736701759</v>
      </c>
      <c r="G176" s="386">
        <f t="shared" si="57"/>
        <v>9001.1084640966819</v>
      </c>
      <c r="H176" s="386">
        <f t="shared" si="57"/>
        <v>858.70388186062848</v>
      </c>
      <c r="I176" s="369">
        <f t="shared" si="36"/>
        <v>0</v>
      </c>
    </row>
    <row r="177" spans="1:9">
      <c r="B177" s="399"/>
      <c r="C177" s="400"/>
      <c r="D177" s="371"/>
      <c r="E177" s="366"/>
      <c r="F177" s="387"/>
      <c r="G177" s="387"/>
      <c r="H177" s="387"/>
      <c r="I177" s="369">
        <f t="shared" si="36"/>
        <v>0</v>
      </c>
    </row>
    <row r="178" spans="1:9">
      <c r="A178" s="363">
        <v>4540</v>
      </c>
      <c r="B178" s="399">
        <v>59344</v>
      </c>
      <c r="C178" s="400" t="s">
        <v>635</v>
      </c>
      <c r="D178" s="371" t="s">
        <v>537</v>
      </c>
      <c r="E178" s="366">
        <v>910.79908059383035</v>
      </c>
      <c r="F178" s="387">
        <f t="shared" ref="F178:F180" si="58">IF(($E178=0),0,IF(($D178="ACT"),"0",(VLOOKUP($D178,$D$10:$H$13,3,FALSE)*$E178)))</f>
        <v>725.91548101953993</v>
      </c>
      <c r="G178" s="387">
        <f t="shared" ref="G178:G180" si="59">IF(($E178=0),0,IF(($D178="ACT"),"0",(VLOOKUP($D178,$D$10:$H$13,4,FALSE)*$E178)))</f>
        <v>168.78184640939338</v>
      </c>
      <c r="H178" s="388">
        <f t="shared" ref="H178:H180" si="60">IF(($E178=0),0,IF(($D178="ACT"),"0",(VLOOKUP($D178,$D$10:$H$13,5,FALSE)*$E178)))</f>
        <v>16.101753164897062</v>
      </c>
      <c r="I178" s="369">
        <f t="shared" si="36"/>
        <v>0</v>
      </c>
    </row>
    <row r="179" spans="1:9">
      <c r="A179" s="363">
        <v>4540</v>
      </c>
      <c r="B179" s="399">
        <v>59500</v>
      </c>
      <c r="C179" s="400" t="s">
        <v>636</v>
      </c>
      <c r="D179" s="371" t="s">
        <v>537</v>
      </c>
      <c r="E179" s="366">
        <v>4392.7335366890402</v>
      </c>
      <c r="F179" s="387">
        <f t="shared" si="58"/>
        <v>3501.0501725553559</v>
      </c>
      <c r="G179" s="387">
        <f t="shared" si="59"/>
        <v>814.02550013933694</v>
      </c>
      <c r="H179" s="388">
        <f t="shared" si="60"/>
        <v>77.657863994347267</v>
      </c>
      <c r="I179" s="369">
        <f t="shared" si="36"/>
        <v>1.2789769243681803E-13</v>
      </c>
    </row>
    <row r="180" spans="1:9">
      <c r="A180" s="363">
        <v>4540</v>
      </c>
      <c r="B180" s="402">
        <v>57370</v>
      </c>
      <c r="C180" s="400" t="s">
        <v>637</v>
      </c>
      <c r="D180" s="371" t="s">
        <v>537</v>
      </c>
      <c r="E180" s="366">
        <v>823.24983518798808</v>
      </c>
      <c r="F180" s="387">
        <f t="shared" si="58"/>
        <v>656.13790444332756</v>
      </c>
      <c r="G180" s="387">
        <f t="shared" si="59"/>
        <v>152.55793533373341</v>
      </c>
      <c r="H180" s="388">
        <f t="shared" si="60"/>
        <v>14.553995410927037</v>
      </c>
      <c r="I180" s="369">
        <f t="shared" si="36"/>
        <v>7.815970093361102E-14</v>
      </c>
    </row>
    <row r="181" spans="1:9">
      <c r="B181" s="402"/>
      <c r="C181" s="400"/>
      <c r="D181" s="371"/>
      <c r="E181" s="366"/>
      <c r="F181" s="387">
        <f>IF(($E181=0),0,IF(($D181="ACT"),"0",(VLOOKUP($D181,$D$10:$H$13,3,FALSE)*$E181)))</f>
        <v>0</v>
      </c>
      <c r="G181" s="387">
        <f>IF(($E181=0),0,IF(($D181="ACT"),"0",(VLOOKUP($D181,$D$10:$H$13,4,FALSE)*$E181)))</f>
        <v>0</v>
      </c>
      <c r="H181" s="388">
        <f>IF(($E181=0),0,IF(($D181="ACT"),"0",(VLOOKUP($D181,$D$10:$H$13,5,FALSE)*$E181)))</f>
        <v>0</v>
      </c>
      <c r="I181" s="369">
        <f t="shared" si="36"/>
        <v>0</v>
      </c>
    </row>
    <row r="182" spans="1:9">
      <c r="A182" s="409"/>
      <c r="B182" s="402"/>
      <c r="C182" s="410" t="s">
        <v>638</v>
      </c>
      <c r="D182" s="406"/>
      <c r="E182" s="385">
        <f>SUM(E178:E181)</f>
        <v>6126.7824524708594</v>
      </c>
      <c r="F182" s="407">
        <f>SUM(F178:F181)</f>
        <v>4883.1035580182233</v>
      </c>
      <c r="G182" s="407">
        <f>SUM(G178:G181)</f>
        <v>1135.3652818824637</v>
      </c>
      <c r="H182" s="407">
        <f>SUM(H178:H181)</f>
        <v>108.31361257017136</v>
      </c>
      <c r="I182" s="369">
        <f t="shared" si="36"/>
        <v>1.0231815394945443E-12</v>
      </c>
    </row>
    <row r="183" spans="1:9">
      <c r="B183" s="402"/>
      <c r="C183" s="400"/>
      <c r="D183" s="371"/>
      <c r="E183" s="366"/>
      <c r="F183" s="387"/>
      <c r="G183" s="387"/>
      <c r="H183" s="388"/>
      <c r="I183" s="369">
        <f t="shared" si="36"/>
        <v>0</v>
      </c>
    </row>
    <row r="184" spans="1:9">
      <c r="A184" s="363">
        <v>4580</v>
      </c>
      <c r="B184" s="399">
        <v>52086</v>
      </c>
      <c r="C184" s="400" t="s">
        <v>639</v>
      </c>
      <c r="D184" s="371" t="s">
        <v>537</v>
      </c>
      <c r="E184" s="366">
        <v>1968.4549599329446</v>
      </c>
      <c r="F184" s="387">
        <f t="shared" ref="F184:F187" si="61">IF(($E184=0),0,IF(($D184="ACT"),"0",(VLOOKUP($D184,$D$10:$H$13,3,FALSE)*$E184)))</f>
        <v>1568.8772195217584</v>
      </c>
      <c r="G184" s="387">
        <f t="shared" ref="G184:G187" si="62">IF(($E184=0),0,IF(($D184="ACT"),"0",(VLOOKUP($D184,$D$10:$H$13,4,FALSE)*$E184)))</f>
        <v>364.77799526828096</v>
      </c>
      <c r="H184" s="388">
        <f t="shared" ref="H184:H187" si="63">IF(($E184=0),0,IF(($D184="ACT"),"0",(VLOOKUP($D184,$D$10:$H$13,5,FALSE)*$E184)))</f>
        <v>34.799745142905131</v>
      </c>
      <c r="I184" s="369">
        <f t="shared" si="36"/>
        <v>0</v>
      </c>
    </row>
    <row r="185" spans="1:9">
      <c r="A185" s="363">
        <v>4580</v>
      </c>
      <c r="B185" s="399">
        <v>57254</v>
      </c>
      <c r="C185" s="400" t="s">
        <v>640</v>
      </c>
      <c r="D185" s="371" t="s">
        <v>537</v>
      </c>
      <c r="E185" s="366">
        <v>10033.782126433236</v>
      </c>
      <c r="F185" s="387">
        <f t="shared" si="61"/>
        <v>7997.0192482036446</v>
      </c>
      <c r="G185" s="387">
        <f t="shared" si="62"/>
        <v>1859.3785499484866</v>
      </c>
      <c r="H185" s="388">
        <f t="shared" si="63"/>
        <v>177.38432828110425</v>
      </c>
      <c r="I185" s="369">
        <f t="shared" si="36"/>
        <v>6.5369931689929217E-13</v>
      </c>
    </row>
    <row r="186" spans="1:9">
      <c r="A186" s="363">
        <v>4580</v>
      </c>
      <c r="B186" s="399">
        <v>50086</v>
      </c>
      <c r="C186" s="400" t="s">
        <v>639</v>
      </c>
      <c r="D186" s="371" t="s">
        <v>537</v>
      </c>
      <c r="E186" s="366">
        <v>16530.322534609833</v>
      </c>
      <c r="F186" s="387">
        <f t="shared" si="61"/>
        <v>13174.823393866216</v>
      </c>
      <c r="G186" s="387">
        <f t="shared" si="62"/>
        <v>3063.2643560808078</v>
      </c>
      <c r="H186" s="388">
        <f t="shared" si="63"/>
        <v>292.23478466280972</v>
      </c>
      <c r="I186" s="369">
        <f t="shared" si="36"/>
        <v>0</v>
      </c>
    </row>
    <row r="187" spans="1:9">
      <c r="A187" s="363">
        <v>4580</v>
      </c>
      <c r="B187" s="402">
        <v>70086</v>
      </c>
      <c r="C187" s="400" t="s">
        <v>641</v>
      </c>
      <c r="D187" s="371" t="s">
        <v>539</v>
      </c>
      <c r="E187" s="366">
        <v>1322.5629987737509</v>
      </c>
      <c r="F187" s="387">
        <f t="shared" si="61"/>
        <v>715.6099241689526</v>
      </c>
      <c r="G187" s="387">
        <f t="shared" si="62"/>
        <v>587.43408487952058</v>
      </c>
      <c r="H187" s="388">
        <f t="shared" si="63"/>
        <v>19.51898972527766</v>
      </c>
      <c r="I187" s="369">
        <f t="shared" si="36"/>
        <v>6.0396132539608516E-14</v>
      </c>
    </row>
    <row r="188" spans="1:9">
      <c r="B188" s="399"/>
      <c r="C188" s="400"/>
      <c r="D188" s="371"/>
      <c r="E188" s="366"/>
      <c r="F188" s="387"/>
      <c r="G188" s="387"/>
      <c r="H188" s="388"/>
      <c r="I188" s="369">
        <f t="shared" si="36"/>
        <v>0</v>
      </c>
    </row>
    <row r="189" spans="1:9">
      <c r="A189" s="409"/>
      <c r="B189" s="402"/>
      <c r="C189" s="410" t="s">
        <v>642</v>
      </c>
      <c r="D189" s="406"/>
      <c r="E189" s="385">
        <f>SUM(E184:E188)</f>
        <v>29855.122619749764</v>
      </c>
      <c r="F189" s="407">
        <f>SUM(F184:F188)</f>
        <v>23456.329785760572</v>
      </c>
      <c r="G189" s="407">
        <f>SUM(G184:G188)</f>
        <v>5874.8549861770962</v>
      </c>
      <c r="H189" s="407">
        <f>SUM(H184:H188)</f>
        <v>523.93784781209672</v>
      </c>
      <c r="I189" s="369">
        <f t="shared" si="36"/>
        <v>-1.4779288903810084E-12</v>
      </c>
    </row>
    <row r="190" spans="1:9">
      <c r="B190" s="398"/>
      <c r="C190" s="363"/>
      <c r="D190" s="371"/>
      <c r="E190" s="366"/>
      <c r="F190" s="387"/>
      <c r="G190" s="387"/>
      <c r="H190" s="388"/>
      <c r="I190" s="369">
        <f t="shared" si="36"/>
        <v>0</v>
      </c>
    </row>
    <row r="191" spans="1:9">
      <c r="A191" s="409"/>
      <c r="B191" s="402"/>
      <c r="C191" s="412" t="s">
        <v>643</v>
      </c>
      <c r="D191" s="413"/>
      <c r="E191" s="375">
        <f>E176+E182+E189</f>
        <v>84554.672154879692</v>
      </c>
      <c r="F191" s="414">
        <f>F176+F182+F189</f>
        <v>67052.388080480552</v>
      </c>
      <c r="G191" s="414">
        <f>G176+G182+G189</f>
        <v>16011.328732156242</v>
      </c>
      <c r="H191" s="414">
        <f>H176+H182+H189</f>
        <v>1490.9553422428967</v>
      </c>
      <c r="I191" s="369">
        <f t="shared" si="36"/>
        <v>0</v>
      </c>
    </row>
    <row r="192" spans="1:9">
      <c r="B192" s="398"/>
      <c r="C192" s="363"/>
      <c r="D192" s="371"/>
      <c r="E192" s="366"/>
      <c r="F192" s="387"/>
      <c r="G192" s="387"/>
      <c r="H192" s="388"/>
      <c r="I192" s="369">
        <f t="shared" si="36"/>
        <v>0</v>
      </c>
    </row>
    <row r="193" spans="1:9">
      <c r="A193" s="363">
        <v>4611</v>
      </c>
      <c r="B193" s="399">
        <v>70010</v>
      </c>
      <c r="C193" s="400" t="s">
        <v>565</v>
      </c>
      <c r="D193" s="371" t="s">
        <v>539</v>
      </c>
      <c r="E193" s="366">
        <v>184941.19303181916</v>
      </c>
      <c r="F193" s="387">
        <f t="shared" ref="F193" si="64">IF(($E193=0),0,IF(($D193="ACT"),"0",(VLOOKUP($D193,$D$10:$H$13,3,FALSE)*$E193)))</f>
        <v>100067.63628191895</v>
      </c>
      <c r="G193" s="387">
        <f t="shared" ref="G193" si="65">IF(($E193=0),0,IF(($D193="ACT"),"0",(VLOOKUP($D193,$D$10:$H$13,4,FALSE)*$E193)))</f>
        <v>82144.110024174719</v>
      </c>
      <c r="H193" s="388">
        <f t="shared" ref="H193" si="66">IF(($E193=0),0,IF(($D193="ACT"),"0",(VLOOKUP($D193,$D$10:$H$13,5,FALSE)*$E193)))</f>
        <v>2729.4467257254682</v>
      </c>
      <c r="I193" s="369">
        <f t="shared" si="36"/>
        <v>1.9099388737231493E-11</v>
      </c>
    </row>
    <row r="194" spans="1:9">
      <c r="B194" s="399"/>
      <c r="C194" s="400"/>
      <c r="D194" s="371"/>
      <c r="E194" s="366"/>
      <c r="F194" s="387"/>
      <c r="G194" s="387"/>
      <c r="H194" s="388"/>
      <c r="I194" s="369">
        <f t="shared" si="36"/>
        <v>0</v>
      </c>
    </row>
    <row r="195" spans="1:9">
      <c r="A195" s="409"/>
      <c r="B195" s="402"/>
      <c r="C195" s="410" t="s">
        <v>644</v>
      </c>
      <c r="D195" s="406"/>
      <c r="E195" s="385">
        <f>SUM(E193:E194)</f>
        <v>184941.19303181916</v>
      </c>
      <c r="F195" s="407">
        <f>SUM(F193:F194)</f>
        <v>100067.63628191895</v>
      </c>
      <c r="G195" s="407">
        <f>SUM(G193:G194)</f>
        <v>82144.110024174719</v>
      </c>
      <c r="H195" s="407">
        <f>SUM(H193:H194)</f>
        <v>2729.4467257254682</v>
      </c>
      <c r="I195" s="369">
        <f t="shared" si="36"/>
        <v>1.9099388737231493E-11</v>
      </c>
    </row>
    <row r="196" spans="1:9">
      <c r="B196" s="399"/>
      <c r="C196" s="400"/>
      <c r="D196" s="371"/>
      <c r="E196" s="366"/>
      <c r="F196" s="387"/>
      <c r="G196" s="387"/>
      <c r="H196" s="388"/>
      <c r="I196" s="369">
        <f t="shared" si="36"/>
        <v>0</v>
      </c>
    </row>
    <row r="197" spans="1:9">
      <c r="A197" s="363">
        <v>4613</v>
      </c>
      <c r="B197" s="399">
        <v>70020</v>
      </c>
      <c r="C197" s="400" t="s">
        <v>573</v>
      </c>
      <c r="D197" s="371" t="s">
        <v>539</v>
      </c>
      <c r="E197" s="366">
        <v>124140.67940839843</v>
      </c>
      <c r="F197" s="387">
        <f t="shared" ref="F197:F201" si="67">IF(($E197=0),0,IF(($D197="ACT"),"0",(VLOOKUP($D197,$D$10:$H$13,3,FALSE)*$E197)))</f>
        <v>67169.80760847927</v>
      </c>
      <c r="G197" s="387">
        <f t="shared" ref="G197:G201" si="68">IF(($E197=0),0,IF(($D197="ACT"),"0",(VLOOKUP($D197,$D$10:$H$13,4,FALSE)*$E197)))</f>
        <v>55138.746866658381</v>
      </c>
      <c r="H197" s="388">
        <f t="shared" ref="H197:H201" si="69">IF(($E197=0),0,IF(($D197="ACT"),"0",(VLOOKUP($D197,$D$10:$H$13,5,FALSE)*$E197)))</f>
        <v>1832.1249332607661</v>
      </c>
      <c r="I197" s="369">
        <f t="shared" si="36"/>
        <v>1.0686562745831907E-11</v>
      </c>
    </row>
    <row r="198" spans="1:9">
      <c r="A198" s="363">
        <v>4613</v>
      </c>
      <c r="B198" s="399">
        <v>70025</v>
      </c>
      <c r="C198" s="400" t="s">
        <v>596</v>
      </c>
      <c r="D198" s="371" t="s">
        <v>539</v>
      </c>
      <c r="E198" s="366">
        <v>7118.626473530835</v>
      </c>
      <c r="F198" s="387">
        <f t="shared" si="67"/>
        <v>3851.7331542116963</v>
      </c>
      <c r="G198" s="387">
        <f t="shared" si="68"/>
        <v>3161.8333734989637</v>
      </c>
      <c r="H198" s="388">
        <f t="shared" si="69"/>
        <v>105.0599458201746</v>
      </c>
      <c r="I198" s="369">
        <f t="shared" si="36"/>
        <v>4.1211478674085811E-13</v>
      </c>
    </row>
    <row r="199" spans="1:9">
      <c r="A199" s="363">
        <v>4613</v>
      </c>
      <c r="B199" s="399">
        <v>70036</v>
      </c>
      <c r="C199" s="400" t="s">
        <v>645</v>
      </c>
      <c r="D199" s="371" t="s">
        <v>539</v>
      </c>
      <c r="E199" s="366">
        <v>13743.693549690341</v>
      </c>
      <c r="F199" s="387">
        <f t="shared" si="67"/>
        <v>7436.4121089234477</v>
      </c>
      <c r="G199" s="387">
        <f t="shared" si="68"/>
        <v>6104.4457244853256</v>
      </c>
      <c r="H199" s="388">
        <f t="shared" si="69"/>
        <v>202.83571628156673</v>
      </c>
      <c r="I199" s="369">
        <f t="shared" si="36"/>
        <v>5.9685589803848416E-13</v>
      </c>
    </row>
    <row r="200" spans="1:9">
      <c r="A200" s="363">
        <v>4613</v>
      </c>
      <c r="B200" s="399">
        <v>70065</v>
      </c>
      <c r="C200" s="400" t="s">
        <v>646</v>
      </c>
      <c r="D200" s="371" t="s">
        <v>539</v>
      </c>
      <c r="E200" s="366">
        <v>5113.4229722162363</v>
      </c>
      <c r="F200" s="387">
        <f t="shared" si="67"/>
        <v>2766.7613783117927</v>
      </c>
      <c r="G200" s="387">
        <f t="shared" si="68"/>
        <v>2271.1953586111317</v>
      </c>
      <c r="H200" s="388">
        <f t="shared" si="69"/>
        <v>75.466235293311456</v>
      </c>
      <c r="I200" s="369">
        <f t="shared" si="36"/>
        <v>4.5474735088646412E-13</v>
      </c>
    </row>
    <row r="201" spans="1:9">
      <c r="A201" s="363">
        <v>4613</v>
      </c>
      <c r="B201" s="402">
        <v>70070</v>
      </c>
      <c r="C201" s="400" t="s">
        <v>647</v>
      </c>
      <c r="D201" s="371" t="s">
        <v>539</v>
      </c>
      <c r="E201" s="366">
        <v>3982.5933949104683</v>
      </c>
      <c r="F201" s="387">
        <f t="shared" si="67"/>
        <v>2154.8942167368123</v>
      </c>
      <c r="G201" s="387">
        <f t="shared" si="68"/>
        <v>1768.9222430656182</v>
      </c>
      <c r="H201" s="388">
        <f t="shared" si="69"/>
        <v>58.776935108037407</v>
      </c>
      <c r="I201" s="369">
        <f t="shared" si="36"/>
        <v>4.2632564145606011E-13</v>
      </c>
    </row>
    <row r="202" spans="1:9">
      <c r="B202" s="402"/>
      <c r="C202" s="400"/>
      <c r="D202" s="371"/>
      <c r="E202" s="366"/>
      <c r="F202" s="387"/>
      <c r="G202" s="387"/>
      <c r="H202" s="388"/>
      <c r="I202" s="369">
        <f t="shared" si="36"/>
        <v>0</v>
      </c>
    </row>
    <row r="203" spans="1:9">
      <c r="A203" s="409"/>
      <c r="B203" s="402"/>
      <c r="C203" s="410" t="s">
        <v>648</v>
      </c>
      <c r="D203" s="406"/>
      <c r="E203" s="385">
        <f>SUM(E197:E202)</f>
        <v>154099.01579874632</v>
      </c>
      <c r="F203" s="407">
        <f>SUM(F197:F202)</f>
        <v>83379.608466663034</v>
      </c>
      <c r="G203" s="407">
        <f>SUM(G197:G202)</f>
        <v>68445.143566319428</v>
      </c>
      <c r="H203" s="407">
        <f>SUM(H197:H202)</f>
        <v>2274.2637657638561</v>
      </c>
      <c r="I203" s="369">
        <f t="shared" si="36"/>
        <v>0</v>
      </c>
    </row>
    <row r="204" spans="1:9">
      <c r="B204" s="402"/>
      <c r="C204" s="400"/>
      <c r="D204" s="371"/>
      <c r="E204" s="366"/>
      <c r="F204" s="387"/>
      <c r="G204" s="387"/>
      <c r="H204" s="388"/>
      <c r="I204" s="369">
        <f t="shared" si="36"/>
        <v>0</v>
      </c>
    </row>
    <row r="205" spans="1:9">
      <c r="A205" s="363">
        <v>4620</v>
      </c>
      <c r="B205" s="402">
        <v>57345</v>
      </c>
      <c r="C205" s="400" t="s">
        <v>649</v>
      </c>
      <c r="D205" s="371" t="s">
        <v>537</v>
      </c>
      <c r="E205" s="366">
        <v>214.51053903725588</v>
      </c>
      <c r="F205" s="387">
        <f t="shared" ref="F205:F217" si="70">IF(($E205=0),0,IF(($D205="ACT"),"0",(VLOOKUP($D205,$D$10:$H$13,3,FALSE)*$E205)))</f>
        <v>170.96692832349484</v>
      </c>
      <c r="G205" s="387">
        <f t="shared" ref="G205:G217" si="71">IF(($E205=0),0,IF(($D205="ACT"),"0",(VLOOKUP($D205,$D$10:$H$13,4,FALSE)*$E205)))</f>
        <v>39.751341019554779</v>
      </c>
      <c r="H205" s="388">
        <f t="shared" ref="H205:H217" si="72">IF(($E205=0),0,IF(($D205="ACT"),"0",(VLOOKUP($D205,$D$10:$H$13,5,FALSE)*$E205)))</f>
        <v>3.7922696942062619</v>
      </c>
      <c r="I205" s="369">
        <f t="shared" si="36"/>
        <v>0</v>
      </c>
    </row>
    <row r="206" spans="1:9">
      <c r="A206" s="363">
        <v>4620</v>
      </c>
      <c r="B206" s="402">
        <v>57353</v>
      </c>
      <c r="C206" s="400" t="s">
        <v>650</v>
      </c>
      <c r="D206" s="371" t="s">
        <v>537</v>
      </c>
      <c r="E206" s="366">
        <v>203.01535830479756</v>
      </c>
      <c r="F206" s="387">
        <f t="shared" si="70"/>
        <v>161.80516056526599</v>
      </c>
      <c r="G206" s="387">
        <f t="shared" si="71"/>
        <v>37.621148016319616</v>
      </c>
      <c r="H206" s="388">
        <f t="shared" si="72"/>
        <v>3.5890497232119496</v>
      </c>
      <c r="I206" s="369">
        <f t="shared" si="36"/>
        <v>0</v>
      </c>
    </row>
    <row r="207" spans="1:9">
      <c r="A207" s="363">
        <v>4410</v>
      </c>
      <c r="B207" s="402">
        <v>60195</v>
      </c>
      <c r="C207" s="400" t="s">
        <v>651</v>
      </c>
      <c r="D207" s="371" t="s">
        <v>541</v>
      </c>
      <c r="E207" s="366">
        <v>0</v>
      </c>
      <c r="F207" s="387">
        <f t="shared" si="70"/>
        <v>0</v>
      </c>
      <c r="G207" s="387">
        <f t="shared" si="71"/>
        <v>0</v>
      </c>
      <c r="H207" s="388">
        <f t="shared" si="72"/>
        <v>0</v>
      </c>
      <c r="I207" s="369">
        <f t="shared" si="36"/>
        <v>0</v>
      </c>
    </row>
    <row r="208" spans="1:9">
      <c r="A208" s="363">
        <v>4410</v>
      </c>
      <c r="B208" s="402">
        <v>60200</v>
      </c>
      <c r="C208" s="400" t="s">
        <v>652</v>
      </c>
      <c r="D208" s="371" t="s">
        <v>541</v>
      </c>
      <c r="E208" s="366">
        <v>0</v>
      </c>
      <c r="F208" s="387">
        <f t="shared" si="70"/>
        <v>0</v>
      </c>
      <c r="G208" s="387">
        <f t="shared" si="71"/>
        <v>0</v>
      </c>
      <c r="H208" s="388">
        <f t="shared" si="72"/>
        <v>0</v>
      </c>
      <c r="I208" s="369">
        <f t="shared" si="36"/>
        <v>0</v>
      </c>
    </row>
    <row r="209" spans="1:9">
      <c r="A209" s="363">
        <v>4410</v>
      </c>
      <c r="B209" s="402">
        <v>60201</v>
      </c>
      <c r="C209" s="400" t="s">
        <v>653</v>
      </c>
      <c r="D209" s="371" t="s">
        <v>541</v>
      </c>
      <c r="E209" s="366">
        <v>0</v>
      </c>
      <c r="F209" s="387">
        <f t="shared" si="70"/>
        <v>0</v>
      </c>
      <c r="G209" s="387">
        <f t="shared" si="71"/>
        <v>0</v>
      </c>
      <c r="H209" s="388">
        <f t="shared" si="72"/>
        <v>0</v>
      </c>
      <c r="I209" s="369">
        <f t="shared" si="36"/>
        <v>0</v>
      </c>
    </row>
    <row r="210" spans="1:9">
      <c r="A210" s="363">
        <v>4410</v>
      </c>
      <c r="B210" s="402">
        <v>60203</v>
      </c>
      <c r="C210" s="400" t="s">
        <v>654</v>
      </c>
      <c r="D210" s="371" t="s">
        <v>541</v>
      </c>
      <c r="E210" s="366">
        <v>0</v>
      </c>
      <c r="F210" s="387">
        <f t="shared" si="70"/>
        <v>0</v>
      </c>
      <c r="G210" s="387">
        <f t="shared" si="71"/>
        <v>0</v>
      </c>
      <c r="H210" s="388">
        <f t="shared" si="72"/>
        <v>0</v>
      </c>
      <c r="I210" s="369">
        <f t="shared" ref="I210:I273" si="73">E210-F210-G210-H210</f>
        <v>0</v>
      </c>
    </row>
    <row r="211" spans="1:9">
      <c r="A211" s="363">
        <v>4410</v>
      </c>
      <c r="B211" s="402">
        <v>60206</v>
      </c>
      <c r="C211" s="400" t="s">
        <v>655</v>
      </c>
      <c r="D211" s="371" t="s">
        <v>541</v>
      </c>
      <c r="E211" s="366">
        <v>0</v>
      </c>
      <c r="F211" s="387">
        <f t="shared" si="70"/>
        <v>0</v>
      </c>
      <c r="G211" s="387">
        <f t="shared" si="71"/>
        <v>0</v>
      </c>
      <c r="H211" s="388">
        <f t="shared" si="72"/>
        <v>0</v>
      </c>
      <c r="I211" s="369">
        <f t="shared" si="73"/>
        <v>0</v>
      </c>
    </row>
    <row r="212" spans="1:9">
      <c r="A212" s="363">
        <v>4410</v>
      </c>
      <c r="B212" s="402">
        <v>60210</v>
      </c>
      <c r="C212" s="400" t="s">
        <v>656</v>
      </c>
      <c r="D212" s="371" t="s">
        <v>541</v>
      </c>
      <c r="E212" s="366">
        <v>0</v>
      </c>
      <c r="F212" s="387">
        <f t="shared" si="70"/>
        <v>0</v>
      </c>
      <c r="G212" s="387">
        <f t="shared" si="71"/>
        <v>0</v>
      </c>
      <c r="H212" s="388">
        <f t="shared" si="72"/>
        <v>0</v>
      </c>
      <c r="I212" s="369">
        <f t="shared" si="73"/>
        <v>0</v>
      </c>
    </row>
    <row r="213" spans="1:9">
      <c r="A213" s="363">
        <v>4620</v>
      </c>
      <c r="B213" s="402">
        <v>70185</v>
      </c>
      <c r="C213" s="400" t="s">
        <v>657</v>
      </c>
      <c r="D213" s="371" t="s">
        <v>539</v>
      </c>
      <c r="E213" s="366">
        <v>929.84153413336185</v>
      </c>
      <c r="F213" s="387">
        <f t="shared" si="70"/>
        <v>503.1169255054499</v>
      </c>
      <c r="G213" s="387">
        <f t="shared" si="71"/>
        <v>413.00158192316258</v>
      </c>
      <c r="H213" s="388">
        <f t="shared" si="72"/>
        <v>13.723026704749307</v>
      </c>
      <c r="I213" s="369">
        <f t="shared" si="73"/>
        <v>6.5725203057809267E-14</v>
      </c>
    </row>
    <row r="214" spans="1:9">
      <c r="A214" s="363">
        <v>4620</v>
      </c>
      <c r="B214" s="399">
        <v>70210</v>
      </c>
      <c r="C214" s="400" t="s">
        <v>658</v>
      </c>
      <c r="D214" s="371" t="s">
        <v>539</v>
      </c>
      <c r="E214" s="366">
        <v>9656.1731792772389</v>
      </c>
      <c r="F214" s="387">
        <f t="shared" si="70"/>
        <v>5224.7441997029227</v>
      </c>
      <c r="G214" s="387">
        <f t="shared" si="71"/>
        <v>4288.9187587027445</v>
      </c>
      <c r="H214" s="388">
        <f t="shared" si="72"/>
        <v>142.51022087157071</v>
      </c>
      <c r="I214" s="369">
        <f t="shared" si="73"/>
        <v>9.0949470177292824E-13</v>
      </c>
    </row>
    <row r="215" spans="1:9">
      <c r="B215" s="399"/>
      <c r="C215" s="400" t="s">
        <v>659</v>
      </c>
      <c r="D215" s="371" t="s">
        <v>539</v>
      </c>
      <c r="E215" s="366">
        <v>3996.4413017438424</v>
      </c>
      <c r="F215" s="387">
        <f t="shared" si="70"/>
        <v>2162.3870163751794</v>
      </c>
      <c r="G215" s="387">
        <f t="shared" si="71"/>
        <v>1775.072976517032</v>
      </c>
      <c r="H215" s="388">
        <f t="shared" si="72"/>
        <v>58.981308851630594</v>
      </c>
      <c r="I215" s="369">
        <f t="shared" si="73"/>
        <v>3.6237679523765109E-13</v>
      </c>
    </row>
    <row r="216" spans="1:9">
      <c r="A216" s="363">
        <v>4620</v>
      </c>
      <c r="B216" s="402">
        <v>70302</v>
      </c>
      <c r="C216" s="400" t="s">
        <v>660</v>
      </c>
      <c r="D216" s="371" t="s">
        <v>539</v>
      </c>
      <c r="E216" s="366">
        <v>2085.7777276814109</v>
      </c>
      <c r="F216" s="387">
        <f t="shared" si="70"/>
        <v>1128.5687282369845</v>
      </c>
      <c r="G216" s="387">
        <f t="shared" si="71"/>
        <v>926.42613762720157</v>
      </c>
      <c r="H216" s="388">
        <f t="shared" si="72"/>
        <v>30.782861817224511</v>
      </c>
      <c r="I216" s="369">
        <f t="shared" si="73"/>
        <v>2.7355895326763857E-13</v>
      </c>
    </row>
    <row r="217" spans="1:9">
      <c r="A217" s="363">
        <v>4620</v>
      </c>
      <c r="B217" s="399">
        <v>70214</v>
      </c>
      <c r="C217" s="400" t="s">
        <v>661</v>
      </c>
      <c r="D217" s="371" t="s">
        <v>539</v>
      </c>
      <c r="E217" s="366">
        <v>32222.320679729957</v>
      </c>
      <c r="F217" s="387">
        <f t="shared" si="70"/>
        <v>17434.793260924907</v>
      </c>
      <c r="G217" s="387">
        <f t="shared" si="71"/>
        <v>14311.975670528864</v>
      </c>
      <c r="H217" s="388">
        <f t="shared" si="72"/>
        <v>475.55174827618481</v>
      </c>
      <c r="I217" s="369">
        <f t="shared" si="73"/>
        <v>1.3073986337985843E-12</v>
      </c>
    </row>
    <row r="218" spans="1:9">
      <c r="B218" s="402"/>
      <c r="C218" s="400"/>
      <c r="D218" s="371"/>
      <c r="E218" s="366"/>
      <c r="F218" s="387"/>
      <c r="G218" s="387"/>
      <c r="H218" s="388"/>
      <c r="I218" s="369">
        <f t="shared" si="73"/>
        <v>0</v>
      </c>
    </row>
    <row r="219" spans="1:9">
      <c r="A219" s="409"/>
      <c r="B219" s="402"/>
      <c r="C219" s="410" t="s">
        <v>662</v>
      </c>
      <c r="D219" s="406"/>
      <c r="E219" s="385">
        <f>SUM(E205:E218)</f>
        <v>49308.080319907865</v>
      </c>
      <c r="F219" s="386">
        <f>SUM(F205:F218)</f>
        <v>26786.382219634204</v>
      </c>
      <c r="G219" s="386">
        <f>SUM(G205:G218)</f>
        <v>21792.76761433488</v>
      </c>
      <c r="H219" s="386">
        <f>SUM(H205:H218)</f>
        <v>728.93048593877813</v>
      </c>
      <c r="I219" s="369">
        <f t="shared" si="73"/>
        <v>3.0695446184836328E-12</v>
      </c>
    </row>
    <row r="220" spans="1:9">
      <c r="B220" s="402"/>
      <c r="C220" s="400"/>
      <c r="D220" s="371"/>
      <c r="E220" s="366"/>
      <c r="F220" s="387"/>
      <c r="G220" s="387"/>
      <c r="H220" s="388"/>
      <c r="I220" s="369">
        <f t="shared" si="73"/>
        <v>0</v>
      </c>
    </row>
    <row r="221" spans="1:9">
      <c r="A221" s="363">
        <v>4630</v>
      </c>
      <c r="B221" s="402">
        <v>70235</v>
      </c>
      <c r="C221" s="400" t="s">
        <v>663</v>
      </c>
      <c r="D221" s="371" t="s">
        <v>539</v>
      </c>
      <c r="E221" s="366">
        <v>0</v>
      </c>
      <c r="F221" s="387">
        <f t="shared" ref="F221" si="74">IF(($E221=0),0,IF(($D221="ACT"),"0",(VLOOKUP($D221,$D$10:$H$13,3,FALSE)*$E221)))</f>
        <v>0</v>
      </c>
      <c r="G221" s="387">
        <f t="shared" ref="G221" si="75">IF(($E221=0),0,IF(($D221="ACT"),"0",(VLOOKUP($D221,$D$10:$H$13,4,FALSE)*$E221)))</f>
        <v>0</v>
      </c>
      <c r="H221" s="388">
        <f t="shared" ref="H221" si="76">IF(($E221=0),0,IF(($D221="ACT"),"0",(VLOOKUP($D221,$D$10:$H$13,5,FALSE)*$E221)))</f>
        <v>0</v>
      </c>
      <c r="I221" s="369">
        <f t="shared" si="73"/>
        <v>0</v>
      </c>
    </row>
    <row r="222" spans="1:9">
      <c r="B222" s="402"/>
      <c r="C222" s="400"/>
      <c r="D222" s="371"/>
      <c r="E222" s="366"/>
      <c r="F222" s="387"/>
      <c r="G222" s="387"/>
      <c r="H222" s="388"/>
      <c r="I222" s="369">
        <f t="shared" si="73"/>
        <v>0</v>
      </c>
    </row>
    <row r="223" spans="1:9">
      <c r="A223" s="409"/>
      <c r="B223" s="402"/>
      <c r="C223" s="410" t="s">
        <v>664</v>
      </c>
      <c r="D223" s="406"/>
      <c r="E223" s="385">
        <f>SUM(E221:E222)</f>
        <v>0</v>
      </c>
      <c r="F223" s="407">
        <f>SUM(F221:F222)</f>
        <v>0</v>
      </c>
      <c r="G223" s="407">
        <f>SUM(G221:G222)</f>
        <v>0</v>
      </c>
      <c r="H223" s="407">
        <f>SUM(H221:H222)</f>
        <v>0</v>
      </c>
      <c r="I223" s="369">
        <f t="shared" si="73"/>
        <v>0</v>
      </c>
    </row>
    <row r="224" spans="1:9">
      <c r="B224" s="402"/>
      <c r="C224" s="400"/>
      <c r="D224" s="371"/>
      <c r="E224" s="366"/>
      <c r="F224" s="387"/>
      <c r="G224" s="387"/>
      <c r="H224" s="388"/>
      <c r="I224" s="369">
        <f t="shared" si="73"/>
        <v>0</v>
      </c>
    </row>
    <row r="225" spans="1:9">
      <c r="A225" s="363">
        <v>4640</v>
      </c>
      <c r="B225" s="402">
        <v>52165</v>
      </c>
      <c r="C225" s="400" t="s">
        <v>665</v>
      </c>
      <c r="D225" s="371" t="s">
        <v>537</v>
      </c>
      <c r="E225" s="366">
        <v>914.10146375558816</v>
      </c>
      <c r="F225" s="387">
        <f t="shared" ref="F225:F230" si="77">IF(($E225=0),0,IF(($D225="ACT"),"0",(VLOOKUP($D225,$D$10:$H$13,3,FALSE)*$E225)))</f>
        <v>728.54751163140133</v>
      </c>
      <c r="G225" s="387">
        <f t="shared" ref="G225:G230" si="78">IF(($E225=0),0,IF(($D225="ACT"),"0",(VLOOKUP($D225,$D$10:$H$13,4,FALSE)*$E225)))</f>
        <v>169.39381708379216</v>
      </c>
      <c r="H225" s="388">
        <f t="shared" ref="H225:H230" si="79">IF(($E225=0),0,IF(($D225="ACT"),"0",(VLOOKUP($D225,$D$10:$H$13,5,FALSE)*$E225)))</f>
        <v>16.160135040394639</v>
      </c>
      <c r="I225" s="369">
        <f t="shared" si="73"/>
        <v>0</v>
      </c>
    </row>
    <row r="226" spans="1:9">
      <c r="A226" s="363">
        <v>4640</v>
      </c>
      <c r="B226" s="402">
        <v>70165</v>
      </c>
      <c r="C226" s="400" t="s">
        <v>665</v>
      </c>
      <c r="D226" s="371" t="s">
        <v>539</v>
      </c>
      <c r="E226" s="366">
        <v>12933.313303841407</v>
      </c>
      <c r="F226" s="387">
        <f t="shared" si="77"/>
        <v>6997.9330747922513</v>
      </c>
      <c r="G226" s="387">
        <f t="shared" si="78"/>
        <v>5744.504475133811</v>
      </c>
      <c r="H226" s="388">
        <f t="shared" si="79"/>
        <v>190.87575391534355</v>
      </c>
      <c r="I226" s="369">
        <f t="shared" si="73"/>
        <v>1.2789769243681803E-12</v>
      </c>
    </row>
    <row r="227" spans="1:9">
      <c r="A227" s="363">
        <v>4640</v>
      </c>
      <c r="B227" s="402">
        <v>70167</v>
      </c>
      <c r="C227" s="400" t="s">
        <v>666</v>
      </c>
      <c r="D227" s="371" t="s">
        <v>539</v>
      </c>
      <c r="E227" s="366">
        <v>3506.9192758462009</v>
      </c>
      <c r="F227" s="387">
        <f t="shared" si="77"/>
        <v>1897.5173503128146</v>
      </c>
      <c r="G227" s="387">
        <f t="shared" si="78"/>
        <v>1557.6452066654858</v>
      </c>
      <c r="H227" s="388">
        <f t="shared" si="79"/>
        <v>51.756718867900283</v>
      </c>
      <c r="I227" s="369">
        <f t="shared" si="73"/>
        <v>1.3500311979441904E-13</v>
      </c>
    </row>
    <row r="228" spans="1:9">
      <c r="A228" s="363">
        <v>4640</v>
      </c>
      <c r="B228" s="402">
        <v>57165</v>
      </c>
      <c r="C228" s="400" t="s">
        <v>667</v>
      </c>
      <c r="D228" s="371" t="s">
        <v>537</v>
      </c>
      <c r="E228" s="366">
        <v>3445.4097374099733</v>
      </c>
      <c r="F228" s="387">
        <f t="shared" si="77"/>
        <v>2746.0241453150074</v>
      </c>
      <c r="G228" s="387">
        <f t="shared" si="78"/>
        <v>638.47519118905188</v>
      </c>
      <c r="H228" s="388">
        <f t="shared" si="79"/>
        <v>60.910400905914116</v>
      </c>
      <c r="I228" s="369">
        <f t="shared" si="73"/>
        <v>-1.1368683772161603E-13</v>
      </c>
    </row>
    <row r="229" spans="1:9">
      <c r="A229" s="363">
        <v>4640</v>
      </c>
      <c r="B229" s="402">
        <v>70150</v>
      </c>
      <c r="C229" s="400" t="s">
        <v>668</v>
      </c>
      <c r="D229" s="371" t="s">
        <v>539</v>
      </c>
      <c r="E229" s="366">
        <v>12000.821748912007</v>
      </c>
      <c r="F229" s="387">
        <f t="shared" si="77"/>
        <v>6493.3822809700123</v>
      </c>
      <c r="G229" s="387">
        <f t="shared" si="78"/>
        <v>5330.3258509505249</v>
      </c>
      <c r="H229" s="388">
        <f t="shared" si="79"/>
        <v>177.11361699146852</v>
      </c>
      <c r="I229" s="369">
        <f t="shared" si="73"/>
        <v>1.3073986337985843E-12</v>
      </c>
    </row>
    <row r="230" spans="1:9">
      <c r="A230" s="363">
        <v>4640</v>
      </c>
      <c r="B230" s="402">
        <v>70166</v>
      </c>
      <c r="C230" s="400" t="s">
        <v>669</v>
      </c>
      <c r="D230" s="371" t="s">
        <v>539</v>
      </c>
      <c r="E230" s="366">
        <v>279.99317477505105</v>
      </c>
      <c r="F230" s="387">
        <f t="shared" si="77"/>
        <v>151.49818553397691</v>
      </c>
      <c r="G230" s="387">
        <f t="shared" si="78"/>
        <v>124.36272188847974</v>
      </c>
      <c r="H230" s="388">
        <f t="shared" si="79"/>
        <v>4.1322673525943818</v>
      </c>
      <c r="I230" s="369">
        <f t="shared" si="73"/>
        <v>1.5099033134902129E-14</v>
      </c>
    </row>
    <row r="231" spans="1:9">
      <c r="B231" s="402"/>
      <c r="C231" s="400"/>
      <c r="D231" s="371"/>
      <c r="E231" s="366"/>
      <c r="F231" s="387"/>
      <c r="G231" s="387"/>
      <c r="H231" s="388"/>
      <c r="I231" s="369">
        <f t="shared" si="73"/>
        <v>0</v>
      </c>
    </row>
    <row r="232" spans="1:9">
      <c r="A232" s="409"/>
      <c r="B232" s="402"/>
      <c r="C232" s="410" t="s">
        <v>670</v>
      </c>
      <c r="D232" s="406"/>
      <c r="E232" s="385">
        <f>SUM(E225:E231)</f>
        <v>33080.558704540228</v>
      </c>
      <c r="F232" s="407">
        <f>SUM(F225:F231)</f>
        <v>19014.902548555463</v>
      </c>
      <c r="G232" s="407">
        <f>SUM(G225:G231)</f>
        <v>13564.707262911144</v>
      </c>
      <c r="H232" s="407">
        <f>SUM(H225:H231)</f>
        <v>500.94889307361552</v>
      </c>
      <c r="I232" s="369">
        <f t="shared" si="73"/>
        <v>5.1159076974727213E-12</v>
      </c>
    </row>
    <row r="233" spans="1:9">
      <c r="B233" s="402"/>
      <c r="C233" s="400"/>
      <c r="D233" s="371"/>
      <c r="E233" s="366"/>
      <c r="F233" s="387"/>
      <c r="G233" s="387"/>
      <c r="H233" s="388"/>
      <c r="I233" s="369">
        <f t="shared" si="73"/>
        <v>0</v>
      </c>
    </row>
    <row r="234" spans="1:9">
      <c r="A234" s="363">
        <v>4645</v>
      </c>
      <c r="B234" s="402">
        <v>70149</v>
      </c>
      <c r="C234" s="400" t="s">
        <v>671</v>
      </c>
      <c r="D234" s="371" t="s">
        <v>538</v>
      </c>
      <c r="E234" s="366">
        <v>127977.19451501431</v>
      </c>
      <c r="F234" s="387">
        <f t="shared" ref="F234:F235" si="80">IF(($E234=0),0,IF(($D234="ACT"),"0",(VLOOKUP($D234,$D$10:$H$13,3,FALSE)*$E234)))</f>
        <v>113360.22460939233</v>
      </c>
      <c r="G234" s="387">
        <f t="shared" ref="G234:G235" si="81">IF(($E234=0),0,IF(($D234="ACT"),"0",(VLOOKUP($D234,$D$10:$H$13,4,FALSE)*$E234)))</f>
        <v>13931.010239786126</v>
      </c>
      <c r="H234" s="388">
        <f t="shared" ref="H234:H235" si="82">IF(($E234=0),0,IF(($D234="ACT"),"0",(VLOOKUP($D234,$D$10:$H$13,5,FALSE)*$E234)))</f>
        <v>685.95966583584584</v>
      </c>
      <c r="I234" s="369">
        <f t="shared" si="73"/>
        <v>1.1027623258996755E-11</v>
      </c>
    </row>
    <row r="235" spans="1:9">
      <c r="A235" s="363">
        <v>4645</v>
      </c>
      <c r="B235" s="402">
        <v>70148</v>
      </c>
      <c r="C235" s="400" t="s">
        <v>672</v>
      </c>
      <c r="D235" s="371" t="s">
        <v>539</v>
      </c>
      <c r="E235" s="366">
        <v>21639.973491440895</v>
      </c>
      <c r="F235" s="387">
        <f t="shared" si="80"/>
        <v>11708.916553378713</v>
      </c>
      <c r="G235" s="387">
        <f t="shared" si="81"/>
        <v>9611.6843103489082</v>
      </c>
      <c r="H235" s="388">
        <f t="shared" si="82"/>
        <v>319.3726277132705</v>
      </c>
      <c r="I235" s="369">
        <f t="shared" si="73"/>
        <v>3.1832314562052488E-12</v>
      </c>
    </row>
    <row r="236" spans="1:9">
      <c r="B236" s="402"/>
      <c r="C236" s="400"/>
      <c r="D236" s="371"/>
      <c r="E236" s="366"/>
      <c r="F236" s="387"/>
      <c r="G236" s="387"/>
      <c r="H236" s="388"/>
      <c r="I236" s="369">
        <f t="shared" si="73"/>
        <v>0</v>
      </c>
    </row>
    <row r="237" spans="1:9">
      <c r="A237" s="409"/>
      <c r="B237" s="402"/>
      <c r="C237" s="410" t="s">
        <v>673</v>
      </c>
      <c r="D237" s="406"/>
      <c r="E237" s="385">
        <f>SUM(E234:E236)</f>
        <v>149617.16800645521</v>
      </c>
      <c r="F237" s="407">
        <f>SUM(F234:F236)</f>
        <v>125069.14116277105</v>
      </c>
      <c r="G237" s="407">
        <f>SUM(G234:G236)</f>
        <v>23542.694550135035</v>
      </c>
      <c r="H237" s="407">
        <f>SUM(H234:H236)</f>
        <v>1005.3322935491163</v>
      </c>
      <c r="I237" s="369">
        <f t="shared" si="73"/>
        <v>6.9348971010185778E-12</v>
      </c>
    </row>
    <row r="238" spans="1:9">
      <c r="B238" s="402"/>
      <c r="C238" s="400"/>
      <c r="D238" s="371"/>
      <c r="E238" s="366"/>
      <c r="F238" s="387"/>
      <c r="G238" s="387"/>
      <c r="H238" s="388"/>
      <c r="I238" s="369">
        <f t="shared" si="73"/>
        <v>0</v>
      </c>
    </row>
    <row r="239" spans="1:9">
      <c r="A239" s="363">
        <v>4650</v>
      </c>
      <c r="B239" s="402">
        <v>50060</v>
      </c>
      <c r="C239" s="400" t="s">
        <v>674</v>
      </c>
      <c r="D239" s="371" t="s">
        <v>537</v>
      </c>
      <c r="E239" s="366">
        <v>174653.93680297348</v>
      </c>
      <c r="F239" s="387">
        <f t="shared" ref="F239:F252" si="83">IF(($E239=0),0,IF(($D239="ACT"),"0",(VLOOKUP($D239,$D$10:$H$13,3,FALSE)*$E239)))</f>
        <v>139200.83940315919</v>
      </c>
      <c r="G239" s="387">
        <f t="shared" ref="G239:G252" si="84">IF(($E239=0),0,IF(($D239="ACT"),"0",(VLOOKUP($D239,$D$10:$H$13,4,FALSE)*$E239)))</f>
        <v>32365.441033444815</v>
      </c>
      <c r="H239" s="388">
        <f t="shared" ref="H239:H252" si="85">IF(($E239=0),0,IF(($D239="ACT"),"0",(VLOOKUP($D239,$D$10:$H$13,5,FALSE)*$E239)))</f>
        <v>3087.6563663694801</v>
      </c>
      <c r="I239" s="369">
        <f t="shared" si="73"/>
        <v>-7.73070496506989E-12</v>
      </c>
    </row>
    <row r="240" spans="1:9">
      <c r="A240" s="363">
        <v>4650</v>
      </c>
      <c r="B240" s="402">
        <v>52060</v>
      </c>
      <c r="C240" s="400" t="s">
        <v>674</v>
      </c>
      <c r="D240" s="371" t="s">
        <v>537</v>
      </c>
      <c r="E240" s="366">
        <v>55871.901873587398</v>
      </c>
      <c r="F240" s="387">
        <f t="shared" si="83"/>
        <v>44530.434195869195</v>
      </c>
      <c r="G240" s="387">
        <f t="shared" si="84"/>
        <v>10353.724505826434</v>
      </c>
      <c r="H240" s="388">
        <f t="shared" si="85"/>
        <v>987.74317189176566</v>
      </c>
      <c r="I240" s="369">
        <f t="shared" si="73"/>
        <v>3.0695446184836328E-12</v>
      </c>
    </row>
    <row r="241" spans="1:9">
      <c r="A241" s="363">
        <v>4650</v>
      </c>
      <c r="B241" s="402">
        <v>55060</v>
      </c>
      <c r="C241" s="400" t="s">
        <v>674</v>
      </c>
      <c r="D241" s="371" t="s">
        <v>539</v>
      </c>
      <c r="E241" s="366">
        <v>0</v>
      </c>
      <c r="F241" s="387">
        <f t="shared" si="83"/>
        <v>0</v>
      </c>
      <c r="G241" s="387">
        <f t="shared" si="84"/>
        <v>0</v>
      </c>
      <c r="H241" s="388">
        <f t="shared" si="85"/>
        <v>0</v>
      </c>
      <c r="I241" s="369">
        <f t="shared" si="73"/>
        <v>0</v>
      </c>
    </row>
    <row r="242" spans="1:9">
      <c r="A242" s="363">
        <v>4650</v>
      </c>
      <c r="B242" s="402">
        <v>56060</v>
      </c>
      <c r="C242" s="400" t="s">
        <v>674</v>
      </c>
      <c r="D242" s="371" t="s">
        <v>537</v>
      </c>
      <c r="E242" s="366">
        <v>11049.990608957927</v>
      </c>
      <c r="F242" s="387">
        <f t="shared" si="83"/>
        <v>8806.9470194603837</v>
      </c>
      <c r="G242" s="387">
        <f t="shared" si="84"/>
        <v>2047.6940057629322</v>
      </c>
      <c r="H242" s="388">
        <f t="shared" si="85"/>
        <v>195.34958373461092</v>
      </c>
      <c r="I242" s="369">
        <f t="shared" si="73"/>
        <v>3.979039320256561E-13</v>
      </c>
    </row>
    <row r="243" spans="1:9">
      <c r="A243" s="363">
        <v>4650</v>
      </c>
      <c r="B243" s="402">
        <v>60060</v>
      </c>
      <c r="C243" s="400" t="s">
        <v>674</v>
      </c>
      <c r="D243" s="371" t="s">
        <v>541</v>
      </c>
      <c r="E243" s="366">
        <v>0</v>
      </c>
      <c r="F243" s="387">
        <f t="shared" si="83"/>
        <v>0</v>
      </c>
      <c r="G243" s="387">
        <f t="shared" si="84"/>
        <v>0</v>
      </c>
      <c r="H243" s="388">
        <f t="shared" si="85"/>
        <v>0</v>
      </c>
      <c r="I243" s="369">
        <f t="shared" si="73"/>
        <v>0</v>
      </c>
    </row>
    <row r="244" spans="1:9">
      <c r="A244" s="363">
        <v>4650</v>
      </c>
      <c r="B244" s="402">
        <v>70060</v>
      </c>
      <c r="C244" s="400" t="s">
        <v>674</v>
      </c>
      <c r="D244" s="371" t="s">
        <v>539</v>
      </c>
      <c r="E244" s="366">
        <v>58288.274379944502</v>
      </c>
      <c r="F244" s="387">
        <f t="shared" si="83"/>
        <v>31538.510942499721</v>
      </c>
      <c r="G244" s="387">
        <f t="shared" si="84"/>
        <v>25889.518420926714</v>
      </c>
      <c r="H244" s="388">
        <f t="shared" si="85"/>
        <v>860.24501651806111</v>
      </c>
      <c r="I244" s="369">
        <f t="shared" si="73"/>
        <v>6.0254023992456496E-12</v>
      </c>
    </row>
    <row r="245" spans="1:9">
      <c r="A245" s="363">
        <v>4650</v>
      </c>
      <c r="B245" s="402">
        <v>50115</v>
      </c>
      <c r="C245" s="400" t="s">
        <v>675</v>
      </c>
      <c r="D245" s="371" t="s">
        <v>537</v>
      </c>
      <c r="E245" s="366">
        <v>34093.582700822073</v>
      </c>
      <c r="F245" s="387">
        <f t="shared" si="83"/>
        <v>27172.907849018273</v>
      </c>
      <c r="G245" s="387">
        <f t="shared" si="84"/>
        <v>6317.9442772431385</v>
      </c>
      <c r="H245" s="388">
        <f t="shared" si="85"/>
        <v>602.73057456066135</v>
      </c>
      <c r="I245" s="369">
        <f t="shared" si="73"/>
        <v>0</v>
      </c>
    </row>
    <row r="246" spans="1:9">
      <c r="A246" s="363">
        <v>4650</v>
      </c>
      <c r="B246" s="402">
        <v>50116</v>
      </c>
      <c r="C246" s="400" t="s">
        <v>676</v>
      </c>
      <c r="D246" s="371" t="s">
        <v>537</v>
      </c>
      <c r="E246" s="366">
        <v>0</v>
      </c>
      <c r="F246" s="387">
        <f t="shared" si="83"/>
        <v>0</v>
      </c>
      <c r="G246" s="387">
        <f t="shared" si="84"/>
        <v>0</v>
      </c>
      <c r="H246" s="388">
        <f t="shared" si="85"/>
        <v>0</v>
      </c>
      <c r="I246" s="369">
        <f t="shared" si="73"/>
        <v>0</v>
      </c>
    </row>
    <row r="247" spans="1:9">
      <c r="A247" s="363">
        <v>4650</v>
      </c>
      <c r="B247" s="402">
        <v>50117</v>
      </c>
      <c r="C247" s="400" t="s">
        <v>677</v>
      </c>
      <c r="D247" s="371" t="s">
        <v>537</v>
      </c>
      <c r="E247" s="366">
        <v>0</v>
      </c>
      <c r="F247" s="387">
        <f t="shared" si="83"/>
        <v>0</v>
      </c>
      <c r="G247" s="387">
        <f t="shared" si="84"/>
        <v>0</v>
      </c>
      <c r="H247" s="388">
        <f t="shared" si="85"/>
        <v>0</v>
      </c>
      <c r="I247" s="369">
        <f t="shared" si="73"/>
        <v>0</v>
      </c>
    </row>
    <row r="248" spans="1:9">
      <c r="A248" s="363">
        <v>4650</v>
      </c>
      <c r="B248" s="402">
        <v>52115</v>
      </c>
      <c r="C248" s="400" t="s">
        <v>675</v>
      </c>
      <c r="D248" s="371" t="s">
        <v>537</v>
      </c>
      <c r="E248" s="366">
        <v>9809.0930672129052</v>
      </c>
      <c r="F248" s="387">
        <f t="shared" si="83"/>
        <v>7817.9399430319581</v>
      </c>
      <c r="G248" s="387">
        <f t="shared" si="84"/>
        <v>1817.741008704515</v>
      </c>
      <c r="H248" s="388">
        <f t="shared" si="85"/>
        <v>173.41211547643178</v>
      </c>
      <c r="I248" s="369">
        <f t="shared" si="73"/>
        <v>2.8421709430404007E-13</v>
      </c>
    </row>
    <row r="249" spans="1:9">
      <c r="A249" s="363">
        <v>4650</v>
      </c>
      <c r="B249" s="402">
        <v>55115</v>
      </c>
      <c r="C249" s="400" t="s">
        <v>678</v>
      </c>
      <c r="D249" s="371" t="s">
        <v>537</v>
      </c>
      <c r="E249" s="366">
        <v>0</v>
      </c>
      <c r="F249" s="387">
        <f t="shared" si="83"/>
        <v>0</v>
      </c>
      <c r="G249" s="387">
        <f t="shared" si="84"/>
        <v>0</v>
      </c>
      <c r="H249" s="388">
        <f t="shared" si="85"/>
        <v>0</v>
      </c>
      <c r="I249" s="369">
        <f t="shared" si="73"/>
        <v>0</v>
      </c>
    </row>
    <row r="250" spans="1:9">
      <c r="A250" s="363">
        <v>4650</v>
      </c>
      <c r="B250" s="402">
        <v>56115</v>
      </c>
      <c r="C250" s="400" t="s">
        <v>675</v>
      </c>
      <c r="D250" s="371" t="s">
        <v>537</v>
      </c>
      <c r="E250" s="366">
        <v>3739.8045642139632</v>
      </c>
      <c r="F250" s="387">
        <f t="shared" si="83"/>
        <v>2980.6596064858163</v>
      </c>
      <c r="G250" s="387">
        <f t="shared" si="84"/>
        <v>693.03003594027268</v>
      </c>
      <c r="H250" s="388">
        <f t="shared" si="85"/>
        <v>66.11492178787401</v>
      </c>
      <c r="I250" s="369">
        <f t="shared" si="73"/>
        <v>1.9895196601282805E-13</v>
      </c>
    </row>
    <row r="251" spans="1:9">
      <c r="A251" s="363">
        <v>4410</v>
      </c>
      <c r="B251" s="402">
        <v>60116</v>
      </c>
      <c r="C251" s="400" t="s">
        <v>678</v>
      </c>
      <c r="D251" s="371" t="s">
        <v>541</v>
      </c>
      <c r="E251" s="366">
        <v>0</v>
      </c>
      <c r="F251" s="387">
        <f t="shared" si="83"/>
        <v>0</v>
      </c>
      <c r="G251" s="387">
        <f t="shared" si="84"/>
        <v>0</v>
      </c>
      <c r="H251" s="388">
        <f t="shared" si="85"/>
        <v>0</v>
      </c>
      <c r="I251" s="369">
        <f t="shared" si="73"/>
        <v>0</v>
      </c>
    </row>
    <row r="252" spans="1:9">
      <c r="A252" s="363">
        <v>4650</v>
      </c>
      <c r="B252" s="402">
        <v>70116</v>
      </c>
      <c r="C252" s="400" t="s">
        <v>675</v>
      </c>
      <c r="D252" s="371" t="s">
        <v>539</v>
      </c>
      <c r="E252" s="366">
        <v>10025.784178927341</v>
      </c>
      <c r="F252" s="387">
        <f t="shared" si="83"/>
        <v>5424.7326310115677</v>
      </c>
      <c r="G252" s="387">
        <f t="shared" si="84"/>
        <v>4453.086438837583</v>
      </c>
      <c r="H252" s="388">
        <f t="shared" si="85"/>
        <v>147.96510907818848</v>
      </c>
      <c r="I252" s="369">
        <f t="shared" si="73"/>
        <v>1.4495071809506044E-12</v>
      </c>
    </row>
    <row r="253" spans="1:9">
      <c r="B253" s="402"/>
      <c r="C253" s="400"/>
      <c r="D253" s="371"/>
      <c r="E253" s="366"/>
      <c r="F253" s="387"/>
      <c r="G253" s="387"/>
      <c r="H253" s="388"/>
      <c r="I253" s="369">
        <f t="shared" si="73"/>
        <v>0</v>
      </c>
    </row>
    <row r="254" spans="1:9">
      <c r="A254" s="409"/>
      <c r="B254" s="402"/>
      <c r="C254" s="410" t="s">
        <v>679</v>
      </c>
      <c r="D254" s="406"/>
      <c r="E254" s="385">
        <f>SUM(E239:E253)</f>
        <v>357532.3681766396</v>
      </c>
      <c r="F254" s="407">
        <f>SUM(F239:F253)</f>
        <v>267472.97159053606</v>
      </c>
      <c r="G254" s="407">
        <f>SUM(G239:G253)</f>
        <v>83938.179726686401</v>
      </c>
      <c r="H254" s="407">
        <f>SUM(H239:H253)</f>
        <v>6121.2168594170716</v>
      </c>
      <c r="I254" s="369">
        <f t="shared" si="73"/>
        <v>6.6393113229423761E-11</v>
      </c>
    </row>
    <row r="255" spans="1:9">
      <c r="B255" s="402"/>
      <c r="C255" s="400"/>
      <c r="D255" s="371"/>
      <c r="E255" s="366"/>
      <c r="F255" s="387"/>
      <c r="G255" s="387"/>
      <c r="H255" s="388"/>
      <c r="I255" s="369">
        <f t="shared" si="73"/>
        <v>0</v>
      </c>
    </row>
    <row r="256" spans="1:9">
      <c r="A256" s="363">
        <v>4660</v>
      </c>
      <c r="B256" s="402">
        <v>70320</v>
      </c>
      <c r="C256" s="400" t="s">
        <v>680</v>
      </c>
      <c r="D256" s="371" t="s">
        <v>539</v>
      </c>
      <c r="E256" s="366">
        <v>14649.960868743379</v>
      </c>
      <c r="F256" s="387">
        <f t="shared" ref="F256" si="86">IF(($E256=0),0,IF(($D256="ACT"),"0",(VLOOKUP($D256,$D$10:$H$13,3,FALSE)*$E256)))</f>
        <v>7926.7735420390345</v>
      </c>
      <c r="G256" s="387">
        <f t="shared" ref="G256" si="87">IF(($E256=0),0,IF(($D256="ACT"),"0",(VLOOKUP($D256,$D$10:$H$13,4,FALSE)*$E256)))</f>
        <v>6506.9765027679032</v>
      </c>
      <c r="H256" s="388">
        <f t="shared" ref="H256" si="88">IF(($E256=0),0,IF(($D256="ACT"),"0",(VLOOKUP($D256,$D$10:$H$13,5,FALSE)*$E256)))</f>
        <v>216.21082393644019</v>
      </c>
      <c r="I256" s="369">
        <f t="shared" si="73"/>
        <v>1.3642420526593924E-12</v>
      </c>
    </row>
    <row r="257" spans="1:10">
      <c r="B257" s="402"/>
      <c r="C257" s="400"/>
      <c r="D257" s="371"/>
      <c r="E257" s="366"/>
      <c r="F257" s="387"/>
      <c r="G257" s="387"/>
      <c r="H257" s="388"/>
      <c r="I257" s="369">
        <f t="shared" si="73"/>
        <v>0</v>
      </c>
    </row>
    <row r="258" spans="1:10">
      <c r="A258" s="409"/>
      <c r="B258" s="402"/>
      <c r="C258" s="410" t="s">
        <v>681</v>
      </c>
      <c r="D258" s="406"/>
      <c r="E258" s="385">
        <f>SUM(E256:E257)</f>
        <v>14649.960868743379</v>
      </c>
      <c r="F258" s="407">
        <f>SUM(F256:F257)</f>
        <v>7926.7735420390345</v>
      </c>
      <c r="G258" s="407">
        <f>SUM(G256:G257)</f>
        <v>6506.9765027679032</v>
      </c>
      <c r="H258" s="407">
        <f>SUM(H256:H257)</f>
        <v>216.21082393644019</v>
      </c>
      <c r="I258" s="369">
        <f t="shared" si="73"/>
        <v>1.3642420526593924E-12</v>
      </c>
    </row>
    <row r="259" spans="1:10">
      <c r="B259" s="402"/>
      <c r="C259" s="400"/>
      <c r="D259" s="371"/>
      <c r="E259" s="366"/>
      <c r="F259" s="387"/>
      <c r="G259" s="387"/>
      <c r="H259" s="388"/>
      <c r="I259" s="369">
        <f t="shared" si="73"/>
        <v>0</v>
      </c>
    </row>
    <row r="260" spans="1:10">
      <c r="A260" s="363">
        <v>4670</v>
      </c>
      <c r="B260" s="402">
        <v>70310</v>
      </c>
      <c r="C260" s="400" t="s">
        <v>682</v>
      </c>
      <c r="D260" s="371" t="s">
        <v>538</v>
      </c>
      <c r="E260" s="366">
        <v>11421.252280228915</v>
      </c>
      <c r="F260" s="387">
        <f t="shared" ref="F260" si="89">IF(($E260=0),0,IF(($D260="ACT"),"0",(VLOOKUP($D260,$D$10:$H$13,3,FALSE)*$E260)))</f>
        <v>10116.769075254168</v>
      </c>
      <c r="G260" s="387">
        <f t="shared" ref="G260" si="90">IF(($E260=0),0,IF(($D260="ACT"),"0",(VLOOKUP($D260,$D$10:$H$13,4,FALSE)*$E260)))</f>
        <v>1243.265122899556</v>
      </c>
      <c r="H260" s="388">
        <f t="shared" ref="H260" si="91">IF(($E260=0),0,IF(($D260="ACT"),"0",(VLOOKUP($D260,$D$10:$H$13,5,FALSE)*$E260)))</f>
        <v>61.218082075190132</v>
      </c>
      <c r="I260" s="369">
        <f t="shared" si="73"/>
        <v>1.3002932064409833E-12</v>
      </c>
    </row>
    <row r="261" spans="1:10">
      <c r="B261" s="402"/>
      <c r="C261" s="400"/>
      <c r="D261" s="371"/>
      <c r="E261" s="366"/>
      <c r="F261" s="387"/>
      <c r="G261" s="387"/>
      <c r="H261" s="388"/>
      <c r="I261" s="369">
        <f t="shared" si="73"/>
        <v>0</v>
      </c>
    </row>
    <row r="262" spans="1:10">
      <c r="A262" s="409"/>
      <c r="B262" s="402"/>
      <c r="C262" s="410" t="s">
        <v>683</v>
      </c>
      <c r="D262" s="406"/>
      <c r="E262" s="385">
        <f>SUM(E260:E261)</f>
        <v>11421.252280228915</v>
      </c>
      <c r="F262" s="407">
        <f>SUM(F260:F261)</f>
        <v>10116.769075254168</v>
      </c>
      <c r="G262" s="407">
        <f>SUM(G260:G261)</f>
        <v>1243.265122899556</v>
      </c>
      <c r="H262" s="407">
        <f>SUM(H260:H261)</f>
        <v>61.218082075190132</v>
      </c>
      <c r="I262" s="369">
        <f t="shared" si="73"/>
        <v>1.3002932064409833E-12</v>
      </c>
    </row>
    <row r="263" spans="1:10">
      <c r="A263" s="408"/>
      <c r="B263" s="402"/>
      <c r="C263" s="400"/>
      <c r="D263" s="371"/>
      <c r="E263" s="366"/>
      <c r="F263" s="387"/>
      <c r="G263" s="387"/>
      <c r="H263" s="388"/>
      <c r="I263" s="369">
        <f t="shared" si="73"/>
        <v>0</v>
      </c>
    </row>
    <row r="264" spans="1:10">
      <c r="A264" s="363">
        <v>4680</v>
      </c>
      <c r="B264" s="399">
        <v>43002</v>
      </c>
      <c r="C264" s="400" t="s">
        <v>684</v>
      </c>
      <c r="D264" s="371" t="s">
        <v>538</v>
      </c>
      <c r="E264" s="366">
        <v>33496.513052766451</v>
      </c>
      <c r="F264" s="387">
        <f t="shared" ref="F264" si="92">IF(($E264=0),0,IF(($D264="ACT"),"0",(VLOOKUP($D264,$D$10:$H$13,3,FALSE)*$E264)))</f>
        <v>29670.694514619645</v>
      </c>
      <c r="G264" s="387">
        <f t="shared" ref="G264" si="93">IF(($E264=0),0,IF(($D264="ACT"),"0",(VLOOKUP($D264,$D$10:$H$13,4,FALSE)*$E264)))</f>
        <v>3646.2767300346841</v>
      </c>
      <c r="H264" s="388">
        <f t="shared" ref="H264" si="94">IF(($E264=0),0,IF(($D264="ACT"),"0",(VLOOKUP($D264,$D$10:$H$13,5,FALSE)*$E264)))</f>
        <v>179.54180811211663</v>
      </c>
      <c r="I264" s="369">
        <f t="shared" si="73"/>
        <v>5.8264504332328215E-12</v>
      </c>
      <c r="J264" s="408"/>
    </row>
    <row r="265" spans="1:10">
      <c r="B265" s="399"/>
      <c r="C265" s="400"/>
      <c r="D265" s="371"/>
      <c r="E265" s="366"/>
      <c r="F265" s="387"/>
      <c r="G265" s="387"/>
      <c r="H265" s="388"/>
      <c r="I265" s="369">
        <f t="shared" si="73"/>
        <v>0</v>
      </c>
    </row>
    <row r="266" spans="1:10">
      <c r="A266" s="409"/>
      <c r="B266" s="402"/>
      <c r="C266" s="410" t="s">
        <v>685</v>
      </c>
      <c r="D266" s="406"/>
      <c r="E266" s="385">
        <f>SUM(E264:E265)</f>
        <v>33496.513052766451</v>
      </c>
      <c r="F266" s="407">
        <f>SUM(F264:F265)</f>
        <v>29670.694514619645</v>
      </c>
      <c r="G266" s="407">
        <f>SUM(G264:G265)</f>
        <v>3646.2767300346841</v>
      </c>
      <c r="H266" s="407">
        <f>SUM(H264:H265)</f>
        <v>179.54180811211663</v>
      </c>
      <c r="I266" s="369">
        <f t="shared" si="73"/>
        <v>5.8264504332328215E-12</v>
      </c>
    </row>
    <row r="267" spans="1:10">
      <c r="B267" s="402"/>
      <c r="C267" s="400"/>
      <c r="D267" s="371"/>
      <c r="E267" s="366"/>
      <c r="F267" s="387"/>
      <c r="G267" s="387"/>
      <c r="H267" s="388"/>
      <c r="I267" s="369">
        <f t="shared" si="73"/>
        <v>0</v>
      </c>
    </row>
    <row r="268" spans="1:10">
      <c r="A268" s="363">
        <v>4690</v>
      </c>
      <c r="B268" s="402">
        <v>70300</v>
      </c>
      <c r="C268" s="400" t="s">
        <v>686</v>
      </c>
      <c r="D268" s="371" t="s">
        <v>539</v>
      </c>
      <c r="E268" s="366">
        <v>39829.422308598492</v>
      </c>
      <c r="F268" s="387">
        <f t="shared" ref="F268:F280" si="95">IF(($E268=0),0,IF(($D268="ACT"),"0",(VLOOKUP($D268,$D$10:$H$13,3,FALSE)*$E268)))</f>
        <v>21550.829642426139</v>
      </c>
      <c r="G268" s="387">
        <f t="shared" ref="G268:G280" si="96">IF(($E268=0),0,IF(($D268="ACT"),"0",(VLOOKUP($D268,$D$10:$H$13,4,FALSE)*$E268)))</f>
        <v>17690.77183228686</v>
      </c>
      <c r="H268" s="388">
        <f t="shared" ref="H268:H280" si="97">IF(($E268=0),0,IF(($D268="ACT"),"0",(VLOOKUP($D268,$D$10:$H$13,5,FALSE)*$E268)))</f>
        <v>587.8208338854887</v>
      </c>
      <c r="I268" s="369">
        <f t="shared" si="73"/>
        <v>4.2064129956997931E-12</v>
      </c>
    </row>
    <row r="269" spans="1:10">
      <c r="A269" s="363">
        <v>4690</v>
      </c>
      <c r="B269" s="399">
        <v>70090</v>
      </c>
      <c r="C269" s="400" t="s">
        <v>687</v>
      </c>
      <c r="D269" s="371" t="s">
        <v>539</v>
      </c>
      <c r="E269" s="366">
        <v>433.50848024397737</v>
      </c>
      <c r="F269" s="387">
        <f t="shared" si="95"/>
        <v>234.56196110251227</v>
      </c>
      <c r="G269" s="387">
        <f t="shared" si="96"/>
        <v>192.54860268716507</v>
      </c>
      <c r="H269" s="388">
        <f t="shared" si="97"/>
        <v>6.3979164542999971</v>
      </c>
      <c r="I269" s="369">
        <f t="shared" si="73"/>
        <v>3.3750779948604759E-14</v>
      </c>
    </row>
    <row r="270" spans="1:10">
      <c r="A270" s="363">
        <v>4690</v>
      </c>
      <c r="B270" s="399">
        <v>70095</v>
      </c>
      <c r="C270" s="400" t="s">
        <v>688</v>
      </c>
      <c r="D270" s="371" t="s">
        <v>539</v>
      </c>
      <c r="E270" s="366">
        <v>0</v>
      </c>
      <c r="F270" s="387">
        <f t="shared" si="95"/>
        <v>0</v>
      </c>
      <c r="G270" s="387">
        <f t="shared" si="96"/>
        <v>0</v>
      </c>
      <c r="H270" s="388">
        <f t="shared" si="97"/>
        <v>0</v>
      </c>
      <c r="I270" s="369">
        <f t="shared" si="73"/>
        <v>0</v>
      </c>
    </row>
    <row r="271" spans="1:10">
      <c r="A271" s="363">
        <v>4690</v>
      </c>
      <c r="B271" s="399">
        <v>70110</v>
      </c>
      <c r="C271" s="400" t="s">
        <v>689</v>
      </c>
      <c r="D271" s="371" t="s">
        <v>539</v>
      </c>
      <c r="E271" s="366">
        <v>0</v>
      </c>
      <c r="F271" s="387">
        <f t="shared" si="95"/>
        <v>0</v>
      </c>
      <c r="G271" s="387">
        <f t="shared" si="96"/>
        <v>0</v>
      </c>
      <c r="H271" s="388">
        <f t="shared" si="97"/>
        <v>0</v>
      </c>
      <c r="I271" s="369">
        <f t="shared" si="73"/>
        <v>0</v>
      </c>
    </row>
    <row r="272" spans="1:10">
      <c r="A272" s="363">
        <v>4690</v>
      </c>
      <c r="B272" s="402">
        <v>70195</v>
      </c>
      <c r="C272" s="400" t="s">
        <v>690</v>
      </c>
      <c r="D272" s="371" t="s">
        <v>539</v>
      </c>
      <c r="E272" s="366">
        <v>1926.6385593020029</v>
      </c>
      <c r="F272" s="387">
        <f t="shared" si="95"/>
        <v>1042.4620033990097</v>
      </c>
      <c r="G272" s="387">
        <f t="shared" si="96"/>
        <v>855.74234272887054</v>
      </c>
      <c r="H272" s="388">
        <f t="shared" si="97"/>
        <v>28.434213174122501</v>
      </c>
      <c r="I272" s="369">
        <f t="shared" si="73"/>
        <v>1.4566126083082054E-13</v>
      </c>
    </row>
    <row r="273" spans="1:9">
      <c r="A273" s="363">
        <v>4690</v>
      </c>
      <c r="B273" s="399">
        <v>70202</v>
      </c>
      <c r="C273" s="400" t="s">
        <v>691</v>
      </c>
      <c r="D273" s="371" t="s">
        <v>539</v>
      </c>
      <c r="E273" s="366">
        <v>1456.8882958354754</v>
      </c>
      <c r="F273" s="387">
        <f t="shared" si="95"/>
        <v>788.29040572895167</v>
      </c>
      <c r="G273" s="387">
        <f t="shared" si="96"/>
        <v>647.09646620183548</v>
      </c>
      <c r="H273" s="388">
        <f t="shared" si="97"/>
        <v>21.501423904688117</v>
      </c>
      <c r="I273" s="369">
        <f t="shared" si="73"/>
        <v>1.7763568394002505E-13</v>
      </c>
    </row>
    <row r="274" spans="1:9">
      <c r="A274" s="363">
        <v>4690</v>
      </c>
      <c r="B274" s="399">
        <v>70203</v>
      </c>
      <c r="C274" s="400" t="s">
        <v>654</v>
      </c>
      <c r="D274" s="371" t="s">
        <v>539</v>
      </c>
      <c r="E274" s="366">
        <v>58.674760196907805</v>
      </c>
      <c r="F274" s="387">
        <f t="shared" si="95"/>
        <v>31.747629968531687</v>
      </c>
      <c r="G274" s="387">
        <f t="shared" si="96"/>
        <v>26.061181277378356</v>
      </c>
      <c r="H274" s="388">
        <f t="shared" si="97"/>
        <v>0.86594895099775449</v>
      </c>
      <c r="I274" s="369">
        <f t="shared" ref="I274:I337" si="98">E274-F274-G274-H274</f>
        <v>7.3274719625260332E-15</v>
      </c>
    </row>
    <row r="275" spans="1:9">
      <c r="A275" s="363">
        <v>4690</v>
      </c>
      <c r="B275" s="399">
        <v>70205</v>
      </c>
      <c r="C275" s="400" t="s">
        <v>692</v>
      </c>
      <c r="D275" s="371" t="s">
        <v>539</v>
      </c>
      <c r="E275" s="366">
        <v>1206.1182182303985</v>
      </c>
      <c r="F275" s="387">
        <f t="shared" si="95"/>
        <v>652.60419918514503</v>
      </c>
      <c r="G275" s="387">
        <f t="shared" si="96"/>
        <v>535.71357465739652</v>
      </c>
      <c r="H275" s="388">
        <f t="shared" si="97"/>
        <v>17.800444387856857</v>
      </c>
      <c r="I275" s="369">
        <f t="shared" si="98"/>
        <v>8.5265128291212022E-14</v>
      </c>
    </row>
    <row r="276" spans="1:9">
      <c r="A276" s="363">
        <v>4690</v>
      </c>
      <c r="B276" s="399">
        <v>70206</v>
      </c>
      <c r="C276" s="400" t="s">
        <v>693</v>
      </c>
      <c r="D276" s="371" t="s">
        <v>539</v>
      </c>
      <c r="E276" s="366">
        <v>425.85152403584334</v>
      </c>
      <c r="F276" s="387">
        <f t="shared" si="95"/>
        <v>230.41894949811373</v>
      </c>
      <c r="G276" s="387">
        <f t="shared" si="96"/>
        <v>189.14766294572502</v>
      </c>
      <c r="H276" s="388">
        <f t="shared" si="97"/>
        <v>6.2849115920045593</v>
      </c>
      <c r="I276" s="369">
        <f t="shared" si="98"/>
        <v>3.1086244689504383E-14</v>
      </c>
    </row>
    <row r="277" spans="1:9">
      <c r="A277" s="363">
        <v>4690</v>
      </c>
      <c r="B277" s="399">
        <v>70207</v>
      </c>
      <c r="C277" s="400" t="s">
        <v>625</v>
      </c>
      <c r="D277" s="371" t="s">
        <v>539</v>
      </c>
      <c r="E277" s="366">
        <v>34.832484242848615</v>
      </c>
      <c r="F277" s="387">
        <f t="shared" si="95"/>
        <v>18.847095700357841</v>
      </c>
      <c r="G277" s="387">
        <f t="shared" si="96"/>
        <v>15.471314806364445</v>
      </c>
      <c r="H277" s="388">
        <f t="shared" si="97"/>
        <v>0.5140737361263249</v>
      </c>
      <c r="I277" s="369">
        <f t="shared" si="98"/>
        <v>4.5519144009631418E-15</v>
      </c>
    </row>
    <row r="278" spans="1:9">
      <c r="A278" s="363">
        <v>4690</v>
      </c>
      <c r="B278" s="399">
        <v>70255</v>
      </c>
      <c r="C278" s="400" t="s">
        <v>605</v>
      </c>
      <c r="D278" s="371" t="s">
        <v>539</v>
      </c>
      <c r="E278" s="366">
        <v>251.98909550885924</v>
      </c>
      <c r="F278" s="387">
        <f t="shared" si="95"/>
        <v>136.3457904808252</v>
      </c>
      <c r="G278" s="387">
        <f t="shared" si="96"/>
        <v>111.92433468735473</v>
      </c>
      <c r="H278" s="388">
        <f t="shared" si="97"/>
        <v>3.7189703406792862</v>
      </c>
      <c r="I278" s="369">
        <f t="shared" si="98"/>
        <v>1.9539925233402755E-14</v>
      </c>
    </row>
    <row r="279" spans="1:9">
      <c r="A279" s="363">
        <v>4690</v>
      </c>
      <c r="B279" s="399">
        <v>70303</v>
      </c>
      <c r="C279" s="400" t="s">
        <v>694</v>
      </c>
      <c r="D279" s="371" t="s">
        <v>539</v>
      </c>
      <c r="E279" s="366">
        <v>766.32417692004265</v>
      </c>
      <c r="F279" s="387">
        <f t="shared" si="95"/>
        <v>414.64125840738035</v>
      </c>
      <c r="G279" s="387">
        <f t="shared" si="96"/>
        <v>340.37315576457178</v>
      </c>
      <c r="H279" s="388">
        <f t="shared" si="97"/>
        <v>11.309762748090456</v>
      </c>
      <c r="I279" s="369">
        <f t="shared" si="98"/>
        <v>6.3948846218409017E-14</v>
      </c>
    </row>
    <row r="280" spans="1:9">
      <c r="A280" s="363">
        <v>4690</v>
      </c>
      <c r="B280" s="399">
        <v>70335</v>
      </c>
      <c r="C280" s="400" t="s">
        <v>695</v>
      </c>
      <c r="D280" s="371" t="s">
        <v>539</v>
      </c>
      <c r="E280" s="366">
        <v>117.81141389642072</v>
      </c>
      <c r="F280" s="387">
        <f t="shared" si="95"/>
        <v>63.745180413199364</v>
      </c>
      <c r="G280" s="387">
        <f t="shared" si="96"/>
        <v>52.327518745627167</v>
      </c>
      <c r="H280" s="388">
        <f t="shared" si="97"/>
        <v>1.7387147375941767</v>
      </c>
      <c r="I280" s="369">
        <f t="shared" si="98"/>
        <v>9.7699626167013776E-15</v>
      </c>
    </row>
    <row r="281" spans="1:9">
      <c r="B281" s="399"/>
      <c r="C281" s="400"/>
      <c r="D281" s="371"/>
      <c r="E281" s="366"/>
      <c r="F281" s="387"/>
      <c r="G281" s="387"/>
      <c r="H281" s="388"/>
      <c r="I281" s="369">
        <f t="shared" si="98"/>
        <v>0</v>
      </c>
    </row>
    <row r="282" spans="1:9">
      <c r="A282" s="409"/>
      <c r="B282" s="402"/>
      <c r="C282" s="410" t="s">
        <v>696</v>
      </c>
      <c r="D282" s="406"/>
      <c r="E282" s="385">
        <f>SUM(E268:E281)</f>
        <v>46508.059317011262</v>
      </c>
      <c r="F282" s="407">
        <f>SUM(F268:F281)</f>
        <v>25164.494116310172</v>
      </c>
      <c r="G282" s="407">
        <f>SUM(G268:G281)</f>
        <v>20657.177986789149</v>
      </c>
      <c r="H282" s="407">
        <f>SUM(H268:H281)</f>
        <v>686.38721391194861</v>
      </c>
      <c r="I282" s="369">
        <f t="shared" si="98"/>
        <v>-7.3896444519050419E-12</v>
      </c>
    </row>
    <row r="283" spans="1:9">
      <c r="B283" s="402"/>
      <c r="C283" s="400"/>
      <c r="D283" s="371"/>
      <c r="E283" s="366"/>
      <c r="F283" s="387">
        <f>IF(($E283=0),0,IF(($D283="ACT"),"0",(VLOOKUP($D283,$D$10:$H$13,3,FALSE)*$E283)))</f>
        <v>0</v>
      </c>
      <c r="G283" s="387">
        <f>IF(($E283=0),0,IF(($D283="ACT"),"0",(VLOOKUP($D283,$D$10:$H$13,4,FALSE)*$E283)))</f>
        <v>0</v>
      </c>
      <c r="H283" s="388">
        <f>IF(($E283=0),0,IF(($D283="ACT"),"0",(VLOOKUP($D283,$D$10:$H$13,5,FALSE)*$E283)))</f>
        <v>0</v>
      </c>
      <c r="I283" s="369">
        <f t="shared" si="98"/>
        <v>0</v>
      </c>
    </row>
    <row r="284" spans="1:9">
      <c r="A284" s="409"/>
      <c r="B284" s="402"/>
      <c r="C284" s="412" t="s">
        <v>697</v>
      </c>
      <c r="D284" s="413"/>
      <c r="E284" s="375">
        <f>E282+E266+E262+E258+E254+E237+E232+E223+E219+E203+E195</f>
        <v>1034654.1695568584</v>
      </c>
      <c r="F284" s="414">
        <f>F282+F266+F262+F258+F254+F237+F232+F223+F219+F203+F195</f>
        <v>694669.37351830176</v>
      </c>
      <c r="G284" s="414">
        <f>G282+G266+G262+G258+G254+G237+G232+G223+G219+G203+G195</f>
        <v>325481.29908705287</v>
      </c>
      <c r="H284" s="414">
        <f>H282+H266+H262+H258+H254+H237+H232+H223+H219+H203+H195</f>
        <v>14503.496951503603</v>
      </c>
      <c r="I284" s="369">
        <f t="shared" si="98"/>
        <v>1.3460521586239338E-10</v>
      </c>
    </row>
    <row r="285" spans="1:9">
      <c r="B285" s="402"/>
      <c r="C285" s="400"/>
      <c r="D285" s="371"/>
      <c r="E285" s="366"/>
      <c r="F285" s="387"/>
      <c r="G285" s="387"/>
      <c r="H285" s="388"/>
      <c r="I285" s="369">
        <f t="shared" si="98"/>
        <v>0</v>
      </c>
    </row>
    <row r="286" spans="1:9">
      <c r="A286" s="363">
        <v>5000</v>
      </c>
      <c r="B286" s="402">
        <v>51260</v>
      </c>
      <c r="C286" s="400" t="s">
        <v>698</v>
      </c>
      <c r="D286" s="371" t="s">
        <v>541</v>
      </c>
      <c r="E286" s="366">
        <v>464754.40296563471</v>
      </c>
      <c r="F286" s="387">
        <v>414974.10397906549</v>
      </c>
      <c r="G286" s="387">
        <v>49138.246403509227</v>
      </c>
      <c r="H286" s="387">
        <v>642.0525830600327</v>
      </c>
      <c r="I286" s="369">
        <f t="shared" si="98"/>
        <v>-3.8198777474462986E-11</v>
      </c>
    </row>
    <row r="287" spans="1:9">
      <c r="A287" s="363">
        <v>5000</v>
      </c>
      <c r="B287" s="402">
        <v>54260</v>
      </c>
      <c r="C287" s="400" t="s">
        <v>699</v>
      </c>
      <c r="D287" s="371" t="s">
        <v>541</v>
      </c>
      <c r="E287" s="366">
        <v>108740.4902607307</v>
      </c>
      <c r="F287" s="387">
        <v>74894.111049553496</v>
      </c>
      <c r="G287" s="387">
        <v>31914.513023466181</v>
      </c>
      <c r="H287" s="387">
        <v>1931.8661877110289</v>
      </c>
      <c r="I287" s="369">
        <f t="shared" si="98"/>
        <v>-4.5474735088646412E-12</v>
      </c>
    </row>
    <row r="288" spans="1:9">
      <c r="A288" s="363">
        <v>5000</v>
      </c>
      <c r="B288" s="402">
        <v>57260</v>
      </c>
      <c r="C288" s="400" t="s">
        <v>700</v>
      </c>
      <c r="D288" s="371" t="s">
        <v>537</v>
      </c>
      <c r="E288" s="366">
        <v>2204.3182032114582</v>
      </c>
      <c r="F288" s="387">
        <v>1756.8624550664847</v>
      </c>
      <c r="G288" s="387">
        <f>IF(($E288=0),0,IF(($D288="ACT"),"0",(VLOOKUP($D288,$D$10:$H$13,4,FALSE)*$E288)))</f>
        <v>408.48624503364101</v>
      </c>
      <c r="H288" s="388">
        <f t="shared" ref="H288:H292" si="99">IF(($E288=0),0,IF(($D288="ACT"),"0",(VLOOKUP($D288,$D$10:$H$13,5,FALSE)*$E288)))</f>
        <v>38.96950311133277</v>
      </c>
      <c r="I288" s="369">
        <f t="shared" si="98"/>
        <v>-2.4158453015843406E-13</v>
      </c>
    </row>
    <row r="289" spans="1:9">
      <c r="A289" s="363">
        <v>5000</v>
      </c>
      <c r="B289" s="402">
        <v>57260.1</v>
      </c>
      <c r="C289" s="400" t="s">
        <v>701</v>
      </c>
      <c r="D289" s="371" t="s">
        <v>537</v>
      </c>
      <c r="E289" s="366">
        <v>3359.503262207184</v>
      </c>
      <c r="F289" s="387">
        <f>IF(($E289=0),0,IF(($D289="ACT"),"0",(VLOOKUP($D289,$D$10:$H$13,3,FALSE)*$E289)))</f>
        <v>2677.555872126954</v>
      </c>
      <c r="G289" s="387">
        <f>IF(($E289=0),0,IF(($D289="ACT"),"0",(VLOOKUP($D289,$D$10:$H$13,4,FALSE)*$E289)))</f>
        <v>622.55570486963654</v>
      </c>
      <c r="H289" s="388">
        <f t="shared" si="99"/>
        <v>59.391685210593252</v>
      </c>
      <c r="I289" s="369">
        <f t="shared" si="98"/>
        <v>1.8474111129762605E-13</v>
      </c>
    </row>
    <row r="290" spans="1:9">
      <c r="A290" s="363">
        <v>5000</v>
      </c>
      <c r="B290" s="402">
        <v>70260</v>
      </c>
      <c r="C290" s="400" t="s">
        <v>702</v>
      </c>
      <c r="D290" s="371" t="s">
        <v>539</v>
      </c>
      <c r="E290" s="366">
        <v>1689.1883474827721</v>
      </c>
      <c r="F290" s="387">
        <f>IF(($E290=0),0,IF(($D290="ACT"),"0",(VLOOKUP($D290,$D$10:$H$13,3,FALSE)*$E290)))</f>
        <v>913.98288502702371</v>
      </c>
      <c r="G290" s="387">
        <f>IF(($E290=0),0,IF(($D290="ACT"),"0",(VLOOKUP($D290,$D$10:$H$13,4,FALSE)*$E290)))</f>
        <v>750.2756481261888</v>
      </c>
      <c r="H290" s="388">
        <f t="shared" si="99"/>
        <v>24.929814329559456</v>
      </c>
      <c r="I290" s="369">
        <f t="shared" si="98"/>
        <v>1.2079226507921703E-13</v>
      </c>
    </row>
    <row r="291" spans="1:9">
      <c r="A291" s="363">
        <v>5000</v>
      </c>
      <c r="B291" s="402">
        <v>70260.100000000006</v>
      </c>
      <c r="C291" s="400" t="s">
        <v>703</v>
      </c>
      <c r="D291" s="371" t="s">
        <v>539</v>
      </c>
      <c r="E291" s="366">
        <v>28033.87619552761</v>
      </c>
      <c r="F291" s="387">
        <f>IF(($E291=0),0,IF(($D291="ACT"),"0",(VLOOKUP($D291,$D$10:$H$13,3,FALSE)*$E291)))</f>
        <v>15168.51752018142</v>
      </c>
      <c r="G291" s="387">
        <f>IF(($E291=0),0,IF(($D291="ACT"),"0",(VLOOKUP($D291,$D$10:$H$13,4,FALSE)*$E291)))</f>
        <v>12451.621906717734</v>
      </c>
      <c r="H291" s="388">
        <f t="shared" si="99"/>
        <v>413.73676862845383</v>
      </c>
      <c r="I291" s="369">
        <f t="shared" si="98"/>
        <v>2.2168933355715126E-12</v>
      </c>
    </row>
    <row r="292" spans="1:9">
      <c r="A292" s="363">
        <v>5000</v>
      </c>
      <c r="B292" s="402">
        <v>70260.2</v>
      </c>
      <c r="C292" s="400" t="s">
        <v>704</v>
      </c>
      <c r="D292" s="371" t="s">
        <v>539</v>
      </c>
      <c r="E292" s="366">
        <v>8532.6197221969396</v>
      </c>
      <c r="F292" s="387">
        <f>IF(($E292=0),0,IF(($D292="ACT"),"0",(VLOOKUP($D292,$D$10:$H$13,3,FALSE)*$E292)))</f>
        <v>4616.8139877081285</v>
      </c>
      <c r="G292" s="387">
        <f>IF(($E292=0),0,IF(($D292="ACT"),"0",(VLOOKUP($D292,$D$10:$H$13,4,FALSE)*$E292)))</f>
        <v>3789.8774294918589</v>
      </c>
      <c r="H292" s="388">
        <f t="shared" si="99"/>
        <v>125.92830499695143</v>
      </c>
      <c r="I292" s="369">
        <f t="shared" si="98"/>
        <v>7.673861546209082E-13</v>
      </c>
    </row>
    <row r="293" spans="1:9">
      <c r="B293" s="402"/>
      <c r="C293" s="400"/>
      <c r="D293" s="371"/>
      <c r="E293" s="366"/>
      <c r="F293" s="387"/>
      <c r="G293" s="387"/>
      <c r="H293" s="388"/>
      <c r="I293" s="369">
        <f t="shared" si="98"/>
        <v>0</v>
      </c>
    </row>
    <row r="294" spans="1:9">
      <c r="A294" s="409"/>
      <c r="B294" s="402"/>
      <c r="C294" s="410" t="s">
        <v>705</v>
      </c>
      <c r="D294" s="406"/>
      <c r="E294" s="385">
        <f>SUM(E286:E293)</f>
        <v>617314.39895699138</v>
      </c>
      <c r="F294" s="407">
        <f>SUM(F286:F293)</f>
        <v>515001.94774872897</v>
      </c>
      <c r="G294" s="407">
        <f>SUM(G286:G293)</f>
        <v>99075.576361214451</v>
      </c>
      <c r="H294" s="407">
        <f>SUM(H286:H293)</f>
        <v>3236.8748470479522</v>
      </c>
      <c r="I294" s="369">
        <f t="shared" si="98"/>
        <v>1.0004441719502211E-11</v>
      </c>
    </row>
    <row r="295" spans="1:9">
      <c r="B295" s="421"/>
      <c r="C295" s="415"/>
      <c r="D295" s="371"/>
      <c r="E295" s="366"/>
      <c r="F295" s="387"/>
      <c r="G295" s="387"/>
      <c r="H295" s="388"/>
      <c r="I295" s="369">
        <f t="shared" si="98"/>
        <v>0</v>
      </c>
    </row>
    <row r="296" spans="1:9">
      <c r="A296" s="409"/>
      <c r="B296" s="402"/>
      <c r="C296" s="412" t="s">
        <v>706</v>
      </c>
      <c r="D296" s="413"/>
      <c r="E296" s="375">
        <f>E294</f>
        <v>617314.39895699138</v>
      </c>
      <c r="F296" s="414">
        <f>F294</f>
        <v>515001.94774872897</v>
      </c>
      <c r="G296" s="414">
        <f>G294</f>
        <v>99075.576361214451</v>
      </c>
      <c r="H296" s="414">
        <f>H294</f>
        <v>3236.8748470479522</v>
      </c>
      <c r="I296" s="369">
        <f t="shared" si="98"/>
        <v>1.0004441719502211E-11</v>
      </c>
    </row>
    <row r="297" spans="1:9">
      <c r="B297" s="402"/>
      <c r="C297" s="400"/>
      <c r="D297" s="371"/>
      <c r="E297" s="366"/>
      <c r="F297" s="387"/>
      <c r="G297" s="387"/>
      <c r="H297" s="388"/>
      <c r="I297" s="369">
        <f t="shared" si="98"/>
        <v>0</v>
      </c>
    </row>
    <row r="298" spans="1:9">
      <c r="A298" s="363">
        <v>5100</v>
      </c>
      <c r="B298" s="402">
        <v>91010</v>
      </c>
      <c r="C298" s="400" t="s">
        <v>707</v>
      </c>
      <c r="D298" s="371" t="s">
        <v>537</v>
      </c>
      <c r="E298" s="366">
        <v>33216.421009373153</v>
      </c>
      <c r="F298" s="387">
        <f t="shared" ref="F298" si="100">IF(($E298=0),0,IF(($D298="ACT"),"0",(VLOOKUP($D298,$D$10:$H$13,3,FALSE)*$E298)))</f>
        <v>26473.801685269285</v>
      </c>
      <c r="G298" s="387">
        <f t="shared" ref="G298" si="101">IF(($E298=0),0,IF(($D298="ACT"),"0",(VLOOKUP($D298,$D$10:$H$13,4,FALSE)*$E298)))</f>
        <v>6155.3958370472956</v>
      </c>
      <c r="H298" s="388">
        <f t="shared" ref="H298" si="102">IF(($E298=0),0,IF(($D298="ACT"),"0",(VLOOKUP($D298,$D$10:$H$13,5,FALSE)*$E298)))</f>
        <v>587.22348705657043</v>
      </c>
      <c r="I298" s="369">
        <f t="shared" si="98"/>
        <v>1.2505552149377763E-12</v>
      </c>
    </row>
    <row r="299" spans="1:9">
      <c r="B299" s="402"/>
      <c r="C299" s="400"/>
      <c r="D299" s="371"/>
      <c r="E299" s="366"/>
      <c r="F299" s="387"/>
      <c r="G299" s="387"/>
      <c r="H299" s="388"/>
      <c r="I299" s="369">
        <f t="shared" si="98"/>
        <v>0</v>
      </c>
    </row>
    <row r="300" spans="1:9">
      <c r="A300" s="409"/>
      <c r="B300" s="402"/>
      <c r="C300" s="410" t="s">
        <v>708</v>
      </c>
      <c r="D300" s="406"/>
      <c r="E300" s="385">
        <f>SUM(E298:E299)</f>
        <v>33216.421009373153</v>
      </c>
      <c r="F300" s="407">
        <f>SUM(F298:F299)</f>
        <v>26473.801685269285</v>
      </c>
      <c r="G300" s="407">
        <f>SUM(G298:G299)</f>
        <v>6155.3958370472956</v>
      </c>
      <c r="H300" s="407">
        <f>SUM(H298:H299)</f>
        <v>587.22348705657043</v>
      </c>
      <c r="I300" s="369">
        <f t="shared" si="98"/>
        <v>1.2505552149377763E-12</v>
      </c>
    </row>
    <row r="301" spans="1:9">
      <c r="A301" s="409"/>
      <c r="B301" s="402"/>
      <c r="C301" s="422"/>
      <c r="D301" s="423"/>
      <c r="E301" s="424"/>
      <c r="F301" s="425"/>
      <c r="G301" s="425"/>
      <c r="H301" s="425"/>
      <c r="I301" s="369"/>
    </row>
    <row r="302" spans="1:9">
      <c r="A302" s="363">
        <v>5150</v>
      </c>
      <c r="B302" s="402">
        <v>70269</v>
      </c>
      <c r="C302" s="422" t="s">
        <v>709</v>
      </c>
      <c r="D302" s="423" t="s">
        <v>539</v>
      </c>
      <c r="E302" s="366" t="s">
        <v>805</v>
      </c>
      <c r="F302" s="387">
        <f t="shared" ref="F302" si="103">IF(($E302=0),0,IF(($D302="ACT"),"0",(VLOOKUP($D302,$D$10:$H$13,3,FALSE)*$E302)))</f>
        <v>0</v>
      </c>
      <c r="G302" s="387">
        <f t="shared" ref="G302" si="104">IF(($E302=0),0,IF(($D302="ACT"),"0",(VLOOKUP($D302,$D$10:$H$13,4,FALSE)*$E302)))</f>
        <v>0</v>
      </c>
      <c r="H302" s="388">
        <f t="shared" ref="H302" si="105">IF(($E302=0),0,IF(($D302="ACT"),"0",(VLOOKUP($D302,$D$10:$H$13,5,FALSE)*$E302)))</f>
        <v>0</v>
      </c>
      <c r="I302" s="369">
        <f t="shared" ref="I302" si="106">E302-F302-G302-H302</f>
        <v>0</v>
      </c>
    </row>
    <row r="303" spans="1:9">
      <c r="B303" s="402"/>
      <c r="C303" s="422"/>
      <c r="D303" s="423"/>
      <c r="E303" s="424"/>
      <c r="F303" s="425"/>
      <c r="G303" s="425"/>
      <c r="H303" s="425"/>
      <c r="I303" s="369"/>
    </row>
    <row r="304" spans="1:9">
      <c r="A304" s="409"/>
      <c r="B304" s="402"/>
      <c r="C304" s="410" t="s">
        <v>710</v>
      </c>
      <c r="D304" s="406"/>
      <c r="E304" s="385">
        <f>+SUM(E302:E303)</f>
        <v>0</v>
      </c>
      <c r="F304" s="386">
        <f>+SUM(F302:F303)</f>
        <v>0</v>
      </c>
      <c r="G304" s="386">
        <f>+SUM(G302:G303)</f>
        <v>0</v>
      </c>
      <c r="H304" s="386">
        <f>+SUM(H302:H303)</f>
        <v>0</v>
      </c>
      <c r="I304" s="369">
        <f t="shared" si="98"/>
        <v>0</v>
      </c>
    </row>
    <row r="305" spans="1:9">
      <c r="B305" s="421"/>
      <c r="C305" s="415"/>
      <c r="D305" s="371"/>
      <c r="E305" s="366"/>
      <c r="F305" s="387"/>
      <c r="G305" s="387"/>
      <c r="H305" s="388"/>
      <c r="I305" s="369">
        <f t="shared" si="98"/>
        <v>0</v>
      </c>
    </row>
    <row r="306" spans="1:9">
      <c r="A306" s="409"/>
      <c r="B306" s="402"/>
      <c r="C306" s="412" t="s">
        <v>711</v>
      </c>
      <c r="D306" s="413"/>
      <c r="E306" s="375">
        <f>E300+E304</f>
        <v>33216.421009373153</v>
      </c>
      <c r="F306" s="376">
        <f t="shared" ref="F306:H306" si="107">F300+F304</f>
        <v>26473.801685269285</v>
      </c>
      <c r="G306" s="376">
        <f t="shared" si="107"/>
        <v>6155.3958370472956</v>
      </c>
      <c r="H306" s="376">
        <f t="shared" si="107"/>
        <v>587.22348705657043</v>
      </c>
      <c r="I306" s="369">
        <f t="shared" si="98"/>
        <v>1.2505552149377763E-12</v>
      </c>
    </row>
    <row r="307" spans="1:9">
      <c r="B307" s="402"/>
      <c r="C307" s="400"/>
      <c r="D307" s="371"/>
      <c r="E307" s="366"/>
      <c r="F307" s="387"/>
      <c r="G307" s="387"/>
      <c r="H307" s="388"/>
      <c r="I307" s="369">
        <f t="shared" si="98"/>
        <v>0</v>
      </c>
    </row>
    <row r="308" spans="1:9">
      <c r="A308" s="363">
        <v>5220</v>
      </c>
      <c r="B308" s="402">
        <v>51295</v>
      </c>
      <c r="C308" s="400" t="s">
        <v>712</v>
      </c>
      <c r="D308" s="371" t="s">
        <v>537</v>
      </c>
      <c r="E308" s="366">
        <v>31073.954818658553</v>
      </c>
      <c r="F308" s="387">
        <f t="shared" ref="F308:F309" si="108">IF(($E308=0),0,IF(($D308="ACT"),"0",(VLOOKUP($D308,$D$10:$H$13,3,FALSE)*$E308)))</f>
        <v>24766.235869121683</v>
      </c>
      <c r="G308" s="387">
        <f t="shared" ref="G308:G309" si="109">IF(($E308=0),0,IF(($D308="ACT"),"0",(VLOOKUP($D308,$D$10:$H$13,4,FALSE)*$E308)))</f>
        <v>5758.3715017759587</v>
      </c>
      <c r="H308" s="388">
        <f t="shared" ref="H308:H309" si="110">IF(($E308=0),0,IF(($D308="ACT"),"0",(VLOOKUP($D308,$D$10:$H$13,5,FALSE)*$E308)))</f>
        <v>549.34744776090952</v>
      </c>
      <c r="I308" s="369">
        <f t="shared" si="98"/>
        <v>1.1368683772161603E-12</v>
      </c>
    </row>
    <row r="309" spans="1:9">
      <c r="A309" s="363">
        <v>5220</v>
      </c>
      <c r="B309" s="402">
        <v>57357</v>
      </c>
      <c r="C309" s="400" t="s">
        <v>713</v>
      </c>
      <c r="D309" s="371" t="s">
        <v>537</v>
      </c>
      <c r="E309" s="366">
        <v>457.74549554843725</v>
      </c>
      <c r="F309" s="387">
        <f t="shared" si="108"/>
        <v>364.82748903185745</v>
      </c>
      <c r="G309" s="387">
        <f t="shared" si="109"/>
        <v>84.825656470663048</v>
      </c>
      <c r="H309" s="388">
        <f t="shared" si="110"/>
        <v>8.0923500459167563</v>
      </c>
      <c r="I309" s="369">
        <f t="shared" si="98"/>
        <v>0</v>
      </c>
    </row>
    <row r="310" spans="1:9">
      <c r="B310" s="402"/>
      <c r="C310" s="400"/>
      <c r="D310" s="371"/>
      <c r="E310" s="366"/>
      <c r="F310" s="387"/>
      <c r="G310" s="387"/>
      <c r="H310" s="388"/>
      <c r="I310" s="369">
        <f t="shared" si="98"/>
        <v>0</v>
      </c>
    </row>
    <row r="311" spans="1:9">
      <c r="A311" s="409"/>
      <c r="B311" s="402"/>
      <c r="C311" s="410" t="s">
        <v>714</v>
      </c>
      <c r="D311" s="406"/>
      <c r="E311" s="385">
        <f>SUM(E308:E310)</f>
        <v>31531.700314206988</v>
      </c>
      <c r="F311" s="407">
        <f>SUM(F308:F310)</f>
        <v>25131.06335815354</v>
      </c>
      <c r="G311" s="407">
        <f>SUM(G308:G310)</f>
        <v>5843.1971582466222</v>
      </c>
      <c r="H311" s="407">
        <f>SUM(H308:H310)</f>
        <v>557.43979780682628</v>
      </c>
      <c r="I311" s="369">
        <f t="shared" si="98"/>
        <v>0</v>
      </c>
    </row>
    <row r="312" spans="1:9">
      <c r="B312" s="402"/>
      <c r="C312" s="400"/>
      <c r="D312" s="371"/>
      <c r="E312" s="366"/>
      <c r="F312" s="387"/>
      <c r="G312" s="387"/>
      <c r="H312" s="388"/>
      <c r="I312" s="369">
        <f t="shared" si="98"/>
        <v>0</v>
      </c>
    </row>
    <row r="313" spans="1:9">
      <c r="A313" s="363">
        <v>5230</v>
      </c>
      <c r="B313" s="402">
        <v>57275</v>
      </c>
      <c r="C313" s="400" t="s">
        <v>715</v>
      </c>
      <c r="D313" s="371" t="s">
        <v>537</v>
      </c>
      <c r="E313" s="366">
        <v>6595.8201133934499</v>
      </c>
      <c r="F313" s="387">
        <f t="shared" ref="F313" si="111">IF(($E313=0),0,IF(($D313="ACT"),"0",(VLOOKUP($D313,$D$10:$H$13,3,FALSE)*$E313)))</f>
        <v>5256.9310096477448</v>
      </c>
      <c r="G313" s="387">
        <f t="shared" ref="G313" si="112">IF(($E313=0),0,IF(($D313="ACT"),"0",(VLOOKUP($D313,$D$10:$H$13,4,FALSE)*$E313)))</f>
        <v>1222.2835102083457</v>
      </c>
      <c r="H313" s="388">
        <f t="shared" ref="H313" si="113">IF(($E313=0),0,IF(($D313="ACT"),"0",(VLOOKUP($D313,$D$10:$H$13,5,FALSE)*$E313)))</f>
        <v>116.60559353735923</v>
      </c>
      <c r="I313" s="369">
        <f t="shared" si="98"/>
        <v>2.5579538487363607E-13</v>
      </c>
    </row>
    <row r="314" spans="1:9">
      <c r="B314" s="402"/>
      <c r="C314" s="400"/>
      <c r="D314" s="371"/>
      <c r="E314" s="366"/>
      <c r="F314" s="387"/>
      <c r="G314" s="387"/>
      <c r="H314" s="388"/>
      <c r="I314" s="369">
        <f t="shared" si="98"/>
        <v>0</v>
      </c>
    </row>
    <row r="315" spans="1:9">
      <c r="A315" s="409"/>
      <c r="B315" s="402"/>
      <c r="C315" s="410" t="s">
        <v>716</v>
      </c>
      <c r="D315" s="406"/>
      <c r="E315" s="385">
        <f>SUM(E313:E314)</f>
        <v>6595.8201133934499</v>
      </c>
      <c r="F315" s="407">
        <f>SUM(F313:F313)</f>
        <v>5256.9310096477448</v>
      </c>
      <c r="G315" s="407">
        <f>SUM(G313:G313)</f>
        <v>1222.2835102083457</v>
      </c>
      <c r="H315" s="407">
        <f>SUM(H313:H313)</f>
        <v>116.60559353735923</v>
      </c>
      <c r="I315" s="369">
        <f t="shared" si="98"/>
        <v>2.5579538487363607E-13</v>
      </c>
    </row>
    <row r="316" spans="1:9">
      <c r="B316" s="402"/>
      <c r="C316" s="400"/>
      <c r="D316" s="371"/>
      <c r="E316" s="366"/>
      <c r="F316" s="387"/>
      <c r="G316" s="387"/>
      <c r="H316" s="388"/>
      <c r="I316" s="369">
        <f t="shared" si="98"/>
        <v>0</v>
      </c>
    </row>
    <row r="317" spans="1:9">
      <c r="A317" s="363">
        <v>5242</v>
      </c>
      <c r="B317" s="402">
        <v>50050</v>
      </c>
      <c r="C317" s="400" t="s">
        <v>717</v>
      </c>
      <c r="D317" s="371" t="s">
        <v>537</v>
      </c>
      <c r="E317" s="366">
        <v>71888.92635704884</v>
      </c>
      <c r="F317" s="387">
        <f t="shared" ref="F317:F322" si="114">IF(($E317=0),0,IF(($D317="ACT"),"0",(VLOOKUP($D317,$D$10:$H$13,3,FALSE)*$E317)))</f>
        <v>57296.154188507957</v>
      </c>
      <c r="G317" s="387">
        <f t="shared" ref="G317:G322" si="115">IF(($E317=0),0,IF(($D317="ACT"),"0",(VLOOKUP($D317,$D$10:$H$13,4,FALSE)*$E317)))</f>
        <v>13321.868659573833</v>
      </c>
      <c r="H317" s="388">
        <f t="shared" ref="H317:H322" si="116">IF(($E317=0),0,IF(($D317="ACT"),"0",(VLOOKUP($D317,$D$10:$H$13,5,FALSE)*$E317)))</f>
        <v>1270.903508967051</v>
      </c>
      <c r="I317" s="369">
        <f t="shared" si="98"/>
        <v>0</v>
      </c>
    </row>
    <row r="318" spans="1:9">
      <c r="A318" s="363">
        <v>5242</v>
      </c>
      <c r="B318" s="402">
        <v>52050</v>
      </c>
      <c r="C318" s="400" t="s">
        <v>717</v>
      </c>
      <c r="D318" s="371" t="s">
        <v>537</v>
      </c>
      <c r="E318" s="366">
        <v>21906.258006747641</v>
      </c>
      <c r="F318" s="387">
        <f t="shared" si="114"/>
        <v>17459.494807502862</v>
      </c>
      <c r="G318" s="387">
        <f t="shared" si="115"/>
        <v>4059.4888083206856</v>
      </c>
      <c r="H318" s="388">
        <f t="shared" si="116"/>
        <v>387.27439092409395</v>
      </c>
      <c r="I318" s="369">
        <f t="shared" si="98"/>
        <v>-9.0949470177292824E-13</v>
      </c>
    </row>
    <row r="319" spans="1:9">
      <c r="A319" s="363">
        <v>5242</v>
      </c>
      <c r="B319" s="402">
        <v>55050</v>
      </c>
      <c r="C319" s="400" t="s">
        <v>717</v>
      </c>
      <c r="D319" s="371" t="s">
        <v>574</v>
      </c>
      <c r="E319" s="366">
        <v>0</v>
      </c>
      <c r="F319" s="387">
        <f t="shared" si="114"/>
        <v>0</v>
      </c>
      <c r="G319" s="387">
        <f t="shared" si="115"/>
        <v>0</v>
      </c>
      <c r="H319" s="388">
        <f t="shared" si="116"/>
        <v>0</v>
      </c>
      <c r="I319" s="369">
        <f t="shared" si="98"/>
        <v>0</v>
      </c>
    </row>
    <row r="320" spans="1:9">
      <c r="A320" s="363">
        <v>5242</v>
      </c>
      <c r="B320" s="402">
        <v>56050</v>
      </c>
      <c r="C320" s="400" t="s">
        <v>717</v>
      </c>
      <c r="D320" s="371" t="s">
        <v>537</v>
      </c>
      <c r="E320" s="366">
        <v>6369.456870494545</v>
      </c>
      <c r="F320" s="387">
        <f t="shared" si="114"/>
        <v>5076.5173642508189</v>
      </c>
      <c r="G320" s="387">
        <f t="shared" si="115"/>
        <v>1180.3357229194244</v>
      </c>
      <c r="H320" s="388">
        <f t="shared" si="116"/>
        <v>112.60378332430169</v>
      </c>
      <c r="I320" s="369">
        <f t="shared" si="98"/>
        <v>0</v>
      </c>
    </row>
    <row r="321" spans="1:9">
      <c r="A321" s="363">
        <v>5242</v>
      </c>
      <c r="B321" s="402">
        <v>60050</v>
      </c>
      <c r="C321" s="400" t="s">
        <v>717</v>
      </c>
      <c r="D321" s="371" t="s">
        <v>541</v>
      </c>
      <c r="E321" s="366">
        <v>0</v>
      </c>
      <c r="F321" s="387">
        <f t="shared" si="114"/>
        <v>0</v>
      </c>
      <c r="G321" s="387">
        <f t="shared" si="115"/>
        <v>0</v>
      </c>
      <c r="H321" s="388">
        <f t="shared" si="116"/>
        <v>0</v>
      </c>
      <c r="I321" s="369">
        <f t="shared" si="98"/>
        <v>0</v>
      </c>
    </row>
    <row r="322" spans="1:9">
      <c r="A322" s="363">
        <v>5242</v>
      </c>
      <c r="B322" s="402">
        <v>70050</v>
      </c>
      <c r="C322" s="400" t="s">
        <v>717</v>
      </c>
      <c r="D322" s="371" t="s">
        <v>539</v>
      </c>
      <c r="E322" s="366">
        <v>20380.613863113689</v>
      </c>
      <c r="F322" s="387">
        <f t="shared" si="114"/>
        <v>11027.504591177856</v>
      </c>
      <c r="G322" s="387">
        <f t="shared" si="115"/>
        <v>9052.3228496952215</v>
      </c>
      <c r="H322" s="388">
        <f t="shared" si="116"/>
        <v>300.78642224060906</v>
      </c>
      <c r="I322" s="369">
        <f t="shared" si="98"/>
        <v>2.4442670110147446E-12</v>
      </c>
    </row>
    <row r="323" spans="1:9">
      <c r="B323" s="402"/>
      <c r="C323" s="400"/>
      <c r="D323" s="371"/>
      <c r="E323" s="366"/>
      <c r="F323" s="387"/>
      <c r="G323" s="387"/>
      <c r="H323" s="388"/>
      <c r="I323" s="369">
        <f t="shared" si="98"/>
        <v>0</v>
      </c>
    </row>
    <row r="324" spans="1:9">
      <c r="A324" s="409"/>
      <c r="B324" s="402"/>
      <c r="C324" s="410" t="s">
        <v>718</v>
      </c>
      <c r="D324" s="406"/>
      <c r="E324" s="385">
        <f>SUM(E317:E323)</f>
        <v>120545.2550974047</v>
      </c>
      <c r="F324" s="407">
        <f>SUM(F317:F323)</f>
        <v>90859.67095143949</v>
      </c>
      <c r="G324" s="407">
        <f>SUM(G317:G323)</f>
        <v>27614.016040509166</v>
      </c>
      <c r="H324" s="407">
        <f>SUM(H317:H323)</f>
        <v>2071.5681054560559</v>
      </c>
      <c r="I324" s="369">
        <f t="shared" si="98"/>
        <v>-7.73070496506989E-12</v>
      </c>
    </row>
    <row r="325" spans="1:9">
      <c r="B325" s="402"/>
      <c r="C325" s="400"/>
      <c r="D325" s="371"/>
      <c r="E325" s="366"/>
      <c r="F325" s="387"/>
      <c r="G325" s="387"/>
      <c r="H325" s="388"/>
      <c r="I325" s="369">
        <f t="shared" si="98"/>
        <v>0</v>
      </c>
    </row>
    <row r="326" spans="1:9">
      <c r="A326" s="363">
        <v>5260</v>
      </c>
      <c r="B326" s="402">
        <v>43001</v>
      </c>
      <c r="C326" s="400" t="s">
        <v>719</v>
      </c>
      <c r="D326" s="371" t="s">
        <v>538</v>
      </c>
      <c r="E326" s="366">
        <v>0</v>
      </c>
      <c r="F326" s="387">
        <f t="shared" ref="F326:F328" si="117">IF(($E326=0),0,IF(($D326="ACT"),"0",(VLOOKUP($D326,$D$10:$H$13,3,FALSE)*$E326)))</f>
        <v>0</v>
      </c>
      <c r="G326" s="387">
        <f t="shared" ref="G326:G328" si="118">IF(($E326=0),0,IF(($D326="ACT"),"0",(VLOOKUP($D326,$D$10:$H$13,4,FALSE)*$E326)))</f>
        <v>0</v>
      </c>
      <c r="H326" s="388">
        <f t="shared" ref="H326:H328" si="119">IF(($E326=0),0,IF(($D326="ACT"),"0",(VLOOKUP($D326,$D$10:$H$13,5,FALSE)*$E326)))</f>
        <v>0</v>
      </c>
      <c r="I326" s="369">
        <f t="shared" si="98"/>
        <v>0</v>
      </c>
    </row>
    <row r="327" spans="1:9">
      <c r="A327" s="363">
        <v>5260</v>
      </c>
      <c r="B327" s="402">
        <v>43001.1</v>
      </c>
      <c r="C327" s="401" t="s">
        <v>720</v>
      </c>
      <c r="D327" s="371" t="s">
        <v>538</v>
      </c>
      <c r="E327" s="366">
        <v>115034.26288072394</v>
      </c>
      <c r="F327" s="387">
        <f t="shared" si="117"/>
        <v>101895.57543711318</v>
      </c>
      <c r="G327" s="387">
        <f t="shared" si="118"/>
        <v>12522.102083817781</v>
      </c>
      <c r="H327" s="388">
        <f t="shared" si="119"/>
        <v>616.58535979296403</v>
      </c>
      <c r="I327" s="369">
        <f t="shared" si="98"/>
        <v>1.5916157281026244E-11</v>
      </c>
    </row>
    <row r="328" spans="1:9">
      <c r="A328" s="363">
        <v>5260</v>
      </c>
      <c r="B328" s="402">
        <v>43001.3</v>
      </c>
      <c r="C328" s="401" t="s">
        <v>721</v>
      </c>
      <c r="D328" s="371" t="s">
        <v>541</v>
      </c>
      <c r="E328" s="366">
        <v>0</v>
      </c>
      <c r="F328" s="387">
        <f t="shared" si="117"/>
        <v>0</v>
      </c>
      <c r="G328" s="387">
        <f t="shared" si="118"/>
        <v>0</v>
      </c>
      <c r="H328" s="388">
        <f t="shared" si="119"/>
        <v>0</v>
      </c>
      <c r="I328" s="369">
        <f t="shared" si="98"/>
        <v>0</v>
      </c>
    </row>
    <row r="329" spans="1:9">
      <c r="B329" s="402"/>
      <c r="C329" s="401"/>
      <c r="D329" s="371"/>
      <c r="E329" s="366"/>
      <c r="F329" s="387"/>
      <c r="G329" s="387"/>
      <c r="H329" s="388"/>
      <c r="I329" s="369">
        <f t="shared" si="98"/>
        <v>0</v>
      </c>
    </row>
    <row r="330" spans="1:9">
      <c r="A330" s="409"/>
      <c r="B330" s="402"/>
      <c r="C330" s="410" t="s">
        <v>722</v>
      </c>
      <c r="D330" s="406"/>
      <c r="E330" s="385">
        <f>SUM(E326:E329)</f>
        <v>115034.26288072394</v>
      </c>
      <c r="F330" s="407">
        <f>SUM(F326:F329)</f>
        <v>101895.57543711318</v>
      </c>
      <c r="G330" s="407">
        <f>SUM(G326:G329)</f>
        <v>12522.102083817781</v>
      </c>
      <c r="H330" s="407">
        <f>SUM(H326:H329)</f>
        <v>616.58535979296403</v>
      </c>
      <c r="I330" s="369">
        <f t="shared" si="98"/>
        <v>1.5916157281026244E-11</v>
      </c>
    </row>
    <row r="331" spans="1:9">
      <c r="B331" s="402"/>
      <c r="C331" s="400"/>
      <c r="D331" s="371"/>
      <c r="E331" s="366"/>
      <c r="F331" s="387"/>
      <c r="G331" s="387"/>
      <c r="H331" s="388"/>
      <c r="I331" s="369">
        <f t="shared" si="98"/>
        <v>0</v>
      </c>
    </row>
    <row r="332" spans="1:9">
      <c r="A332" s="363">
        <v>5270</v>
      </c>
      <c r="B332" s="402">
        <v>41201</v>
      </c>
      <c r="C332" s="400" t="s">
        <v>723</v>
      </c>
      <c r="D332" s="371" t="s">
        <v>541</v>
      </c>
      <c r="E332" s="366" t="s">
        <v>805</v>
      </c>
      <c r="F332" s="387" t="str">
        <f t="shared" ref="F332" si="120">IF(($E332=0),0,IF(($D332="ACT"),"0",(VLOOKUP($D332,$D$10:$H$13,3,FALSE)*$E332)))</f>
        <v>0</v>
      </c>
      <c r="G332" s="387" t="str">
        <f t="shared" ref="G332" si="121">IF(($E332=0),0,IF(($D332="ACT"),"0",(VLOOKUP($D332,$D$10:$H$13,4,FALSE)*$E332)))</f>
        <v>0</v>
      </c>
      <c r="H332" s="388" t="str">
        <f t="shared" ref="H332" si="122">IF(($E332=0),0,IF(($D332="ACT"),"0",(VLOOKUP($D332,$D$10:$H$13,5,FALSE)*$E332)))</f>
        <v>0</v>
      </c>
      <c r="I332" s="369">
        <f t="shared" si="98"/>
        <v>0</v>
      </c>
    </row>
    <row r="333" spans="1:9">
      <c r="B333" s="402"/>
      <c r="C333" s="400"/>
      <c r="D333" s="371"/>
      <c r="E333" s="366"/>
      <c r="F333" s="387"/>
      <c r="G333" s="387"/>
      <c r="H333" s="388"/>
      <c r="I333" s="369">
        <f t="shared" si="98"/>
        <v>0</v>
      </c>
    </row>
    <row r="334" spans="1:9">
      <c r="A334" s="409"/>
      <c r="B334" s="402"/>
      <c r="C334" s="410" t="s">
        <v>724</v>
      </c>
      <c r="D334" s="406"/>
      <c r="E334" s="385">
        <f>SUM(E332:E333)</f>
        <v>0</v>
      </c>
      <c r="F334" s="407">
        <f>SUM(F332:F333)</f>
        <v>0</v>
      </c>
      <c r="G334" s="407">
        <f>SUM(G332:G333)</f>
        <v>0</v>
      </c>
      <c r="H334" s="407">
        <f>SUM(H332:H333)</f>
        <v>0</v>
      </c>
      <c r="I334" s="369">
        <f t="shared" si="98"/>
        <v>0</v>
      </c>
    </row>
    <row r="335" spans="1:9">
      <c r="B335" s="398"/>
      <c r="C335" s="363"/>
      <c r="D335" s="371"/>
      <c r="E335" s="366"/>
      <c r="F335" s="387"/>
      <c r="G335" s="387"/>
      <c r="H335" s="388"/>
      <c r="I335" s="369">
        <f t="shared" si="98"/>
        <v>0</v>
      </c>
    </row>
    <row r="336" spans="1:9">
      <c r="A336" s="409"/>
      <c r="B336" s="402"/>
      <c r="C336" s="412" t="s">
        <v>725</v>
      </c>
      <c r="D336" s="413"/>
      <c r="E336" s="375">
        <f>E334+E330+E324+E315+E311</f>
        <v>273707.03840572905</v>
      </c>
      <c r="F336" s="414">
        <f>F334+F330+F324+F315+F311</f>
        <v>223143.24075635395</v>
      </c>
      <c r="G336" s="414">
        <f>G334+G330+G324+G315+G311</f>
        <v>47201.598792781915</v>
      </c>
      <c r="H336" s="414">
        <f>H334+H330+H324+H315+H311</f>
        <v>3362.1988565932056</v>
      </c>
      <c r="I336" s="369">
        <f t="shared" si="98"/>
        <v>-1.5916157281026244E-11</v>
      </c>
    </row>
    <row r="337" spans="1:9">
      <c r="B337" s="402"/>
      <c r="C337" s="400"/>
      <c r="D337" s="371"/>
      <c r="E337" s="366"/>
      <c r="F337" s="387"/>
      <c r="G337" s="387"/>
      <c r="H337" s="388"/>
      <c r="I337" s="369">
        <f t="shared" si="98"/>
        <v>0</v>
      </c>
    </row>
    <row r="338" spans="1:9">
      <c r="A338" s="363">
        <v>5320</v>
      </c>
      <c r="B338" s="402">
        <v>57170</v>
      </c>
      <c r="C338" s="408" t="s">
        <v>726</v>
      </c>
      <c r="D338" s="371" t="s">
        <v>539</v>
      </c>
      <c r="E338" s="366">
        <v>24269.180516431818</v>
      </c>
      <c r="F338" s="387">
        <f t="shared" ref="F338:F341" si="123">IF(($E338=0),0,IF(($D338="ACT"),"0",(VLOOKUP($D338,$D$10:$H$13,3,FALSE)*$E338)))</f>
        <v>13131.522993693996</v>
      </c>
      <c r="G338" s="387">
        <f t="shared" ref="G338:G341" si="124">IF(($E338=0),0,IF(($D338="ACT"),"0",(VLOOKUP($D338,$D$10:$H$13,4,FALSE)*$E338)))</f>
        <v>10779.481855052913</v>
      </c>
      <c r="H338" s="388">
        <f t="shared" ref="H338:H341" si="125">IF(($E338=0),0,IF(($D338="ACT"),"0",(VLOOKUP($D338,$D$10:$H$13,5,FALSE)*$E338)))</f>
        <v>358.1756676849073</v>
      </c>
      <c r="I338" s="369">
        <f t="shared" ref="I338:I349" si="126">E338-F338-G338-H338</f>
        <v>1.7621459846850485E-12</v>
      </c>
    </row>
    <row r="339" spans="1:9">
      <c r="A339" s="363">
        <v>5320</v>
      </c>
      <c r="B339" s="402">
        <v>57175</v>
      </c>
      <c r="C339" s="408" t="s">
        <v>727</v>
      </c>
      <c r="D339" s="371" t="s">
        <v>537</v>
      </c>
      <c r="E339" s="366">
        <v>878.47903555170581</v>
      </c>
      <c r="F339" s="387">
        <f t="shared" si="123"/>
        <v>700.15609945754898</v>
      </c>
      <c r="G339" s="387">
        <f t="shared" si="124"/>
        <v>162.79255964519515</v>
      </c>
      <c r="H339" s="388">
        <f t="shared" si="125"/>
        <v>15.530376448961704</v>
      </c>
      <c r="I339" s="369">
        <f t="shared" si="126"/>
        <v>-2.8421709430404007E-14</v>
      </c>
    </row>
    <row r="340" spans="1:9">
      <c r="A340" s="363">
        <v>5320</v>
      </c>
      <c r="B340" s="402">
        <v>57175.1</v>
      </c>
      <c r="C340" s="408" t="s">
        <v>728</v>
      </c>
      <c r="D340" s="371" t="s">
        <v>539</v>
      </c>
      <c r="E340" s="366">
        <v>4237.1616195150564</v>
      </c>
      <c r="F340" s="387">
        <f t="shared" si="123"/>
        <v>2292.6355175852555</v>
      </c>
      <c r="G340" s="387">
        <f t="shared" si="124"/>
        <v>1881.9921325140999</v>
      </c>
      <c r="H340" s="388">
        <f t="shared" si="125"/>
        <v>62.533969415700774</v>
      </c>
      <c r="I340" s="369">
        <f t="shared" si="126"/>
        <v>2.2026824808563106E-13</v>
      </c>
    </row>
    <row r="341" spans="1:9">
      <c r="A341" s="363">
        <v>5320</v>
      </c>
      <c r="B341" s="402">
        <v>70902</v>
      </c>
      <c r="C341" s="408" t="s">
        <v>729</v>
      </c>
      <c r="D341" s="371" t="s">
        <v>539</v>
      </c>
      <c r="E341" s="366">
        <v>0</v>
      </c>
      <c r="F341" s="387">
        <f t="shared" si="123"/>
        <v>0</v>
      </c>
      <c r="G341" s="387">
        <f t="shared" si="124"/>
        <v>0</v>
      </c>
      <c r="H341" s="388">
        <f t="shared" si="125"/>
        <v>0</v>
      </c>
      <c r="I341" s="369">
        <f t="shared" si="126"/>
        <v>0</v>
      </c>
    </row>
    <row r="342" spans="1:9">
      <c r="B342" s="402"/>
      <c r="C342" s="400"/>
      <c r="D342" s="371"/>
      <c r="E342" s="366"/>
      <c r="F342" s="387"/>
      <c r="G342" s="387"/>
      <c r="H342" s="388"/>
      <c r="I342" s="369">
        <f t="shared" si="126"/>
        <v>0</v>
      </c>
    </row>
    <row r="343" spans="1:9">
      <c r="A343" s="409"/>
      <c r="B343" s="402"/>
      <c r="C343" s="410" t="s">
        <v>730</v>
      </c>
      <c r="D343" s="406"/>
      <c r="E343" s="385">
        <f>SUM(E338:E342)</f>
        <v>29384.821171498581</v>
      </c>
      <c r="F343" s="407">
        <f>SUM(F338:F342)</f>
        <v>16124.314610736799</v>
      </c>
      <c r="G343" s="407">
        <f>SUM(G338:G342)</f>
        <v>12824.266547212208</v>
      </c>
      <c r="H343" s="407">
        <f>SUM(H338:H342)</f>
        <v>436.24001354956977</v>
      </c>
      <c r="I343" s="369">
        <f t="shared" si="126"/>
        <v>3.865352482534945E-12</v>
      </c>
    </row>
    <row r="344" spans="1:9">
      <c r="B344" s="402"/>
      <c r="C344" s="400"/>
      <c r="D344" s="371"/>
      <c r="E344" s="366"/>
      <c r="F344" s="387"/>
      <c r="G344" s="387"/>
      <c r="H344" s="388"/>
      <c r="I344" s="369">
        <f t="shared" si="126"/>
        <v>0</v>
      </c>
    </row>
    <row r="345" spans="1:9">
      <c r="A345" s="363">
        <v>5340</v>
      </c>
      <c r="B345" s="402">
        <v>70175</v>
      </c>
      <c r="C345" s="400" t="s">
        <v>731</v>
      </c>
      <c r="D345" s="371" t="s">
        <v>539</v>
      </c>
      <c r="E345" s="366">
        <v>4819.5539452082858</v>
      </c>
      <c r="F345" s="387">
        <f t="shared" ref="F345" si="127">IF(($E345=0),0,IF(($D345="ACT"),"0",(VLOOKUP($D345,$D$10:$H$13,3,FALSE)*$E345)))</f>
        <v>2607.7552724947209</v>
      </c>
      <c r="G345" s="387">
        <f t="shared" ref="G345" si="128">IF(($E345=0),0,IF(($D345="ACT"),"0",(VLOOKUP($D345,$D$10:$H$13,4,FALSE)*$E345)))</f>
        <v>2140.6694909474304</v>
      </c>
      <c r="H345" s="388">
        <f t="shared" ref="H345" si="129">IF(($E345=0),0,IF(($D345="ACT"),"0",(VLOOKUP($D345,$D$10:$H$13,5,FALSE)*$E345)))</f>
        <v>71.129181766134423</v>
      </c>
      <c r="I345" s="369">
        <f t="shared" si="126"/>
        <v>0</v>
      </c>
    </row>
    <row r="346" spans="1:9">
      <c r="B346" s="402"/>
      <c r="C346" s="400"/>
      <c r="D346" s="371"/>
      <c r="E346" s="366"/>
      <c r="F346" s="387"/>
      <c r="G346" s="387"/>
      <c r="H346" s="388"/>
      <c r="I346" s="369">
        <f t="shared" si="126"/>
        <v>0</v>
      </c>
    </row>
    <row r="347" spans="1:9">
      <c r="A347" s="409"/>
      <c r="B347" s="402"/>
      <c r="C347" s="410" t="s">
        <v>732</v>
      </c>
      <c r="D347" s="406"/>
      <c r="E347" s="385">
        <f>SUM(E345:E346)</f>
        <v>4819.5539452082858</v>
      </c>
      <c r="F347" s="386">
        <f>SUM(F345:F346)</f>
        <v>2607.7552724947209</v>
      </c>
      <c r="G347" s="386">
        <f>SUM(G345:G346)</f>
        <v>2140.6694909474304</v>
      </c>
      <c r="H347" s="386">
        <f>SUM(H345:H346)</f>
        <v>71.129181766134423</v>
      </c>
      <c r="I347" s="369">
        <f t="shared" si="126"/>
        <v>0</v>
      </c>
    </row>
    <row r="348" spans="1:9">
      <c r="B348" s="402"/>
      <c r="C348" s="400"/>
      <c r="D348" s="371"/>
      <c r="E348" s="366"/>
      <c r="F348" s="368"/>
      <c r="G348" s="368"/>
      <c r="H348" s="368"/>
      <c r="I348" s="369">
        <f t="shared" si="126"/>
        <v>0</v>
      </c>
    </row>
    <row r="349" spans="1:9">
      <c r="A349" s="409"/>
      <c r="B349" s="402"/>
      <c r="C349" s="412" t="s">
        <v>733</v>
      </c>
      <c r="D349" s="413"/>
      <c r="E349" s="375">
        <f>E347+E343</f>
        <v>34204.375116706869</v>
      </c>
      <c r="F349" s="376">
        <f>F347+F343</f>
        <v>18732.069883231521</v>
      </c>
      <c r="G349" s="376">
        <f>G347+G343</f>
        <v>14964.936038159638</v>
      </c>
      <c r="H349" s="376">
        <f>H347+H343</f>
        <v>507.36919531570419</v>
      </c>
      <c r="I349" s="369">
        <f t="shared" si="126"/>
        <v>6.1959326558280736E-12</v>
      </c>
    </row>
    <row r="350" spans="1:9">
      <c r="B350" s="402"/>
      <c r="C350" s="400"/>
      <c r="D350" s="371"/>
      <c r="E350" s="366"/>
      <c r="F350" s="368"/>
      <c r="G350" s="368"/>
      <c r="H350" s="368"/>
      <c r="I350" s="369"/>
    </row>
    <row r="351" spans="1:9">
      <c r="A351" s="409"/>
      <c r="B351" s="402"/>
      <c r="C351" s="412" t="s">
        <v>734</v>
      </c>
      <c r="D351" s="413"/>
      <c r="E351" s="375">
        <f>E349+E336+E306+E296+E284+E191+E167+E149+E131+E95</f>
        <v>6527903.4400320845</v>
      </c>
      <c r="F351" s="376">
        <f>F349+F336+F306+F296+F284+F191+F167+F149+F131+F95</f>
        <v>5510206.7603217829</v>
      </c>
      <c r="G351" s="376">
        <f>G349+G336+G306+G296+G284+G191+G167+G149+G131+G95</f>
        <v>943856.26896942384</v>
      </c>
      <c r="H351" s="376">
        <f>H349+H336+H306+H296+H284+H191+H167+H149+H131+H95</f>
        <v>73840.410740877938</v>
      </c>
    </row>
    <row r="352" spans="1:9">
      <c r="B352" s="402"/>
      <c r="C352" s="435"/>
      <c r="D352" s="377"/>
      <c r="E352" s="366">
        <v>0</v>
      </c>
      <c r="F352" s="367"/>
      <c r="G352" s="367"/>
      <c r="H352" s="367"/>
    </row>
    <row r="353" spans="1:9">
      <c r="A353" s="409"/>
      <c r="B353" s="402"/>
      <c r="C353" s="412" t="s">
        <v>735</v>
      </c>
      <c r="D353" s="413"/>
      <c r="E353" s="375">
        <f>E47-E351</f>
        <v>46429.929942105897</v>
      </c>
      <c r="F353" s="376">
        <f>F47-F351</f>
        <v>313236.31718576793</v>
      </c>
      <c r="G353" s="376">
        <f>G47-G351</f>
        <v>-228204.50113720226</v>
      </c>
      <c r="H353" s="376">
        <f>H47-H351</f>
        <v>-38601.886106460639</v>
      </c>
      <c r="I353" s="369">
        <v>0</v>
      </c>
    </row>
    <row r="354" spans="1:9">
      <c r="B354" s="402"/>
      <c r="C354" s="435"/>
      <c r="D354" s="377"/>
      <c r="E354" s="366">
        <v>0</v>
      </c>
      <c r="F354" s="436"/>
      <c r="G354" s="436"/>
      <c r="H354" s="436"/>
    </row>
    <row r="355" spans="1:9">
      <c r="A355" s="409"/>
      <c r="B355" s="402"/>
      <c r="C355" s="412" t="s">
        <v>736</v>
      </c>
      <c r="D355" s="413"/>
      <c r="E355" s="375"/>
      <c r="F355" s="437">
        <f>F351/F47</f>
        <v>0.9462111481100226</v>
      </c>
      <c r="G355" s="437">
        <f>G351/G47</f>
        <v>1.3188764583485286</v>
      </c>
      <c r="H355" s="437">
        <f>H351/H47</f>
        <v>2.0954455814179678</v>
      </c>
    </row>
    <row r="356" spans="1:9">
      <c r="B356" s="398"/>
      <c r="C356" s="363"/>
      <c r="D356" s="371"/>
      <c r="E356" s="366"/>
      <c r="F356" s="368"/>
      <c r="G356" s="368"/>
      <c r="H356" s="368"/>
    </row>
    <row r="357" spans="1:9">
      <c r="B357" s="398"/>
      <c r="C357" s="438" t="s">
        <v>737</v>
      </c>
      <c r="D357" s="371"/>
      <c r="E357" s="366"/>
      <c r="F357" s="368"/>
      <c r="G357" s="368"/>
      <c r="H357" s="368"/>
    </row>
    <row r="358" spans="1:9">
      <c r="B358" s="398"/>
      <c r="C358" s="412" t="s">
        <v>738</v>
      </c>
      <c r="D358" s="413"/>
      <c r="E358" s="375">
        <v>3272495.6541567221</v>
      </c>
      <c r="F358" s="376">
        <v>2763610.9076306438</v>
      </c>
      <c r="G358" s="376">
        <v>495766.60721707059</v>
      </c>
      <c r="H358" s="376">
        <v>13118.139309008378</v>
      </c>
      <c r="I358" s="369">
        <v>0</v>
      </c>
    </row>
    <row r="359" spans="1:9">
      <c r="E359" s="329">
        <v>0</v>
      </c>
      <c r="F359" s="369">
        <v>0</v>
      </c>
      <c r="G359" s="369">
        <v>0</v>
      </c>
      <c r="H359" s="369">
        <v>0</v>
      </c>
    </row>
  </sheetData>
  <conditionalFormatting sqref="B1:B13">
    <cfRule type="duplicateValues" dxfId="2" priority="3"/>
  </conditionalFormatting>
  <conditionalFormatting sqref="B36:B38">
    <cfRule type="duplicateValues" dxfId="1" priority="2"/>
  </conditionalFormatting>
  <conditionalFormatting sqref="B98">
    <cfRule type="duplicateValues" dxfId="0" priority="1"/>
  </conditionalFormatting>
  <dataValidations count="1">
    <dataValidation type="list" allowBlank="1" showInputMessage="1" showErrorMessage="1" sqref="D16:D24 D42:D43 D29:D31 D35:D38 D52:D357">
      <formula1>$D$10:$D$13</formula1>
    </dataValidation>
  </dataValidations>
  <pageMargins left="0.25" right="0.25" top="0.75" bottom="0.75" header="0.3" footer="0.3"/>
  <pageSetup scale="77" fitToHeight="9" orientation="portrait" r:id="rId1"/>
  <headerFooter>
    <oddHeader>&amp;C&amp;"-,Bold"&amp;KFF0000Confidential per WAC 480-07-160</oddHeader>
  </headerFooter>
  <rowBreaks count="8" manualBreakCount="8">
    <brk id="44" max="7" man="1"/>
    <brk id="93" max="7" man="1"/>
    <brk id="122" max="7" man="1"/>
    <brk id="167" max="7" man="1"/>
    <brk id="204" max="7" man="1"/>
    <brk id="244" max="7" man="1"/>
    <brk id="285" max="7" man="1"/>
    <brk id="325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7" tint="0.59999389629810485"/>
  </sheetPr>
  <dimension ref="A1:S77"/>
  <sheetViews>
    <sheetView view="pageBreakPreview" zoomScaleNormal="100" zoomScaleSheetLayoutView="100" workbookViewId="0">
      <pane ySplit="1" topLeftCell="A2" activePane="bottomLeft" state="frozen"/>
      <selection activeCell="A42" sqref="A42"/>
      <selection pane="bottomLeft" activeCell="A42" sqref="A42"/>
    </sheetView>
  </sheetViews>
  <sheetFormatPr defaultRowHeight="15" outlineLevelCol="1"/>
  <cols>
    <col min="1" max="1" width="9.7109375" style="25" customWidth="1"/>
    <col min="2" max="3" width="36.140625" style="25" bestFit="1" customWidth="1"/>
    <col min="4" max="4" width="11.140625" customWidth="1"/>
    <col min="5" max="5" width="8.42578125" customWidth="1" outlineLevel="1"/>
    <col min="6" max="6" width="11.140625" style="543" customWidth="1"/>
    <col min="7" max="7" width="7.28515625" style="161" customWidth="1" outlineLevel="1"/>
    <col min="8" max="8" width="9.140625" customWidth="1"/>
    <col min="9" max="9" width="9.140625" hidden="1" customWidth="1" outlineLevel="1"/>
    <col min="10" max="10" width="10.140625" style="543" customWidth="1" collapsed="1"/>
    <col min="11" max="11" width="9.140625" customWidth="1" outlineLevel="1"/>
    <col min="13" max="13" width="15.28515625" bestFit="1" customWidth="1"/>
  </cols>
  <sheetData>
    <row r="1" spans="1:17" ht="45">
      <c r="A1" s="61" t="s">
        <v>13</v>
      </c>
      <c r="B1" s="61" t="s">
        <v>151</v>
      </c>
      <c r="C1" s="61" t="s">
        <v>126</v>
      </c>
      <c r="D1" s="61" t="s">
        <v>127</v>
      </c>
      <c r="E1" s="61" t="s">
        <v>8</v>
      </c>
      <c r="F1" s="61" t="s">
        <v>146</v>
      </c>
      <c r="G1" s="160" t="s">
        <v>116</v>
      </c>
      <c r="H1" s="61" t="s">
        <v>147</v>
      </c>
      <c r="I1" s="61" t="s">
        <v>8</v>
      </c>
      <c r="J1" s="61" t="s">
        <v>148</v>
      </c>
      <c r="K1" s="162" t="s">
        <v>116</v>
      </c>
      <c r="M1" s="122"/>
    </row>
    <row r="2" spans="1:17">
      <c r="A2" s="154">
        <v>16</v>
      </c>
      <c r="B2" s="153" t="s">
        <v>806</v>
      </c>
      <c r="C2" s="153" t="str">
        <f>VLOOKUP(B2,'DF Calculation'!$C$9:$D$102,2,FALSE)</f>
        <v>Overweight Can</v>
      </c>
      <c r="D2" s="535">
        <f>SUMIFS('DF Calculation'!L:L,'DF Calculation'!B:B,'Rate Sheet'!$A2,'DF Calculation'!C:C,'Rate Sheet'!$B2)</f>
        <v>5.94</v>
      </c>
      <c r="E2" s="535">
        <f t="shared" ref="E2" si="0">F2-D2</f>
        <v>0.14999999999999947</v>
      </c>
      <c r="F2" s="546">
        <f>SUMIFS('DF Calculation'!$O:$O,'DF Calculation'!$B:$B,'Rate Sheet'!$A2,'DF Calculation'!$C:$C,'Rate Sheet'!$B2)</f>
        <v>6.09</v>
      </c>
      <c r="G2" s="536" t="str">
        <f>IF(VLOOKUP($C2,'DF Calculation'!$D$8:$N$103,11,FALSE)-E2,"OK",VLOOKUP($C2,'DF Calculation'!$D$8:$N$103,11,FALSE)-E2)</f>
        <v>OK</v>
      </c>
      <c r="H2" s="535">
        <f>SUMIFS('DF Calculation'!M:M,'DF Calculation'!B:B,'Rate Sheet'!$A2,'DF Calculation'!C:C,'Rate Sheet'!$B2)</f>
        <v>5.91</v>
      </c>
      <c r="I2" s="470">
        <f t="shared" ref="I2" si="1">J2-H2</f>
        <v>0.14999999999999947</v>
      </c>
      <c r="J2" s="547">
        <f>SUMIFS('DF Calculation'!$P:$P,'DF Calculation'!$B:$B,'Rate Sheet'!$A2,'DF Calculation'!$C:$C,'Rate Sheet'!$B2)</f>
        <v>6.06</v>
      </c>
      <c r="K2" s="471" t="str">
        <f>IF(VLOOKUP($C2,'DF Calculation'!$D$8:$N$103,11,FALSE)-I2,"OK",VLOOKUP($C2,'DF Calculation'!$D$8:$N$103,11,FALSE)-I2)</f>
        <v>OK</v>
      </c>
      <c r="L2" s="560">
        <f t="shared" ref="L2" si="2">+E2-I2</f>
        <v>0</v>
      </c>
      <c r="M2" s="122"/>
    </row>
    <row r="3" spans="1:17">
      <c r="A3" s="154">
        <v>21</v>
      </c>
      <c r="B3" s="153" t="s">
        <v>219</v>
      </c>
      <c r="C3" s="153" t="s">
        <v>803</v>
      </c>
      <c r="D3" s="535">
        <f>SUMIFS('DF Calculation'!L:L,'DF Calculation'!B:B,'Rate Sheet'!A3,'DF Calculation'!C:C,'Rate Sheet'!B3)</f>
        <v>9.06</v>
      </c>
      <c r="E3" s="535">
        <f>F3-D3</f>
        <v>0.22999999999999865</v>
      </c>
      <c r="F3" s="546">
        <f>SUMIFS('DF Calculation'!$O:$O,'DF Calculation'!$B:$B,'Rate Sheet'!A3,'DF Calculation'!$C:$C,'Rate Sheet'!B3)</f>
        <v>9.2899999999999991</v>
      </c>
      <c r="G3" s="536" t="str">
        <f>IF(VLOOKUP($C3,'DF Calculation'!$D$8:$N$103,11,FALSE)-E3,"OK",VLOOKUP($C3,'DF Calculation'!$D$8:$N$103,11,FALSE)-E3)</f>
        <v>OK</v>
      </c>
      <c r="H3" s="535">
        <f>SUMIFS('DF Calculation'!M:M,'DF Calculation'!B:B,'Rate Sheet'!A3,'DF Calculation'!C:C,'Rate Sheet'!B3)</f>
        <v>9.02</v>
      </c>
      <c r="I3" s="470">
        <f>J3-H3</f>
        <v>0.23000000000000043</v>
      </c>
      <c r="J3" s="547">
        <f>SUMIFS('DF Calculation'!$P:$P,'DF Calculation'!$B:$B,'Rate Sheet'!A3,'DF Calculation'!$C:$C,'Rate Sheet'!B3)</f>
        <v>9.25</v>
      </c>
      <c r="K3" s="471" t="str">
        <f>IF(VLOOKUP($C3,'DF Calculation'!$D$8:$N$103,11,FALSE)-I3,"OK",VLOOKUP($C3,'DF Calculation'!$D$8:$N$103,11,FALSE)-I3)</f>
        <v>OK</v>
      </c>
      <c r="L3" s="115">
        <f>+E3-I3</f>
        <v>-1.7763568394002505E-15</v>
      </c>
      <c r="O3" s="115"/>
    </row>
    <row r="4" spans="1:17">
      <c r="A4" s="154">
        <v>21</v>
      </c>
      <c r="B4" s="153" t="s">
        <v>223</v>
      </c>
      <c r="C4" s="153" t="str">
        <f>VLOOKUP(B4,'DF Calculation'!$C$9:$D$102,2,FALSE)</f>
        <v>1-65 gal cart WG</v>
      </c>
      <c r="D4" s="535">
        <f>SUMIFS('DF Calculation'!L:L,'DF Calculation'!B:B,'Rate Sheet'!$A4,'DF Calculation'!C:C,'Rate Sheet'!$B4)</f>
        <v>21.93</v>
      </c>
      <c r="E4" s="535">
        <f t="shared" ref="E4:E36" si="3">F4-D4</f>
        <v>0.99000000000000199</v>
      </c>
      <c r="F4" s="546">
        <f>SUMIFS('DF Calculation'!$O:$O,'DF Calculation'!$B:$B,'Rate Sheet'!$A4,'DF Calculation'!$C:$C,'Rate Sheet'!$B4)</f>
        <v>22.92</v>
      </c>
      <c r="G4" s="536" t="str">
        <f>IF(VLOOKUP($C4,'DF Calculation'!$D$8:$N$103,11,FALSE)-E4,"OK",VLOOKUP($C4,'DF Calculation'!$D$8:$N$103,11,FALSE)-E4)</f>
        <v>OK</v>
      </c>
      <c r="H4" s="535">
        <f>SUMIFS('DF Calculation'!M:M,'DF Calculation'!B:B,'Rate Sheet'!$A4,'DF Calculation'!C:C,'Rate Sheet'!$B4)</f>
        <v>21.83</v>
      </c>
      <c r="I4" s="470">
        <f t="shared" ref="I4:I36" si="4">J4-H4</f>
        <v>0.99000000000000199</v>
      </c>
      <c r="J4" s="547">
        <f>SUMIFS('DF Calculation'!$P:$P,'DF Calculation'!$B:$B,'Rate Sheet'!$A4,'DF Calculation'!$C:$C,'Rate Sheet'!$B4)</f>
        <v>22.82</v>
      </c>
      <c r="K4" s="471" t="str">
        <f>IF(VLOOKUP($C4,'DF Calculation'!$D$8:$N$103,11,FALSE)-I4,"OK",VLOOKUP($C4,'DF Calculation'!$D$8:$N$103,11,FALSE)-I4)</f>
        <v>OK</v>
      </c>
      <c r="L4" s="115">
        <f t="shared" ref="L4:L74" si="5">+E4-I4</f>
        <v>0</v>
      </c>
      <c r="O4" s="115"/>
    </row>
    <row r="5" spans="1:17">
      <c r="A5" s="154">
        <v>21</v>
      </c>
      <c r="B5" s="153" t="s">
        <v>227</v>
      </c>
      <c r="C5" s="153" t="str">
        <f>VLOOKUP(B5,'DF Calculation'!$C$9:$D$102,2,FALSE)</f>
        <v>1-65 gal cart EOWG</v>
      </c>
      <c r="D5" s="535">
        <f>SUMIFS('DF Calculation'!L:L,'DF Calculation'!B:B,'Rate Sheet'!$A5,'DF Calculation'!C:C,'Rate Sheet'!$B5)</f>
        <v>14.56</v>
      </c>
      <c r="E5" s="535">
        <f t="shared" si="3"/>
        <v>0.49000000000000021</v>
      </c>
      <c r="F5" s="546">
        <f>SUMIFS('DF Calculation'!$O:$O,'DF Calculation'!$B:$B,'Rate Sheet'!$A5,'DF Calculation'!$C:$C,'Rate Sheet'!$B5)</f>
        <v>15.05</v>
      </c>
      <c r="G5" s="536" t="str">
        <f>IF(VLOOKUP($C5,'DF Calculation'!$D$8:$N$103,11,FALSE)-E5,"OK",VLOOKUP($C5,'DF Calculation'!$D$8:$N$103,11,FALSE)-E5)</f>
        <v>OK</v>
      </c>
      <c r="H5" s="535">
        <f>SUMIFS('DF Calculation'!M:M,'DF Calculation'!B:B,'Rate Sheet'!$A5,'DF Calculation'!C:C,'Rate Sheet'!$B5)</f>
        <v>14.5</v>
      </c>
      <c r="I5" s="470">
        <f t="shared" si="4"/>
        <v>0.49000000000000021</v>
      </c>
      <c r="J5" s="547">
        <f>SUMIFS('DF Calculation'!$P:$P,'DF Calculation'!$B:$B,'Rate Sheet'!$A5,'DF Calculation'!$C:$C,'Rate Sheet'!$B5)</f>
        <v>14.99</v>
      </c>
      <c r="K5" s="471" t="str">
        <f>IF(VLOOKUP($C5,'DF Calculation'!$D$8:$N$103,11,FALSE)-I5,"OK",VLOOKUP($C5,'DF Calculation'!$D$8:$N$103,11,FALSE)-I5)</f>
        <v>OK</v>
      </c>
      <c r="L5" s="115">
        <f t="shared" si="5"/>
        <v>0</v>
      </c>
      <c r="O5" s="115"/>
    </row>
    <row r="6" spans="1:17">
      <c r="A6" s="154">
        <v>21</v>
      </c>
      <c r="B6" s="153" t="s">
        <v>231</v>
      </c>
      <c r="C6" s="153" t="str">
        <f>VLOOKUP(B6,'DF Calculation'!$C$9:$D$102,2,FALSE)</f>
        <v>1-95 gal cart MG</v>
      </c>
      <c r="D6" s="535">
        <f>SUMIFS('DF Calculation'!L:L,'DF Calculation'!B:B,'Rate Sheet'!$A6,'DF Calculation'!C:C,'Rate Sheet'!$B6)</f>
        <v>11.23</v>
      </c>
      <c r="E6" s="535">
        <f t="shared" si="3"/>
        <v>0.33999999999999986</v>
      </c>
      <c r="F6" s="546">
        <f>SUMIFS('DF Calculation'!$O:$O,'DF Calculation'!$B:$B,'Rate Sheet'!$A6,'DF Calculation'!$C:$C,'Rate Sheet'!$B6)</f>
        <v>11.57</v>
      </c>
      <c r="G6" s="536" t="str">
        <f>IF(VLOOKUP($C6,'DF Calculation'!$D$8:$N$103,11,FALSE)-E6,"OK",VLOOKUP($C6,'DF Calculation'!$D$8:$N$103,11,FALSE)-E6)</f>
        <v>OK</v>
      </c>
      <c r="H6" s="535">
        <f>SUMIFS('DF Calculation'!M:M,'DF Calculation'!B:B,'Rate Sheet'!$A6,'DF Calculation'!C:C,'Rate Sheet'!$B6)</f>
        <v>11.18</v>
      </c>
      <c r="I6" s="470">
        <f t="shared" si="4"/>
        <v>0.33999999999999986</v>
      </c>
      <c r="J6" s="547">
        <f>SUMIFS('DF Calculation'!$P:$P,'DF Calculation'!$B:$B,'Rate Sheet'!$A6,'DF Calculation'!$C:$C,'Rate Sheet'!$B6)</f>
        <v>11.52</v>
      </c>
      <c r="K6" s="471" t="str">
        <f>IF(VLOOKUP($C6,'DF Calculation'!$D$8:$N$103,11,FALSE)-I6,"OK",VLOOKUP($C6,'DF Calculation'!$D$8:$N$103,11,FALSE)-I6)</f>
        <v>OK</v>
      </c>
      <c r="L6" s="115">
        <f t="shared" si="5"/>
        <v>0</v>
      </c>
      <c r="O6" s="115"/>
    </row>
    <row r="7" spans="1:17">
      <c r="A7" s="154">
        <v>21</v>
      </c>
      <c r="B7" s="153" t="s">
        <v>235</v>
      </c>
      <c r="C7" s="153" t="str">
        <f>VLOOKUP(B7,'DF Calculation'!$C$9:$D$102,2,FALSE)</f>
        <v>1-95 gal cart WG</v>
      </c>
      <c r="D7" s="535">
        <f>SUMIFS('DF Calculation'!L:L,'DF Calculation'!B:B,'Rate Sheet'!$A7,'DF Calculation'!C:C,'Rate Sheet'!$B7)</f>
        <v>28.71</v>
      </c>
      <c r="E7" s="535">
        <f t="shared" si="3"/>
        <v>1.4899999999999984</v>
      </c>
      <c r="F7" s="546">
        <f>SUMIFS('DF Calculation'!$O:$O,'DF Calculation'!$B:$B,'Rate Sheet'!$A7,'DF Calculation'!$C:$C,'Rate Sheet'!$B7)</f>
        <v>30.2</v>
      </c>
      <c r="G7" s="536" t="str">
        <f>IF(VLOOKUP($C7,'DF Calculation'!$D$8:$N$103,11,FALSE)-E7,"OK",VLOOKUP($C7,'DF Calculation'!$D$8:$N$103,11,FALSE)-E7)</f>
        <v>OK</v>
      </c>
      <c r="H7" s="535">
        <f>SUMIFS('DF Calculation'!M:M,'DF Calculation'!B:B,'Rate Sheet'!$A7,'DF Calculation'!C:C,'Rate Sheet'!$B7)</f>
        <v>28.58</v>
      </c>
      <c r="I7" s="470">
        <f t="shared" si="4"/>
        <v>1.490000000000002</v>
      </c>
      <c r="J7" s="547">
        <f>SUMIFS('DF Calculation'!$P:$P,'DF Calculation'!$B:$B,'Rate Sheet'!$A7,'DF Calculation'!$C:$C,'Rate Sheet'!$B7)</f>
        <v>30.07</v>
      </c>
      <c r="K7" s="471" t="str">
        <f>IF(VLOOKUP($C7,'DF Calculation'!$D$8:$N$103,11,FALSE)-I7,"OK",VLOOKUP($C7,'DF Calculation'!$D$8:$N$103,11,FALSE)-I7)</f>
        <v>OK</v>
      </c>
      <c r="L7" s="115">
        <f t="shared" si="5"/>
        <v>-3.5527136788005009E-15</v>
      </c>
      <c r="O7" s="115"/>
    </row>
    <row r="8" spans="1:17">
      <c r="A8" s="154">
        <v>21</v>
      </c>
      <c r="B8" s="153" t="s">
        <v>239</v>
      </c>
      <c r="C8" s="153" t="str">
        <f>VLOOKUP(B8,'DF Calculation'!$C$9:$D$102,2,FALSE)</f>
        <v>1-95 gal cart EOWG</v>
      </c>
      <c r="D8" s="535">
        <f>SUMIFS('DF Calculation'!L:L,'DF Calculation'!B:B,'Rate Sheet'!$A8,'DF Calculation'!C:C,'Rate Sheet'!$B8)</f>
        <v>22.37</v>
      </c>
      <c r="E8" s="535">
        <f t="shared" si="3"/>
        <v>0.75</v>
      </c>
      <c r="F8" s="546">
        <f>SUMIFS('DF Calculation'!$O:$O,'DF Calculation'!$B:$B,'Rate Sheet'!$A8,'DF Calculation'!$C:$C,'Rate Sheet'!$B8)</f>
        <v>23.12</v>
      </c>
      <c r="G8" s="536" t="str">
        <f>IF(VLOOKUP($C8,'DF Calculation'!$D$8:$N$103,11,FALSE)-E8,"OK",VLOOKUP($C8,'DF Calculation'!$D$8:$N$103,11,FALSE)-E8)</f>
        <v>OK</v>
      </c>
      <c r="H8" s="535">
        <f>SUMIFS('DF Calculation'!M:M,'DF Calculation'!B:B,'Rate Sheet'!$A8,'DF Calculation'!C:C,'Rate Sheet'!$B8)</f>
        <v>22.27</v>
      </c>
      <c r="I8" s="470">
        <f t="shared" si="4"/>
        <v>0.75</v>
      </c>
      <c r="J8" s="547">
        <f>SUMIFS('DF Calculation'!$P:$P,'DF Calculation'!$B:$B,'Rate Sheet'!$A8,'DF Calculation'!$C:$C,'Rate Sheet'!$B8)</f>
        <v>23.02</v>
      </c>
      <c r="K8" s="471" t="str">
        <f>IF(VLOOKUP($C8,'DF Calculation'!$D$8:$N$103,11,FALSE)-I8,"OK",VLOOKUP($C8,'DF Calculation'!$D$8:$N$103,11,FALSE)-I8)</f>
        <v>OK</v>
      </c>
      <c r="L8" s="115">
        <f t="shared" si="5"/>
        <v>0</v>
      </c>
      <c r="O8" s="115"/>
    </row>
    <row r="9" spans="1:17">
      <c r="A9" s="154">
        <v>21</v>
      </c>
      <c r="B9" s="153" t="s">
        <v>759</v>
      </c>
      <c r="C9" s="153" t="str">
        <f>VLOOKUP(B9,'DF Calculation'!$C$9:$D$102,2,FALSE)</f>
        <v>Mini Weekly Can</v>
      </c>
      <c r="D9" s="535">
        <f>SUMIFS('DF Calculation'!L:L,'DF Calculation'!B:B,'Rate Sheet'!$A9,'DF Calculation'!C:C,'Rate Sheet'!$B9)</f>
        <v>11.34</v>
      </c>
      <c r="E9" s="535">
        <f t="shared" si="3"/>
        <v>0.39000000000000057</v>
      </c>
      <c r="F9" s="546">
        <f>SUMIFS('DF Calculation'!$O:$O,'DF Calculation'!$B:$B,'Rate Sheet'!$A9,'DF Calculation'!$C:$C,'Rate Sheet'!$B9)</f>
        <v>11.73</v>
      </c>
      <c r="G9" s="536" t="str">
        <f>IF(VLOOKUP($C9,'DF Calculation'!$D$8:$N$103,11,FALSE)-E9,"OK",VLOOKUP($C9,'DF Calculation'!$D$8:$N$103,11,FALSE)-E9)</f>
        <v>OK</v>
      </c>
      <c r="H9" s="535">
        <f>SUMIFS('DF Calculation'!M:M,'DF Calculation'!B:B,'Rate Sheet'!$A9,'DF Calculation'!C:C,'Rate Sheet'!$B9)</f>
        <v>11.29</v>
      </c>
      <c r="I9" s="470">
        <f t="shared" si="4"/>
        <v>0.39000000000000057</v>
      </c>
      <c r="J9" s="547">
        <f>SUMIFS('DF Calculation'!$P:$P,'DF Calculation'!$B:$B,'Rate Sheet'!$A9,'DF Calculation'!$C:$C,'Rate Sheet'!$B9)</f>
        <v>11.68</v>
      </c>
      <c r="K9" s="471" t="str">
        <f>IF(VLOOKUP($C9,'DF Calculation'!$D$8:$N$103,11,FALSE)-I9,"OK",VLOOKUP($C9,'DF Calculation'!$D$8:$N$103,11,FALSE)-I9)</f>
        <v>OK</v>
      </c>
      <c r="L9" s="115">
        <f t="shared" si="5"/>
        <v>0</v>
      </c>
      <c r="O9" s="115"/>
    </row>
    <row r="10" spans="1:17">
      <c r="A10" s="154">
        <v>22</v>
      </c>
      <c r="B10" s="153" t="s">
        <v>241</v>
      </c>
      <c r="C10" s="153" t="str">
        <f>VLOOKUP(B10,'DF Calculation'!$C$9:$D$102,2,FALSE)</f>
        <v>1-65 gal cart On call</v>
      </c>
      <c r="D10" s="535">
        <f>SUMIFS('DF Calculation'!L:L,'DF Calculation'!B:B,'Rate Sheet'!A10,'DF Calculation'!C:C,'Rate Sheet'!B10)</f>
        <v>11.06</v>
      </c>
      <c r="E10" s="535">
        <f t="shared" si="3"/>
        <v>0.22999999999999865</v>
      </c>
      <c r="F10" s="546">
        <f>SUMIFS('DF Calculation'!$O:$O,'DF Calculation'!$B:$B,'Rate Sheet'!A10,'DF Calculation'!$C:$C,'Rate Sheet'!B10)</f>
        <v>11.29</v>
      </c>
      <c r="G10" s="536" t="str">
        <f>IF(VLOOKUP($C10,'DF Calculation'!$D$8:$N$103,11,FALSE)-E10,"OK",VLOOKUP($C10,'DF Calculation'!$D$8:$N$103,11,FALSE)-E10)</f>
        <v>OK</v>
      </c>
      <c r="H10" s="535">
        <f>SUMIFS('DF Calculation'!M:M,'DF Calculation'!B:B,'Rate Sheet'!A10,'DF Calculation'!C:C,'Rate Sheet'!B10)</f>
        <v>11.02</v>
      </c>
      <c r="I10" s="470">
        <f t="shared" si="4"/>
        <v>0.23000000000000043</v>
      </c>
      <c r="J10" s="547">
        <f>SUMIFS('DF Calculation'!$P:$P,'DF Calculation'!$B:$B,'Rate Sheet'!A10,'DF Calculation'!$C:$C,'Rate Sheet'!B10)</f>
        <v>11.25</v>
      </c>
      <c r="K10" s="471" t="str">
        <f>IF(VLOOKUP($C10,'DF Calculation'!$D$8:$N$103,11,FALSE)-I10,"OK",VLOOKUP($C10,'DF Calculation'!$D$8:$N$103,11,FALSE)-I10)</f>
        <v>OK</v>
      </c>
      <c r="L10" s="115">
        <f t="shared" si="5"/>
        <v>-1.7763568394002505E-15</v>
      </c>
      <c r="O10" s="115"/>
    </row>
    <row r="11" spans="1:17">
      <c r="A11" s="154">
        <v>22</v>
      </c>
      <c r="B11" s="153" t="s">
        <v>243</v>
      </c>
      <c r="C11" s="153" t="str">
        <f>VLOOKUP(B11,'DF Calculation'!$C$9:$D$102,2,FALSE)</f>
        <v>1-65 gal cart Special</v>
      </c>
      <c r="D11" s="535">
        <f>SUMIFS('DF Calculation'!L:L,'DF Calculation'!B:B,'Rate Sheet'!A11,'DF Calculation'!C:C,'Rate Sheet'!B11)</f>
        <v>14.06</v>
      </c>
      <c r="E11" s="535">
        <f t="shared" si="3"/>
        <v>0.22999999999999865</v>
      </c>
      <c r="F11" s="546">
        <f>SUMIFS('DF Calculation'!$O:$O,'DF Calculation'!$B:$B,'Rate Sheet'!A11,'DF Calculation'!$C:$C,'Rate Sheet'!B11)</f>
        <v>14.29</v>
      </c>
      <c r="G11" s="536" t="str">
        <f>IF(VLOOKUP($C11,'DF Calculation'!$D$8:$N$103,11,FALSE)-E11,"OK",VLOOKUP($C11,'DF Calculation'!$D$8:$N$103,11,FALSE)-E11)</f>
        <v>OK</v>
      </c>
      <c r="H11" s="535">
        <f>SUMIFS('DF Calculation'!M:M,'DF Calculation'!B:B,'Rate Sheet'!A11,'DF Calculation'!C:C,'Rate Sheet'!B11)</f>
        <v>14.02</v>
      </c>
      <c r="I11" s="470">
        <f t="shared" si="4"/>
        <v>0.23000000000000043</v>
      </c>
      <c r="J11" s="547">
        <f>SUMIFS('DF Calculation'!$P:$P,'DF Calculation'!$B:$B,'Rate Sheet'!A11,'DF Calculation'!$C:$C,'Rate Sheet'!B11)</f>
        <v>14.25</v>
      </c>
      <c r="K11" s="471" t="str">
        <f>IF(VLOOKUP($C11,'DF Calculation'!$D$8:$N$103,11,FALSE)-I11,"OK",VLOOKUP($C11,'DF Calculation'!$D$8:$N$103,11,FALSE)-I11)</f>
        <v>OK</v>
      </c>
      <c r="L11" s="115">
        <f t="shared" si="5"/>
        <v>-1.7763568394002505E-15</v>
      </c>
      <c r="O11" s="115"/>
    </row>
    <row r="12" spans="1:17" s="121" customFormat="1">
      <c r="A12" s="154">
        <v>22</v>
      </c>
      <c r="B12" s="518" t="s">
        <v>245</v>
      </c>
      <c r="C12" s="153" t="str">
        <f>VLOOKUP(B12,'DF Calculation'!$C$9:$D$102,2,FALSE)</f>
        <v>1-95 gal cart Special</v>
      </c>
      <c r="D12" s="535">
        <f>SUMIFS('DF Calculation'!L:L,'DF Calculation'!B:B,'Rate Sheet'!A12,'DF Calculation'!C:C,'Rate Sheet'!B12)</f>
        <v>16.23</v>
      </c>
      <c r="E12" s="535">
        <f t="shared" si="3"/>
        <v>0.33999999999999986</v>
      </c>
      <c r="F12" s="546">
        <f>SUMIFS('DF Calculation'!$O:$O,'DF Calculation'!$B:$B,'Rate Sheet'!A12,'DF Calculation'!$C:$C,'Rate Sheet'!B12)</f>
        <v>16.57</v>
      </c>
      <c r="G12" s="536" t="str">
        <f>IF(VLOOKUP($C12,'DF Calculation'!$D$8:$N$103,11,FALSE)-E12,"OK",VLOOKUP($C12,'DF Calculation'!$D$8:$N$103,11,FALSE)-E12)</f>
        <v>OK</v>
      </c>
      <c r="H12" s="535">
        <f>SUMIFS('DF Calculation'!M:M,'DF Calculation'!B:B,'Rate Sheet'!A12,'DF Calculation'!C:C,'Rate Sheet'!B12)</f>
        <v>16.18</v>
      </c>
      <c r="I12" s="470">
        <f t="shared" si="4"/>
        <v>0.33999999999999986</v>
      </c>
      <c r="J12" s="547">
        <f>SUMIFS('DF Calculation'!$P:$P,'DF Calculation'!$B:$B,'Rate Sheet'!A12,'DF Calculation'!$C:$C,'Rate Sheet'!B12)</f>
        <v>16.52</v>
      </c>
      <c r="K12" s="471" t="str">
        <f>IF(VLOOKUP($C12,'DF Calculation'!$D$8:$N$103,11,FALSE)-I12,"OK",VLOOKUP($C12,'DF Calculation'!$D$8:$N$103,11,FALSE)-I12)</f>
        <v>OK</v>
      </c>
      <c r="L12" s="115">
        <f t="shared" si="5"/>
        <v>0</v>
      </c>
      <c r="O12" s="115"/>
      <c r="Q12" s="532"/>
    </row>
    <row r="13" spans="1:17">
      <c r="A13" s="154">
        <v>22</v>
      </c>
      <c r="B13" s="153" t="s">
        <v>257</v>
      </c>
      <c r="C13" s="153" t="str">
        <f>VLOOKUP(B13,'DF Calculation'!$C$9:$D$102,2,FALSE)</f>
        <v>Extra pickup - 32 gal Extra</v>
      </c>
      <c r="D13" s="535">
        <f>SUMIFS('DF Calculation'!L:L,'DF Calculation'!B:B,'Rate Sheet'!A13,'DF Calculation'!C:C,'Rate Sheet'!B13)</f>
        <v>4.7</v>
      </c>
      <c r="E13" s="535">
        <f t="shared" si="3"/>
        <v>0.14999999999999947</v>
      </c>
      <c r="F13" s="546">
        <f>SUMIFS('DF Calculation'!$O:$O,'DF Calculation'!$B:$B,'Rate Sheet'!A13,'DF Calculation'!$C:$C,'Rate Sheet'!B13)</f>
        <v>4.8499999999999996</v>
      </c>
      <c r="G13" s="536" t="str">
        <f>IF(VLOOKUP($C13,'DF Calculation'!$D$8:$N$103,11,FALSE)-E13,"OK",VLOOKUP($C13,'DF Calculation'!$D$8:$N$103,11,FALSE)-E13)</f>
        <v>OK</v>
      </c>
      <c r="H13" s="535">
        <f>SUMIFS('DF Calculation'!M:M,'DF Calculation'!B:B,'Rate Sheet'!A13,'DF Calculation'!C:C,'Rate Sheet'!B13)</f>
        <v>4.68</v>
      </c>
      <c r="I13" s="470">
        <f t="shared" si="4"/>
        <v>0.15000000000000036</v>
      </c>
      <c r="J13" s="547">
        <f>SUMIFS('DF Calculation'!$P:$P,'DF Calculation'!$B:$B,'Rate Sheet'!A13,'DF Calculation'!$C:$C,'Rate Sheet'!B13)</f>
        <v>4.83</v>
      </c>
      <c r="K13" s="471" t="str">
        <f>IF(VLOOKUP($C13,'DF Calculation'!$D$8:$N$103,11,FALSE)-I13,"OK",VLOOKUP($C13,'DF Calculation'!$D$8:$N$103,11,FALSE)-I13)</f>
        <v>OK</v>
      </c>
      <c r="L13" s="115">
        <f t="shared" si="5"/>
        <v>-8.8817841970012523E-16</v>
      </c>
      <c r="O13" s="115"/>
    </row>
    <row r="14" spans="1:17">
      <c r="A14" s="154">
        <v>22</v>
      </c>
      <c r="B14" s="153" t="s">
        <v>261</v>
      </c>
      <c r="C14" s="153" t="str">
        <f>VLOOKUP(B14,'DF Calculation'!$C$9:$D$102,2,FALSE)</f>
        <v>Prepaid bag Extra</v>
      </c>
      <c r="D14" s="535">
        <f>SUMIFS('DF Calculation'!L:L,'DF Calculation'!B:B,'Rate Sheet'!A14,'DF Calculation'!C:C,'Rate Sheet'!B14)</f>
        <v>4.7</v>
      </c>
      <c r="E14" s="535">
        <f t="shared" si="3"/>
        <v>0.14999999999999947</v>
      </c>
      <c r="F14" s="546">
        <f>SUMIFS('DF Calculation'!$O:$O,'DF Calculation'!$B:$B,'Rate Sheet'!A14,'DF Calculation'!$C:$C,'Rate Sheet'!B14)</f>
        <v>4.8499999999999996</v>
      </c>
      <c r="G14" s="536" t="str">
        <f>IF(VLOOKUP($C14,'DF Calculation'!$D$8:$N$103,11,FALSE)-E14,"OK",VLOOKUP($C14,'DF Calculation'!$D$8:$N$103,11,FALSE)-E14)</f>
        <v>OK</v>
      </c>
      <c r="H14" s="535">
        <f>SUMIFS('DF Calculation'!M:M,'DF Calculation'!B:B,'Rate Sheet'!A14,'DF Calculation'!C:C,'Rate Sheet'!B14)</f>
        <v>4.68</v>
      </c>
      <c r="I14" s="470">
        <f t="shared" si="4"/>
        <v>0.15000000000000036</v>
      </c>
      <c r="J14" s="547">
        <f>SUMIFS('DF Calculation'!$P:$P,'DF Calculation'!$B:$B,'Rate Sheet'!A14,'DF Calculation'!$C:$C,'Rate Sheet'!B14)</f>
        <v>4.83</v>
      </c>
      <c r="K14" s="471" t="str">
        <f>IF(VLOOKUP($C14,'DF Calculation'!$D$8:$N$103,11,FALSE)-I14,"OK",VLOOKUP($C14,'DF Calculation'!$D$8:$N$103,11,FALSE)-I14)</f>
        <v>OK</v>
      </c>
      <c r="L14" s="115">
        <f t="shared" si="5"/>
        <v>-8.8817841970012523E-16</v>
      </c>
      <c r="O14" s="115"/>
    </row>
    <row r="15" spans="1:17">
      <c r="A15" s="154">
        <v>22</v>
      </c>
      <c r="B15" s="153" t="s">
        <v>763</v>
      </c>
      <c r="C15" s="153" t="str">
        <f>VLOOKUP(B15,'DF Calculation'!$C$9:$D$102,2,FALSE)</f>
        <v>Occasional Extra - Mini Can</v>
      </c>
      <c r="D15" s="535">
        <f>SUMIFS('DF Calculation'!L:L,'DF Calculation'!B:B,'Rate Sheet'!A15,'DF Calculation'!C:C,'Rate Sheet'!B15)</f>
        <v>4.6500000000000004</v>
      </c>
      <c r="E15" s="535">
        <f t="shared" si="3"/>
        <v>8.9999999999999858E-2</v>
      </c>
      <c r="F15" s="546">
        <f>SUMIFS('DF Calculation'!$O:$O,'DF Calculation'!$B:$B,'Rate Sheet'!A15,'DF Calculation'!$C:$C,'Rate Sheet'!B15)</f>
        <v>4.74</v>
      </c>
      <c r="G15" s="536" t="str">
        <f>IF(VLOOKUP($C15,'DF Calculation'!$D$8:$N$103,11,FALSE)-E15,"OK",VLOOKUP($C15,'DF Calculation'!$D$8:$N$103,11,FALSE)-E15)</f>
        <v>OK</v>
      </c>
      <c r="H15" s="535">
        <f>SUMIFS('DF Calculation'!M:M,'DF Calculation'!B:B,'Rate Sheet'!A15,'DF Calculation'!C:C,'Rate Sheet'!B15)</f>
        <v>4.63</v>
      </c>
      <c r="I15" s="470">
        <f t="shared" si="4"/>
        <v>8.9999999999999858E-2</v>
      </c>
      <c r="J15" s="547">
        <f>SUMIFS('DF Calculation'!$P:$P,'DF Calculation'!$B:$B,'Rate Sheet'!A15,'DF Calculation'!$C:$C,'Rate Sheet'!B15)</f>
        <v>4.72</v>
      </c>
      <c r="K15" s="471" t="str">
        <f>IF(VLOOKUP($C15,'DF Calculation'!$D$8:$N$103,11,FALSE)-I15,"OK",VLOOKUP($C15,'DF Calculation'!$D$8:$N$103,11,FALSE)-I15)</f>
        <v>OK</v>
      </c>
      <c r="L15" s="115">
        <f t="shared" si="5"/>
        <v>0</v>
      </c>
      <c r="O15" s="115"/>
    </row>
    <row r="16" spans="1:17" s="121" customFormat="1">
      <c r="A16" s="154">
        <v>22</v>
      </c>
      <c r="B16" s="518" t="s">
        <v>765</v>
      </c>
      <c r="C16" s="153" t="str">
        <f>VLOOKUP(B16,'DF Calculation'!$C$9:$D$102,2,FALSE)</f>
        <v>Occasional Extra 65 gal</v>
      </c>
      <c r="D16" s="535">
        <f>SUMIFS('DF Calculation'!L:L,'DF Calculation'!B:B,'Rate Sheet'!A16,'DF Calculation'!C:C,'Rate Sheet'!B16)</f>
        <v>9.25</v>
      </c>
      <c r="E16" s="535">
        <f t="shared" si="3"/>
        <v>0.23000000000000043</v>
      </c>
      <c r="F16" s="546">
        <f>SUMIFS('DF Calculation'!$O:$O,'DF Calculation'!$B:$B,'Rate Sheet'!A16,'DF Calculation'!$C:$C,'Rate Sheet'!B16)</f>
        <v>9.48</v>
      </c>
      <c r="G16" s="536" t="str">
        <f>IF(VLOOKUP($C16,'DF Calculation'!$D$8:$N$103,11,FALSE)-E16,"OK",VLOOKUP($C16,'DF Calculation'!$D$8:$N$103,11,FALSE)-E16)</f>
        <v>OK</v>
      </c>
      <c r="H16" s="535">
        <f>SUMIFS('DF Calculation'!M:M,'DF Calculation'!B:B,'Rate Sheet'!A16,'DF Calculation'!C:C,'Rate Sheet'!B16)</f>
        <v>9.2100000000000009</v>
      </c>
      <c r="I16" s="470">
        <f t="shared" si="4"/>
        <v>0.22999999999999865</v>
      </c>
      <c r="J16" s="547">
        <f>SUMIFS('DF Calculation'!$P:$P,'DF Calculation'!$B:$B,'Rate Sheet'!A16,'DF Calculation'!$C:$C,'Rate Sheet'!B16)</f>
        <v>9.44</v>
      </c>
      <c r="K16" s="471" t="str">
        <f>IF(VLOOKUP($C16,'DF Calculation'!$D$8:$N$103,11,FALSE)-I16,"OK",VLOOKUP($C16,'DF Calculation'!$D$8:$N$103,11,FALSE)-I16)</f>
        <v>OK</v>
      </c>
      <c r="L16" s="115">
        <f t="shared" si="5"/>
        <v>1.7763568394002505E-15</v>
      </c>
      <c r="O16" s="115"/>
    </row>
    <row r="17" spans="1:15" s="121" customFormat="1">
      <c r="A17" s="154">
        <v>22</v>
      </c>
      <c r="B17" s="518" t="s">
        <v>767</v>
      </c>
      <c r="C17" s="153" t="str">
        <f>VLOOKUP(B17,'DF Calculation'!$C$9:$D$102,2,FALSE)</f>
        <v>Occasional Extra 90 gal</v>
      </c>
      <c r="D17" s="535">
        <f>SUMIFS('DF Calculation'!L:L,'DF Calculation'!B:B,'Rate Sheet'!A17,'DF Calculation'!C:C,'Rate Sheet'!B17)</f>
        <v>13.88</v>
      </c>
      <c r="E17" s="535">
        <f t="shared" si="3"/>
        <v>0.33999999999999986</v>
      </c>
      <c r="F17" s="546">
        <f>SUMIFS('DF Calculation'!$O:$O,'DF Calculation'!$B:$B,'Rate Sheet'!A17,'DF Calculation'!$C:$C,'Rate Sheet'!B17)</f>
        <v>14.22</v>
      </c>
      <c r="G17" s="536" t="str">
        <f>IF(VLOOKUP($C17,'DF Calculation'!$D$8:$N$103,11,FALSE)-E17,"OK",VLOOKUP($C17,'DF Calculation'!$D$8:$N$103,11,FALSE)-E17)</f>
        <v>OK</v>
      </c>
      <c r="H17" s="535">
        <f>SUMIFS('DF Calculation'!M:M,'DF Calculation'!B:B,'Rate Sheet'!A17,'DF Calculation'!C:C,'Rate Sheet'!B17)</f>
        <v>13.82</v>
      </c>
      <c r="I17" s="470">
        <f t="shared" si="4"/>
        <v>0.33999999999999986</v>
      </c>
      <c r="J17" s="547">
        <f>SUMIFS('DF Calculation'!$P:$P,'DF Calculation'!$B:$B,'Rate Sheet'!A17,'DF Calculation'!$C:$C,'Rate Sheet'!B17)</f>
        <v>14.16</v>
      </c>
      <c r="K17" s="471" t="str">
        <f>IF(VLOOKUP($C17,'DF Calculation'!$D$8:$N$103,11,FALSE)-I17,"OK",VLOOKUP($C17,'DF Calculation'!$D$8:$N$103,11,FALSE)-I17)</f>
        <v>OK</v>
      </c>
      <c r="L17" s="115">
        <f t="shared" si="5"/>
        <v>0</v>
      </c>
      <c r="O17" s="115"/>
    </row>
    <row r="18" spans="1:15">
      <c r="A18" s="154">
        <v>22</v>
      </c>
      <c r="B18" s="153" t="s">
        <v>764</v>
      </c>
      <c r="C18" s="153" t="str">
        <f>VLOOKUP(B18,'DF Calculation'!$C$9:$D$102,2,FALSE)</f>
        <v>On Call 95 gal cart</v>
      </c>
      <c r="D18" s="535">
        <f>SUMIFS('DF Calculation'!L:L,'DF Calculation'!B:B,'Rate Sheet'!A18,'DF Calculation'!C:C,'Rate Sheet'!B18)</f>
        <v>13.23</v>
      </c>
      <c r="E18" s="535">
        <f t="shared" si="3"/>
        <v>0.33999999999999986</v>
      </c>
      <c r="F18" s="546">
        <f>SUMIFS('DF Calculation'!$O:$O,'DF Calculation'!$B:$B,'Rate Sheet'!A18,'DF Calculation'!$C:$C,'Rate Sheet'!B18)</f>
        <v>13.57</v>
      </c>
      <c r="G18" s="536" t="str">
        <f>IF(VLOOKUP($C18,'DF Calculation'!$D$8:$N$103,11,FALSE)-E18,"OK",VLOOKUP($C18,'DF Calculation'!$D$8:$N$103,11,FALSE)-E18)</f>
        <v>OK</v>
      </c>
      <c r="H18" s="535">
        <f>SUMIFS('DF Calculation'!M:M,'DF Calculation'!B:B,'Rate Sheet'!A18,'DF Calculation'!C:C,'Rate Sheet'!B18)</f>
        <v>13.18</v>
      </c>
      <c r="I18" s="470">
        <f t="shared" si="4"/>
        <v>0.33999999999999986</v>
      </c>
      <c r="J18" s="547">
        <f>SUMIFS('DF Calculation'!$P:$P,'DF Calculation'!$B:$B,'Rate Sheet'!A18,'DF Calculation'!$C:$C,'Rate Sheet'!B18)</f>
        <v>13.52</v>
      </c>
      <c r="K18" s="471" t="str">
        <f>IF(VLOOKUP($C18,'DF Calculation'!$D$8:$N$103,11,FALSE)-I18,"OK",VLOOKUP($C18,'DF Calculation'!$D$8:$N$103,11,FALSE)-I18)</f>
        <v>OK</v>
      </c>
      <c r="L18" s="115">
        <f t="shared" si="5"/>
        <v>0</v>
      </c>
      <c r="O18" s="115"/>
    </row>
    <row r="19" spans="1:15">
      <c r="A19" s="154">
        <v>23</v>
      </c>
      <c r="B19" s="153" t="s">
        <v>807</v>
      </c>
      <c r="C19" s="153" t="str">
        <f>VLOOKUP(B19,'DF Calculation'!$C$9:$D$102,2,FALSE)</f>
        <v>Mini Weekly Can - RSA</v>
      </c>
      <c r="D19" s="535">
        <f>SUMIFS('DF Calculation'!L:L,'DF Calculation'!B:B,'Rate Sheet'!$A19,'DF Calculation'!C:C,'Rate Sheet'!$B19)</f>
        <v>11.34</v>
      </c>
      <c r="E19" s="535">
        <f t="shared" ref="E19:E33" si="6">F19-D19</f>
        <v>0.39000000000000057</v>
      </c>
      <c r="F19" s="546">
        <f>SUMIFS('DF Calculation'!$O:$O,'DF Calculation'!$B:$B,'Rate Sheet'!$A19,'DF Calculation'!$C:$C,'Rate Sheet'!$B19)</f>
        <v>11.73</v>
      </c>
      <c r="G19" s="536" t="str">
        <f>IF(VLOOKUP($C19,'DF Calculation'!$D$8:$N$103,11,FALSE)-E19,"OK",VLOOKUP($C19,'DF Calculation'!$D$8:$N$103,11,FALSE)-E19)</f>
        <v>OK</v>
      </c>
      <c r="H19" s="535">
        <f>SUMIFS('DF Calculation'!M:M,'DF Calculation'!B:B,'Rate Sheet'!$A19,'DF Calculation'!C:C,'Rate Sheet'!$B19)</f>
        <v>11.29</v>
      </c>
      <c r="I19" s="470">
        <f t="shared" ref="I19:I33" si="7">J19-H19</f>
        <v>0.39000000000000057</v>
      </c>
      <c r="J19" s="547">
        <f>SUMIFS('DF Calculation'!$P:$P,'DF Calculation'!$B:$B,'Rate Sheet'!$A19,'DF Calculation'!$C:$C,'Rate Sheet'!$B19)</f>
        <v>11.68</v>
      </c>
      <c r="K19" s="471" t="str">
        <f>IF(VLOOKUP($C19,'DF Calculation'!$D$8:$N$103,11,FALSE)-I19,"OK",VLOOKUP($C19,'DF Calculation'!$D$8:$N$103,11,FALSE)-I19)</f>
        <v>OK</v>
      </c>
      <c r="L19" s="560">
        <f t="shared" ref="L19:L33" si="8">+E19-I19</f>
        <v>0</v>
      </c>
      <c r="M19" s="122"/>
    </row>
    <row r="20" spans="1:15">
      <c r="A20" s="154">
        <v>23</v>
      </c>
      <c r="B20" s="153" t="s">
        <v>808</v>
      </c>
      <c r="C20" s="153" t="str">
        <f>VLOOKUP(B20,'DF Calculation'!$C$9:$D$102,2,FALSE)</f>
        <v>65 gal Monthly - RSA</v>
      </c>
      <c r="D20" s="535">
        <f>SUMIFS('DF Calculation'!L:L,'DF Calculation'!B:B,'Rate Sheet'!$A20,'DF Calculation'!C:C,'Rate Sheet'!$B20)</f>
        <v>9.06</v>
      </c>
      <c r="E20" s="535">
        <f t="shared" si="6"/>
        <v>0.22999999999999865</v>
      </c>
      <c r="F20" s="546">
        <f>SUMIFS('DF Calculation'!$O:$O,'DF Calculation'!$B:$B,'Rate Sheet'!$A20,'DF Calculation'!$C:$C,'Rate Sheet'!$B20)</f>
        <v>9.2899999999999991</v>
      </c>
      <c r="G20" s="536" t="str">
        <f>IF(VLOOKUP($C20,'DF Calculation'!$D$8:$N$103,11,FALSE)-E20,"OK",VLOOKUP($C20,'DF Calculation'!$D$8:$N$103,11,FALSE)-E20)</f>
        <v>OK</v>
      </c>
      <c r="H20" s="535">
        <f>SUMIFS('DF Calculation'!M:M,'DF Calculation'!B:B,'Rate Sheet'!$A20,'DF Calculation'!C:C,'Rate Sheet'!$B20)</f>
        <v>9.02</v>
      </c>
      <c r="I20" s="470">
        <f t="shared" si="7"/>
        <v>0.23000000000000043</v>
      </c>
      <c r="J20" s="547">
        <f>SUMIFS('DF Calculation'!$P:$P,'DF Calculation'!$B:$B,'Rate Sheet'!$A20,'DF Calculation'!$C:$C,'Rate Sheet'!$B20)</f>
        <v>9.25</v>
      </c>
      <c r="K20" s="471" t="str">
        <f>IF(VLOOKUP($C20,'DF Calculation'!$D$8:$N$103,11,FALSE)-I20,"OK",VLOOKUP($C20,'DF Calculation'!$D$8:$N$103,11,FALSE)-I20)</f>
        <v>OK</v>
      </c>
      <c r="L20" s="560">
        <f t="shared" si="8"/>
        <v>-1.7763568394002505E-15</v>
      </c>
      <c r="M20" s="122"/>
    </row>
    <row r="21" spans="1:15">
      <c r="A21" s="154">
        <v>23</v>
      </c>
      <c r="B21" s="153" t="s">
        <v>809</v>
      </c>
      <c r="C21" s="153" t="str">
        <f>VLOOKUP(B21,'DF Calculation'!$C$9:$D$102,2,FALSE)</f>
        <v>65 gal EOW - RSA</v>
      </c>
      <c r="D21" s="535">
        <f>SUMIFS('DF Calculation'!L:L,'DF Calculation'!B:B,'Rate Sheet'!$A21,'DF Calculation'!C:C,'Rate Sheet'!$B21)</f>
        <v>14.56</v>
      </c>
      <c r="E21" s="535">
        <f t="shared" si="6"/>
        <v>0.49000000000000021</v>
      </c>
      <c r="F21" s="546">
        <f>SUMIFS('DF Calculation'!$O:$O,'DF Calculation'!$B:$B,'Rate Sheet'!$A21,'DF Calculation'!$C:$C,'Rate Sheet'!$B21)</f>
        <v>15.05</v>
      </c>
      <c r="G21" s="536" t="str">
        <f>IF(VLOOKUP($C21,'DF Calculation'!$D$8:$N$103,11,FALSE)-E21,"OK",VLOOKUP($C21,'DF Calculation'!$D$8:$N$103,11,FALSE)-E21)</f>
        <v>OK</v>
      </c>
      <c r="H21" s="535">
        <f>SUMIFS('DF Calculation'!M:M,'DF Calculation'!B:B,'Rate Sheet'!$A21,'DF Calculation'!C:C,'Rate Sheet'!$B21)</f>
        <v>14.5</v>
      </c>
      <c r="I21" s="470">
        <f t="shared" si="7"/>
        <v>0.49000000000000021</v>
      </c>
      <c r="J21" s="547">
        <f>SUMIFS('DF Calculation'!$P:$P,'DF Calculation'!$B:$B,'Rate Sheet'!$A21,'DF Calculation'!$C:$C,'Rate Sheet'!$B21)</f>
        <v>14.99</v>
      </c>
      <c r="K21" s="471" t="str">
        <f>IF(VLOOKUP($C21,'DF Calculation'!$D$8:$N$103,11,FALSE)-I21,"OK",VLOOKUP($C21,'DF Calculation'!$D$8:$N$103,11,FALSE)-I21)</f>
        <v>OK</v>
      </c>
      <c r="L21" s="560">
        <f t="shared" si="8"/>
        <v>0</v>
      </c>
      <c r="M21" s="122"/>
    </row>
    <row r="22" spans="1:15">
      <c r="A22" s="154">
        <v>23</v>
      </c>
      <c r="B22" s="153" t="s">
        <v>810</v>
      </c>
      <c r="C22" s="153" t="str">
        <f>VLOOKUP(B22,'DF Calculation'!$C$9:$D$102,2,FALSE)</f>
        <v>65 gal Weekly - RSA</v>
      </c>
      <c r="D22" s="535">
        <f>SUMIFS('DF Calculation'!L:L,'DF Calculation'!B:B,'Rate Sheet'!$A22,'DF Calculation'!C:C,'Rate Sheet'!$B22)</f>
        <v>21.93</v>
      </c>
      <c r="E22" s="535">
        <f t="shared" si="6"/>
        <v>0.99000000000000199</v>
      </c>
      <c r="F22" s="546">
        <f>SUMIFS('DF Calculation'!$O:$O,'DF Calculation'!$B:$B,'Rate Sheet'!$A22,'DF Calculation'!$C:$C,'Rate Sheet'!$B22)</f>
        <v>22.92</v>
      </c>
      <c r="G22" s="536" t="str">
        <f>IF(VLOOKUP($C22,'DF Calculation'!$D$8:$N$103,11,FALSE)-E22,"OK",VLOOKUP($C22,'DF Calculation'!$D$8:$N$103,11,FALSE)-E22)</f>
        <v>OK</v>
      </c>
      <c r="H22" s="535">
        <f>SUMIFS('DF Calculation'!M:M,'DF Calculation'!B:B,'Rate Sheet'!$A22,'DF Calculation'!C:C,'Rate Sheet'!$B22)</f>
        <v>21.83</v>
      </c>
      <c r="I22" s="470">
        <f t="shared" si="7"/>
        <v>0.99000000000000199</v>
      </c>
      <c r="J22" s="547">
        <f>SUMIFS('DF Calculation'!$P:$P,'DF Calculation'!$B:$B,'Rate Sheet'!$A22,'DF Calculation'!$C:$C,'Rate Sheet'!$B22)</f>
        <v>22.82</v>
      </c>
      <c r="K22" s="471" t="str">
        <f>IF(VLOOKUP($C22,'DF Calculation'!$D$8:$N$103,11,FALSE)-I22,"OK",VLOOKUP($C22,'DF Calculation'!$D$8:$N$103,11,FALSE)-I22)</f>
        <v>OK</v>
      </c>
      <c r="L22" s="560">
        <f t="shared" si="8"/>
        <v>0</v>
      </c>
      <c r="M22" s="122"/>
    </row>
    <row r="23" spans="1:15">
      <c r="A23" s="154">
        <v>23</v>
      </c>
      <c r="B23" s="153" t="s">
        <v>811</v>
      </c>
      <c r="C23" s="153" t="str">
        <f>VLOOKUP(B23,'DF Calculation'!$C$9:$D$102,2,FALSE)</f>
        <v>95 gal Monthly - RSA</v>
      </c>
      <c r="D23" s="535">
        <f>SUMIFS('DF Calculation'!L:L,'DF Calculation'!B:B,'Rate Sheet'!$A23,'DF Calculation'!C:C,'Rate Sheet'!$B23)</f>
        <v>11.23</v>
      </c>
      <c r="E23" s="535">
        <f t="shared" si="6"/>
        <v>0.33999999999999986</v>
      </c>
      <c r="F23" s="546">
        <f>SUMIFS('DF Calculation'!$O:$O,'DF Calculation'!$B:$B,'Rate Sheet'!$A23,'DF Calculation'!$C:$C,'Rate Sheet'!$B23)</f>
        <v>11.57</v>
      </c>
      <c r="G23" s="536" t="str">
        <f>IF(VLOOKUP($C23,'DF Calculation'!$D$8:$N$103,11,FALSE)-E23,"OK",VLOOKUP($C23,'DF Calculation'!$D$8:$N$103,11,FALSE)-E23)</f>
        <v>OK</v>
      </c>
      <c r="H23" s="535">
        <f>SUMIFS('DF Calculation'!M:M,'DF Calculation'!B:B,'Rate Sheet'!$A23,'DF Calculation'!C:C,'Rate Sheet'!$B23)</f>
        <v>11.18</v>
      </c>
      <c r="I23" s="470">
        <f t="shared" si="7"/>
        <v>0.33999999999999986</v>
      </c>
      <c r="J23" s="547">
        <f>SUMIFS('DF Calculation'!$P:$P,'DF Calculation'!$B:$B,'Rate Sheet'!$A23,'DF Calculation'!$C:$C,'Rate Sheet'!$B23)</f>
        <v>11.52</v>
      </c>
      <c r="K23" s="471" t="str">
        <f>IF(VLOOKUP($C23,'DF Calculation'!$D$8:$N$103,11,FALSE)-I23,"OK",VLOOKUP($C23,'DF Calculation'!$D$8:$N$103,11,FALSE)-I23)</f>
        <v>OK</v>
      </c>
      <c r="L23" s="560">
        <f t="shared" si="8"/>
        <v>0</v>
      </c>
      <c r="M23" s="122"/>
    </row>
    <row r="24" spans="1:15">
      <c r="A24" s="154">
        <v>23</v>
      </c>
      <c r="B24" s="153" t="s">
        <v>812</v>
      </c>
      <c r="C24" s="153" t="str">
        <f>VLOOKUP(B24,'DF Calculation'!$C$9:$D$102,2,FALSE)</f>
        <v>95 gal EOW - RSA</v>
      </c>
      <c r="D24" s="535">
        <f>SUMIFS('DF Calculation'!L:L,'DF Calculation'!B:B,'Rate Sheet'!$A24,'DF Calculation'!C:C,'Rate Sheet'!$B24)</f>
        <v>22.37</v>
      </c>
      <c r="E24" s="535">
        <f t="shared" si="6"/>
        <v>0.75</v>
      </c>
      <c r="F24" s="546">
        <f>SUMIFS('DF Calculation'!$O:$O,'DF Calculation'!$B:$B,'Rate Sheet'!$A24,'DF Calculation'!$C:$C,'Rate Sheet'!$B24)</f>
        <v>23.12</v>
      </c>
      <c r="G24" s="536" t="str">
        <f>IF(VLOOKUP($C24,'DF Calculation'!$D$8:$N$103,11,FALSE)-E24,"OK",VLOOKUP($C24,'DF Calculation'!$D$8:$N$103,11,FALSE)-E24)</f>
        <v>OK</v>
      </c>
      <c r="H24" s="535">
        <f>SUMIFS('DF Calculation'!M:M,'DF Calculation'!B:B,'Rate Sheet'!$A24,'DF Calculation'!C:C,'Rate Sheet'!$B24)</f>
        <v>22.27</v>
      </c>
      <c r="I24" s="470">
        <f t="shared" si="7"/>
        <v>0.75</v>
      </c>
      <c r="J24" s="547">
        <f>SUMIFS('DF Calculation'!$P:$P,'DF Calculation'!$B:$B,'Rate Sheet'!$A24,'DF Calculation'!$C:$C,'Rate Sheet'!$B24)</f>
        <v>23.02</v>
      </c>
      <c r="K24" s="471" t="str">
        <f>IF(VLOOKUP($C24,'DF Calculation'!$D$8:$N$103,11,FALSE)-I24,"OK",VLOOKUP($C24,'DF Calculation'!$D$8:$N$103,11,FALSE)-I24)</f>
        <v>OK</v>
      </c>
      <c r="L24" s="560">
        <f t="shared" si="8"/>
        <v>0</v>
      </c>
      <c r="M24" s="122"/>
    </row>
    <row r="25" spans="1:15">
      <c r="A25" s="154">
        <v>23</v>
      </c>
      <c r="B25" s="153" t="s">
        <v>813</v>
      </c>
      <c r="C25" s="153" t="str">
        <f>VLOOKUP(B25,'DF Calculation'!$C$9:$D$102,2,FALSE)</f>
        <v>95 gal Weekly - RSA</v>
      </c>
      <c r="D25" s="535">
        <f>SUMIFS('DF Calculation'!L:L,'DF Calculation'!B:B,'Rate Sheet'!$A25,'DF Calculation'!C:C,'Rate Sheet'!$B25)</f>
        <v>28.71</v>
      </c>
      <c r="E25" s="535">
        <f t="shared" si="6"/>
        <v>1.4899999999999984</v>
      </c>
      <c r="F25" s="546">
        <f>SUMIFS('DF Calculation'!$O:$O,'DF Calculation'!$B:$B,'Rate Sheet'!$A25,'DF Calculation'!$C:$C,'Rate Sheet'!$B25)</f>
        <v>30.2</v>
      </c>
      <c r="G25" s="536" t="str">
        <f>IF(VLOOKUP($C25,'DF Calculation'!$D$8:$N$103,11,FALSE)-E25,"OK",VLOOKUP($C25,'DF Calculation'!$D$8:$N$103,11,FALSE)-E25)</f>
        <v>OK</v>
      </c>
      <c r="H25" s="535">
        <f>SUMIFS('DF Calculation'!M:M,'DF Calculation'!B:B,'Rate Sheet'!$A25,'DF Calculation'!C:C,'Rate Sheet'!$B25)</f>
        <v>28.58</v>
      </c>
      <c r="I25" s="470">
        <f t="shared" si="7"/>
        <v>1.490000000000002</v>
      </c>
      <c r="J25" s="547">
        <f>SUMIFS('DF Calculation'!$P:$P,'DF Calculation'!$B:$B,'Rate Sheet'!$A25,'DF Calculation'!$C:$C,'Rate Sheet'!$B25)</f>
        <v>30.07</v>
      </c>
      <c r="K25" s="471" t="str">
        <f>IF(VLOOKUP($C25,'DF Calculation'!$D$8:$N$103,11,FALSE)-I25,"OK",VLOOKUP($C25,'DF Calculation'!$D$8:$N$103,11,FALSE)-I25)</f>
        <v>OK</v>
      </c>
      <c r="L25" s="560">
        <f t="shared" si="8"/>
        <v>-3.5527136788005009E-15</v>
      </c>
      <c r="M25" s="122"/>
    </row>
    <row r="26" spans="1:15">
      <c r="A26" s="154">
        <v>24</v>
      </c>
      <c r="B26" s="153" t="s">
        <v>814</v>
      </c>
      <c r="C26" s="153" t="str">
        <f>VLOOKUP(B26,'DF Calculation'!$C$9:$D$102,2,FALSE)</f>
        <v>Occasional Extra - 32 gal RSA</v>
      </c>
      <c r="D26" s="535">
        <f>SUMIFS('DF Calculation'!L:L,'DF Calculation'!B:B,'Rate Sheet'!$A26,'DF Calculation'!C:C,'Rate Sheet'!$B26)</f>
        <v>4.7</v>
      </c>
      <c r="E26" s="535">
        <f t="shared" si="6"/>
        <v>0.14999999999999947</v>
      </c>
      <c r="F26" s="546">
        <f>SUMIFS('DF Calculation'!$O:$O,'DF Calculation'!$B:$B,'Rate Sheet'!$A26,'DF Calculation'!$C:$C,'Rate Sheet'!$B26)</f>
        <v>4.8499999999999996</v>
      </c>
      <c r="G26" s="536" t="str">
        <f>IF(VLOOKUP($C26,'DF Calculation'!$D$8:$N$103,11,FALSE)-E26,"OK",VLOOKUP($C26,'DF Calculation'!$D$8:$N$103,11,FALSE)-E26)</f>
        <v>OK</v>
      </c>
      <c r="H26" s="535">
        <f>SUMIFS('DF Calculation'!M:M,'DF Calculation'!B:B,'Rate Sheet'!$A26,'DF Calculation'!C:C,'Rate Sheet'!$B26)</f>
        <v>4.68</v>
      </c>
      <c r="I26" s="470">
        <f t="shared" si="7"/>
        <v>0.15000000000000036</v>
      </c>
      <c r="J26" s="547">
        <f>SUMIFS('DF Calculation'!$P:$P,'DF Calculation'!$B:$B,'Rate Sheet'!$A26,'DF Calculation'!$C:$C,'Rate Sheet'!$B26)</f>
        <v>4.83</v>
      </c>
      <c r="K26" s="471" t="str">
        <f>IF(VLOOKUP($C26,'DF Calculation'!$D$8:$N$103,11,FALSE)-I26,"OK",VLOOKUP($C26,'DF Calculation'!$D$8:$N$103,11,FALSE)-I26)</f>
        <v>OK</v>
      </c>
      <c r="L26" s="560">
        <f t="shared" si="8"/>
        <v>-8.8817841970012523E-16</v>
      </c>
      <c r="M26" s="122"/>
    </row>
    <row r="27" spans="1:15">
      <c r="A27" s="154">
        <v>24</v>
      </c>
      <c r="B27" s="153" t="s">
        <v>815</v>
      </c>
      <c r="C27" s="153" t="str">
        <f>VLOOKUP(B27,'DF Calculation'!$C$9:$D$102,2,FALSE)</f>
        <v>Occasional Extra - 65 gal RSA</v>
      </c>
      <c r="D27" s="535">
        <f>SUMIFS('DF Calculation'!L:L,'DF Calculation'!B:B,'Rate Sheet'!$A27,'DF Calculation'!C:C,'Rate Sheet'!$B27)</f>
        <v>9.25</v>
      </c>
      <c r="E27" s="535">
        <f t="shared" si="6"/>
        <v>0.23000000000000043</v>
      </c>
      <c r="F27" s="546">
        <f>SUMIFS('DF Calculation'!$O:$O,'DF Calculation'!$B:$B,'Rate Sheet'!$A27,'DF Calculation'!$C:$C,'Rate Sheet'!$B27)</f>
        <v>9.48</v>
      </c>
      <c r="G27" s="536" t="str">
        <f>IF(VLOOKUP($C27,'DF Calculation'!$D$8:$N$103,11,FALSE)-E27,"OK",VLOOKUP($C27,'DF Calculation'!$D$8:$N$103,11,FALSE)-E27)</f>
        <v>OK</v>
      </c>
      <c r="H27" s="535">
        <f>SUMIFS('DF Calculation'!M:M,'DF Calculation'!B:B,'Rate Sheet'!$A27,'DF Calculation'!C:C,'Rate Sheet'!$B27)</f>
        <v>9.2100000000000009</v>
      </c>
      <c r="I27" s="470">
        <f t="shared" si="7"/>
        <v>0.22999999999999865</v>
      </c>
      <c r="J27" s="547">
        <f>SUMIFS('DF Calculation'!$P:$P,'DF Calculation'!$B:$B,'Rate Sheet'!$A27,'DF Calculation'!$C:$C,'Rate Sheet'!$B27)</f>
        <v>9.44</v>
      </c>
      <c r="K27" s="471" t="str">
        <f>IF(VLOOKUP($C27,'DF Calculation'!$D$8:$N$103,11,FALSE)-I27,"OK",VLOOKUP($C27,'DF Calculation'!$D$8:$N$103,11,FALSE)-I27)</f>
        <v>OK</v>
      </c>
      <c r="L27" s="560">
        <f t="shared" si="8"/>
        <v>1.7763568394002505E-15</v>
      </c>
      <c r="M27" s="122"/>
    </row>
    <row r="28" spans="1:15">
      <c r="A28" s="154">
        <v>24</v>
      </c>
      <c r="B28" s="153" t="s">
        <v>816</v>
      </c>
      <c r="C28" s="153" t="str">
        <f>VLOOKUP(B28,'DF Calculation'!$C$9:$D$102,2,FALSE)</f>
        <v>Occasional Extra - 95 gal RSA</v>
      </c>
      <c r="D28" s="535">
        <f>SUMIFS('DF Calculation'!L:L,'DF Calculation'!B:B,'Rate Sheet'!$A28,'DF Calculation'!C:C,'Rate Sheet'!$B28)</f>
        <v>13.88</v>
      </c>
      <c r="E28" s="535">
        <f t="shared" si="6"/>
        <v>0.33999999999999986</v>
      </c>
      <c r="F28" s="546">
        <f>SUMIFS('DF Calculation'!$O:$O,'DF Calculation'!$B:$B,'Rate Sheet'!$A28,'DF Calculation'!$C:$C,'Rate Sheet'!$B28)</f>
        <v>14.22</v>
      </c>
      <c r="G28" s="536" t="str">
        <f>IF(VLOOKUP($C28,'DF Calculation'!$D$8:$N$103,11,FALSE)-E28,"OK",VLOOKUP($C28,'DF Calculation'!$D$8:$N$103,11,FALSE)-E28)</f>
        <v>OK</v>
      </c>
      <c r="H28" s="535">
        <f>SUMIFS('DF Calculation'!M:M,'DF Calculation'!B:B,'Rate Sheet'!$A28,'DF Calculation'!C:C,'Rate Sheet'!$B28)</f>
        <v>13.82</v>
      </c>
      <c r="I28" s="470">
        <f t="shared" si="7"/>
        <v>0.33999999999999986</v>
      </c>
      <c r="J28" s="547">
        <f>SUMIFS('DF Calculation'!$P:$P,'DF Calculation'!$B:$B,'Rate Sheet'!$A28,'DF Calculation'!$C:$C,'Rate Sheet'!$B28)</f>
        <v>14.16</v>
      </c>
      <c r="K28" s="471" t="str">
        <f>IF(VLOOKUP($C28,'DF Calculation'!$D$8:$N$103,11,FALSE)-I28,"OK",VLOOKUP($C28,'DF Calculation'!$D$8:$N$103,11,FALSE)-I28)</f>
        <v>OK</v>
      </c>
      <c r="L28" s="560">
        <f t="shared" si="8"/>
        <v>0</v>
      </c>
      <c r="M28" s="122"/>
    </row>
    <row r="29" spans="1:15">
      <c r="A29" s="154">
        <v>24</v>
      </c>
      <c r="B29" s="153" t="s">
        <v>817</v>
      </c>
      <c r="C29" s="153" t="str">
        <f>VLOOKUP(B29,'DF Calculation'!$C$9:$D$102,2,FALSE)</f>
        <v>Prepaid Bag - RSA</v>
      </c>
      <c r="D29" s="535">
        <f>SUMIFS('DF Calculation'!L:L,'DF Calculation'!B:B,'Rate Sheet'!$A29,'DF Calculation'!C:C,'Rate Sheet'!$B29)</f>
        <v>4.7</v>
      </c>
      <c r="E29" s="535">
        <f t="shared" si="6"/>
        <v>0.14999999999999947</v>
      </c>
      <c r="F29" s="546">
        <f>SUMIFS('DF Calculation'!$O:$O,'DF Calculation'!$B:$B,'Rate Sheet'!$A29,'DF Calculation'!$C:$C,'Rate Sheet'!$B29)</f>
        <v>4.8499999999999996</v>
      </c>
      <c r="G29" s="536" t="str">
        <f>IF(VLOOKUP($C29,'DF Calculation'!$D$8:$N$103,11,FALSE)-E29,"OK",VLOOKUP($C29,'DF Calculation'!$D$8:$N$103,11,FALSE)-E29)</f>
        <v>OK</v>
      </c>
      <c r="H29" s="535">
        <f>SUMIFS('DF Calculation'!M:M,'DF Calculation'!B:B,'Rate Sheet'!$A29,'DF Calculation'!C:C,'Rate Sheet'!$B29)</f>
        <v>4.68</v>
      </c>
      <c r="I29" s="470">
        <f t="shared" si="7"/>
        <v>0.15000000000000036</v>
      </c>
      <c r="J29" s="547">
        <f>SUMIFS('DF Calculation'!$P:$P,'DF Calculation'!$B:$B,'Rate Sheet'!$A29,'DF Calculation'!$C:$C,'Rate Sheet'!$B29)</f>
        <v>4.83</v>
      </c>
      <c r="K29" s="471" t="str">
        <f>IF(VLOOKUP($C29,'DF Calculation'!$D$8:$N$103,11,FALSE)-I29,"OK",VLOOKUP($C29,'DF Calculation'!$D$8:$N$103,11,FALSE)-I29)</f>
        <v>OK</v>
      </c>
      <c r="L29" s="560">
        <f t="shared" si="8"/>
        <v>-8.8817841970012523E-16</v>
      </c>
      <c r="M29" s="122"/>
    </row>
    <row r="30" spans="1:15">
      <c r="A30" s="154">
        <v>24</v>
      </c>
      <c r="B30" s="153" t="s">
        <v>820</v>
      </c>
      <c r="C30" s="153" t="str">
        <f>VLOOKUP(B30,'DF Calculation'!$C$9:$D$102,2,FALSE)</f>
        <v>On call 65 gal - RSA</v>
      </c>
      <c r="D30" s="535">
        <f>SUMIFS('DF Calculation'!L:L,'DF Calculation'!B:B,'Rate Sheet'!$A30,'DF Calculation'!C:C,'Rate Sheet'!$B30)</f>
        <v>11.06</v>
      </c>
      <c r="E30" s="535">
        <f t="shared" si="6"/>
        <v>0.22999999999999865</v>
      </c>
      <c r="F30" s="546">
        <f>SUMIFS('DF Calculation'!$O:$O,'DF Calculation'!$B:$B,'Rate Sheet'!$A30,'DF Calculation'!$C:$C,'Rate Sheet'!$B30)</f>
        <v>11.29</v>
      </c>
      <c r="G30" s="536" t="str">
        <f>IF(VLOOKUP($C30,'DF Calculation'!$D$8:$N$103,11,FALSE)-E30,"OK",VLOOKUP($C30,'DF Calculation'!$D$8:$N$103,11,FALSE)-E30)</f>
        <v>OK</v>
      </c>
      <c r="H30" s="535">
        <f>SUMIFS('DF Calculation'!M:M,'DF Calculation'!B:B,'Rate Sheet'!$A30,'DF Calculation'!C:C,'Rate Sheet'!$B30)</f>
        <v>11.02</v>
      </c>
      <c r="I30" s="470">
        <f t="shared" si="7"/>
        <v>0.23000000000000043</v>
      </c>
      <c r="J30" s="547">
        <f>SUMIFS('DF Calculation'!$P:$P,'DF Calculation'!$B:$B,'Rate Sheet'!$A30,'DF Calculation'!$C:$C,'Rate Sheet'!$B30)</f>
        <v>11.25</v>
      </c>
      <c r="K30" s="471" t="str">
        <f>IF(VLOOKUP($C30,'DF Calculation'!$D$8:$N$103,11,FALSE)-I30,"OK",VLOOKUP($C30,'DF Calculation'!$D$8:$N$103,11,FALSE)-I30)</f>
        <v>OK</v>
      </c>
      <c r="L30" s="560">
        <f t="shared" si="8"/>
        <v>-1.7763568394002505E-15</v>
      </c>
      <c r="M30" s="122"/>
    </row>
    <row r="31" spans="1:15">
      <c r="A31" s="154">
        <v>24</v>
      </c>
      <c r="B31" s="153" t="s">
        <v>821</v>
      </c>
      <c r="C31" s="153" t="str">
        <f>VLOOKUP(B31,'DF Calculation'!$C$9:$D$102,2,FALSE)</f>
        <v>On call 65 gal Special - RSA</v>
      </c>
      <c r="D31" s="535">
        <f>SUMIFS('DF Calculation'!L:L,'DF Calculation'!B:B,'Rate Sheet'!$A31,'DF Calculation'!C:C,'Rate Sheet'!$B31)</f>
        <v>14.06</v>
      </c>
      <c r="E31" s="535">
        <f t="shared" si="6"/>
        <v>0.22999999999999865</v>
      </c>
      <c r="F31" s="546">
        <f>SUMIFS('DF Calculation'!$O:$O,'DF Calculation'!$B:$B,'Rate Sheet'!$A31,'DF Calculation'!$C:$C,'Rate Sheet'!$B31)</f>
        <v>14.29</v>
      </c>
      <c r="G31" s="536" t="str">
        <f>IF(VLOOKUP($C31,'DF Calculation'!$D$8:$N$103,11,FALSE)-E31,"OK",VLOOKUP($C31,'DF Calculation'!$D$8:$N$103,11,FALSE)-E31)</f>
        <v>OK</v>
      </c>
      <c r="H31" s="535">
        <f>SUMIFS('DF Calculation'!M:M,'DF Calculation'!B:B,'Rate Sheet'!$A31,'DF Calculation'!C:C,'Rate Sheet'!$B31)</f>
        <v>14.02</v>
      </c>
      <c r="I31" s="470">
        <f t="shared" si="7"/>
        <v>0.23000000000000043</v>
      </c>
      <c r="J31" s="547">
        <f>SUMIFS('DF Calculation'!$P:$P,'DF Calculation'!$B:$B,'Rate Sheet'!$A31,'DF Calculation'!$C:$C,'Rate Sheet'!$B31)</f>
        <v>14.25</v>
      </c>
      <c r="K31" s="471" t="str">
        <f>IF(VLOOKUP($C31,'DF Calculation'!$D$8:$N$103,11,FALSE)-I31,"OK",VLOOKUP($C31,'DF Calculation'!$D$8:$N$103,11,FALSE)-I31)</f>
        <v>OK</v>
      </c>
      <c r="L31" s="560">
        <f t="shared" si="8"/>
        <v>-1.7763568394002505E-15</v>
      </c>
      <c r="M31" s="122"/>
    </row>
    <row r="32" spans="1:15">
      <c r="A32" s="154">
        <v>24</v>
      </c>
      <c r="B32" s="153" t="s">
        <v>818</v>
      </c>
      <c r="C32" s="153" t="str">
        <f>VLOOKUP(B32,'DF Calculation'!$C$9:$D$102,2,FALSE)</f>
        <v>On call 95 gal - RSA</v>
      </c>
      <c r="D32" s="535">
        <f>SUMIFS('DF Calculation'!L:L,'DF Calculation'!B:B,'Rate Sheet'!$A32,'DF Calculation'!C:C,'Rate Sheet'!$B32)</f>
        <v>13.23</v>
      </c>
      <c r="E32" s="535">
        <f t="shared" si="6"/>
        <v>0.33999999999999986</v>
      </c>
      <c r="F32" s="546">
        <f>SUMIFS('DF Calculation'!$O:$O,'DF Calculation'!$B:$B,'Rate Sheet'!$A32,'DF Calculation'!$C:$C,'Rate Sheet'!$B32)</f>
        <v>13.57</v>
      </c>
      <c r="G32" s="536" t="str">
        <f>IF(VLOOKUP($C32,'DF Calculation'!$D$8:$N$103,11,FALSE)-E32,"OK",VLOOKUP($C32,'DF Calculation'!$D$8:$N$103,11,FALSE)-E32)</f>
        <v>OK</v>
      </c>
      <c r="H32" s="535">
        <f>SUMIFS('DF Calculation'!M:M,'DF Calculation'!B:B,'Rate Sheet'!$A32,'DF Calculation'!C:C,'Rate Sheet'!$B32)</f>
        <v>13.18</v>
      </c>
      <c r="I32" s="470">
        <f t="shared" si="7"/>
        <v>0.33999999999999986</v>
      </c>
      <c r="J32" s="547">
        <f>SUMIFS('DF Calculation'!$P:$P,'DF Calculation'!$B:$B,'Rate Sheet'!$A32,'DF Calculation'!$C:$C,'Rate Sheet'!$B32)</f>
        <v>13.52</v>
      </c>
      <c r="K32" s="471" t="str">
        <f>IF(VLOOKUP($C32,'DF Calculation'!$D$8:$N$103,11,FALSE)-I32,"OK",VLOOKUP($C32,'DF Calculation'!$D$8:$N$103,11,FALSE)-I32)</f>
        <v>OK</v>
      </c>
      <c r="L32" s="560">
        <f t="shared" si="8"/>
        <v>0</v>
      </c>
      <c r="M32" s="122"/>
    </row>
    <row r="33" spans="1:19">
      <c r="A33" s="154">
        <v>24</v>
      </c>
      <c r="B33" s="153" t="s">
        <v>819</v>
      </c>
      <c r="C33" s="153" t="str">
        <f>VLOOKUP(B33,'DF Calculation'!$C$9:$D$102,2,FALSE)</f>
        <v>On call 95 gal Special - RSA</v>
      </c>
      <c r="D33" s="535">
        <f>SUMIFS('DF Calculation'!L:L,'DF Calculation'!B:B,'Rate Sheet'!$A33,'DF Calculation'!C:C,'Rate Sheet'!$B33)</f>
        <v>16.23</v>
      </c>
      <c r="E33" s="535">
        <f t="shared" si="6"/>
        <v>0.33999999999999986</v>
      </c>
      <c r="F33" s="546">
        <f>SUMIFS('DF Calculation'!$O:$O,'DF Calculation'!$B:$B,'Rate Sheet'!$A33,'DF Calculation'!$C:$C,'Rate Sheet'!$B33)</f>
        <v>16.57</v>
      </c>
      <c r="G33" s="536" t="str">
        <f>IF(VLOOKUP($C33,'DF Calculation'!$D$8:$N$103,11,FALSE)-E33,"OK",VLOOKUP($C33,'DF Calculation'!$D$8:$N$103,11,FALSE)-E33)</f>
        <v>OK</v>
      </c>
      <c r="H33" s="535">
        <f>SUMIFS('DF Calculation'!M:M,'DF Calculation'!B:B,'Rate Sheet'!$A33,'DF Calculation'!C:C,'Rate Sheet'!$B33)</f>
        <v>16.18</v>
      </c>
      <c r="I33" s="470">
        <f t="shared" si="7"/>
        <v>0.33999999999999986</v>
      </c>
      <c r="J33" s="547">
        <f>SUMIFS('DF Calculation'!$P:$P,'DF Calculation'!$B:$B,'Rate Sheet'!$A33,'DF Calculation'!$C:$C,'Rate Sheet'!$B33)</f>
        <v>16.52</v>
      </c>
      <c r="K33" s="471" t="str">
        <f>IF(VLOOKUP($C33,'DF Calculation'!$D$8:$N$103,11,FALSE)-I33,"OK",VLOOKUP($C33,'DF Calculation'!$D$8:$N$103,11,FALSE)-I33)</f>
        <v>OK</v>
      </c>
      <c r="L33" s="560">
        <f t="shared" si="8"/>
        <v>0</v>
      </c>
      <c r="M33" s="122"/>
    </row>
    <row r="34" spans="1:19">
      <c r="A34" s="154">
        <v>31</v>
      </c>
      <c r="B34" s="153" t="s">
        <v>251</v>
      </c>
      <c r="C34" s="153" t="str">
        <f>VLOOKUP(B34,'DF Calculation'!$C$9:$D$102,2,FALSE)</f>
        <v>1 - 4 yards Bulky Material</v>
      </c>
      <c r="D34" s="535">
        <f>SUMIFS('DF Calculation'!L:L,'DF Calculation'!B:B,'Rate Sheet'!A34,'DF Calculation'!C:C,'Rate Sheet'!B34)</f>
        <v>32.07</v>
      </c>
      <c r="E34" s="535">
        <f t="shared" si="3"/>
        <v>0.56000000000000227</v>
      </c>
      <c r="F34" s="546">
        <f>SUMIFS('DF Calculation'!$O:$O,'DF Calculation'!$B:$B,'Rate Sheet'!A34,'DF Calculation'!$C:$C,'Rate Sheet'!B34)</f>
        <v>32.630000000000003</v>
      </c>
      <c r="G34" s="536" t="str">
        <f>IF(VLOOKUP($C34,'DF Calculation'!$D$8:$N$103,11,FALSE)-E34,"OK",VLOOKUP($C34,'DF Calculation'!$D$8:$N$103,11,FALSE)-E34)</f>
        <v>OK</v>
      </c>
      <c r="H34" s="535">
        <f>SUMIFS('DF Calculation'!M:M,'DF Calculation'!B:B,'Rate Sheet'!A34,'DF Calculation'!C:C,'Rate Sheet'!B34)</f>
        <v>31.93</v>
      </c>
      <c r="I34" s="470">
        <f t="shared" si="4"/>
        <v>0.56000000000000227</v>
      </c>
      <c r="J34" s="547">
        <f>SUMIFS('DF Calculation'!$P:$P,'DF Calculation'!$B:$B,'Rate Sheet'!A34,'DF Calculation'!$C:$C,'Rate Sheet'!B34)</f>
        <v>32.49</v>
      </c>
      <c r="K34" s="471" t="str">
        <f>IF(VLOOKUP($C34,'DF Calculation'!$D$8:$N$103,11,FALSE)-I34,"OK",VLOOKUP($C34,'DF Calculation'!$D$8:$N$103,11,FALSE)-I34)</f>
        <v>OK</v>
      </c>
      <c r="L34" s="115">
        <f t="shared" si="5"/>
        <v>0</v>
      </c>
      <c r="O34" s="115"/>
    </row>
    <row r="35" spans="1:19">
      <c r="A35" s="154">
        <v>31</v>
      </c>
      <c r="B35" s="153" t="s">
        <v>772</v>
      </c>
      <c r="C35" s="153" t="str">
        <f>VLOOKUP(B35,'DF Calculation'!$C$9:$D$102,2,FALSE)</f>
        <v>Additional yards Bulky Material</v>
      </c>
      <c r="D35" s="535">
        <f>SUMIFS('DF Calculation'!L:L,'DF Calculation'!B:B,'Rate Sheet'!A35,'DF Calculation'!C:C,'Rate Sheet'!B35)</f>
        <v>13.57</v>
      </c>
      <c r="E35" s="535">
        <f t="shared" si="3"/>
        <v>0.5600000000000005</v>
      </c>
      <c r="F35" s="546">
        <f>SUMIFS('DF Calculation'!$O:$O,'DF Calculation'!$B:$B,'Rate Sheet'!A35,'DF Calculation'!$C:$C,'Rate Sheet'!B35)</f>
        <v>14.13</v>
      </c>
      <c r="G35" s="536" t="str">
        <f>IF(VLOOKUP($C35,'DF Calculation'!$D$8:$N$103,11,FALSE)-E35,"OK",VLOOKUP($C35,'DF Calculation'!$D$8:$N$103,11,FALSE)-E35)</f>
        <v>OK</v>
      </c>
      <c r="H35" s="535">
        <f>SUMIFS('DF Calculation'!M:M,'DF Calculation'!B:B,'Rate Sheet'!A35,'DF Calculation'!C:C,'Rate Sheet'!B35)</f>
        <v>13.51</v>
      </c>
      <c r="I35" s="470">
        <f t="shared" si="4"/>
        <v>0.5600000000000005</v>
      </c>
      <c r="J35" s="547">
        <f>SUMIFS('DF Calculation'!$P:$P,'DF Calculation'!$B:$B,'Rate Sheet'!A35,'DF Calculation'!$C:$C,'Rate Sheet'!B35)</f>
        <v>14.07</v>
      </c>
      <c r="K35" s="471" t="str">
        <f>IF(VLOOKUP($C35,'DF Calculation'!$D$8:$N$103,11,FALSE)-I35,"OK",VLOOKUP($C35,'DF Calculation'!$D$8:$N$103,11,FALSE)-I35)</f>
        <v>OK</v>
      </c>
      <c r="L35" s="115">
        <f t="shared" si="5"/>
        <v>0</v>
      </c>
      <c r="M35" s="115"/>
      <c r="O35" s="115"/>
    </row>
    <row r="36" spans="1:19">
      <c r="A36" s="154">
        <v>31</v>
      </c>
      <c r="B36" s="153" t="s">
        <v>775</v>
      </c>
      <c r="C36" s="153" t="str">
        <f>VLOOKUP(B36,'DF Calculation'!$C$9:$D$102,2,FALSE)</f>
        <v>Minimum Charge Bulky</v>
      </c>
      <c r="D36" s="535">
        <f>SUMIFS('DF Calculation'!L:L,'DF Calculation'!B:B,'Rate Sheet'!A36,'DF Calculation'!C:C,'Rate Sheet'!B36)</f>
        <v>32.07</v>
      </c>
      <c r="E36" s="535">
        <f t="shared" si="3"/>
        <v>0.56000000000000227</v>
      </c>
      <c r="F36" s="546">
        <f>SUMIFS('DF Calculation'!$O:$O,'DF Calculation'!$B:$B,'Rate Sheet'!A36,'DF Calculation'!$C:$C,'Rate Sheet'!B36)</f>
        <v>32.630000000000003</v>
      </c>
      <c r="G36" s="536" t="str">
        <f>IF(VLOOKUP($C36,'DF Calculation'!$D$8:$N$103,11,FALSE)-E36,"OK",VLOOKUP($C36,'DF Calculation'!$D$8:$N$103,11,FALSE)-E36)</f>
        <v>OK</v>
      </c>
      <c r="H36" s="535">
        <f>SUMIFS('DF Calculation'!M:M,'DF Calculation'!B:B,'Rate Sheet'!A36,'DF Calculation'!C:C,'Rate Sheet'!B36)</f>
        <v>31.93</v>
      </c>
      <c r="I36" s="470">
        <f t="shared" si="4"/>
        <v>0.56000000000000227</v>
      </c>
      <c r="J36" s="547">
        <f>SUMIFS('DF Calculation'!$P:$P,'DF Calculation'!$B:$B,'Rate Sheet'!A36,'DF Calculation'!$C:$C,'Rate Sheet'!B36)</f>
        <v>32.49</v>
      </c>
      <c r="K36" s="471" t="str">
        <f>IF(VLOOKUP($C36,'DF Calculation'!$D$8:$N$103,11,FALSE)-I36,"OK",VLOOKUP($C36,'DF Calculation'!$D$8:$N$103,11,FALSE)-I36)</f>
        <v>OK</v>
      </c>
      <c r="L36" s="115">
        <f t="shared" si="5"/>
        <v>0</v>
      </c>
      <c r="O36" s="115"/>
    </row>
    <row r="37" spans="1:19">
      <c r="A37" s="154">
        <v>31</v>
      </c>
      <c r="B37" s="153" t="s">
        <v>771</v>
      </c>
      <c r="C37" s="153" t="str">
        <f>VLOOKUP(B37,'DF Calculation'!$C$9:$D$102,2,FALSE)</f>
        <v>1 - 4 yards Loose Material</v>
      </c>
      <c r="D37" s="535">
        <f>SUMIFS('DF Calculation'!L:L,'DF Calculation'!B:B,'Rate Sheet'!$A37,'DF Calculation'!C:C,'Rate Sheet'!$B37)</f>
        <v>32.07</v>
      </c>
      <c r="E37" s="535">
        <f t="shared" ref="E37:E62" si="9">F37-D37</f>
        <v>0.56000000000000227</v>
      </c>
      <c r="F37" s="546">
        <f>SUMIFS('DF Calculation'!$O:$O,'DF Calculation'!$B:$B,'Rate Sheet'!$A37,'DF Calculation'!$C:$C,'Rate Sheet'!$B37)</f>
        <v>32.630000000000003</v>
      </c>
      <c r="G37" s="536" t="str">
        <f>IF(VLOOKUP($C37,'DF Calculation'!$D$8:$N$103,11,FALSE)-E37,"OK",VLOOKUP($C37,'DF Calculation'!$D$8:$N$103,11,FALSE)-E37)</f>
        <v>OK</v>
      </c>
      <c r="H37" s="535">
        <f>SUMIFS('DF Calculation'!M:M,'DF Calculation'!B:B,'Rate Sheet'!A37,'DF Calculation'!C:C,'Rate Sheet'!B37)</f>
        <v>31.93</v>
      </c>
      <c r="I37" s="470">
        <f t="shared" ref="I37:I62" si="10">J37-H37</f>
        <v>0.56000000000000227</v>
      </c>
      <c r="J37" s="547">
        <f>SUMIFS('DF Calculation'!$P:$P,'DF Calculation'!$B:$B,'Rate Sheet'!A37,'DF Calculation'!$C:$C,'Rate Sheet'!B37)</f>
        <v>32.49</v>
      </c>
      <c r="K37" s="471" t="str">
        <f>IF(VLOOKUP($C37,'DF Calculation'!$D$8:$N$103,11,FALSE)-I37,"OK",VLOOKUP($C37,'DF Calculation'!$D$8:$N$103,11,FALSE)-I37)</f>
        <v>OK</v>
      </c>
      <c r="L37" s="115">
        <f t="shared" si="5"/>
        <v>0</v>
      </c>
      <c r="M37" s="55"/>
      <c r="O37" s="115"/>
      <c r="P37" s="33"/>
      <c r="Q37" s="55"/>
      <c r="R37" s="33"/>
      <c r="S37" s="55"/>
    </row>
    <row r="38" spans="1:19">
      <c r="A38" s="472">
        <v>31</v>
      </c>
      <c r="B38" s="473" t="s">
        <v>773</v>
      </c>
      <c r="C38" s="153" t="str">
        <f>VLOOKUP(B38,'DF Calculation'!$C$9:$D$102,2,FALSE)</f>
        <v>Additional yard Loose Material</v>
      </c>
      <c r="D38" s="535">
        <f>SUMIFS('DF Calculation'!L:L,'DF Calculation'!B:B,'Rate Sheet'!$A38,'DF Calculation'!C:C,'Rate Sheet'!$B38)</f>
        <v>13.57</v>
      </c>
      <c r="E38" s="535">
        <f t="shared" si="9"/>
        <v>0.5600000000000005</v>
      </c>
      <c r="F38" s="546">
        <f>SUMIFS('DF Calculation'!$O:$O,'DF Calculation'!$B:$B,'Rate Sheet'!$A38,'DF Calculation'!$C:$C,'Rate Sheet'!$B38)</f>
        <v>14.13</v>
      </c>
      <c r="G38" s="536" t="str">
        <f>IF(VLOOKUP($C38,'DF Calculation'!$D$8:$N$103,11,FALSE)-E38,"OK",VLOOKUP($C38,'DF Calculation'!$D$8:$N$103,11,FALSE)-E38)</f>
        <v>OK</v>
      </c>
      <c r="H38" s="535">
        <f>SUMIFS('DF Calculation'!M:M,'DF Calculation'!B:B,'Rate Sheet'!A38,'DF Calculation'!C:C,'Rate Sheet'!B38)</f>
        <v>13.51</v>
      </c>
      <c r="I38" s="470">
        <f t="shared" si="10"/>
        <v>0.5600000000000005</v>
      </c>
      <c r="J38" s="547">
        <f>SUMIFS('DF Calculation'!$P:$P,'DF Calculation'!$B:$B,'Rate Sheet'!A38,'DF Calculation'!$C:$C,'Rate Sheet'!B38)</f>
        <v>14.07</v>
      </c>
      <c r="K38" s="471" t="str">
        <f>IF(VLOOKUP($C38,'DF Calculation'!$D$8:$N$103,11,FALSE)-I38,"OK",VLOOKUP($C38,'DF Calculation'!$D$8:$N$103,11,FALSE)-I38)</f>
        <v>OK</v>
      </c>
      <c r="L38" s="115">
        <f t="shared" si="5"/>
        <v>0</v>
      </c>
      <c r="M38" s="55"/>
      <c r="O38" s="115"/>
      <c r="P38" s="33"/>
      <c r="Q38" s="55"/>
      <c r="R38" s="33"/>
      <c r="S38" s="55"/>
    </row>
    <row r="39" spans="1:19">
      <c r="A39" s="154">
        <v>31</v>
      </c>
      <c r="B39" s="153" t="s">
        <v>774</v>
      </c>
      <c r="C39" s="153" t="str">
        <f>VLOOKUP(B39,'DF Calculation'!$C$9:$D$102,2,FALSE)</f>
        <v>Minimum Charge Loose</v>
      </c>
      <c r="D39" s="535">
        <f>SUMIFS('DF Calculation'!L:L,'DF Calculation'!B:B,'Rate Sheet'!$A39,'DF Calculation'!C:C,'Rate Sheet'!$B39)</f>
        <v>32.07</v>
      </c>
      <c r="E39" s="535">
        <f t="shared" si="9"/>
        <v>0.56000000000000227</v>
      </c>
      <c r="F39" s="546">
        <f>SUMIFS('DF Calculation'!$O:$O,'DF Calculation'!$B:$B,'Rate Sheet'!$A39,'DF Calculation'!$C:$C,'Rate Sheet'!$B39)</f>
        <v>32.630000000000003</v>
      </c>
      <c r="G39" s="536" t="str">
        <f>IF(VLOOKUP($C39,'DF Calculation'!$D$8:$N$103,11,FALSE)-E39,"OK",VLOOKUP($C39,'DF Calculation'!$D$8:$N$103,11,FALSE)-E39)</f>
        <v>OK</v>
      </c>
      <c r="H39" s="535">
        <f>SUMIFS('DF Calculation'!M:M,'DF Calculation'!B:B,'Rate Sheet'!A39,'DF Calculation'!C:C,'Rate Sheet'!B39)</f>
        <v>31.93</v>
      </c>
      <c r="I39" s="470">
        <f t="shared" si="10"/>
        <v>0.56000000000000227</v>
      </c>
      <c r="J39" s="547">
        <f>SUMIFS('DF Calculation'!$P:$P,'DF Calculation'!$B:$B,'Rate Sheet'!A39,'DF Calculation'!$C:$C,'Rate Sheet'!B39)</f>
        <v>32.49</v>
      </c>
      <c r="K39" s="471" t="str">
        <f>IF(VLOOKUP($C39,'DF Calculation'!$D$8:$N$103,11,FALSE)-I39,"OK",VLOOKUP($C39,'DF Calculation'!$D$8:$N$103,11,FALSE)-I39)</f>
        <v>OK</v>
      </c>
      <c r="L39" s="115">
        <f t="shared" si="5"/>
        <v>0</v>
      </c>
      <c r="M39" s="55"/>
      <c r="O39" s="115"/>
      <c r="P39" s="33"/>
      <c r="Q39" s="55"/>
      <c r="R39" s="33"/>
      <c r="S39" s="55"/>
    </row>
    <row r="40" spans="1:19">
      <c r="A40" s="154">
        <v>38</v>
      </c>
      <c r="B40" s="153" t="s">
        <v>287</v>
      </c>
      <c r="C40" s="132" t="str">
        <f>VLOOKUP(B40,'DF Calculation'!$C$9:$D$103,2,FALSE)</f>
        <v>1 yard Permanent - First Pickup</v>
      </c>
      <c r="D40" s="537">
        <f>'DF Calculation'!L21</f>
        <v>25.18</v>
      </c>
      <c r="E40" s="537">
        <f t="shared" ref="E40:E42" si="11">F40-D40</f>
        <v>0.78000000000000114</v>
      </c>
      <c r="F40" s="541">
        <f>'DF Calculation'!O21</f>
        <v>25.96</v>
      </c>
      <c r="G40" s="536" t="str">
        <f>IF(VLOOKUP($C40,'DF Calculation'!$D$8:$N$103,11,FALSE)-E40,"OK",VLOOKUP($C40,'DF Calculation'!$D$8:$N$103,11,FALSE)-E40)</f>
        <v>OK</v>
      </c>
      <c r="H40" s="537">
        <f>'DF Calculation'!M21</f>
        <v>25.07</v>
      </c>
      <c r="I40" s="470">
        <f t="shared" ref="I40:I42" si="12">J40-H40</f>
        <v>0.78000000000000114</v>
      </c>
      <c r="J40" s="545">
        <f>'DF Calculation'!P21</f>
        <v>25.85</v>
      </c>
      <c r="K40" s="471" t="str">
        <f>IF(VLOOKUP($C40,'DF Calculation'!$D$8:$N$103,11,FALSE)-I40,"OK",VLOOKUP($C40,'DF Calculation'!$D$8:$N$103,11,FALSE)-I40)</f>
        <v>OK</v>
      </c>
      <c r="L40" s="115">
        <f t="shared" si="5"/>
        <v>0</v>
      </c>
      <c r="M40" s="55"/>
      <c r="O40" s="115"/>
      <c r="P40" s="33"/>
      <c r="Q40" s="55"/>
      <c r="R40" s="33"/>
      <c r="S40" s="55"/>
    </row>
    <row r="41" spans="1:19">
      <c r="A41" s="154">
        <v>38</v>
      </c>
      <c r="B41" s="153" t="s">
        <v>287</v>
      </c>
      <c r="C41" s="132" t="str">
        <f>'DF Calculation'!D22</f>
        <v>1 yard Permanent - Additional Pickup</v>
      </c>
      <c r="D41" s="537">
        <f>'DF Calculation'!L22</f>
        <v>17.940000000000001</v>
      </c>
      <c r="E41" s="537">
        <f t="shared" si="11"/>
        <v>0.77999999999999758</v>
      </c>
      <c r="F41" s="541">
        <f>'DF Calculation'!O22</f>
        <v>18.72</v>
      </c>
      <c r="G41" s="536" t="str">
        <f>IF(VLOOKUP($C41,'DF Calculation'!$D$8:$N$103,11,FALSE)-E41,"OK",VLOOKUP($C41,'DF Calculation'!$D$8:$N$103,11,FALSE)-E41)</f>
        <v>OK</v>
      </c>
      <c r="H41" s="537">
        <f>'DF Calculation'!M22</f>
        <v>17.86</v>
      </c>
      <c r="I41" s="470">
        <f t="shared" si="12"/>
        <v>0.78000000000000114</v>
      </c>
      <c r="J41" s="545">
        <f>'DF Calculation'!P22</f>
        <v>18.64</v>
      </c>
      <c r="K41" s="471" t="str">
        <f>IF(VLOOKUP($C41,'DF Calculation'!$D$8:$N$103,11,FALSE)-I41,"OK",VLOOKUP($C41,'DF Calculation'!$D$8:$N$103,11,FALSE)-I41)</f>
        <v>OK</v>
      </c>
      <c r="L41" s="115">
        <f t="shared" si="5"/>
        <v>-3.5527136788005009E-15</v>
      </c>
      <c r="M41" s="55"/>
      <c r="O41" s="115"/>
      <c r="P41" s="33"/>
      <c r="Q41" s="55"/>
      <c r="R41" s="33"/>
      <c r="S41" s="55"/>
    </row>
    <row r="42" spans="1:19">
      <c r="A42" s="154">
        <v>38</v>
      </c>
      <c r="B42" s="153" t="s">
        <v>293</v>
      </c>
      <c r="C42" s="132" t="str">
        <f>VLOOKUP(B42,'DF Calculation'!$C$9:$D$103,2,FALSE)</f>
        <v>1.5 yard Permanent - First Pickup</v>
      </c>
      <c r="D42" s="537">
        <f>'DF Calculation'!L23</f>
        <v>35.19</v>
      </c>
      <c r="E42" s="537">
        <f t="shared" si="11"/>
        <v>1.1200000000000045</v>
      </c>
      <c r="F42" s="541">
        <f>'DF Calculation'!O23</f>
        <v>36.31</v>
      </c>
      <c r="G42" s="536" t="str">
        <f>IF(VLOOKUP($C42,'DF Calculation'!$D$8:$N$103,11,FALSE)-E42,"OK",VLOOKUP($C42,'DF Calculation'!$D$8:$N$103,11,FALSE)-E42)</f>
        <v>OK</v>
      </c>
      <c r="H42" s="537">
        <f>'DF Calculation'!M23</f>
        <v>35.04</v>
      </c>
      <c r="I42" s="470">
        <f t="shared" si="12"/>
        <v>1.1199999999999974</v>
      </c>
      <c r="J42" s="545">
        <f>'DF Calculation'!P23</f>
        <v>36.159999999999997</v>
      </c>
      <c r="K42" s="471" t="str">
        <f>IF(VLOOKUP($C42,'DF Calculation'!$D$8:$N$103,11,FALSE)-I42,"OK",VLOOKUP($C42,'DF Calculation'!$D$8:$N$103,11,FALSE)-I42)</f>
        <v>OK</v>
      </c>
      <c r="L42" s="115">
        <f t="shared" si="5"/>
        <v>7.1054273576010019E-15</v>
      </c>
      <c r="M42" s="55"/>
      <c r="O42" s="115"/>
      <c r="P42" s="33"/>
      <c r="Q42" s="55"/>
      <c r="R42" s="33"/>
      <c r="S42" s="55"/>
    </row>
    <row r="43" spans="1:19">
      <c r="A43" s="472">
        <v>38</v>
      </c>
      <c r="B43" s="473" t="s">
        <v>293</v>
      </c>
      <c r="C43" s="132" t="str">
        <f>'DF Calculation'!D24</f>
        <v>1.5 yard Permanent - Additional Pickup</v>
      </c>
      <c r="D43" s="537">
        <f>'DF Calculation'!L24</f>
        <v>24.71</v>
      </c>
      <c r="E43" s="537">
        <f t="shared" si="9"/>
        <v>1.1199999999999974</v>
      </c>
      <c r="F43" s="541">
        <f>'DF Calculation'!O24</f>
        <v>25.83</v>
      </c>
      <c r="G43" s="536" t="str">
        <f>IF(VLOOKUP($C43,'DF Calculation'!$D$8:$N$103,11,FALSE)-E43,"OK",VLOOKUP($C43,'DF Calculation'!$D$8:$N$103,11,FALSE)-E43)</f>
        <v>OK</v>
      </c>
      <c r="H43" s="537">
        <f>'DF Calculation'!M24</f>
        <v>24.6</v>
      </c>
      <c r="I43" s="470">
        <f t="shared" si="10"/>
        <v>1.1199999999999974</v>
      </c>
      <c r="J43" s="545">
        <f>'DF Calculation'!P24</f>
        <v>25.72</v>
      </c>
      <c r="K43" s="471" t="str">
        <f>IF(VLOOKUP($C43,'DF Calculation'!$D$8:$N$103,11,FALSE)-I43,"OK",VLOOKUP($C43,'DF Calculation'!$D$8:$N$103,11,FALSE)-I43)</f>
        <v>OK</v>
      </c>
      <c r="L43" s="115">
        <f t="shared" si="5"/>
        <v>0</v>
      </c>
      <c r="M43" s="55"/>
      <c r="O43" s="115"/>
      <c r="P43" s="33"/>
      <c r="Q43" s="55"/>
      <c r="R43" s="33"/>
      <c r="S43" s="55"/>
    </row>
    <row r="44" spans="1:19">
      <c r="A44" s="154">
        <v>38</v>
      </c>
      <c r="B44" s="153" t="s">
        <v>301</v>
      </c>
      <c r="C44" s="132" t="str">
        <f>VLOOKUP(B44,'DF Calculation'!$C$9:$D$102,2,FALSE)</f>
        <v>2 yard Permanent - First Pickup</v>
      </c>
      <c r="D44" s="537">
        <f>'DF Calculation'!L25</f>
        <v>44.42</v>
      </c>
      <c r="E44" s="537">
        <f t="shared" si="9"/>
        <v>1.4499999999999957</v>
      </c>
      <c r="F44" s="541">
        <f>'DF Calculation'!O25</f>
        <v>45.87</v>
      </c>
      <c r="G44" s="536" t="str">
        <f>IF(VLOOKUP($C44,'DF Calculation'!$D$8:$N$103,11,FALSE)-E44,"OK",VLOOKUP($C44,'DF Calculation'!$D$8:$N$103,11,FALSE)-E44)</f>
        <v>OK</v>
      </c>
      <c r="H44" s="537">
        <f>'DF Calculation'!M25</f>
        <v>44.23</v>
      </c>
      <c r="I44" s="470">
        <f t="shared" si="10"/>
        <v>1.4500000000000028</v>
      </c>
      <c r="J44" s="545">
        <f>'DF Calculation'!P25</f>
        <v>45.68</v>
      </c>
      <c r="K44" s="471" t="str">
        <f>IF(VLOOKUP($C44,'DF Calculation'!$D$8:$N$103,11,FALSE)-I44,"OK",VLOOKUP($C44,'DF Calculation'!$D$8:$N$103,11,FALSE)-I44)</f>
        <v>OK</v>
      </c>
      <c r="L44" s="115">
        <f t="shared" si="5"/>
        <v>-7.1054273576010019E-15</v>
      </c>
      <c r="M44" s="55"/>
      <c r="O44" s="115"/>
      <c r="P44" s="33"/>
      <c r="Q44" s="55"/>
      <c r="R44" s="33"/>
      <c r="S44" s="55"/>
    </row>
    <row r="45" spans="1:19">
      <c r="A45" s="472">
        <v>38</v>
      </c>
      <c r="B45" s="473" t="s">
        <v>301</v>
      </c>
      <c r="C45" s="132" t="str">
        <f>'DF Calculation'!D26</f>
        <v>2 yard Permanent - Additional Pickup</v>
      </c>
      <c r="D45" s="537">
        <f>'DF Calculation'!L26</f>
        <v>30.81</v>
      </c>
      <c r="E45" s="537">
        <f t="shared" si="9"/>
        <v>1.4499999999999993</v>
      </c>
      <c r="F45" s="541">
        <f>'DF Calculation'!O26</f>
        <v>32.26</v>
      </c>
      <c r="G45" s="536" t="str">
        <f>IF(VLOOKUP($C45,'DF Calculation'!$D$8:$N$103,11,FALSE)-E45,"OK",VLOOKUP($C45,'DF Calculation'!$D$8:$N$103,11,FALSE)-E45)</f>
        <v>OK</v>
      </c>
      <c r="H45" s="537">
        <f>'DF Calculation'!M26</f>
        <v>30.68</v>
      </c>
      <c r="I45" s="470">
        <f t="shared" si="10"/>
        <v>1.4500000000000028</v>
      </c>
      <c r="J45" s="545">
        <f>'DF Calculation'!P26</f>
        <v>32.130000000000003</v>
      </c>
      <c r="K45" s="471" t="str">
        <f>IF(VLOOKUP($C45,'DF Calculation'!$D$8:$N$103,11,FALSE)-I45,"OK",VLOOKUP($C45,'DF Calculation'!$D$8:$N$103,11,FALSE)-I45)</f>
        <v>OK</v>
      </c>
      <c r="L45" s="115">
        <f t="shared" si="5"/>
        <v>-3.5527136788005009E-15</v>
      </c>
      <c r="M45" s="55"/>
      <c r="O45" s="115"/>
      <c r="P45" s="55"/>
      <c r="Q45" s="55"/>
      <c r="R45" s="55"/>
      <c r="S45" s="55"/>
    </row>
    <row r="46" spans="1:19">
      <c r="A46" s="154">
        <v>38</v>
      </c>
      <c r="B46" s="153" t="s">
        <v>313</v>
      </c>
      <c r="C46" s="132" t="str">
        <f>VLOOKUP(B46,'DF Calculation'!$C$9:$D$102,2,FALSE)</f>
        <v>3 yard Permanent - First Pickup</v>
      </c>
      <c r="D46" s="537">
        <f>'DF Calculation'!L27</f>
        <v>61.2</v>
      </c>
      <c r="E46" s="537">
        <f t="shared" si="9"/>
        <v>2.1199999999999974</v>
      </c>
      <c r="F46" s="541">
        <f>'DF Calculation'!O27</f>
        <v>63.32</v>
      </c>
      <c r="G46" s="536" t="str">
        <f>IF(VLOOKUP($C46,'DF Calculation'!$D$8:$N$103,11,FALSE)-E46,"OK",VLOOKUP($C46,'DF Calculation'!$D$8:$N$103,11,FALSE)-E46)</f>
        <v>OK</v>
      </c>
      <c r="H46" s="537">
        <f>'DF Calculation'!M27</f>
        <v>60.93</v>
      </c>
      <c r="I46" s="470">
        <f t="shared" si="10"/>
        <v>2.1199999999999974</v>
      </c>
      <c r="J46" s="545">
        <f>'DF Calculation'!P27</f>
        <v>63.05</v>
      </c>
      <c r="K46" s="471" t="str">
        <f>IF(VLOOKUP($C46,'DF Calculation'!$D$8:$N$103,11,FALSE)-I46,"OK",VLOOKUP($C46,'DF Calculation'!$D$8:$N$103,11,FALSE)-I46)</f>
        <v>OK</v>
      </c>
      <c r="L46" s="115">
        <f t="shared" si="5"/>
        <v>0</v>
      </c>
      <c r="M46" s="55"/>
      <c r="O46" s="115"/>
    </row>
    <row r="47" spans="1:19">
      <c r="A47" s="154">
        <v>38</v>
      </c>
      <c r="B47" s="153" t="s">
        <v>313</v>
      </c>
      <c r="C47" s="132" t="str">
        <f>'DF Calculation'!D28</f>
        <v>3 yard Permanent - Additional Pickup</v>
      </c>
      <c r="D47" s="537">
        <f>'DF Calculation'!L28</f>
        <v>45</v>
      </c>
      <c r="E47" s="537">
        <f t="shared" si="9"/>
        <v>2.1199999999999974</v>
      </c>
      <c r="F47" s="541">
        <f>'DF Calculation'!O28</f>
        <v>47.12</v>
      </c>
      <c r="G47" s="536" t="str">
        <f>IF(VLOOKUP($C47,'DF Calculation'!$D$8:$N$103,11,FALSE)-E47,"OK",VLOOKUP($C47,'DF Calculation'!$D$8:$N$103,11,FALSE)-E47)</f>
        <v>OK</v>
      </c>
      <c r="H47" s="537">
        <f>'DF Calculation'!M28</f>
        <v>44.8</v>
      </c>
      <c r="I47" s="470">
        <f t="shared" si="10"/>
        <v>2.1200000000000045</v>
      </c>
      <c r="J47" s="545">
        <f>'DF Calculation'!P28</f>
        <v>46.92</v>
      </c>
      <c r="K47" s="471" t="str">
        <f>IF(VLOOKUP($C47,'DF Calculation'!$D$8:$N$103,11,FALSE)-I47,"OK",VLOOKUP($C47,'DF Calculation'!$D$8:$N$103,11,FALSE)-I47)</f>
        <v>OK</v>
      </c>
      <c r="L47" s="115">
        <f t="shared" si="5"/>
        <v>-7.1054273576010019E-15</v>
      </c>
      <c r="M47" s="55"/>
      <c r="O47" s="115"/>
    </row>
    <row r="48" spans="1:19">
      <c r="A48" s="154">
        <v>38</v>
      </c>
      <c r="B48" s="153" t="s">
        <v>321</v>
      </c>
      <c r="C48" s="132" t="str">
        <f>VLOOKUP(B48,'DF Calculation'!$C$9:$D$102,2,FALSE)</f>
        <v>4 yard Permanent - First Pickup</v>
      </c>
      <c r="D48" s="537">
        <f>'DF Calculation'!L29</f>
        <v>71.55</v>
      </c>
      <c r="E48" s="537">
        <f t="shared" si="9"/>
        <v>2.7400000000000091</v>
      </c>
      <c r="F48" s="541">
        <f>'DF Calculation'!O29</f>
        <v>74.290000000000006</v>
      </c>
      <c r="G48" s="536" t="str">
        <f>IF(VLOOKUP($C48,'DF Calculation'!$D$8:$N$103,11,FALSE)-E48,"OK",VLOOKUP($C48,'DF Calculation'!$D$8:$N$103,11,FALSE)-E48)</f>
        <v>OK</v>
      </c>
      <c r="H48" s="537">
        <f>'DF Calculation'!M29</f>
        <v>71.239999999999995</v>
      </c>
      <c r="I48" s="470">
        <f t="shared" si="10"/>
        <v>2.7400000000000091</v>
      </c>
      <c r="J48" s="545">
        <f>'DF Calculation'!P29</f>
        <v>73.98</v>
      </c>
      <c r="K48" s="471" t="str">
        <f>IF(VLOOKUP($C48,'DF Calculation'!$D$8:$N$103,11,FALSE)-I48,"OK",VLOOKUP($C48,'DF Calculation'!$D$8:$N$103,11,FALSE)-I48)</f>
        <v>OK</v>
      </c>
      <c r="L48" s="115">
        <f t="shared" si="5"/>
        <v>0</v>
      </c>
      <c r="M48" s="55"/>
      <c r="O48" s="115"/>
    </row>
    <row r="49" spans="1:15">
      <c r="A49" s="472">
        <v>38</v>
      </c>
      <c r="B49" s="473" t="s">
        <v>321</v>
      </c>
      <c r="C49" s="132" t="str">
        <f>'DF Calculation'!D30</f>
        <v>4 yard Permanent - Additional Pickup</v>
      </c>
      <c r="D49" s="537">
        <f>'DF Calculation'!L30</f>
        <v>54.07</v>
      </c>
      <c r="E49" s="537">
        <f t="shared" si="9"/>
        <v>2.740000000000002</v>
      </c>
      <c r="F49" s="541">
        <f>'DF Calculation'!O30</f>
        <v>56.81</v>
      </c>
      <c r="G49" s="536" t="str">
        <f>IF(VLOOKUP($C49,'DF Calculation'!$D$8:$N$103,11,FALSE)-E49,"OK",VLOOKUP($C49,'DF Calculation'!$D$8:$N$103,11,FALSE)-E49)</f>
        <v>OK</v>
      </c>
      <c r="H49" s="537">
        <f>'DF Calculation'!M30</f>
        <v>53.83</v>
      </c>
      <c r="I49" s="470">
        <f t="shared" si="10"/>
        <v>2.740000000000002</v>
      </c>
      <c r="J49" s="545">
        <f>'DF Calculation'!P30</f>
        <v>56.57</v>
      </c>
      <c r="K49" s="471" t="str">
        <f>IF(VLOOKUP($C49,'DF Calculation'!$D$8:$N$103,11,FALSE)-I49,"OK",VLOOKUP($C49,'DF Calculation'!$D$8:$N$103,11,FALSE)-I49)</f>
        <v>OK</v>
      </c>
      <c r="L49" s="115">
        <f t="shared" si="5"/>
        <v>0</v>
      </c>
      <c r="M49" s="55"/>
      <c r="O49" s="115"/>
    </row>
    <row r="50" spans="1:15">
      <c r="A50" s="154">
        <v>38</v>
      </c>
      <c r="B50" s="153" t="s">
        <v>329</v>
      </c>
      <c r="C50" s="132" t="str">
        <f>VLOOKUP(B50,'DF Calculation'!$C$9:$D$102,2,FALSE)</f>
        <v>5 yard Permanent - First Pickup</v>
      </c>
      <c r="D50" s="537">
        <f>'DF Calculation'!L31</f>
        <v>84.05</v>
      </c>
      <c r="E50" s="537">
        <f t="shared" si="9"/>
        <v>3.25</v>
      </c>
      <c r="F50" s="541">
        <f>'DF Calculation'!O31</f>
        <v>87.3</v>
      </c>
      <c r="G50" s="536" t="str">
        <f>IF(VLOOKUP($C50,'DF Calculation'!$D$8:$N$103,11,FALSE)-E50,"OK",VLOOKUP($C50,'DF Calculation'!$D$8:$N$103,11,FALSE)-E50)</f>
        <v>OK</v>
      </c>
      <c r="H50" s="537">
        <f>'DF Calculation'!M31</f>
        <v>83.68</v>
      </c>
      <c r="I50" s="470">
        <f t="shared" si="10"/>
        <v>3.25</v>
      </c>
      <c r="J50" s="545">
        <f>'DF Calculation'!P31</f>
        <v>86.93</v>
      </c>
      <c r="K50" s="471" t="str">
        <f>IF(VLOOKUP($C50,'DF Calculation'!$D$8:$N$103,11,FALSE)-I50,"OK",VLOOKUP($C50,'DF Calculation'!$D$8:$N$103,11,FALSE)-I50)</f>
        <v>OK</v>
      </c>
      <c r="L50" s="115">
        <f t="shared" si="5"/>
        <v>0</v>
      </c>
      <c r="M50" s="55"/>
      <c r="O50" s="115"/>
    </row>
    <row r="51" spans="1:15">
      <c r="A51" s="154">
        <v>38</v>
      </c>
      <c r="B51" s="153" t="s">
        <v>329</v>
      </c>
      <c r="C51" s="132" t="str">
        <f>'DF Calculation'!D32</f>
        <v>5 yard Permanent - Additional Pickup</v>
      </c>
      <c r="D51" s="537">
        <f>'DF Calculation'!L32</f>
        <v>63.85</v>
      </c>
      <c r="E51" s="537">
        <f t="shared" si="9"/>
        <v>3.2499999999999929</v>
      </c>
      <c r="F51" s="541">
        <f>'DF Calculation'!O32</f>
        <v>67.099999999999994</v>
      </c>
      <c r="G51" s="536" t="str">
        <f>IF(VLOOKUP($C51,'DF Calculation'!$D$8:$N$103,11,FALSE)-E51,"OK",VLOOKUP($C51,'DF Calculation'!$D$8:$N$103,11,FALSE)-E51)</f>
        <v>OK</v>
      </c>
      <c r="H51" s="537">
        <f>'DF Calculation'!M32</f>
        <v>63.57</v>
      </c>
      <c r="I51" s="470">
        <f t="shared" si="10"/>
        <v>3.2499999999999929</v>
      </c>
      <c r="J51" s="545">
        <f>'DF Calculation'!P32</f>
        <v>66.819999999999993</v>
      </c>
      <c r="K51" s="471" t="str">
        <f>IF(VLOOKUP($C51,'DF Calculation'!$D$8:$N$103,11,FALSE)-I51,"OK",VLOOKUP($C51,'DF Calculation'!$D$8:$N$103,11,FALSE)-I51)</f>
        <v>OK</v>
      </c>
      <c r="L51" s="115">
        <f t="shared" si="5"/>
        <v>0</v>
      </c>
      <c r="M51" s="55"/>
      <c r="O51" s="115"/>
    </row>
    <row r="52" spans="1:15">
      <c r="A52" s="472">
        <v>38</v>
      </c>
      <c r="B52" s="473" t="s">
        <v>331</v>
      </c>
      <c r="C52" s="132" t="str">
        <f>VLOOKUP(B52,'DF Calculation'!$C$9:$D$102,2,FALSE)</f>
        <v>6 yard Permanent - First Pickup</v>
      </c>
      <c r="D52" s="537">
        <f>'DF Calculation'!L33</f>
        <v>100.18</v>
      </c>
      <c r="E52" s="537">
        <f t="shared" si="9"/>
        <v>3.7599999999999909</v>
      </c>
      <c r="F52" s="541">
        <f>'DF Calculation'!O33</f>
        <v>103.94</v>
      </c>
      <c r="G52" s="536" t="str">
        <f>IF(VLOOKUP($C52,'DF Calculation'!$D$8:$N$103,11,FALSE)-E52,"OK",VLOOKUP($C52,'DF Calculation'!$D$8:$N$103,11,FALSE)-E52)</f>
        <v>OK</v>
      </c>
      <c r="H52" s="537">
        <f>'DF Calculation'!M33</f>
        <v>99.74</v>
      </c>
      <c r="I52" s="470">
        <f t="shared" si="10"/>
        <v>3.7600000000000051</v>
      </c>
      <c r="J52" s="545">
        <f>'DF Calculation'!P33</f>
        <v>103.5</v>
      </c>
      <c r="K52" s="471" t="str">
        <f>IF(VLOOKUP($C52,'DF Calculation'!$D$8:$N$103,11,FALSE)-I52,"OK",VLOOKUP($C52,'DF Calculation'!$D$8:$N$103,11,FALSE)-I52)</f>
        <v>OK</v>
      </c>
      <c r="L52" s="115">
        <f t="shared" si="5"/>
        <v>-1.4210854715202004E-14</v>
      </c>
      <c r="M52" s="55"/>
      <c r="O52" s="115"/>
    </row>
    <row r="53" spans="1:15">
      <c r="A53" s="472">
        <v>38</v>
      </c>
      <c r="B53" s="473" t="s">
        <v>331</v>
      </c>
      <c r="C53" s="132" t="str">
        <f>'DF Calculation'!D34</f>
        <v>6 yard Permanent - Additional Pickup</v>
      </c>
      <c r="D53" s="537">
        <f>'DF Calculation'!L34</f>
        <v>77.39</v>
      </c>
      <c r="E53" s="537">
        <f t="shared" si="9"/>
        <v>3.7600000000000051</v>
      </c>
      <c r="F53" s="541">
        <f>'DF Calculation'!O34</f>
        <v>81.150000000000006</v>
      </c>
      <c r="G53" s="536" t="str">
        <f>IF(VLOOKUP($C53,'DF Calculation'!$D$8:$N$103,11,FALSE)-E53,"OK",VLOOKUP($C53,'DF Calculation'!$D$8:$N$103,11,FALSE)-E53)</f>
        <v>OK</v>
      </c>
      <c r="H53" s="537">
        <f>'DF Calculation'!M34</f>
        <v>77.05</v>
      </c>
      <c r="I53" s="470">
        <f t="shared" si="10"/>
        <v>3.7600000000000051</v>
      </c>
      <c r="J53" s="545">
        <f>'DF Calculation'!P34</f>
        <v>80.81</v>
      </c>
      <c r="K53" s="471" t="str">
        <f>IF(VLOOKUP($C53,'DF Calculation'!$D$8:$N$103,11,FALSE)-I53,"OK",VLOOKUP($C53,'DF Calculation'!$D$8:$N$103,11,FALSE)-I53)</f>
        <v>OK</v>
      </c>
      <c r="L53" s="115">
        <f t="shared" si="5"/>
        <v>0</v>
      </c>
      <c r="M53" s="55"/>
      <c r="O53" s="115"/>
    </row>
    <row r="54" spans="1:15">
      <c r="A54" s="154">
        <v>38</v>
      </c>
      <c r="B54" s="153" t="s">
        <v>364</v>
      </c>
      <c r="C54" s="153" t="str">
        <f>VLOOKUP(B54,'DF Calculation'!$C$9:$D$102,2,FALSE)</f>
        <v>1 yard Temporary Pickup</v>
      </c>
      <c r="D54" s="535">
        <f>SUMIFS('DF Calculation'!L:L,'DF Calculation'!B:B,'Rate Sheet'!$A54,'DF Calculation'!C:C,'Rate Sheet'!$B54)</f>
        <v>25.5</v>
      </c>
      <c r="E54" s="535">
        <f t="shared" si="9"/>
        <v>0.78000000000000114</v>
      </c>
      <c r="F54" s="540">
        <f>SUMIFS('DF Calculation'!$O:$O,'DF Calculation'!$B:$B,'Rate Sheet'!$A54,'DF Calculation'!$C:$C,'Rate Sheet'!$B54)</f>
        <v>26.28</v>
      </c>
      <c r="G54" s="536" t="str">
        <f>IF(VLOOKUP($C54,'DF Calculation'!$D$8:$N$103,11,FALSE)-E54,"OK",VLOOKUP($C54,'DF Calculation'!$D$8:$N$103,11,FALSE)-E54)</f>
        <v>OK</v>
      </c>
      <c r="H54" s="535">
        <f>SUMIFS('DF Calculation'!M:M,'DF Calculation'!B:B,'Rate Sheet'!A54,'DF Calculation'!C:C,'Rate Sheet'!B54)</f>
        <v>25.39</v>
      </c>
      <c r="I54" s="470">
        <f t="shared" si="10"/>
        <v>0.78000000000000114</v>
      </c>
      <c r="J54" s="544">
        <f>SUMIFS('DF Calculation'!$P:$P,'DF Calculation'!$B:$B,'Rate Sheet'!A54,'DF Calculation'!$C:$C,'Rate Sheet'!B54)</f>
        <v>26.17</v>
      </c>
      <c r="K54" s="471" t="str">
        <f>IF(VLOOKUP($C54,'DF Calculation'!$D$8:$N$103,11,FALSE)-I54,"OK",VLOOKUP($C54,'DF Calculation'!$D$8:$N$103,11,FALSE)-I54)</f>
        <v>OK</v>
      </c>
      <c r="L54" s="115">
        <f t="shared" si="5"/>
        <v>0</v>
      </c>
      <c r="M54" s="55"/>
      <c r="O54" s="115"/>
    </row>
    <row r="55" spans="1:15">
      <c r="A55" s="154">
        <v>38</v>
      </c>
      <c r="B55" s="153" t="s">
        <v>368</v>
      </c>
      <c r="C55" s="153" t="str">
        <f>VLOOKUP(B55,'DF Calculation'!$C$9:$D$102,2,FALSE)</f>
        <v>1.5 yard Temporary Pickup</v>
      </c>
      <c r="D55" s="535">
        <f>SUMIFS('DF Calculation'!L:L,'DF Calculation'!B:B,'Rate Sheet'!$A55,'DF Calculation'!C:C,'Rate Sheet'!$B55)</f>
        <v>34.14</v>
      </c>
      <c r="E55" s="535">
        <f t="shared" si="9"/>
        <v>1.1199999999999974</v>
      </c>
      <c r="F55" s="540">
        <f>SUMIFS('DF Calculation'!$O:$O,'DF Calculation'!$B:$B,'Rate Sheet'!$A55,'DF Calculation'!$C:$C,'Rate Sheet'!$B55)</f>
        <v>35.26</v>
      </c>
      <c r="G55" s="536" t="str">
        <f>IF(VLOOKUP($C55,'DF Calculation'!$D$8:$N$103,11,FALSE)-E55,"OK",VLOOKUP($C55,'DF Calculation'!$D$8:$N$103,11,FALSE)-E55)</f>
        <v>OK</v>
      </c>
      <c r="H55" s="535">
        <f>SUMIFS('DF Calculation'!M:M,'DF Calculation'!B:B,'Rate Sheet'!A55,'DF Calculation'!C:C,'Rate Sheet'!B55)</f>
        <v>33.99</v>
      </c>
      <c r="I55" s="470">
        <f t="shared" si="10"/>
        <v>1.1199999999999974</v>
      </c>
      <c r="J55" s="544">
        <f>SUMIFS('DF Calculation'!$P:$P,'DF Calculation'!$B:$B,'Rate Sheet'!A55,'DF Calculation'!$C:$C,'Rate Sheet'!B55)</f>
        <v>35.11</v>
      </c>
      <c r="K55" s="471" t="str">
        <f>IF(VLOOKUP($C55,'DF Calculation'!$D$8:$N$103,11,FALSE)-I55,"OK",VLOOKUP($C55,'DF Calculation'!$D$8:$N$103,11,FALSE)-I55)</f>
        <v>OK</v>
      </c>
      <c r="L55" s="115">
        <f t="shared" si="5"/>
        <v>0</v>
      </c>
      <c r="M55" s="55"/>
      <c r="O55" s="115"/>
    </row>
    <row r="56" spans="1:15">
      <c r="A56" s="154">
        <v>38</v>
      </c>
      <c r="B56" s="153" t="s">
        <v>370</v>
      </c>
      <c r="C56" s="153" t="str">
        <f>VLOOKUP(B56,'DF Calculation'!$C$9:$D$102,2,FALSE)</f>
        <v>2 yard Temporary Pickup</v>
      </c>
      <c r="D56" s="535">
        <f>SUMIFS('DF Calculation'!L:L,'DF Calculation'!B:B,'Rate Sheet'!$A56,'DF Calculation'!C:C,'Rate Sheet'!$B56)</f>
        <v>45.47</v>
      </c>
      <c r="E56" s="535">
        <f t="shared" si="9"/>
        <v>1.4500000000000028</v>
      </c>
      <c r="F56" s="540">
        <f>SUMIFS('DF Calculation'!$O:$O,'DF Calculation'!$B:$B,'Rate Sheet'!$A56,'DF Calculation'!$C:$C,'Rate Sheet'!$B56)</f>
        <v>46.92</v>
      </c>
      <c r="G56" s="536" t="str">
        <f>IF(VLOOKUP($C56,'DF Calculation'!$D$8:$N$103,11,FALSE)-E56,"OK",VLOOKUP($C56,'DF Calculation'!$D$8:$N$103,11,FALSE)-E56)</f>
        <v>OK</v>
      </c>
      <c r="H56" s="535">
        <f>SUMIFS('DF Calculation'!M:M,'DF Calculation'!B:B,'Rate Sheet'!A56,'DF Calculation'!C:C,'Rate Sheet'!B56)</f>
        <v>45.27</v>
      </c>
      <c r="I56" s="470">
        <f t="shared" si="10"/>
        <v>1.4499999999999957</v>
      </c>
      <c r="J56" s="544">
        <f>SUMIFS('DF Calculation'!$P:$P,'DF Calculation'!$B:$B,'Rate Sheet'!A56,'DF Calculation'!$C:$C,'Rate Sheet'!B56)</f>
        <v>46.72</v>
      </c>
      <c r="K56" s="471" t="str">
        <f>IF(VLOOKUP($C56,'DF Calculation'!$D$8:$N$103,11,FALSE)-I56,"OK",VLOOKUP($C56,'DF Calculation'!$D$8:$N$103,11,FALSE)-I56)</f>
        <v>OK</v>
      </c>
      <c r="L56" s="115">
        <f t="shared" si="5"/>
        <v>7.1054273576010019E-15</v>
      </c>
      <c r="M56" s="55"/>
      <c r="O56" s="115"/>
    </row>
    <row r="57" spans="1:15">
      <c r="A57" s="154">
        <v>38</v>
      </c>
      <c r="B57" s="153" t="s">
        <v>374</v>
      </c>
      <c r="C57" s="153" t="str">
        <f>VLOOKUP(B57,'DF Calculation'!$C$9:$D$102,2,FALSE)</f>
        <v>3 yard Temporary Pickup</v>
      </c>
      <c r="D57" s="535">
        <f>SUMIFS('DF Calculation'!L:L,'DF Calculation'!B:B,'Rate Sheet'!$A57,'DF Calculation'!C:C,'Rate Sheet'!$B57)</f>
        <v>56.55</v>
      </c>
      <c r="E57" s="535">
        <f t="shared" si="9"/>
        <v>2.1200000000000045</v>
      </c>
      <c r="F57" s="540">
        <f>SUMIFS('DF Calculation'!$O:$O,'DF Calculation'!$B:$B,'Rate Sheet'!$A57,'DF Calculation'!$C:$C,'Rate Sheet'!$B57)</f>
        <v>58.67</v>
      </c>
      <c r="G57" s="536" t="str">
        <f>IF(VLOOKUP($C57,'DF Calculation'!$D$8:$N$103,11,FALSE)-E57,"OK",VLOOKUP($C57,'DF Calculation'!$D$8:$N$103,11,FALSE)-E57)</f>
        <v>OK</v>
      </c>
      <c r="H57" s="535">
        <f>SUMIFS('DF Calculation'!M:M,'DF Calculation'!B:B,'Rate Sheet'!A57,'DF Calculation'!C:C,'Rate Sheet'!B57)</f>
        <v>56.3</v>
      </c>
      <c r="I57" s="470">
        <f t="shared" si="10"/>
        <v>2.1200000000000045</v>
      </c>
      <c r="J57" s="544">
        <f>SUMIFS('DF Calculation'!$P:$P,'DF Calculation'!$B:$B,'Rate Sheet'!A57,'DF Calculation'!$C:$C,'Rate Sheet'!B57)</f>
        <v>58.42</v>
      </c>
      <c r="K57" s="471" t="str">
        <f>IF(VLOOKUP($C57,'DF Calculation'!$D$8:$N$103,11,FALSE)-I57,"OK",VLOOKUP($C57,'DF Calculation'!$D$8:$N$103,11,FALSE)-I57)</f>
        <v>OK</v>
      </c>
      <c r="L57" s="115">
        <f t="shared" si="5"/>
        <v>0</v>
      </c>
      <c r="M57" s="55"/>
      <c r="O57" s="115"/>
    </row>
    <row r="58" spans="1:15">
      <c r="A58" s="154">
        <v>38</v>
      </c>
      <c r="B58" s="153" t="s">
        <v>376</v>
      </c>
      <c r="C58" s="153" t="str">
        <f>VLOOKUP(B58,'DF Calculation'!$C$9:$D$102,2,FALSE)</f>
        <v>4 yard Temporary Pickup</v>
      </c>
      <c r="D58" s="535">
        <f>SUMIFS('DF Calculation'!L:L,'DF Calculation'!B:B,'Rate Sheet'!$A58,'DF Calculation'!C:C,'Rate Sheet'!$B58)</f>
        <v>68.62</v>
      </c>
      <c r="E58" s="535">
        <f t="shared" si="9"/>
        <v>2.7399999999999949</v>
      </c>
      <c r="F58" s="540">
        <f>SUMIFS('DF Calculation'!$O:$O,'DF Calculation'!$B:$B,'Rate Sheet'!$A58,'DF Calculation'!$C:$C,'Rate Sheet'!$B58)</f>
        <v>71.36</v>
      </c>
      <c r="G58" s="536" t="str">
        <f>IF(VLOOKUP($C58,'DF Calculation'!$D$8:$N$103,11,FALSE)-E58,"OK",VLOOKUP($C58,'DF Calculation'!$D$8:$N$103,11,FALSE)-E58)</f>
        <v>OK</v>
      </c>
      <c r="H58" s="535">
        <f>SUMIFS('DF Calculation'!M:M,'DF Calculation'!B:B,'Rate Sheet'!A58,'DF Calculation'!C:C,'Rate Sheet'!B58)</f>
        <v>68.319999999999993</v>
      </c>
      <c r="I58" s="470">
        <f t="shared" si="10"/>
        <v>2.7400000000000091</v>
      </c>
      <c r="J58" s="544">
        <f>SUMIFS('DF Calculation'!$P:$P,'DF Calculation'!$B:$B,'Rate Sheet'!A58,'DF Calculation'!$C:$C,'Rate Sheet'!B58)</f>
        <v>71.06</v>
      </c>
      <c r="K58" s="471" t="str">
        <f>IF(VLOOKUP($C58,'DF Calculation'!$D$8:$N$103,11,FALSE)-I58,"OK",VLOOKUP($C58,'DF Calculation'!$D$8:$N$103,11,FALSE)-I58)</f>
        <v>OK</v>
      </c>
      <c r="L58" s="115">
        <f t="shared" si="5"/>
        <v>-1.4210854715202004E-14</v>
      </c>
      <c r="O58" s="115"/>
    </row>
    <row r="59" spans="1:15">
      <c r="A59" s="154">
        <v>38</v>
      </c>
      <c r="B59" s="153" t="s">
        <v>378</v>
      </c>
      <c r="C59" s="153" t="str">
        <f>VLOOKUP(B59,'DF Calculation'!$C$9:$D$102,2,FALSE)</f>
        <v>6 yard Temporary Pickup</v>
      </c>
      <c r="D59" s="535">
        <f>SUMIFS('DF Calculation'!L:L,'DF Calculation'!B:B,'Rate Sheet'!$A59,'DF Calculation'!C:C,'Rate Sheet'!$B59)</f>
        <v>92.78</v>
      </c>
      <c r="E59" s="535">
        <f t="shared" si="9"/>
        <v>3.7600000000000051</v>
      </c>
      <c r="F59" s="540">
        <f>SUMIFS('DF Calculation'!$O:$O,'DF Calculation'!$B:$B,'Rate Sheet'!$A59,'DF Calculation'!$C:$C,'Rate Sheet'!$B59)</f>
        <v>96.54</v>
      </c>
      <c r="G59" s="536" t="str">
        <f>IF(VLOOKUP($C59,'DF Calculation'!$D$8:$N$103,11,FALSE)-E59,"OK",VLOOKUP($C59,'DF Calculation'!$D$8:$N$103,11,FALSE)-E59)</f>
        <v>OK</v>
      </c>
      <c r="H59" s="535">
        <f>SUMIFS('DF Calculation'!M:M,'DF Calculation'!B:B,'Rate Sheet'!A59,'DF Calculation'!C:C,'Rate Sheet'!B59)</f>
        <v>92.38</v>
      </c>
      <c r="I59" s="470">
        <f t="shared" si="10"/>
        <v>3.7600000000000051</v>
      </c>
      <c r="J59" s="544">
        <f>SUMIFS('DF Calculation'!$P:$P,'DF Calculation'!$B:$B,'Rate Sheet'!A59,'DF Calculation'!$C:$C,'Rate Sheet'!B59)</f>
        <v>96.14</v>
      </c>
      <c r="K59" s="471" t="str">
        <f>IF(VLOOKUP($C59,'DF Calculation'!$D$8:$N$103,11,FALSE)-I59,"OK",VLOOKUP($C59,'DF Calculation'!$D$8:$N$103,11,FALSE)-I59)</f>
        <v>OK</v>
      </c>
      <c r="L59" s="115">
        <f t="shared" si="5"/>
        <v>0</v>
      </c>
      <c r="O59" s="115"/>
    </row>
    <row r="60" spans="1:15">
      <c r="A60" s="154">
        <v>38</v>
      </c>
      <c r="B60" s="153" t="s">
        <v>380</v>
      </c>
      <c r="C60" s="153" t="str">
        <f>VLOOKUP(B60,'DF Calculation'!$C$9:$D$102,2,FALSE)</f>
        <v>1.5 yard Special Pickup</v>
      </c>
      <c r="D60" s="535">
        <f>SUMIFS('DF Calculation'!L:L,'DF Calculation'!B:B,'Rate Sheet'!$A60,'DF Calculation'!C:C,'Rate Sheet'!$B60)</f>
        <v>44.16</v>
      </c>
      <c r="E60" s="535">
        <f t="shared" si="9"/>
        <v>1.1200000000000045</v>
      </c>
      <c r="F60" s="540">
        <f>SUMIFS('DF Calculation'!$O:$O,'DF Calculation'!$B:$B,'Rate Sheet'!$A60,'DF Calculation'!$C:$C,'Rate Sheet'!$B60)</f>
        <v>45.28</v>
      </c>
      <c r="G60" s="536" t="str">
        <f>IF(VLOOKUP($C60,'DF Calculation'!$D$8:$N$103,11,FALSE)-E60,"OK",VLOOKUP($C60,'DF Calculation'!$D$8:$N$103,11,FALSE)-E60)</f>
        <v>OK</v>
      </c>
      <c r="H60" s="535">
        <f>SUMIFS('DF Calculation'!M:M,'DF Calculation'!B:B,'Rate Sheet'!A60,'DF Calculation'!C:C,'Rate Sheet'!B60)</f>
        <v>43.97</v>
      </c>
      <c r="I60" s="470">
        <f t="shared" si="10"/>
        <v>1.1200000000000045</v>
      </c>
      <c r="J60" s="544">
        <f>SUMIFS('DF Calculation'!$P:$P,'DF Calculation'!$B:$B,'Rate Sheet'!A60,'DF Calculation'!$C:$C,'Rate Sheet'!B60)</f>
        <v>45.09</v>
      </c>
      <c r="K60" s="471" t="str">
        <f>IF(VLOOKUP($C60,'DF Calculation'!$D$8:$N$103,11,FALSE)-I60,"OK",VLOOKUP($C60,'DF Calculation'!$D$8:$N$103,11,FALSE)-I60)</f>
        <v>OK</v>
      </c>
      <c r="L60" s="115">
        <f t="shared" si="5"/>
        <v>0</v>
      </c>
      <c r="O60" s="115"/>
    </row>
    <row r="61" spans="1:15">
      <c r="A61" s="154">
        <v>38</v>
      </c>
      <c r="B61" s="153" t="s">
        <v>382</v>
      </c>
      <c r="C61" s="153" t="str">
        <f>VLOOKUP(B61,'DF Calculation'!$C$9:$D$102,2,FALSE)</f>
        <v>1 yard Special Pickup</v>
      </c>
      <c r="D61" s="535">
        <f>SUMIFS('DF Calculation'!L:L,'DF Calculation'!B:B,'Rate Sheet'!$A61,'DF Calculation'!C:C,'Rate Sheet'!$B61)</f>
        <v>35.229999999999997</v>
      </c>
      <c r="E61" s="535">
        <f t="shared" si="9"/>
        <v>0.78000000000000114</v>
      </c>
      <c r="F61" s="540">
        <f>SUMIFS('DF Calculation'!$O:$O,'DF Calculation'!$B:$B,'Rate Sheet'!$A61,'DF Calculation'!$C:$C,'Rate Sheet'!$B61)</f>
        <v>36.01</v>
      </c>
      <c r="G61" s="536" t="str">
        <f>IF(VLOOKUP($C61,'DF Calculation'!$D$8:$N$103,11,FALSE)-E61,"OK",VLOOKUP($C61,'DF Calculation'!$D$8:$N$103,11,FALSE)-E61)</f>
        <v>OK</v>
      </c>
      <c r="H61" s="535">
        <f>SUMIFS('DF Calculation'!M:M,'DF Calculation'!B:B,'Rate Sheet'!A61,'DF Calculation'!C:C,'Rate Sheet'!B61)</f>
        <v>35.08</v>
      </c>
      <c r="I61" s="470">
        <f t="shared" si="10"/>
        <v>0.78000000000000114</v>
      </c>
      <c r="J61" s="544">
        <f>SUMIFS('DF Calculation'!$P:$P,'DF Calculation'!$B:$B,'Rate Sheet'!A61,'DF Calculation'!$C:$C,'Rate Sheet'!B61)</f>
        <v>35.86</v>
      </c>
      <c r="K61" s="471" t="str">
        <f>IF(VLOOKUP($C61,'DF Calculation'!$D$8:$N$103,11,FALSE)-I61,"OK",VLOOKUP($C61,'DF Calculation'!$D$8:$N$103,11,FALSE)-I61)</f>
        <v>OK</v>
      </c>
      <c r="L61" s="115">
        <f t="shared" si="5"/>
        <v>0</v>
      </c>
      <c r="O61" s="115"/>
    </row>
    <row r="62" spans="1:15">
      <c r="A62" s="154">
        <v>38</v>
      </c>
      <c r="B62" s="153" t="s">
        <v>384</v>
      </c>
      <c r="C62" s="153" t="str">
        <f>VLOOKUP(B62,'DF Calculation'!$C$9:$D$102,2,FALSE)</f>
        <v>2 yard Special Pickup</v>
      </c>
      <c r="D62" s="535">
        <f>SUMIFS('DF Calculation'!L:L,'DF Calculation'!B:B,'Rate Sheet'!$A62,'DF Calculation'!C:C,'Rate Sheet'!$B62)</f>
        <v>49.83</v>
      </c>
      <c r="E62" s="535">
        <f t="shared" si="9"/>
        <v>1.4500000000000028</v>
      </c>
      <c r="F62" s="540">
        <f>SUMIFS('DF Calculation'!$O:$O,'DF Calculation'!$B:$B,'Rate Sheet'!$A62,'DF Calculation'!$C:$C,'Rate Sheet'!$B62)</f>
        <v>51.28</v>
      </c>
      <c r="G62" s="536" t="str">
        <f>IF(VLOOKUP($C62,'DF Calculation'!$D$8:$N$103,11,FALSE)-E62,"OK",VLOOKUP($C62,'DF Calculation'!$D$8:$N$103,11,FALSE)-E62)</f>
        <v>OK</v>
      </c>
      <c r="H62" s="535">
        <f>SUMIFS('DF Calculation'!M:M,'DF Calculation'!B:B,'Rate Sheet'!A62,'DF Calculation'!C:C,'Rate Sheet'!B62)</f>
        <v>49.61</v>
      </c>
      <c r="I62" s="470">
        <f t="shared" si="10"/>
        <v>1.4500000000000028</v>
      </c>
      <c r="J62" s="544">
        <f>SUMIFS('DF Calculation'!$P:$P,'DF Calculation'!$B:$B,'Rate Sheet'!A62,'DF Calculation'!$C:$C,'Rate Sheet'!B62)</f>
        <v>51.06</v>
      </c>
      <c r="K62" s="471" t="str">
        <f>IF(VLOOKUP($C62,'DF Calculation'!$D$8:$N$103,11,FALSE)-I62,"OK",VLOOKUP($C62,'DF Calculation'!$D$8:$N$103,11,FALSE)-I62)</f>
        <v>OK</v>
      </c>
      <c r="L62" s="115">
        <f t="shared" si="5"/>
        <v>0</v>
      </c>
      <c r="O62" s="115"/>
    </row>
    <row r="63" spans="1:15">
      <c r="A63" s="154">
        <v>38</v>
      </c>
      <c r="B63" s="153" t="s">
        <v>386</v>
      </c>
      <c r="C63" s="153" t="str">
        <f>VLOOKUP(B63,'DF Calculation'!$C$9:$D$103,2,FALSE)</f>
        <v>3 yard Special Pickup</v>
      </c>
      <c r="D63" s="535">
        <f>SUMIFS('DF Calculation'!L:L,'DF Calculation'!B:B,'Rate Sheet'!$A63,'DF Calculation'!C:C,'Rate Sheet'!$B63)</f>
        <v>56.85</v>
      </c>
      <c r="E63" s="535">
        <f t="shared" ref="E63" si="13">F63-D63</f>
        <v>2.1199999999999974</v>
      </c>
      <c r="F63" s="540">
        <f>SUMIFS('DF Calculation'!$O:$O,'DF Calculation'!$B:$B,'Rate Sheet'!$A63,'DF Calculation'!$C:$C,'Rate Sheet'!$B63)</f>
        <v>58.97</v>
      </c>
      <c r="G63" s="536" t="str">
        <f>IF(VLOOKUP($C63,'DF Calculation'!$D$8:$N$103,11,FALSE)-E63,"OK",VLOOKUP($C63,'DF Calculation'!$D$8:$N$103,11,FALSE)-E63)</f>
        <v>OK</v>
      </c>
      <c r="H63" s="535">
        <f>SUMIFS('DF Calculation'!M:M,'DF Calculation'!B:B,'Rate Sheet'!A63,'DF Calculation'!C:C,'Rate Sheet'!B63)</f>
        <v>56.6</v>
      </c>
      <c r="I63" s="470">
        <f t="shared" ref="I63" si="14">J63-H63</f>
        <v>2.1199999999999974</v>
      </c>
      <c r="J63" s="544">
        <f>SUMIFS('DF Calculation'!$P:$P,'DF Calculation'!$B:$B,'Rate Sheet'!A63,'DF Calculation'!$C:$C,'Rate Sheet'!B63)</f>
        <v>58.72</v>
      </c>
      <c r="K63" s="471" t="str">
        <f>IF(VLOOKUP($C63,'DF Calculation'!$D$8:$N$103,11,FALSE)-I63,"OK",VLOOKUP($C63,'DF Calculation'!$D$8:$N$103,11,FALSE)-I63)</f>
        <v>OK</v>
      </c>
      <c r="L63" s="115">
        <f t="shared" si="5"/>
        <v>0</v>
      </c>
      <c r="O63" s="115"/>
    </row>
    <row r="64" spans="1:15">
      <c r="A64" s="154">
        <v>38</v>
      </c>
      <c r="B64" s="153" t="s">
        <v>388</v>
      </c>
      <c r="C64" s="153" t="str">
        <f>VLOOKUP(B64,'DF Calculation'!$C$9:$D$103,2,FALSE)</f>
        <v>4 yard Special Pickup</v>
      </c>
      <c r="D64" s="535">
        <f>SUMIFS('DF Calculation'!L:L,'DF Calculation'!B:B,'Rate Sheet'!$A64,'DF Calculation'!C:C,'Rate Sheet'!$B64)</f>
        <v>67.11</v>
      </c>
      <c r="E64" s="535">
        <f t="shared" ref="E64:E66" si="15">F64-D64</f>
        <v>2.7399999999999949</v>
      </c>
      <c r="F64" s="540">
        <f>SUMIFS('DF Calculation'!$O:$O,'DF Calculation'!$B:$B,'Rate Sheet'!$A64,'DF Calculation'!$C:$C,'Rate Sheet'!$B64)</f>
        <v>69.849999999999994</v>
      </c>
      <c r="G64" s="536" t="str">
        <f>IF(VLOOKUP($C64,'DF Calculation'!$D$8:$N$103,11,FALSE)-E64,"OK",VLOOKUP($C64,'DF Calculation'!$D$8:$N$103,11,FALSE)-E64)</f>
        <v>OK</v>
      </c>
      <c r="H64" s="535">
        <f>SUMIFS('DF Calculation'!M:M,'DF Calculation'!B:B,'Rate Sheet'!A64,'DF Calculation'!C:C,'Rate Sheet'!B64)</f>
        <v>66.819999999999993</v>
      </c>
      <c r="I64" s="470">
        <f t="shared" ref="I64:I66" si="16">J64-H64</f>
        <v>2.7400000000000091</v>
      </c>
      <c r="J64" s="544">
        <f>SUMIFS('DF Calculation'!$P:$P,'DF Calculation'!$B:$B,'Rate Sheet'!A64,'DF Calculation'!$C:$C,'Rate Sheet'!B64)</f>
        <v>69.56</v>
      </c>
      <c r="K64" s="471" t="str">
        <f>IF(VLOOKUP($C64,'DF Calculation'!$D$8:$N$103,11,FALSE)-I64,"OK",VLOOKUP($C64,'DF Calculation'!$D$8:$N$103,11,FALSE)-I64)</f>
        <v>OK</v>
      </c>
      <c r="L64" s="115">
        <f t="shared" si="5"/>
        <v>-1.4210854715202004E-14</v>
      </c>
    </row>
    <row r="65" spans="1:12">
      <c r="A65" s="154">
        <v>38</v>
      </c>
      <c r="B65" s="153" t="s">
        <v>390</v>
      </c>
      <c r="C65" s="153" t="str">
        <f>VLOOKUP(B65,'DF Calculation'!$C$9:$D$103,2,FALSE)</f>
        <v>6 yard Special Pickup</v>
      </c>
      <c r="D65" s="535">
        <f>SUMIFS('DF Calculation'!L:L,'DF Calculation'!B:B,'Rate Sheet'!$A65,'DF Calculation'!C:C,'Rate Sheet'!$B65)</f>
        <v>95</v>
      </c>
      <c r="E65" s="535">
        <f t="shared" si="15"/>
        <v>3.7600000000000051</v>
      </c>
      <c r="F65" s="540">
        <f>SUMIFS('DF Calculation'!$O:$O,'DF Calculation'!$B:$B,'Rate Sheet'!$A65,'DF Calculation'!$C:$C,'Rate Sheet'!$B65)</f>
        <v>98.76</v>
      </c>
      <c r="G65" s="536" t="str">
        <f>IF(VLOOKUP($C65,'DF Calculation'!$D$8:$N$103,11,FALSE)-E65,"OK",VLOOKUP($C65,'DF Calculation'!$D$8:$N$103,11,FALSE)-E65)</f>
        <v>OK</v>
      </c>
      <c r="H65" s="535">
        <f>SUMIFS('DF Calculation'!M:M,'DF Calculation'!B:B,'Rate Sheet'!A65,'DF Calculation'!C:C,'Rate Sheet'!B65)</f>
        <v>94.59</v>
      </c>
      <c r="I65" s="470">
        <f t="shared" si="16"/>
        <v>3.7599999999999909</v>
      </c>
      <c r="J65" s="544">
        <f>SUMIFS('DF Calculation'!$P:$P,'DF Calculation'!$B:$B,'Rate Sheet'!A65,'DF Calculation'!$C:$C,'Rate Sheet'!B65)</f>
        <v>98.35</v>
      </c>
      <c r="K65" s="471" t="str">
        <f>IF(VLOOKUP($C65,'DF Calculation'!$D$8:$N$103,11,FALSE)-I65,"OK",VLOOKUP($C65,'DF Calculation'!$D$8:$N$103,11,FALSE)-I65)</f>
        <v>OK</v>
      </c>
      <c r="L65" s="115">
        <f t="shared" si="5"/>
        <v>1.4210854715202004E-14</v>
      </c>
    </row>
    <row r="66" spans="1:12">
      <c r="A66" s="154">
        <v>38</v>
      </c>
      <c r="B66" s="153" t="s">
        <v>787</v>
      </c>
      <c r="C66" s="153" t="str">
        <f>VLOOKUP(B66,'DF Calculation'!$C$9:$D$103,2,FALSE)</f>
        <v>5 yard Temporary Pickup</v>
      </c>
      <c r="D66" s="535">
        <f>SUMIFS('DF Calculation'!L:L,'DF Calculation'!B:B,'Rate Sheet'!$A66,'DF Calculation'!C:C,'Rate Sheet'!$B66)</f>
        <v>78.44</v>
      </c>
      <c r="E66" s="535">
        <f t="shared" si="15"/>
        <v>3.25</v>
      </c>
      <c r="F66" s="540">
        <f>SUMIFS('DF Calculation'!$O:$O,'DF Calculation'!$B:$B,'Rate Sheet'!$A66,'DF Calculation'!$C:$C,'Rate Sheet'!$B66)</f>
        <v>81.69</v>
      </c>
      <c r="G66" s="536" t="str">
        <f>IF(VLOOKUP($C66,'DF Calculation'!$D$8:$N$103,11,FALSE)-E66,"OK",VLOOKUP($C66,'DF Calculation'!$D$8:$N$103,11,FALSE)-E66)</f>
        <v>OK</v>
      </c>
      <c r="H66" s="535">
        <f>SUMIFS('DF Calculation'!M:M,'DF Calculation'!B:B,'Rate Sheet'!A66,'DF Calculation'!C:C,'Rate Sheet'!B66)</f>
        <v>78.099999999999994</v>
      </c>
      <c r="I66" s="470">
        <f t="shared" si="16"/>
        <v>3.25</v>
      </c>
      <c r="J66" s="544">
        <f>SUMIFS('DF Calculation'!$P:$P,'DF Calculation'!$B:$B,'Rate Sheet'!A66,'DF Calculation'!$C:$C,'Rate Sheet'!B66)</f>
        <v>81.349999999999994</v>
      </c>
      <c r="K66" s="471" t="str">
        <f>IF(VLOOKUP($C66,'DF Calculation'!$D$8:$N$103,11,FALSE)-I66,"OK",VLOOKUP($C66,'DF Calculation'!$D$8:$N$103,11,FALSE)-I66)</f>
        <v>OK</v>
      </c>
      <c r="L66" s="115">
        <f t="shared" si="5"/>
        <v>0</v>
      </c>
    </row>
    <row r="67" spans="1:12">
      <c r="A67" s="186">
        <v>38</v>
      </c>
      <c r="B67" s="34" t="s">
        <v>788</v>
      </c>
      <c r="C67" s="153" t="str">
        <f>VLOOKUP(B67,'DF Calculation'!$C$9:$D$103,2,FALSE)</f>
        <v>5 yard Special Pickup</v>
      </c>
      <c r="D67" s="535">
        <f>SUMIFS('DF Calculation'!L:L,'DF Calculation'!B:B,'Rate Sheet'!$A67,'DF Calculation'!C:C,'Rate Sheet'!$B67)</f>
        <v>80.77</v>
      </c>
      <c r="E67" s="535">
        <f t="shared" ref="E67:E74" si="17">F67-D67</f>
        <v>3.25</v>
      </c>
      <c r="F67" s="540">
        <f>SUMIFS('DF Calculation'!$O:$O,'DF Calculation'!$B:$B,'Rate Sheet'!$A67,'DF Calculation'!$C:$C,'Rate Sheet'!$B67)</f>
        <v>84.02</v>
      </c>
      <c r="G67" s="536" t="str">
        <f>IF(VLOOKUP($C67,'DF Calculation'!$D$8:$N$103,11,FALSE)-E67,"OK",VLOOKUP($C67,'DF Calculation'!$D$8:$N$103,11,FALSE)-E67)</f>
        <v>OK</v>
      </c>
      <c r="H67" s="535">
        <f>SUMIFS('DF Calculation'!M:M,'DF Calculation'!B:B,'Rate Sheet'!A67,'DF Calculation'!C:C,'Rate Sheet'!B67)</f>
        <v>80.42</v>
      </c>
      <c r="I67" s="470">
        <f t="shared" ref="I67:I74" si="18">J67-H67</f>
        <v>3.25</v>
      </c>
      <c r="J67" s="544">
        <f>SUMIFS('DF Calculation'!$P:$P,'DF Calculation'!$B:$B,'Rate Sheet'!A67,'DF Calculation'!$C:$C,'Rate Sheet'!B67)</f>
        <v>83.67</v>
      </c>
      <c r="K67" s="471" t="str">
        <f>IF(VLOOKUP($C67,'DF Calculation'!$D$8:$N$103,11,FALSE)-I67,"OK",VLOOKUP($C67,'DF Calculation'!$D$8:$N$103,11,FALSE)-I67)</f>
        <v>OK</v>
      </c>
      <c r="L67" s="115">
        <f t="shared" si="5"/>
        <v>0</v>
      </c>
    </row>
    <row r="68" spans="1:12">
      <c r="A68" s="25">
        <v>40</v>
      </c>
      <c r="B68" s="52" t="s">
        <v>345</v>
      </c>
      <c r="C68" s="153" t="str">
        <f>VLOOKUP(B68,'DF Calculation'!$C$9:$D$103,2,FALSE)</f>
        <v>65 gal Company Provided Single Can</v>
      </c>
      <c r="D68" s="535">
        <f>SUMIFS('DF Calculation'!L:L,'DF Calculation'!B:B,'Rate Sheet'!$A68,'DF Calculation'!C:C,'Rate Sheet'!$B68)</f>
        <v>5.8</v>
      </c>
      <c r="E68" s="535">
        <f t="shared" si="17"/>
        <v>0.23000000000000043</v>
      </c>
      <c r="F68" s="540">
        <f>SUMIFS('DF Calculation'!$O:$O,'DF Calculation'!$B:$B,'Rate Sheet'!$A68,'DF Calculation'!$C:$C,'Rate Sheet'!$B68)</f>
        <v>6.03</v>
      </c>
      <c r="G68" s="536" t="str">
        <f>IF(VLOOKUP($C68,'DF Calculation'!$D$8:$N$103,11,FALSE)-E68,"OK",VLOOKUP($C68,'DF Calculation'!$D$8:$N$103,11,FALSE)-E68)</f>
        <v>OK</v>
      </c>
      <c r="H68" s="535">
        <f>SUMIFS('DF Calculation'!M:M,'DF Calculation'!B:B,'Rate Sheet'!A68,'DF Calculation'!C:C,'Rate Sheet'!B68)</f>
        <v>5.77</v>
      </c>
      <c r="I68" s="470">
        <f t="shared" si="18"/>
        <v>0.23000000000000043</v>
      </c>
      <c r="J68" s="544">
        <f>SUMIFS('DF Calculation'!$P:$P,'DF Calculation'!$B:$B,'Rate Sheet'!A68,'DF Calculation'!$C:$C,'Rate Sheet'!B68)</f>
        <v>6</v>
      </c>
      <c r="K68" s="471" t="str">
        <f>IF(VLOOKUP($C68,'DF Calculation'!$D$8:$N$103,11,FALSE)-I68,"OK",VLOOKUP($C68,'DF Calculation'!$D$8:$N$103,11,FALSE)-I68)</f>
        <v>OK</v>
      </c>
      <c r="L68" s="115">
        <f t="shared" si="5"/>
        <v>0</v>
      </c>
    </row>
    <row r="69" spans="1:12">
      <c r="A69" s="25">
        <v>40</v>
      </c>
      <c r="B69" s="52" t="s">
        <v>348</v>
      </c>
      <c r="C69" s="153" t="str">
        <f>VLOOKUP(B69,'DF Calculation'!$C$9:$D$103,2,FALSE)</f>
        <v>95 gal Company Provided Single Can</v>
      </c>
      <c r="D69" s="535">
        <f>SUMIFS('DF Calculation'!L:L,'DF Calculation'!B:B,'Rate Sheet'!$A69,'DF Calculation'!C:C,'Rate Sheet'!$B69)</f>
        <v>7.98</v>
      </c>
      <c r="E69" s="535">
        <f t="shared" si="17"/>
        <v>0.33999999999999986</v>
      </c>
      <c r="F69" s="540">
        <f>SUMIFS('DF Calculation'!$O:$O,'DF Calculation'!$B:$B,'Rate Sheet'!$A69,'DF Calculation'!$C:$C,'Rate Sheet'!$B69)</f>
        <v>8.32</v>
      </c>
      <c r="G69" s="536" t="str">
        <f>IF(VLOOKUP($C69,'DF Calculation'!$D$8:$N$103,11,FALSE)-E69,"OK",VLOOKUP($C69,'DF Calculation'!$D$8:$N$103,11,FALSE)-E69)</f>
        <v>OK</v>
      </c>
      <c r="H69" s="535">
        <f>SUMIFS('DF Calculation'!M:M,'DF Calculation'!B:B,'Rate Sheet'!A69,'DF Calculation'!C:C,'Rate Sheet'!B69)</f>
        <v>7.95</v>
      </c>
      <c r="I69" s="470">
        <f t="shared" si="18"/>
        <v>0.33999999999999897</v>
      </c>
      <c r="J69" s="544">
        <f>SUMIFS('DF Calculation'!$P:$P,'DF Calculation'!$B:$B,'Rate Sheet'!A69,'DF Calculation'!$C:$C,'Rate Sheet'!B69)</f>
        <v>8.2899999999999991</v>
      </c>
      <c r="K69" s="471" t="str">
        <f>IF(VLOOKUP($C69,'DF Calculation'!$D$8:$N$103,11,FALSE)-I69,"OK",VLOOKUP($C69,'DF Calculation'!$D$8:$N$103,11,FALSE)-I69)</f>
        <v>OK</v>
      </c>
      <c r="L69" s="115">
        <f t="shared" si="5"/>
        <v>8.8817841970012523E-16</v>
      </c>
    </row>
    <row r="70" spans="1:12">
      <c r="A70" s="25">
        <v>40</v>
      </c>
      <c r="B70" s="52" t="s">
        <v>354</v>
      </c>
      <c r="C70" s="153" t="str">
        <f>VLOOKUP(B70,'DF Calculation'!$C$9:$D$103,2,FALSE)</f>
        <v>65 gal Company Provided Minimum Monthly</v>
      </c>
      <c r="D70" s="535">
        <f>SUMIFS('DF Calculation'!L:L,'DF Calculation'!B:B,'Rate Sheet'!$A70,'DF Calculation'!C:C,'Rate Sheet'!$B70)</f>
        <v>25.11</v>
      </c>
      <c r="E70" s="535">
        <f t="shared" si="17"/>
        <v>0.99000000000000199</v>
      </c>
      <c r="F70" s="540">
        <f>SUMIFS('DF Calculation'!$O:$O,'DF Calculation'!$B:$B,'Rate Sheet'!$A70,'DF Calculation'!$C:$C,'Rate Sheet'!$B70)</f>
        <v>26.1</v>
      </c>
      <c r="G70" s="536" t="str">
        <f>IF(VLOOKUP($C70,'DF Calculation'!$D$8:$N$103,11,FALSE)-E70,"OK",VLOOKUP($C70,'DF Calculation'!$D$8:$N$103,11,FALSE)-E70)</f>
        <v>OK</v>
      </c>
      <c r="H70" s="535">
        <f>SUMIFS('DF Calculation'!M:M,'DF Calculation'!B:B,'Rate Sheet'!A70,'DF Calculation'!C:C,'Rate Sheet'!B70)</f>
        <v>24.98</v>
      </c>
      <c r="I70" s="470">
        <f t="shared" si="18"/>
        <v>0.98999999999999844</v>
      </c>
      <c r="J70" s="544">
        <f>SUMIFS('DF Calculation'!$P:$P,'DF Calculation'!$B:$B,'Rate Sheet'!A70,'DF Calculation'!$C:$C,'Rate Sheet'!B70)</f>
        <v>25.97</v>
      </c>
      <c r="K70" s="471" t="str">
        <f>IF(VLOOKUP($C70,'DF Calculation'!$D$8:$N$103,11,FALSE)-I70,"OK",VLOOKUP($C70,'DF Calculation'!$D$8:$N$103,11,FALSE)-I70)</f>
        <v>OK</v>
      </c>
      <c r="L70" s="115">
        <f t="shared" si="5"/>
        <v>3.5527136788005009E-15</v>
      </c>
    </row>
    <row r="71" spans="1:12">
      <c r="A71" s="25">
        <v>40</v>
      </c>
      <c r="B71" s="52" t="s">
        <v>360</v>
      </c>
      <c r="C71" s="153" t="str">
        <f>VLOOKUP(B71,'DF Calculation'!$C$9:$D$103,2,FALSE)</f>
        <v>95 gal Company Provided Minimum Monthly</v>
      </c>
      <c r="D71" s="535">
        <f>SUMIFS('DF Calculation'!L:L,'DF Calculation'!B:B,'Rate Sheet'!$A71,'DF Calculation'!C:C,'Rate Sheet'!$B71)</f>
        <v>34.549999999999997</v>
      </c>
      <c r="E71" s="535">
        <f t="shared" si="17"/>
        <v>1.490000000000002</v>
      </c>
      <c r="F71" s="540">
        <f>SUMIFS('DF Calculation'!$O:$O,'DF Calculation'!$B:$B,'Rate Sheet'!$A71,'DF Calculation'!$C:$C,'Rate Sheet'!$B71)</f>
        <v>36.04</v>
      </c>
      <c r="G71" s="536" t="str">
        <f>IF(VLOOKUP($C71,'DF Calculation'!$D$8:$N$103,11,FALSE)-E71,"OK",VLOOKUP($C71,'DF Calculation'!$D$8:$N$103,11,FALSE)-E71)</f>
        <v>OK</v>
      </c>
      <c r="H71" s="535">
        <f>SUMIFS('DF Calculation'!M:M,'DF Calculation'!B:B,'Rate Sheet'!A71,'DF Calculation'!C:C,'Rate Sheet'!B71)</f>
        <v>34.42</v>
      </c>
      <c r="I71" s="470">
        <f t="shared" si="18"/>
        <v>1.4899999999999949</v>
      </c>
      <c r="J71" s="544">
        <f>SUMIFS('DF Calculation'!$P:$P,'DF Calculation'!$B:$B,'Rate Sheet'!A71,'DF Calculation'!$C:$C,'Rate Sheet'!B71)</f>
        <v>35.909999999999997</v>
      </c>
      <c r="K71" s="471" t="str">
        <f>IF(VLOOKUP($C71,'DF Calculation'!$D$8:$N$103,11,FALSE)-I71,"OK",VLOOKUP($C71,'DF Calculation'!$D$8:$N$103,11,FALSE)-I71)</f>
        <v>OK</v>
      </c>
      <c r="L71" s="115">
        <f t="shared" si="5"/>
        <v>7.1054273576010019E-15</v>
      </c>
    </row>
    <row r="72" spans="1:12">
      <c r="A72" s="25">
        <v>40</v>
      </c>
      <c r="B72" s="52" t="s">
        <v>416</v>
      </c>
      <c r="C72" s="153" t="str">
        <f>VLOOKUP(B72,'DF Calculation'!$C$9:$D$103,2,FALSE)</f>
        <v>32 gal or equivalent Extra</v>
      </c>
      <c r="D72" s="535">
        <f>SUMIFS('DF Calculation'!L:L,'DF Calculation'!B:B,'Rate Sheet'!$A72,'DF Calculation'!C:C,'Rate Sheet'!$B72)</f>
        <v>4.6900000000000004</v>
      </c>
      <c r="E72" s="535">
        <f t="shared" si="17"/>
        <v>0.14999999999999947</v>
      </c>
      <c r="F72" s="540">
        <f>SUMIFS('DF Calculation'!$O:$O,'DF Calculation'!$B:$B,'Rate Sheet'!$A72,'DF Calculation'!$C:$C,'Rate Sheet'!$B72)</f>
        <v>4.84</v>
      </c>
      <c r="G72" s="536" t="str">
        <f>IF(VLOOKUP($C72,'DF Calculation'!$D$8:$N$103,11,FALSE)-E72,"OK",VLOOKUP($C72,'DF Calculation'!$D$8:$N$103,11,FALSE)-E72)</f>
        <v>OK</v>
      </c>
      <c r="H72" s="535">
        <f>SUMIFS('DF Calculation'!M:M,'DF Calculation'!B:B,'Rate Sheet'!A72,'DF Calculation'!C:C,'Rate Sheet'!B72)</f>
        <v>4.67</v>
      </c>
      <c r="I72" s="470">
        <f t="shared" si="18"/>
        <v>0.15000000000000036</v>
      </c>
      <c r="J72" s="544">
        <f>SUMIFS('DF Calculation'!$P:$P,'DF Calculation'!$B:$B,'Rate Sheet'!A72,'DF Calculation'!$C:$C,'Rate Sheet'!B72)</f>
        <v>4.82</v>
      </c>
      <c r="K72" s="471" t="str">
        <f>IF(VLOOKUP($C72,'DF Calculation'!$D$8:$N$103,11,FALSE)-I72,"OK",VLOOKUP($C72,'DF Calculation'!$D$8:$N$103,11,FALSE)-I72)</f>
        <v>OK</v>
      </c>
      <c r="L72" s="115">
        <f t="shared" si="5"/>
        <v>-8.8817841970012523E-16</v>
      </c>
    </row>
    <row r="73" spans="1:12" s="55" customFormat="1">
      <c r="A73" s="154">
        <v>40</v>
      </c>
      <c r="B73" s="153" t="s">
        <v>392</v>
      </c>
      <c r="C73" s="153" t="str">
        <f>VLOOKUP(B73,'DF Calculation'!$C$9:$D$103,2,FALSE)</f>
        <v>65 gal Company Provided One Unit</v>
      </c>
      <c r="D73" s="535">
        <f>SUMIFS('DF Calculation'!L:L,'DF Calculation'!B:B,'Rate Sheet'!$A73,'DF Calculation'!C:C,'Rate Sheet'!$B73)</f>
        <v>7.8</v>
      </c>
      <c r="E73" s="535">
        <f>F73-D73</f>
        <v>0.22999999999999954</v>
      </c>
      <c r="F73" s="540">
        <f>SUMIFS('DF Calculation'!$O:$O,'DF Calculation'!$B:$B,'Rate Sheet'!$A73,'DF Calculation'!$C:$C,'Rate Sheet'!$B73)</f>
        <v>8.0299999999999994</v>
      </c>
      <c r="G73" s="536" t="str">
        <f>IF(VLOOKUP($C73,'DF Calculation'!$D$8:$N$103,11,FALSE)-E73,"OK",VLOOKUP($C73,'DF Calculation'!$D$8:$N$103,11,FALSE)-E73)</f>
        <v>OK</v>
      </c>
      <c r="H73" s="535">
        <f>SUMIFS('DF Calculation'!M:M,'DF Calculation'!B:B,'Rate Sheet'!A73,'DF Calculation'!C:C,'Rate Sheet'!B73)</f>
        <v>7.77</v>
      </c>
      <c r="I73" s="470">
        <f>J73-H73</f>
        <v>0.23000000000000043</v>
      </c>
      <c r="J73" s="544">
        <f>SUMIFS('DF Calculation'!$P:$P,'DF Calculation'!$B:$B,'Rate Sheet'!A73,'DF Calculation'!$C:$C,'Rate Sheet'!B73)</f>
        <v>8</v>
      </c>
      <c r="K73" s="471" t="str">
        <f>IF(VLOOKUP($C73,'DF Calculation'!$D$8:$N$103,11,FALSE)-I73,"OK",VLOOKUP($C73,'DF Calculation'!$D$8:$N$103,11,FALSE)-I73)</f>
        <v>OK</v>
      </c>
      <c r="L73" s="155">
        <f>+E73-I73</f>
        <v>-8.8817841970012523E-16</v>
      </c>
    </row>
    <row r="74" spans="1:12">
      <c r="A74" s="25">
        <v>40</v>
      </c>
      <c r="B74" s="52" t="s">
        <v>784</v>
      </c>
      <c r="C74" s="153" t="str">
        <f>VLOOKUP(B74,'DF Calculation'!$C$9:$D$103,2,FALSE)</f>
        <v>95 gal Company Provided One Unit</v>
      </c>
      <c r="D74" s="535">
        <f>SUMIFS('DF Calculation'!L:L,'DF Calculation'!B:B,'Rate Sheet'!$A74,'DF Calculation'!C:C,'Rate Sheet'!$B74)</f>
        <v>9.98</v>
      </c>
      <c r="E74" s="535">
        <f t="shared" si="17"/>
        <v>0.33999999999999986</v>
      </c>
      <c r="F74" s="540">
        <f>SUMIFS('DF Calculation'!$O:$O,'DF Calculation'!$B:$B,'Rate Sheet'!$A74,'DF Calculation'!$C:$C,'Rate Sheet'!$B74)</f>
        <v>10.32</v>
      </c>
      <c r="G74" s="536" t="str">
        <f>IF(VLOOKUP($C74,'DF Calculation'!$D$8:$N$103,11,FALSE)-E74,"OK",VLOOKUP($C74,'DF Calculation'!$D$8:$N$103,11,FALSE)-E74)</f>
        <v>OK</v>
      </c>
      <c r="H74" s="535">
        <f>SUMIFS('DF Calculation'!M:M,'DF Calculation'!B:B,'Rate Sheet'!A74,'DF Calculation'!C:C,'Rate Sheet'!B74)</f>
        <v>9.9499999999999993</v>
      </c>
      <c r="I74" s="470">
        <f t="shared" si="18"/>
        <v>0.33999999999999986</v>
      </c>
      <c r="J74" s="544">
        <f>SUMIFS('DF Calculation'!$P:$P,'DF Calculation'!$B:$B,'Rate Sheet'!A74,'DF Calculation'!$C:$C,'Rate Sheet'!B74)</f>
        <v>10.29</v>
      </c>
      <c r="K74" s="471" t="str">
        <f>IF(VLOOKUP($C74,'DF Calculation'!$D$8:$N$103,11,FALSE)-I74,"OK",VLOOKUP($C74,'DF Calculation'!$D$8:$N$103,11,FALSE)-I74)</f>
        <v>OK</v>
      </c>
      <c r="L74" s="115">
        <f t="shared" si="5"/>
        <v>0</v>
      </c>
    </row>
    <row r="75" spans="1:12">
      <c r="D75" s="538"/>
      <c r="E75" s="538"/>
      <c r="F75" s="542"/>
      <c r="G75" s="539"/>
      <c r="H75" s="538"/>
    </row>
    <row r="76" spans="1:12">
      <c r="D76" s="538"/>
      <c r="E76" s="538"/>
      <c r="F76" s="542"/>
      <c r="G76" s="539"/>
      <c r="H76" s="538"/>
    </row>
    <row r="77" spans="1:12">
      <c r="E77" s="115"/>
    </row>
  </sheetData>
  <pageMargins left="0.2" right="0.2" top="0.5" bottom="0.5" header="0.3" footer="0.3"/>
  <pageSetup scale="75" fitToHeight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2022-01-14T08:00:00+00:00</OpenedDate>
    <Date1 xmlns="dc463f71-b30c-4ab2-9473-d307f9d35888">2022-01-14T08:00:00+00:00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</CaseCompanyNames>
    <DocketNumber xmlns="dc463f71-b30c-4ab2-9473-d307f9d35888">220042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272759F4BB734ABEAB5E3EEA60B63C" ma:contentTypeVersion="20" ma:contentTypeDescription="" ma:contentTypeScope="" ma:versionID="17a6fb859e140cc6c76756ede39aa9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11DB4-3EBC-4224-B614-8F3A5117EE75}">
  <ds:schemaRefs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D645DD-7EA0-4477-984E-9FFF2CE1F474}"/>
</file>

<file path=customXml/itemProps3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1D17B9-02B1-4B03-B2AF-C696F8DC2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References</vt:lpstr>
      <vt:lpstr>DF Calculation</vt:lpstr>
      <vt:lpstr>Mapping</vt:lpstr>
      <vt:lpstr>Lewis Co. Regulated - Price Out</vt:lpstr>
      <vt:lpstr>Lewis LOB (C) - For Disposal $</vt:lpstr>
      <vt:lpstr>Rate Sheet</vt:lpstr>
      <vt:lpstr>'DF Calculation'!Print_Area</vt:lpstr>
      <vt:lpstr>'Lewis Co. Regulated - Price Out'!Print_Area</vt:lpstr>
      <vt:lpstr>'Lewis LOB (C) - For Disposal $'!Print_Area</vt:lpstr>
      <vt:lpstr>Mapping!Print_Area</vt:lpstr>
      <vt:lpstr>'Rate Sheet'!Print_Area</vt:lpstr>
      <vt:lpstr>References!Print_Area</vt:lpstr>
      <vt:lpstr>'DF Calculation'!Print_Titles</vt:lpstr>
      <vt:lpstr>'Lewis Co. Regulated - Price Out'!Print_Titles</vt:lpstr>
      <vt:lpstr>'Lewis LOB (C) - For Disposal $'!Print_Titles</vt:lpstr>
      <vt:lpstr>Mapping!Print_Titles</vt:lpstr>
      <vt:lpstr>'Rate Sheet'!Print_Titles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2022-01-14T04:41:54Z</cp:lastPrinted>
  <dcterms:created xsi:type="dcterms:W3CDTF">2013-10-29T22:33:54Z</dcterms:created>
  <dcterms:modified xsi:type="dcterms:W3CDTF">2022-01-14T04:42:16Z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0x0101006E56B4D1795A2E4DB2F0B01679ED314A00A6272759F4BB734ABEAB5E3EEA60B63C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