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sindisposal.sharepoint.com/sites/AccountingTeam/Shared Documents/Rate Making/WUTC/YAKIMA - Tariff 5/Rate Increase Filings/2022/"/>
    </mc:Choice>
  </mc:AlternateContent>
  <xr:revisionPtr revIDLastSave="116" documentId="11_B78DAA31319BBC24B359FEB9F4D57DEC35EE7BDC" xr6:coauthVersionLast="47" xr6:coauthVersionMax="47" xr10:uidLastSave="{115D73C9-C66D-41C8-93EC-A42D2BA7BD07}"/>
  <bookViews>
    <workbookView xWindow="22932" yWindow="-264" windowWidth="23256" windowHeight="12576" xr2:uid="{00000000-000D-0000-FFFF-FFFF00000000}"/>
  </bookViews>
  <sheets>
    <sheet name="B&amp;O Increase Calculations" sheetId="7" r:id="rId1"/>
    <sheet name="References" sheetId="4" r:id="rId2"/>
    <sheet name="Revenue Increase" sheetId="8" r:id="rId3"/>
  </sheets>
  <definedNames>
    <definedName name="_xlnm.Print_Area" localSheetId="0">'B&amp;O Increase Calculations'!$B$2:$R$54</definedName>
    <definedName name="_xlnm.Print_Area" localSheetId="1">References!$A$2:$H$66</definedName>
    <definedName name="_xlnm.Print_Area" localSheetId="2">'Revenue Increase'!$A$1:$L$22</definedName>
    <definedName name="_xlnm.Print_Titles" localSheetId="0">'B&amp;O Increase Calculations'!$2:$3</definedName>
    <definedName name="_xlnm.Print_Titles" localSheetId="1">References!$1:$1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7" l="1"/>
  <c r="G48" i="4" l="1"/>
  <c r="E13" i="7" l="1"/>
  <c r="G49" i="4" l="1"/>
  <c r="E51" i="7" l="1"/>
  <c r="H17" i="7" l="1"/>
  <c r="H16" i="7"/>
  <c r="G17" i="7"/>
  <c r="G16" i="7"/>
  <c r="I17" i="7" l="1"/>
  <c r="P17" i="7"/>
  <c r="I16" i="7"/>
  <c r="P16" i="7"/>
  <c r="H38" i="7" l="1"/>
  <c r="G38" i="7"/>
  <c r="I38" i="7" l="1"/>
  <c r="D20" i="8"/>
  <c r="D19" i="8"/>
  <c r="E20" i="7"/>
  <c r="H20" i="7"/>
  <c r="P8" i="7"/>
  <c r="P7" i="7"/>
  <c r="H7" i="7"/>
  <c r="P5" i="7"/>
  <c r="H5" i="7"/>
  <c r="D21" i="8" l="1"/>
  <c r="E25" i="7" l="1"/>
  <c r="B5" i="4" l="1"/>
  <c r="B6" i="4"/>
  <c r="B7" i="4"/>
  <c r="B9" i="4"/>
  <c r="B8" i="4"/>
  <c r="B4" i="4"/>
  <c r="G15" i="7"/>
  <c r="F7" i="7" l="1"/>
  <c r="G7" i="7" s="1"/>
  <c r="I7" i="7" s="1"/>
  <c r="F5" i="7"/>
  <c r="G5" i="7" s="1"/>
  <c r="H22" i="7"/>
  <c r="H36" i="7"/>
  <c r="H34" i="7"/>
  <c r="P10" i="7"/>
  <c r="I5" i="7" l="1"/>
  <c r="H9" i="7"/>
  <c r="H6" i="7"/>
  <c r="H11" i="7"/>
  <c r="H15" i="7"/>
  <c r="I15" i="7" s="1"/>
  <c r="H19" i="7"/>
  <c r="H21" i="7"/>
  <c r="E52" i="7"/>
  <c r="C48" i="4"/>
  <c r="C49" i="4"/>
  <c r="H37" i="7"/>
  <c r="H10" i="7"/>
  <c r="F31" i="7"/>
  <c r="G31" i="7" s="1"/>
  <c r="H31" i="7"/>
  <c r="F32" i="7"/>
  <c r="G32" i="7" s="1"/>
  <c r="H32" i="7"/>
  <c r="H8" i="7"/>
  <c r="F34" i="7"/>
  <c r="H35" i="7"/>
  <c r="F36" i="7"/>
  <c r="P9" i="7"/>
  <c r="H43" i="7"/>
  <c r="H42" i="7"/>
  <c r="H41" i="7"/>
  <c r="P6" i="7"/>
  <c r="P15" i="7"/>
  <c r="P11" i="7"/>
  <c r="F4" i="4"/>
  <c r="H5" i="4"/>
  <c r="D6" i="4"/>
  <c r="C7" i="4"/>
  <c r="C5" i="4"/>
  <c r="E5" i="4"/>
  <c r="G5" i="4"/>
  <c r="F6" i="4"/>
  <c r="C6" i="4"/>
  <c r="D5" i="4"/>
  <c r="F5" i="4"/>
  <c r="E6" i="4"/>
  <c r="G6" i="4"/>
  <c r="H6" i="4"/>
  <c r="G4" i="4"/>
  <c r="H4" i="4"/>
  <c r="G51" i="4"/>
  <c r="G53" i="4" s="1"/>
  <c r="B50" i="4"/>
  <c r="B53" i="4" s="1"/>
  <c r="B10" i="4"/>
  <c r="G10" i="4" s="1"/>
  <c r="G9" i="4"/>
  <c r="F9" i="7"/>
  <c r="G9" i="7" s="1"/>
  <c r="F9" i="4"/>
  <c r="E9" i="4"/>
  <c r="D9" i="4"/>
  <c r="H8" i="4"/>
  <c r="G8" i="4"/>
  <c r="E8" i="4"/>
  <c r="D8" i="4"/>
  <c r="F10" i="4" l="1"/>
  <c r="P13" i="7"/>
  <c r="F21" i="7"/>
  <c r="G21" i="7" s="1"/>
  <c r="I21" i="7" s="1"/>
  <c r="F20" i="7"/>
  <c r="G20" i="7" s="1"/>
  <c r="F22" i="7"/>
  <c r="G22" i="7" s="1"/>
  <c r="F19" i="7"/>
  <c r="G19" i="7" s="1"/>
  <c r="H10" i="4"/>
  <c r="F43" i="7"/>
  <c r="G43" i="7" s="1"/>
  <c r="I43" i="7" s="1"/>
  <c r="B54" i="4"/>
  <c r="B56" i="4" s="1"/>
  <c r="F8" i="7"/>
  <c r="G8" i="7" s="1"/>
  <c r="I8" i="7" s="1"/>
  <c r="F8" i="8"/>
  <c r="E26" i="7"/>
  <c r="I36" i="7"/>
  <c r="I31" i="7"/>
  <c r="I32" i="7"/>
  <c r="I34" i="7"/>
  <c r="H7" i="4"/>
  <c r="G7" i="4"/>
  <c r="H25" i="7"/>
  <c r="F7" i="4"/>
  <c r="E7" i="4"/>
  <c r="D7" i="4"/>
  <c r="I9" i="7"/>
  <c r="H9" i="4"/>
  <c r="F10" i="7"/>
  <c r="G10" i="7" s="1"/>
  <c r="I10" i="7" s="1"/>
  <c r="C10" i="4"/>
  <c r="F37" i="7"/>
  <c r="G37" i="7" s="1"/>
  <c r="I37" i="7" s="1"/>
  <c r="F42" i="7"/>
  <c r="G42" i="7" s="1"/>
  <c r="I42" i="7" s="1"/>
  <c r="E10" i="4"/>
  <c r="C50" i="4"/>
  <c r="E4" i="4"/>
  <c r="C4" i="4"/>
  <c r="D4" i="4"/>
  <c r="D10" i="4"/>
  <c r="C9" i="4"/>
  <c r="F41" i="7"/>
  <c r="G41" i="7" s="1"/>
  <c r="I41" i="7" s="1"/>
  <c r="C8" i="4"/>
  <c r="F35" i="7"/>
  <c r="I35" i="7" s="1"/>
  <c r="F6" i="7"/>
  <c r="G6" i="7" s="1"/>
  <c r="F8" i="4"/>
  <c r="F11" i="7"/>
  <c r="G11" i="7" s="1"/>
  <c r="I11" i="7" s="1"/>
  <c r="P21" i="7" l="1"/>
  <c r="G13" i="7"/>
  <c r="I20" i="7"/>
  <c r="P20" i="7"/>
  <c r="P19" i="7"/>
  <c r="G25" i="7"/>
  <c r="I19" i="7"/>
  <c r="P22" i="7"/>
  <c r="I22" i="7"/>
  <c r="I6" i="7"/>
  <c r="I13" i="7" s="1"/>
  <c r="P25" i="7" l="1"/>
  <c r="F9" i="8" s="1"/>
  <c r="F10" i="8" s="1"/>
  <c r="I25" i="7"/>
  <c r="I26" i="7" s="1"/>
  <c r="E54" i="7" s="1"/>
  <c r="G26" i="7"/>
  <c r="E53" i="7"/>
  <c r="J17" i="7" l="1"/>
  <c r="K17" i="7" s="1"/>
  <c r="L17" i="7" s="1"/>
  <c r="M17" i="7" s="1"/>
  <c r="O17" i="7" s="1"/>
  <c r="J7" i="7"/>
  <c r="K7" i="7" s="1"/>
  <c r="L7" i="7" s="1"/>
  <c r="M7" i="7" s="1"/>
  <c r="O7" i="7" s="1"/>
  <c r="J11" i="7"/>
  <c r="K11" i="7" s="1"/>
  <c r="L11" i="7" s="1"/>
  <c r="M11" i="7" s="1"/>
  <c r="O11" i="7" s="1"/>
  <c r="J21" i="7"/>
  <c r="K21" i="7" s="1"/>
  <c r="L21" i="7" s="1"/>
  <c r="M21" i="7" s="1"/>
  <c r="O21" i="7" s="1"/>
  <c r="J34" i="7"/>
  <c r="K34" i="7" s="1"/>
  <c r="L34" i="7" s="1"/>
  <c r="M34" i="7" s="1"/>
  <c r="O34" i="7" s="1"/>
  <c r="J31" i="7"/>
  <c r="K31" i="7" s="1"/>
  <c r="L31" i="7" s="1"/>
  <c r="M31" i="7" s="1"/>
  <c r="O31" i="7" s="1"/>
  <c r="J8" i="7"/>
  <c r="K8" i="7" s="1"/>
  <c r="L8" i="7" s="1"/>
  <c r="M8" i="7" s="1"/>
  <c r="O8" i="7" s="1"/>
  <c r="J20" i="7"/>
  <c r="K20" i="7" s="1"/>
  <c r="L20" i="7" s="1"/>
  <c r="M20" i="7" s="1"/>
  <c r="O20" i="7" s="1"/>
  <c r="J22" i="7"/>
  <c r="K22" i="7" s="1"/>
  <c r="L22" i="7" s="1"/>
  <c r="M22" i="7" s="1"/>
  <c r="J19" i="7"/>
  <c r="K19" i="7" s="1"/>
  <c r="L19" i="7" s="1"/>
  <c r="M19" i="7" s="1"/>
  <c r="O19" i="7" s="1"/>
  <c r="J6" i="7"/>
  <c r="K6" i="7" s="1"/>
  <c r="L6" i="7" s="1"/>
  <c r="M6" i="7" s="1"/>
  <c r="O6" i="7" s="1"/>
  <c r="J42" i="7"/>
  <c r="K42" i="7" s="1"/>
  <c r="L42" i="7" s="1"/>
  <c r="M42" i="7" s="1"/>
  <c r="O42" i="7" s="1"/>
  <c r="J32" i="7"/>
  <c r="K32" i="7" s="1"/>
  <c r="L32" i="7" s="1"/>
  <c r="M32" i="7" s="1"/>
  <c r="O32" i="7" s="1"/>
  <c r="J38" i="7"/>
  <c r="K38" i="7" s="1"/>
  <c r="L38" i="7" s="1"/>
  <c r="M38" i="7" s="1"/>
  <c r="O38" i="7" s="1"/>
  <c r="J15" i="7"/>
  <c r="K15" i="7" s="1"/>
  <c r="L15" i="7" s="1"/>
  <c r="M15" i="7" s="1"/>
  <c r="O15" i="7" s="1"/>
  <c r="J36" i="7"/>
  <c r="K36" i="7" s="1"/>
  <c r="L36" i="7" s="1"/>
  <c r="M36" i="7" s="1"/>
  <c r="O36" i="7" s="1"/>
  <c r="J10" i="7"/>
  <c r="K10" i="7" s="1"/>
  <c r="L10" i="7" s="1"/>
  <c r="M10" i="7" s="1"/>
  <c r="O10" i="7" s="1"/>
  <c r="J35" i="7"/>
  <c r="K35" i="7" s="1"/>
  <c r="L35" i="7" s="1"/>
  <c r="M35" i="7" s="1"/>
  <c r="O35" i="7" s="1"/>
  <c r="J16" i="7"/>
  <c r="K16" i="7" s="1"/>
  <c r="L16" i="7" s="1"/>
  <c r="M16" i="7" s="1"/>
  <c r="O16" i="7" s="1"/>
  <c r="J5" i="7"/>
  <c r="J9" i="7"/>
  <c r="K9" i="7" s="1"/>
  <c r="L9" i="7" s="1"/>
  <c r="M9" i="7" s="1"/>
  <c r="O9" i="7" s="1"/>
  <c r="J41" i="7"/>
  <c r="K41" i="7" s="1"/>
  <c r="L41" i="7" s="1"/>
  <c r="M41" i="7" s="1"/>
  <c r="O41" i="7" s="1"/>
  <c r="J43" i="7"/>
  <c r="K43" i="7" s="1"/>
  <c r="L43" i="7" s="1"/>
  <c r="M43" i="7" s="1"/>
  <c r="O43" i="7" s="1"/>
  <c r="J37" i="7"/>
  <c r="K37" i="7" s="1"/>
  <c r="L37" i="7" s="1"/>
  <c r="M37" i="7" s="1"/>
  <c r="O37" i="7" s="1"/>
  <c r="P26" i="7"/>
  <c r="T37" i="7" l="1"/>
  <c r="U37" i="7" s="1"/>
  <c r="T20" i="7"/>
  <c r="U20" i="7" s="1"/>
  <c r="T43" i="7"/>
  <c r="U43" i="7" s="1"/>
  <c r="T15" i="7"/>
  <c r="U15" i="7" s="1"/>
  <c r="T8" i="7"/>
  <c r="U8" i="7" s="1"/>
  <c r="T41" i="7"/>
  <c r="U41" i="7" s="1"/>
  <c r="T38" i="7"/>
  <c r="U38" i="7" s="1"/>
  <c r="T31" i="7"/>
  <c r="U31" i="7" s="1"/>
  <c r="T9" i="7"/>
  <c r="U9" i="7" s="1"/>
  <c r="T32" i="7"/>
  <c r="U32" i="7"/>
  <c r="T34" i="7"/>
  <c r="U34" i="7" s="1"/>
  <c r="T42" i="7"/>
  <c r="U42" i="7" s="1"/>
  <c r="T21" i="7"/>
  <c r="U21" i="7" s="1"/>
  <c r="T16" i="7"/>
  <c r="U16" i="7" s="1"/>
  <c r="T11" i="7"/>
  <c r="U11" i="7" s="1"/>
  <c r="T36" i="7"/>
  <c r="U36" i="7" s="1"/>
  <c r="T35" i="7"/>
  <c r="U35" i="7"/>
  <c r="T19" i="7"/>
  <c r="U19" i="7"/>
  <c r="T7" i="7"/>
  <c r="U7" i="7" s="1"/>
  <c r="T6" i="7"/>
  <c r="U6" i="7" s="1"/>
  <c r="T10" i="7"/>
  <c r="U10" i="7" s="1"/>
  <c r="T17" i="7"/>
  <c r="U17" i="7" s="1"/>
  <c r="K5" i="7"/>
  <c r="L5" i="7" s="1"/>
  <c r="M5" i="7" s="1"/>
  <c r="O5" i="7" s="1"/>
  <c r="J13" i="7"/>
  <c r="Q21" i="7"/>
  <c r="R21" i="7" s="1"/>
  <c r="Q9" i="7"/>
  <c r="R9" i="7" s="1"/>
  <c r="Q15" i="7"/>
  <c r="R15" i="7" s="1"/>
  <c r="Q11" i="7"/>
  <c r="R11" i="7" s="1"/>
  <c r="Q20" i="7"/>
  <c r="R20" i="7" s="1"/>
  <c r="Q16" i="7"/>
  <c r="R16" i="7" s="1"/>
  <c r="Q8" i="7"/>
  <c r="R8" i="7" s="1"/>
  <c r="Q19" i="7"/>
  <c r="R19" i="7" s="1"/>
  <c r="Q7" i="7"/>
  <c r="R7" i="7" s="1"/>
  <c r="Q6" i="7"/>
  <c r="R6" i="7" s="1"/>
  <c r="Q10" i="7"/>
  <c r="R10" i="7" s="1"/>
  <c r="Q17" i="7"/>
  <c r="R17" i="7" s="1"/>
  <c r="J25" i="7"/>
  <c r="O22" i="7"/>
  <c r="V21" i="7" l="1"/>
  <c r="W21" i="7" s="1"/>
  <c r="V15" i="7"/>
  <c r="V8" i="7"/>
  <c r="W8" i="7" s="1"/>
  <c r="V17" i="7"/>
  <c r="W17" i="7" s="1"/>
  <c r="V20" i="7"/>
  <c r="W20" i="7" s="1"/>
  <c r="V6" i="7"/>
  <c r="W6" i="7" s="1"/>
  <c r="V7" i="7"/>
  <c r="W7" i="7" s="1"/>
  <c r="V16" i="7"/>
  <c r="W16" i="7" s="1"/>
  <c r="V10" i="7"/>
  <c r="W10" i="7" s="1"/>
  <c r="V9" i="7"/>
  <c r="W9" i="7" s="1"/>
  <c r="V11" i="7"/>
  <c r="W11" i="7" s="1"/>
  <c r="Q5" i="7"/>
  <c r="R5" i="7" s="1"/>
  <c r="R13" i="7" s="1"/>
  <c r="T5" i="7"/>
  <c r="U5" i="7" s="1"/>
  <c r="T22" i="7"/>
  <c r="U22" i="7" s="1"/>
  <c r="V19" i="7"/>
  <c r="W19" i="7" s="1"/>
  <c r="J26" i="7"/>
  <c r="Q13" i="7"/>
  <c r="Q22" i="7"/>
  <c r="R22" i="7" s="1"/>
  <c r="R25" i="7" s="1"/>
  <c r="Q25" i="7"/>
  <c r="W15" i="7" l="1"/>
  <c r="V5" i="7"/>
  <c r="V22" i="7"/>
  <c r="W22" i="7" s="1"/>
  <c r="Q26" i="7"/>
  <c r="R26" i="7"/>
  <c r="B61" i="4" s="1"/>
  <c r="B62" i="4" s="1"/>
  <c r="W5" i="7" l="1"/>
  <c r="W13" i="7" s="1"/>
  <c r="V13" i="7"/>
  <c r="H8" i="8" s="1"/>
  <c r="W25" i="7"/>
  <c r="W26" i="7" s="1"/>
  <c r="V25" i="7"/>
  <c r="B65" i="4"/>
  <c r="B66" i="4" s="1"/>
  <c r="C66" i="4" s="1"/>
  <c r="J8" i="8" l="1"/>
  <c r="L8" i="8"/>
  <c r="V26" i="7"/>
  <c r="H9" i="8"/>
  <c r="L9" i="8" l="1"/>
  <c r="J9" i="8"/>
  <c r="J10" i="8" s="1"/>
  <c r="H10" i="8"/>
  <c r="L10" i="8" s="1"/>
</calcChain>
</file>

<file path=xl/sharedStrings.xml><?xml version="1.0" encoding="utf-8"?>
<sst xmlns="http://schemas.openxmlformats.org/spreadsheetml/2006/main" count="174" uniqueCount="154">
  <si>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</si>
  <si>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</si>
  <si>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</si>
  <si>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</si>
  <si>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</si>
  <si>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</si>
  <si>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</si>
  <si>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</si>
  <si>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</si>
  <si>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</si>
  <si>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</si>
  <si>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</si>
  <si>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</si>
  <si>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</si>
  <si>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</si>
  <si>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</si>
  <si>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</si>
  <si>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</si>
  <si>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</si>
  <si>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</si>
  <si>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</si>
  <si>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</si>
  <si>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</si>
  <si>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</si>
  <si>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</si>
  <si>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</si>
  <si>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</si>
  <si>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</si>
  <si>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</si>
  <si>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</si>
  <si>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</si>
  <si>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</si>
  <si>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</si>
  <si>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</si>
  <si>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</si>
  <si>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</si>
  <si>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</si>
  <si>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</si>
  <si>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</si>
  <si>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</si>
  <si>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</si>
  <si>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</si>
  <si>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</si>
  <si>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</si>
  <si>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</si>
  <si>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</si>
  <si>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</si>
  <si>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</si>
  <si>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</si>
  <si>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</si>
  <si>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</si>
  <si>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</si>
  <si>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</si>
  <si>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</si>
  <si>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</si>
  <si>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</si>
  <si>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</si>
  <si>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</si>
  <si>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</si>
  <si>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</si>
  <si>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</si>
  <si>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</si>
  <si>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</si>
  <si>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</si>
  <si>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</si>
  <si>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</si>
  <si>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</si>
  <si>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</si>
  <si>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</si>
  <si>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</si>
  <si>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</si>
  <si>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</si>
  <si>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</si>
  <si>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</si>
  <si>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</si>
  <si>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</si>
  <si>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</si>
  <si>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</si>
  <si>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</si>
  <si>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</si>
  <si>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</si>
  <si>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</si>
  <si>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</si>
  <si>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</si>
  <si>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</si>
  <si>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</si>
  <si>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</si>
  <si>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</si>
  <si>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</si>
  <si>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</si>
  <si>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</si>
  <si>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</si>
  <si>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</si>
  <si>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</si>
  <si>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35 gallon Can</t>
  </si>
  <si>
    <t>64 gal cart weekly</t>
  </si>
  <si>
    <t>32 Gal weekly</t>
  </si>
  <si>
    <t>96 gal cart weekly</t>
  </si>
  <si>
    <t>Res_Extra_bag/Box</t>
  </si>
  <si>
    <t>Extra_Yards</t>
  </si>
  <si>
    <t>1 Can 1/MG</t>
  </si>
  <si>
    <t>2 Cans WG</t>
  </si>
  <si>
    <t>3 Cans WG</t>
  </si>
  <si>
    <t>Add'l yards (cust load)</t>
  </si>
  <si>
    <t>1-4 yards (comp load)</t>
  </si>
  <si>
    <t>Add'l yards (comp load)</t>
  </si>
  <si>
    <t>Company        Calculated Rate</t>
  </si>
  <si>
    <t>Company    Current Tariff</t>
  </si>
  <si>
    <t>Company Calculated Revenue</t>
  </si>
  <si>
    <t>64-gallon toter-occasional Extra</t>
  </si>
  <si>
    <t>96-gallon toter-occasional Extra</t>
  </si>
  <si>
    <t>"on call" Service</t>
  </si>
  <si>
    <t>Basin Disposal, Inc.</t>
  </si>
  <si>
    <t>Calculated Revenue Increase</t>
  </si>
  <si>
    <t>Residential - from calculation worksheet</t>
  </si>
  <si>
    <t>Current</t>
  </si>
  <si>
    <t>Revenue</t>
  </si>
  <si>
    <t xml:space="preserve">Proposed </t>
  </si>
  <si>
    <t xml:space="preserve">Commercial </t>
  </si>
  <si>
    <t>Disposal Rate Per Ton</t>
  </si>
  <si>
    <t>Percentage</t>
  </si>
  <si>
    <t>Dollars</t>
  </si>
  <si>
    <t>Basin Dispsoal of Yakima, LLC - G-45</t>
  </si>
  <si>
    <t>Yakima County Landfills &amp; Transfer Stations</t>
  </si>
  <si>
    <t>Mini Can</t>
  </si>
  <si>
    <t>2 Can 32 Gal weekly</t>
  </si>
  <si>
    <t>1.5 Yard - Additional Pickup</t>
  </si>
  <si>
    <t>1.5 Yard - 1st Pickup (300 Gallon)</t>
  </si>
  <si>
    <t>1.5 Yard - Special Pickup</t>
  </si>
  <si>
    <t>1.5 Yard - Temporary</t>
  </si>
  <si>
    <t>32 gal can weekly</t>
  </si>
  <si>
    <t>Basin Disposoal of Yakima, LLC G-45</t>
  </si>
  <si>
    <t>220 Gallon (1 Yard)</t>
  </si>
  <si>
    <t>32 gal can special pickup</t>
  </si>
  <si>
    <t>32 gal can temporary</t>
  </si>
  <si>
    <t>Type</t>
  </si>
  <si>
    <t>Core Service Code</t>
  </si>
  <si>
    <t>RES_32GAL_1X</t>
  </si>
  <si>
    <t>RES_64GAL_1X</t>
  </si>
  <si>
    <t>RES_96GAL_1X</t>
  </si>
  <si>
    <t>RES_EXTRA_CAN</t>
  </si>
  <si>
    <t>COM_300GAL_1X</t>
  </si>
  <si>
    <t>COM_300GAL_SPEC_PICK_UP</t>
  </si>
  <si>
    <t>RES_EXTRA_YDS</t>
  </si>
  <si>
    <t>COM_220GAL_1X</t>
  </si>
  <si>
    <t>RES_64GAL_SPEC_PICK_UP</t>
  </si>
  <si>
    <t>RES_96GAL_SPEC_PICK_UP</t>
  </si>
  <si>
    <t>TEMP_300_GAL</t>
  </si>
  <si>
    <t>Pre B&amp;O Increase</t>
  </si>
  <si>
    <t>B&amp;O Tax Increase</t>
  </si>
  <si>
    <t>Company Proposed Rate w/B&amp;O Increase</t>
  </si>
  <si>
    <t>Company Calculated Revenue (B&amp;O incorporated in grossup)</t>
  </si>
  <si>
    <t>Revised Revenue Increase B&amp;O Only</t>
  </si>
  <si>
    <t>As a result of increased B&amp;O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</si>
</sst>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 d\,\ yyyy;@"/>
    <numFmt numFmtId="173" formatCode="0.000%"/>
  </numFmts>
  <fonts count="6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  <xf numFmtId="0" fontId="61" fillId="0" borderId="0"/>
  </cellStyleXfs>
  <cellXfs count="198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43" fontId="0" fillId="36" borderId="4" xfId="0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44" fontId="0" fillId="32" borderId="0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/>
    <xf numFmtId="166" fontId="11" fillId="0" borderId="0" xfId="83" applyNumberFormat="1" applyFont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44" fontId="0" fillId="37" borderId="0" xfId="126" applyFont="1" applyFill="1" applyBorder="1"/>
    <xf numFmtId="3" fontId="11" fillId="38" borderId="0" xfId="200" applyNumberFormat="1" applyFont="1" applyFill="1"/>
    <xf numFmtId="43" fontId="0" fillId="38" borderId="0" xfId="82" applyNumberFormat="1" applyFont="1" applyFill="1" applyBorder="1"/>
    <xf numFmtId="166" fontId="11" fillId="38" borderId="0" xfId="82" applyNumberFormat="1" applyFont="1" applyFill="1"/>
    <xf numFmtId="166" fontId="11" fillId="38" borderId="0" xfId="83" applyNumberFormat="1" applyFont="1" applyFill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44" fontId="0" fillId="39" borderId="0" xfId="126" applyFont="1" applyFill="1" applyBorder="1"/>
    <xf numFmtId="44" fontId="0" fillId="40" borderId="0" xfId="126" applyFont="1" applyFill="1" applyBorder="1"/>
    <xf numFmtId="3" fontId="11" fillId="41" borderId="0" xfId="200" applyNumberFormat="1" applyFont="1" applyFill="1"/>
    <xf numFmtId="166" fontId="0" fillId="41" borderId="0" xfId="82" applyNumberFormat="1" applyFont="1" applyFill="1" applyBorder="1"/>
    <xf numFmtId="43" fontId="0" fillId="41" borderId="0" xfId="82" applyNumberFormat="1" applyFont="1" applyFill="1" applyBorder="1"/>
    <xf numFmtId="166" fontId="11" fillId="41" borderId="0" xfId="83" applyNumberFormat="1" applyFont="1" applyFill="1"/>
    <xf numFmtId="166" fontId="0" fillId="41" borderId="0" xfId="82" applyNumberFormat="1" applyFont="1" applyFill="1" applyBorder="1" applyAlignment="1">
      <alignment horizontal="center" wrapText="1"/>
    </xf>
    <xf numFmtId="44" fontId="0" fillId="41" borderId="0" xfId="126" applyFont="1" applyFill="1" applyBorder="1"/>
    <xf numFmtId="1" fontId="0" fillId="0" borderId="0" xfId="82" applyNumberFormat="1" applyFont="1" applyBorder="1"/>
    <xf numFmtId="1" fontId="0" fillId="0" borderId="0" xfId="0" applyNumberFormat="1" applyFont="1" applyBorder="1"/>
    <xf numFmtId="1" fontId="0" fillId="38" borderId="0" xfId="0" applyNumberFormat="1" applyFont="1" applyFill="1" applyBorder="1"/>
    <xf numFmtId="1" fontId="0" fillId="41" borderId="0" xfId="82" applyNumberFormat="1" applyFont="1" applyFill="1" applyBorder="1"/>
    <xf numFmtId="0" fontId="60" fillId="0" borderId="0" xfId="0" applyFont="1" applyBorder="1" applyAlignment="1">
      <alignment horizontal="centerContinuous"/>
    </xf>
    <xf numFmtId="166" fontId="60" fillId="0" borderId="0" xfId="82" applyNumberFormat="1" applyFont="1" applyBorder="1" applyAlignment="1">
      <alignment horizontal="centerContinuous"/>
    </xf>
    <xf numFmtId="3" fontId="0" fillId="0" borderId="0" xfId="0" applyNumberFormat="1"/>
    <xf numFmtId="0" fontId="0" fillId="42" borderId="4" xfId="0" applyFont="1" applyFill="1" applyBorder="1" applyAlignment="1">
      <alignment horizontal="center"/>
    </xf>
    <xf numFmtId="0" fontId="0" fillId="42" borderId="0" xfId="0" applyFont="1" applyFill="1" applyAlignment="1">
      <alignment horizontal="left"/>
    </xf>
    <xf numFmtId="44" fontId="0" fillId="42" borderId="0" xfId="126" applyFont="1" applyFill="1"/>
    <xf numFmtId="44" fontId="0" fillId="42" borderId="4" xfId="126" applyFont="1" applyFill="1" applyBorder="1"/>
    <xf numFmtId="0" fontId="0" fillId="42" borderId="0" xfId="0" applyFont="1" applyFill="1" applyAlignment="1">
      <alignment horizontal="left" indent="1"/>
    </xf>
    <xf numFmtId="10" fontId="0" fillId="0" borderId="0" xfId="0" applyNumberFormat="1"/>
    <xf numFmtId="3" fontId="0" fillId="0" borderId="4" xfId="0" applyNumberFormat="1" applyBorder="1"/>
    <xf numFmtId="10" fontId="0" fillId="0" borderId="4" xfId="0" applyNumberFormat="1" applyBorder="1"/>
    <xf numFmtId="0" fontId="60" fillId="0" borderId="0" xfId="0" applyFont="1" applyAlignment="1">
      <alignment horizontal="centerContinuous"/>
    </xf>
    <xf numFmtId="172" fontId="60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4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Alignment="1">
      <alignment vertical="center" wrapText="1"/>
    </xf>
    <xf numFmtId="44" fontId="11" fillId="43" borderId="0" xfId="129" applyFont="1" applyFill="1"/>
    <xf numFmtId="44" fontId="0" fillId="43" borderId="0" xfId="126" applyFont="1" applyFill="1" applyBorder="1"/>
    <xf numFmtId="44" fontId="11" fillId="43" borderId="0" xfId="126" applyFont="1" applyFill="1" applyBorder="1"/>
    <xf numFmtId="0" fontId="0" fillId="43" borderId="0" xfId="0" applyFont="1" applyFill="1" applyBorder="1"/>
    <xf numFmtId="167" fontId="0" fillId="44" borderId="0" xfId="82" applyNumberFormat="1" applyFont="1" applyFill="1"/>
    <xf numFmtId="167" fontId="0" fillId="44" borderId="0" xfId="82" applyNumberFormat="1" applyFont="1" applyFill="1" applyBorder="1"/>
    <xf numFmtId="0" fontId="3" fillId="45" borderId="0" xfId="0" applyFont="1" applyFill="1" applyBorder="1" applyAlignment="1">
      <alignment horizontal="center" wrapText="1"/>
    </xf>
    <xf numFmtId="0" fontId="0" fillId="45" borderId="0" xfId="0" applyFont="1" applyFill="1" applyBorder="1"/>
    <xf numFmtId="44" fontId="0" fillId="45" borderId="0" xfId="126" applyFont="1" applyFill="1" applyBorder="1"/>
    <xf numFmtId="3" fontId="3" fillId="45" borderId="0" xfId="0" applyNumberFormat="1" applyFont="1" applyFill="1" applyBorder="1" applyAlignment="1">
      <alignment horizontal="right"/>
    </xf>
    <xf numFmtId="173" fontId="3" fillId="36" borderId="4" xfId="338" applyNumberFormat="1" applyFont="1" applyFill="1" applyBorder="1" applyAlignment="1">
      <alignment horizontal="center" vertical="center" wrapText="1"/>
    </xf>
    <xf numFmtId="44" fontId="0" fillId="37" borderId="0" xfId="126" applyNumberFormat="1" applyFont="1" applyFill="1" applyBorder="1"/>
    <xf numFmtId="165" fontId="0" fillId="32" borderId="0" xfId="126" applyNumberFormat="1" applyFont="1" applyFill="1" applyBorder="1"/>
    <xf numFmtId="164" fontId="3" fillId="0" borderId="0" xfId="126" applyNumberFormat="1" applyFont="1" applyBorder="1" applyAlignment="1">
      <alignment horizontal="right"/>
    </xf>
    <xf numFmtId="0" fontId="62" fillId="44" borderId="0" xfId="0" applyFont="1" applyFill="1" applyBorder="1" applyAlignment="1">
      <alignment horizontal="center" vertical="center"/>
    </xf>
    <xf numFmtId="0" fontId="62" fillId="44" borderId="0" xfId="0" applyFont="1" applyFill="1" applyAlignment="1">
      <alignment horizontal="center" wrapText="1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vertical="top" textRotation="90"/>
    </xf>
    <xf numFmtId="0" fontId="0" fillId="0" borderId="0" xfId="0" applyAlignment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0" fillId="44" borderId="0" xfId="126" applyFont="1" applyFill="1" applyBorder="1"/>
  </cellXfs>
  <cellStyles count="391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4 2" xfId="9" xr:uid="{00000000-0005-0000-0000-000008000000}"/>
    <cellStyle name="20% - Accent4 2 2" xfId="10" xr:uid="{00000000-0005-0000-0000-000009000000}"/>
    <cellStyle name="20% - Accent4 3" xfId="11" xr:uid="{00000000-0005-0000-0000-00000A000000}"/>
    <cellStyle name="20% - Accent4 3 2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40% - Accent1 2" xfId="17" xr:uid="{00000000-0005-0000-0000-000010000000}"/>
    <cellStyle name="40% - Accent1 3" xfId="18" xr:uid="{00000000-0005-0000-0000-000011000000}"/>
    <cellStyle name="40% - Accent1 3 2" xfId="19" xr:uid="{00000000-0005-0000-0000-000012000000}"/>
    <cellStyle name="40% - Accent2 2" xfId="20" xr:uid="{00000000-0005-0000-0000-000013000000}"/>
    <cellStyle name="40% - Accent2 3" xfId="21" xr:uid="{00000000-0005-0000-0000-000014000000}"/>
    <cellStyle name="40% - Accent3 2" xfId="22" xr:uid="{00000000-0005-0000-0000-000015000000}"/>
    <cellStyle name="40% - Accent3 3" xfId="23" xr:uid="{00000000-0005-0000-0000-000016000000}"/>
    <cellStyle name="40% - Accent4 2" xfId="24" xr:uid="{00000000-0005-0000-0000-000017000000}"/>
    <cellStyle name="40% - Accent4 3" xfId="25" xr:uid="{00000000-0005-0000-0000-000018000000}"/>
    <cellStyle name="40% - Accent4 3 2" xfId="26" xr:uid="{00000000-0005-0000-0000-000019000000}"/>
    <cellStyle name="40% - Accent5 2" xfId="27" xr:uid="{00000000-0005-0000-0000-00001A000000}"/>
    <cellStyle name="40% - Accent5 3" xfId="28" xr:uid="{00000000-0005-0000-0000-00001B000000}"/>
    <cellStyle name="40% - Accent6 2" xfId="29" xr:uid="{00000000-0005-0000-0000-00001C000000}"/>
    <cellStyle name="40% - Accent6 3" xfId="30" xr:uid="{00000000-0005-0000-0000-00001D000000}"/>
    <cellStyle name="40% - Accent6 3 2" xfId="31" xr:uid="{00000000-0005-0000-0000-00001E000000}"/>
    <cellStyle name="60% - Accent1 2" xfId="32" xr:uid="{00000000-0005-0000-0000-00001F000000}"/>
    <cellStyle name="60% - Accent1 2 2" xfId="33" xr:uid="{00000000-0005-0000-0000-000020000000}"/>
    <cellStyle name="60% - Accent1 3" xfId="34" xr:uid="{00000000-0005-0000-0000-000021000000}"/>
    <cellStyle name="60% - Accent1 3 2" xfId="35" xr:uid="{00000000-0005-0000-0000-000022000000}"/>
    <cellStyle name="60% - Accent2 2" xfId="36" xr:uid="{00000000-0005-0000-0000-000023000000}"/>
    <cellStyle name="60% - Accent2 3" xfId="37" xr:uid="{00000000-0005-0000-0000-000024000000}"/>
    <cellStyle name="60% - Accent3 2" xfId="38" xr:uid="{00000000-0005-0000-0000-000025000000}"/>
    <cellStyle name="60% - Accent3 3" xfId="39" xr:uid="{00000000-0005-0000-0000-000026000000}"/>
    <cellStyle name="60% - Accent3 3 2" xfId="40" xr:uid="{00000000-0005-0000-0000-000027000000}"/>
    <cellStyle name="60% - Accent4 2" xfId="41" xr:uid="{00000000-0005-0000-0000-000028000000}"/>
    <cellStyle name="60% - Accent4 3" xfId="42" xr:uid="{00000000-0005-0000-0000-000029000000}"/>
    <cellStyle name="60% - Accent4 3 2" xfId="43" xr:uid="{00000000-0005-0000-0000-00002A000000}"/>
    <cellStyle name="60% - Accent5 2" xfId="44" xr:uid="{00000000-0005-0000-0000-00002B000000}"/>
    <cellStyle name="60% - Accent5 2 2" xfId="45" xr:uid="{00000000-0005-0000-0000-00002C000000}"/>
    <cellStyle name="60% - Accent5 3" xfId="46" xr:uid="{00000000-0005-0000-0000-00002D000000}"/>
    <cellStyle name="60% - Accent6 2" xfId="47" xr:uid="{00000000-0005-0000-0000-00002E000000}"/>
    <cellStyle name="60% - Accent6 3" xfId="48" xr:uid="{00000000-0005-0000-0000-00002F000000}"/>
    <cellStyle name="Accent1 2" xfId="49" xr:uid="{00000000-0005-0000-0000-000030000000}"/>
    <cellStyle name="Accent1 2 2" xfId="50" xr:uid="{00000000-0005-0000-0000-000031000000}"/>
    <cellStyle name="Accent1 3" xfId="51" xr:uid="{00000000-0005-0000-0000-000032000000}"/>
    <cellStyle name="Accent1 3 2" xfId="52" xr:uid="{00000000-0005-0000-0000-000033000000}"/>
    <cellStyle name="Accent2 2" xfId="53" xr:uid="{00000000-0005-0000-0000-000034000000}"/>
    <cellStyle name="Accent2 3" xfId="54" xr:uid="{00000000-0005-0000-0000-000035000000}"/>
    <cellStyle name="Accent3 2" xfId="55" xr:uid="{00000000-0005-0000-0000-000036000000}"/>
    <cellStyle name="Accent3 2 2" xfId="56" xr:uid="{00000000-0005-0000-0000-000037000000}"/>
    <cellStyle name="Accent3 3" xfId="57" xr:uid="{00000000-0005-0000-0000-000038000000}"/>
    <cellStyle name="Accent4 2" xfId="58" xr:uid="{00000000-0005-0000-0000-000039000000}"/>
    <cellStyle name="Accent4 3" xfId="59" xr:uid="{00000000-0005-0000-0000-00003A000000}"/>
    <cellStyle name="Accent5 2" xfId="60" xr:uid="{00000000-0005-0000-0000-00003B000000}"/>
    <cellStyle name="Accent5 3" xfId="61" xr:uid="{00000000-0005-0000-0000-00003C000000}"/>
    <cellStyle name="Accent6 2" xfId="62" xr:uid="{00000000-0005-0000-0000-00003D000000}"/>
    <cellStyle name="Accent6 2 2" xfId="63" xr:uid="{00000000-0005-0000-0000-00003E000000}"/>
    <cellStyle name="Accent6 3" xfId="64" xr:uid="{00000000-0005-0000-0000-00003F000000}"/>
    <cellStyle name="Accounting" xfId="65" xr:uid="{00000000-0005-0000-0000-000040000000}"/>
    <cellStyle name="Accounting 2" xfId="66" xr:uid="{00000000-0005-0000-0000-000041000000}"/>
    <cellStyle name="Accounting 3" xfId="67" xr:uid="{00000000-0005-0000-0000-000042000000}"/>
    <cellStyle name="Accounting_2011-11" xfId="68" xr:uid="{00000000-0005-0000-0000-000043000000}"/>
    <cellStyle name="Bad 2" xfId="69" xr:uid="{00000000-0005-0000-0000-000044000000}"/>
    <cellStyle name="Bad 3" xfId="70" xr:uid="{00000000-0005-0000-0000-000045000000}"/>
    <cellStyle name="Budget" xfId="71" xr:uid="{00000000-0005-0000-0000-000046000000}"/>
    <cellStyle name="Budget 2" xfId="72" xr:uid="{00000000-0005-0000-0000-000047000000}"/>
    <cellStyle name="Budget 3" xfId="73" xr:uid="{00000000-0005-0000-0000-000048000000}"/>
    <cellStyle name="Budget_2011-11" xfId="74" xr:uid="{00000000-0005-0000-0000-000049000000}"/>
    <cellStyle name="Calculation 2" xfId="75" xr:uid="{00000000-0005-0000-0000-00004A000000}"/>
    <cellStyle name="Calculation 2 2" xfId="76" xr:uid="{00000000-0005-0000-0000-00004B000000}"/>
    <cellStyle name="Calculation 3" xfId="77" xr:uid="{00000000-0005-0000-0000-00004C000000}"/>
    <cellStyle name="Calculation 3 2" xfId="78" xr:uid="{00000000-0005-0000-0000-00004D000000}"/>
    <cellStyle name="Check Cell 2" xfId="79" xr:uid="{00000000-0005-0000-0000-00004E000000}"/>
    <cellStyle name="Check Cell 3" xfId="80" xr:uid="{00000000-0005-0000-0000-00004F000000}"/>
    <cellStyle name="combo" xfId="81" xr:uid="{00000000-0005-0000-0000-000050000000}"/>
    <cellStyle name="Comma" xfId="82" builtinId="3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2 2" xfId="86" xr:uid="{00000000-0005-0000-0000-000055000000}"/>
    <cellStyle name="Comma 12 3" xfId="87" xr:uid="{00000000-0005-0000-0000-000056000000}"/>
    <cellStyle name="Comma 13" xfId="88" xr:uid="{00000000-0005-0000-0000-000057000000}"/>
    <cellStyle name="Comma 14" xfId="89" xr:uid="{00000000-0005-0000-0000-000058000000}"/>
    <cellStyle name="Comma 15" xfId="90" xr:uid="{00000000-0005-0000-0000-000059000000}"/>
    <cellStyle name="Comma 16" xfId="91" xr:uid="{00000000-0005-0000-0000-00005A000000}"/>
    <cellStyle name="Comma 17" xfId="92" xr:uid="{00000000-0005-0000-0000-00005B000000}"/>
    <cellStyle name="Comma 18" xfId="93" xr:uid="{00000000-0005-0000-0000-00005C000000}"/>
    <cellStyle name="Comma 19" xfId="94" xr:uid="{00000000-0005-0000-0000-00005D000000}"/>
    <cellStyle name="Comma 2" xfId="95" xr:uid="{00000000-0005-0000-0000-00005E000000}"/>
    <cellStyle name="Comma 2 2" xfId="96" xr:uid="{00000000-0005-0000-0000-00005F000000}"/>
    <cellStyle name="Comma 2 2 2" xfId="97" xr:uid="{00000000-0005-0000-0000-000060000000}"/>
    <cellStyle name="Comma 2 3" xfId="98" xr:uid="{00000000-0005-0000-0000-000061000000}"/>
    <cellStyle name="Comma 2 4" xfId="99" xr:uid="{00000000-0005-0000-0000-000062000000}"/>
    <cellStyle name="Comma 2 6" xfId="100" xr:uid="{00000000-0005-0000-0000-000063000000}"/>
    <cellStyle name="Comma 2 6 2" xfId="101" xr:uid="{00000000-0005-0000-0000-000064000000}"/>
    <cellStyle name="Comma 20" xfId="102" xr:uid="{00000000-0005-0000-0000-000065000000}"/>
    <cellStyle name="Comma 3" xfId="103" xr:uid="{00000000-0005-0000-0000-000066000000}"/>
    <cellStyle name="Comma 3 2" xfId="104" xr:uid="{00000000-0005-0000-0000-000067000000}"/>
    <cellStyle name="Comma 3 2 2" xfId="105" xr:uid="{00000000-0005-0000-0000-000068000000}"/>
    <cellStyle name="Comma 3 3" xfId="106" xr:uid="{00000000-0005-0000-0000-000069000000}"/>
    <cellStyle name="Comma 3 4" xfId="107" xr:uid="{00000000-0005-0000-0000-00006A000000}"/>
    <cellStyle name="Comma 4" xfId="108" xr:uid="{00000000-0005-0000-0000-00006B000000}"/>
    <cellStyle name="Comma 4 2" xfId="109" xr:uid="{00000000-0005-0000-0000-00006C000000}"/>
    <cellStyle name="Comma 4 2 2" xfId="110" xr:uid="{00000000-0005-0000-0000-00006D000000}"/>
    <cellStyle name="Comma 4 3" xfId="111" xr:uid="{00000000-0005-0000-0000-00006E000000}"/>
    <cellStyle name="Comma 4 3 2" xfId="112" xr:uid="{00000000-0005-0000-0000-00006F000000}"/>
    <cellStyle name="Comma 4 4" xfId="113" xr:uid="{00000000-0005-0000-0000-000070000000}"/>
    <cellStyle name="Comma 4 5" xfId="114" xr:uid="{00000000-0005-0000-0000-000071000000}"/>
    <cellStyle name="Comma 4 6" xfId="115" xr:uid="{00000000-0005-0000-0000-000072000000}"/>
    <cellStyle name="Comma 5" xfId="116" xr:uid="{00000000-0005-0000-0000-000073000000}"/>
    <cellStyle name="Comma 6" xfId="117" xr:uid="{00000000-0005-0000-0000-000074000000}"/>
    <cellStyle name="Comma 6 2" xfId="118" xr:uid="{00000000-0005-0000-0000-000075000000}"/>
    <cellStyle name="Comma 7" xfId="119" xr:uid="{00000000-0005-0000-0000-000076000000}"/>
    <cellStyle name="Comma 8" xfId="120" xr:uid="{00000000-0005-0000-0000-000077000000}"/>
    <cellStyle name="Comma 9" xfId="121" xr:uid="{00000000-0005-0000-0000-000078000000}"/>
    <cellStyle name="Comma(2)" xfId="122" xr:uid="{00000000-0005-0000-0000-000079000000}"/>
    <cellStyle name="Comma0 - Style2" xfId="123" xr:uid="{00000000-0005-0000-0000-00007A000000}"/>
    <cellStyle name="Comma1 - Style1" xfId="124" xr:uid="{00000000-0005-0000-0000-00007B000000}"/>
    <cellStyle name="Comments" xfId="125" xr:uid="{00000000-0005-0000-0000-00007C000000}"/>
    <cellStyle name="Currency" xfId="126" builtinId="4"/>
    <cellStyle name="Currency 10" xfId="127" xr:uid="{00000000-0005-0000-0000-00007E000000}"/>
    <cellStyle name="Currency 11" xfId="128" xr:uid="{00000000-0005-0000-0000-00007F000000}"/>
    <cellStyle name="Currency 2" xfId="129" xr:uid="{00000000-0005-0000-0000-000080000000}"/>
    <cellStyle name="Currency 2 2" xfId="130" xr:uid="{00000000-0005-0000-0000-000081000000}"/>
    <cellStyle name="Currency 2 2 2" xfId="131" xr:uid="{00000000-0005-0000-0000-000082000000}"/>
    <cellStyle name="Currency 2 3" xfId="132" xr:uid="{00000000-0005-0000-0000-000083000000}"/>
    <cellStyle name="Currency 2 3 2" xfId="133" xr:uid="{00000000-0005-0000-0000-000084000000}"/>
    <cellStyle name="Currency 2 6" xfId="134" xr:uid="{00000000-0005-0000-0000-000085000000}"/>
    <cellStyle name="Currency 2 6 2" xfId="135" xr:uid="{00000000-0005-0000-0000-000086000000}"/>
    <cellStyle name="Currency 3" xfId="136" xr:uid="{00000000-0005-0000-0000-000087000000}"/>
    <cellStyle name="Currency 3 2" xfId="137" xr:uid="{00000000-0005-0000-0000-000088000000}"/>
    <cellStyle name="Currency 3 3" xfId="138" xr:uid="{00000000-0005-0000-0000-000089000000}"/>
    <cellStyle name="Currency 3 4" xfId="139" xr:uid="{00000000-0005-0000-0000-00008A000000}"/>
    <cellStyle name="Currency 4" xfId="140" xr:uid="{00000000-0005-0000-0000-00008B000000}"/>
    <cellStyle name="Currency 4 2" xfId="141" xr:uid="{00000000-0005-0000-0000-00008C000000}"/>
    <cellStyle name="Currency 5" xfId="142" xr:uid="{00000000-0005-0000-0000-00008D000000}"/>
    <cellStyle name="Currency 5 2" xfId="143" xr:uid="{00000000-0005-0000-0000-00008E000000}"/>
    <cellStyle name="Currency 5 3" xfId="144" xr:uid="{00000000-0005-0000-0000-00008F000000}"/>
    <cellStyle name="Currency 6" xfId="145" xr:uid="{00000000-0005-0000-0000-000090000000}"/>
    <cellStyle name="Currency 7" xfId="146" xr:uid="{00000000-0005-0000-0000-000091000000}"/>
    <cellStyle name="Currency 8" xfId="147" xr:uid="{00000000-0005-0000-0000-000092000000}"/>
    <cellStyle name="Currency 9" xfId="148" xr:uid="{00000000-0005-0000-0000-000093000000}"/>
    <cellStyle name="Data Enter" xfId="149" xr:uid="{00000000-0005-0000-0000-000094000000}"/>
    <cellStyle name="date" xfId="150" xr:uid="{00000000-0005-0000-0000-000095000000}"/>
    <cellStyle name="Explanatory Text 2" xfId="151" xr:uid="{00000000-0005-0000-0000-000096000000}"/>
    <cellStyle name="Explanatory Text 3" xfId="152" xr:uid="{00000000-0005-0000-0000-000097000000}"/>
    <cellStyle name="FactSheet" xfId="153" xr:uid="{00000000-0005-0000-0000-000098000000}"/>
    <cellStyle name="fish" xfId="154" xr:uid="{00000000-0005-0000-0000-000099000000}"/>
    <cellStyle name="Good 2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3" xfId="159" xr:uid="{00000000-0005-0000-0000-00009E000000}"/>
    <cellStyle name="Heading 1 3 2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3" xfId="163" xr:uid="{00000000-0005-0000-0000-0000A2000000}"/>
    <cellStyle name="Heading 2 3 2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3" xfId="167" xr:uid="{00000000-0005-0000-0000-0000A6000000}"/>
    <cellStyle name="Heading 3 3 2" xfId="168" xr:uid="{00000000-0005-0000-0000-0000A7000000}"/>
    <cellStyle name="Heading 4 2" xfId="169" xr:uid="{00000000-0005-0000-0000-0000A8000000}"/>
    <cellStyle name="Heading 4 3" xfId="170" xr:uid="{00000000-0005-0000-0000-0000A9000000}"/>
    <cellStyle name="Hyperlink 2" xfId="171" xr:uid="{00000000-0005-0000-0000-0000AA000000}"/>
    <cellStyle name="Hyperlink 3" xfId="172" xr:uid="{00000000-0005-0000-0000-0000AB000000}"/>
    <cellStyle name="Hyperlink 3 2" xfId="173" xr:uid="{00000000-0005-0000-0000-0000AC000000}"/>
    <cellStyle name="Input 2" xfId="174" xr:uid="{00000000-0005-0000-0000-0000AD000000}"/>
    <cellStyle name="Input 3" xfId="175" xr:uid="{00000000-0005-0000-0000-0000AE000000}"/>
    <cellStyle name="input(0)" xfId="176" xr:uid="{00000000-0005-0000-0000-0000AF000000}"/>
    <cellStyle name="Input(2)" xfId="177" xr:uid="{00000000-0005-0000-0000-0000B0000000}"/>
    <cellStyle name="Linked Cell 2" xfId="178" xr:uid="{00000000-0005-0000-0000-0000B1000000}"/>
    <cellStyle name="Linked Cell 2 2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3" xfId="183" xr:uid="{00000000-0005-0000-0000-0000B6000000}"/>
    <cellStyle name="New_normal" xfId="184" xr:uid="{00000000-0005-0000-0000-0000B7000000}"/>
    <cellStyle name="Normal" xfId="0" builtinId="0"/>
    <cellStyle name="Normal - Style1" xfId="185" xr:uid="{00000000-0005-0000-0000-0000B9000000}"/>
    <cellStyle name="Normal - Style2" xfId="186" xr:uid="{00000000-0005-0000-0000-0000BA000000}"/>
    <cellStyle name="Normal - Style3" xfId="187" xr:uid="{00000000-0005-0000-0000-0000BB000000}"/>
    <cellStyle name="Normal - Style4" xfId="188" xr:uid="{00000000-0005-0000-0000-0000BC000000}"/>
    <cellStyle name="Normal - Style5" xfId="189" xr:uid="{00000000-0005-0000-0000-0000BD000000}"/>
    <cellStyle name="Normal 10" xfId="190" xr:uid="{00000000-0005-0000-0000-0000BE000000}"/>
    <cellStyle name="Normal 10 2" xfId="191" xr:uid="{00000000-0005-0000-0000-0000BF000000}"/>
    <cellStyle name="Normal 10 2 2" xfId="192" xr:uid="{00000000-0005-0000-0000-0000C0000000}"/>
    <cellStyle name="Normal 10 2 3" xfId="193" xr:uid="{00000000-0005-0000-0000-0000C1000000}"/>
    <cellStyle name="Normal 10_2112 DF Schedule" xfId="194" xr:uid="{00000000-0005-0000-0000-0000C2000000}"/>
    <cellStyle name="Normal 100" xfId="195" xr:uid="{00000000-0005-0000-0000-0000C3000000}"/>
    <cellStyle name="Normal 101" xfId="196" xr:uid="{00000000-0005-0000-0000-0000C4000000}"/>
    <cellStyle name="Normal 102" xfId="197" xr:uid="{00000000-0005-0000-0000-0000C5000000}"/>
    <cellStyle name="Normal 103" xfId="198" xr:uid="{00000000-0005-0000-0000-0000C6000000}"/>
    <cellStyle name="Normal 104" xfId="199" xr:uid="{00000000-0005-0000-0000-0000C7000000}"/>
    <cellStyle name="Normal 105" xfId="200" xr:uid="{00000000-0005-0000-0000-0000C8000000}"/>
    <cellStyle name="Normal 106" xfId="201" xr:uid="{00000000-0005-0000-0000-0000C9000000}"/>
    <cellStyle name="Normal 107" xfId="202" xr:uid="{00000000-0005-0000-0000-0000CA000000}"/>
    <cellStyle name="Normal 108" xfId="203" xr:uid="{00000000-0005-0000-0000-0000CB000000}"/>
    <cellStyle name="Normal 109" xfId="390" xr:uid="{00000000-0005-0000-0000-0000CC000000}"/>
    <cellStyle name="Normal 11" xfId="204" xr:uid="{00000000-0005-0000-0000-0000CD000000}"/>
    <cellStyle name="Normal 12" xfId="205" xr:uid="{00000000-0005-0000-0000-0000CE000000}"/>
    <cellStyle name="Normal 12 2" xfId="206" xr:uid="{00000000-0005-0000-0000-0000CF000000}"/>
    <cellStyle name="Normal 13" xfId="207" xr:uid="{00000000-0005-0000-0000-0000D0000000}"/>
    <cellStyle name="Normal 13 2" xfId="208" xr:uid="{00000000-0005-0000-0000-0000D1000000}"/>
    <cellStyle name="Normal 14" xfId="209" xr:uid="{00000000-0005-0000-0000-0000D2000000}"/>
    <cellStyle name="Normal 14 2" xfId="210" xr:uid="{00000000-0005-0000-0000-0000D3000000}"/>
    <cellStyle name="Normal 15" xfId="211" xr:uid="{00000000-0005-0000-0000-0000D4000000}"/>
    <cellStyle name="Normal 15 2" xfId="212" xr:uid="{00000000-0005-0000-0000-0000D5000000}"/>
    <cellStyle name="Normal 16" xfId="213" xr:uid="{00000000-0005-0000-0000-0000D6000000}"/>
    <cellStyle name="Normal 16 2" xfId="214" xr:uid="{00000000-0005-0000-0000-0000D7000000}"/>
    <cellStyle name="Normal 17" xfId="215" xr:uid="{00000000-0005-0000-0000-0000D8000000}"/>
    <cellStyle name="Normal 17 2" xfId="216" xr:uid="{00000000-0005-0000-0000-0000D9000000}"/>
    <cellStyle name="Normal 18" xfId="217" xr:uid="{00000000-0005-0000-0000-0000DA000000}"/>
    <cellStyle name="Normal 18 2" xfId="218" xr:uid="{00000000-0005-0000-0000-0000DB000000}"/>
    <cellStyle name="Normal 19" xfId="219" xr:uid="{00000000-0005-0000-0000-0000DC000000}"/>
    <cellStyle name="Normal 19 2" xfId="220" xr:uid="{00000000-0005-0000-0000-0000DD000000}"/>
    <cellStyle name="Normal 2" xfId="221" xr:uid="{00000000-0005-0000-0000-0000DE000000}"/>
    <cellStyle name="Normal 2 2" xfId="222" xr:uid="{00000000-0005-0000-0000-0000DF000000}"/>
    <cellStyle name="Normal 2 2 2" xfId="223" xr:uid="{00000000-0005-0000-0000-0000E0000000}"/>
    <cellStyle name="Normal 2 2 3" xfId="224" xr:uid="{00000000-0005-0000-0000-0000E1000000}"/>
    <cellStyle name="Normal 2 2_Actual_Fuel" xfId="225" xr:uid="{00000000-0005-0000-0000-0000E2000000}"/>
    <cellStyle name="Normal 2 3" xfId="226" xr:uid="{00000000-0005-0000-0000-0000E3000000}"/>
    <cellStyle name="Normal 2 3 2" xfId="227" xr:uid="{00000000-0005-0000-0000-0000E4000000}"/>
    <cellStyle name="Normal 2 3 3" xfId="228" xr:uid="{00000000-0005-0000-0000-0000E5000000}"/>
    <cellStyle name="Normal 2 4" xfId="229" xr:uid="{00000000-0005-0000-0000-0000E6000000}"/>
    <cellStyle name="Normal 2 5" xfId="230" xr:uid="{00000000-0005-0000-0000-0000E7000000}"/>
    <cellStyle name="Normal 2_2012-10" xfId="231" xr:uid="{00000000-0005-0000-0000-0000E8000000}"/>
    <cellStyle name="Normal 20" xfId="232" xr:uid="{00000000-0005-0000-0000-0000E9000000}"/>
    <cellStyle name="Normal 21" xfId="233" xr:uid="{00000000-0005-0000-0000-0000EA000000}"/>
    <cellStyle name="Normal 22" xfId="234" xr:uid="{00000000-0005-0000-0000-0000EB000000}"/>
    <cellStyle name="Normal 23" xfId="235" xr:uid="{00000000-0005-0000-0000-0000EC000000}"/>
    <cellStyle name="Normal 24" xfId="236" xr:uid="{00000000-0005-0000-0000-0000ED000000}"/>
    <cellStyle name="Normal 25" xfId="237" xr:uid="{00000000-0005-0000-0000-0000EE000000}"/>
    <cellStyle name="Normal 26" xfId="238" xr:uid="{00000000-0005-0000-0000-0000EF000000}"/>
    <cellStyle name="Normal 27" xfId="239" xr:uid="{00000000-0005-0000-0000-0000F0000000}"/>
    <cellStyle name="Normal 28" xfId="240" xr:uid="{00000000-0005-0000-0000-0000F1000000}"/>
    <cellStyle name="Normal 29" xfId="241" xr:uid="{00000000-0005-0000-0000-0000F2000000}"/>
    <cellStyle name="Normal 3" xfId="242" xr:uid="{00000000-0005-0000-0000-0000F3000000}"/>
    <cellStyle name="Normal 3 2" xfId="243" xr:uid="{00000000-0005-0000-0000-0000F4000000}"/>
    <cellStyle name="Normal 3 3" xfId="244" xr:uid="{00000000-0005-0000-0000-0000F5000000}"/>
    <cellStyle name="Normal 3 4" xfId="245" xr:uid="{00000000-0005-0000-0000-0000F6000000}"/>
    <cellStyle name="Normal 3_2012 PR" xfId="246" xr:uid="{00000000-0005-0000-0000-0000F7000000}"/>
    <cellStyle name="Normal 30" xfId="247" xr:uid="{00000000-0005-0000-0000-0000F8000000}"/>
    <cellStyle name="Normal 31" xfId="248" xr:uid="{00000000-0005-0000-0000-0000F9000000}"/>
    <cellStyle name="Normal 32" xfId="249" xr:uid="{00000000-0005-0000-0000-0000FA000000}"/>
    <cellStyle name="Normal 33" xfId="250" xr:uid="{00000000-0005-0000-0000-0000FB000000}"/>
    <cellStyle name="Normal 34" xfId="251" xr:uid="{00000000-0005-0000-0000-0000FC000000}"/>
    <cellStyle name="Normal 35" xfId="252" xr:uid="{00000000-0005-0000-0000-0000FD000000}"/>
    <cellStyle name="Normal 36" xfId="253" xr:uid="{00000000-0005-0000-0000-0000FE000000}"/>
    <cellStyle name="Normal 37" xfId="254" xr:uid="{00000000-0005-0000-0000-0000FF000000}"/>
    <cellStyle name="Normal 38" xfId="255" xr:uid="{00000000-0005-0000-0000-000000010000}"/>
    <cellStyle name="Normal 39" xfId="256" xr:uid="{00000000-0005-0000-0000-000001010000}"/>
    <cellStyle name="Normal 4" xfId="257" xr:uid="{00000000-0005-0000-0000-000002010000}"/>
    <cellStyle name="Normal 4 2" xfId="258" xr:uid="{00000000-0005-0000-0000-000003010000}"/>
    <cellStyle name="Normal 40" xfId="259" xr:uid="{00000000-0005-0000-0000-000004010000}"/>
    <cellStyle name="Normal 41" xfId="260" xr:uid="{00000000-0005-0000-0000-000005010000}"/>
    <cellStyle name="Normal 42" xfId="261" xr:uid="{00000000-0005-0000-0000-000006010000}"/>
    <cellStyle name="Normal 43" xfId="262" xr:uid="{00000000-0005-0000-0000-000007010000}"/>
    <cellStyle name="Normal 44" xfId="263" xr:uid="{00000000-0005-0000-0000-000008010000}"/>
    <cellStyle name="Normal 45" xfId="264" xr:uid="{00000000-0005-0000-0000-000009010000}"/>
    <cellStyle name="Normal 46" xfId="265" xr:uid="{00000000-0005-0000-0000-00000A010000}"/>
    <cellStyle name="Normal 47" xfId="266" xr:uid="{00000000-0005-0000-0000-00000B010000}"/>
    <cellStyle name="Normal 48" xfId="267" xr:uid="{00000000-0005-0000-0000-00000C010000}"/>
    <cellStyle name="Normal 49" xfId="268" xr:uid="{00000000-0005-0000-0000-00000D010000}"/>
    <cellStyle name="Normal 5" xfId="269" xr:uid="{00000000-0005-0000-0000-00000E010000}"/>
    <cellStyle name="Normal 5 2" xfId="270" xr:uid="{00000000-0005-0000-0000-00000F010000}"/>
    <cellStyle name="Normal 5_2112 DF Schedule" xfId="271" xr:uid="{00000000-0005-0000-0000-000010010000}"/>
    <cellStyle name="Normal 50" xfId="272" xr:uid="{00000000-0005-0000-0000-000011010000}"/>
    <cellStyle name="Normal 51" xfId="273" xr:uid="{00000000-0005-0000-0000-000012010000}"/>
    <cellStyle name="Normal 52" xfId="274" xr:uid="{00000000-0005-0000-0000-000013010000}"/>
    <cellStyle name="Normal 53" xfId="275" xr:uid="{00000000-0005-0000-0000-000014010000}"/>
    <cellStyle name="Normal 54" xfId="276" xr:uid="{00000000-0005-0000-0000-000015010000}"/>
    <cellStyle name="Normal 55" xfId="277" xr:uid="{00000000-0005-0000-0000-000016010000}"/>
    <cellStyle name="Normal 56" xfId="278" xr:uid="{00000000-0005-0000-0000-000017010000}"/>
    <cellStyle name="Normal 57" xfId="279" xr:uid="{00000000-0005-0000-0000-000018010000}"/>
    <cellStyle name="Normal 58" xfId="280" xr:uid="{00000000-0005-0000-0000-000019010000}"/>
    <cellStyle name="Normal 59" xfId="281" xr:uid="{00000000-0005-0000-0000-00001A010000}"/>
    <cellStyle name="Normal 6" xfId="282" xr:uid="{00000000-0005-0000-0000-00001B010000}"/>
    <cellStyle name="Normal 6 2" xfId="283" xr:uid="{00000000-0005-0000-0000-00001C010000}"/>
    <cellStyle name="Normal 60" xfId="284" xr:uid="{00000000-0005-0000-0000-00001D010000}"/>
    <cellStyle name="Normal 61" xfId="285" xr:uid="{00000000-0005-0000-0000-00001E010000}"/>
    <cellStyle name="Normal 62" xfId="286" xr:uid="{00000000-0005-0000-0000-00001F010000}"/>
    <cellStyle name="Normal 63" xfId="287" xr:uid="{00000000-0005-0000-0000-000020010000}"/>
    <cellStyle name="Normal 64" xfId="288" xr:uid="{00000000-0005-0000-0000-000021010000}"/>
    <cellStyle name="Normal 65" xfId="289" xr:uid="{00000000-0005-0000-0000-000022010000}"/>
    <cellStyle name="Normal 66" xfId="290" xr:uid="{00000000-0005-0000-0000-000023010000}"/>
    <cellStyle name="Normal 67" xfId="291" xr:uid="{00000000-0005-0000-0000-000024010000}"/>
    <cellStyle name="Normal 68" xfId="292" xr:uid="{00000000-0005-0000-0000-000025010000}"/>
    <cellStyle name="Normal 69" xfId="293" xr:uid="{00000000-0005-0000-0000-000026010000}"/>
    <cellStyle name="Normal 7" xfId="294" xr:uid="{00000000-0005-0000-0000-000027010000}"/>
    <cellStyle name="Normal 70" xfId="295" xr:uid="{00000000-0005-0000-0000-000028010000}"/>
    <cellStyle name="Normal 71" xfId="296" xr:uid="{00000000-0005-0000-0000-000029010000}"/>
    <cellStyle name="Normal 72" xfId="297" xr:uid="{00000000-0005-0000-0000-00002A010000}"/>
    <cellStyle name="Normal 73" xfId="298" xr:uid="{00000000-0005-0000-0000-00002B010000}"/>
    <cellStyle name="Normal 74" xfId="299" xr:uid="{00000000-0005-0000-0000-00002C010000}"/>
    <cellStyle name="Normal 75" xfId="300" xr:uid="{00000000-0005-0000-0000-00002D010000}"/>
    <cellStyle name="Normal 76" xfId="301" xr:uid="{00000000-0005-0000-0000-00002E010000}"/>
    <cellStyle name="Normal 77" xfId="302" xr:uid="{00000000-0005-0000-0000-00002F010000}"/>
    <cellStyle name="Normal 78" xfId="303" xr:uid="{00000000-0005-0000-0000-000030010000}"/>
    <cellStyle name="Normal 79" xfId="304" xr:uid="{00000000-0005-0000-0000-000031010000}"/>
    <cellStyle name="Normal 8" xfId="305" xr:uid="{00000000-0005-0000-0000-000032010000}"/>
    <cellStyle name="Normal 80" xfId="306" xr:uid="{00000000-0005-0000-0000-000033010000}"/>
    <cellStyle name="Normal 81" xfId="307" xr:uid="{00000000-0005-0000-0000-000034010000}"/>
    <cellStyle name="Normal 82" xfId="308" xr:uid="{00000000-0005-0000-0000-000035010000}"/>
    <cellStyle name="Normal 83" xfId="309" xr:uid="{00000000-0005-0000-0000-000036010000}"/>
    <cellStyle name="Normal 84" xfId="310" xr:uid="{00000000-0005-0000-0000-000037010000}"/>
    <cellStyle name="Normal 84 2" xfId="311" xr:uid="{00000000-0005-0000-0000-000038010000}"/>
    <cellStyle name="Normal 84 3" xfId="312" xr:uid="{00000000-0005-0000-0000-000039010000}"/>
    <cellStyle name="Normal 85" xfId="313" xr:uid="{00000000-0005-0000-0000-00003A010000}"/>
    <cellStyle name="Normal 86" xfId="314" xr:uid="{00000000-0005-0000-0000-00003B010000}"/>
    <cellStyle name="Normal 87" xfId="315" xr:uid="{00000000-0005-0000-0000-00003C010000}"/>
    <cellStyle name="Normal 88" xfId="316" xr:uid="{00000000-0005-0000-0000-00003D010000}"/>
    <cellStyle name="Normal 89" xfId="317" xr:uid="{00000000-0005-0000-0000-00003E010000}"/>
    <cellStyle name="Normal 9" xfId="318" xr:uid="{00000000-0005-0000-0000-00003F010000}"/>
    <cellStyle name="Normal 90" xfId="319" xr:uid="{00000000-0005-0000-0000-000040010000}"/>
    <cellStyle name="Normal 91" xfId="320" xr:uid="{00000000-0005-0000-0000-000041010000}"/>
    <cellStyle name="Normal 92" xfId="321" xr:uid="{00000000-0005-0000-0000-000042010000}"/>
    <cellStyle name="Normal 93" xfId="322" xr:uid="{00000000-0005-0000-0000-000043010000}"/>
    <cellStyle name="Normal 94" xfId="323" xr:uid="{00000000-0005-0000-0000-000044010000}"/>
    <cellStyle name="Normal 95" xfId="324" xr:uid="{00000000-0005-0000-0000-000045010000}"/>
    <cellStyle name="Normal 96" xfId="325" xr:uid="{00000000-0005-0000-0000-000046010000}"/>
    <cellStyle name="Normal 97" xfId="326" xr:uid="{00000000-0005-0000-0000-000047010000}"/>
    <cellStyle name="Normal 98" xfId="327" xr:uid="{00000000-0005-0000-0000-000048010000}"/>
    <cellStyle name="Normal 99" xfId="328" xr:uid="{00000000-0005-0000-0000-000049010000}"/>
    <cellStyle name="Normal_Murrey's Jan-Dec 2012" xfId="329" xr:uid="{00000000-0005-0000-0000-00004A010000}"/>
    <cellStyle name="Normal_Price out" xfId="330" xr:uid="{00000000-0005-0000-0000-00004B010000}"/>
    <cellStyle name="Note 2" xfId="331" xr:uid="{00000000-0005-0000-0000-00004C010000}"/>
    <cellStyle name="Note 2 2" xfId="332" xr:uid="{00000000-0005-0000-0000-00004D010000}"/>
    <cellStyle name="Note 3" xfId="333" xr:uid="{00000000-0005-0000-0000-00004E010000}"/>
    <cellStyle name="Note 3 2" xfId="334" xr:uid="{00000000-0005-0000-0000-00004F010000}"/>
    <cellStyle name="Notes" xfId="335" xr:uid="{00000000-0005-0000-0000-000050010000}"/>
    <cellStyle name="Output 2" xfId="336" xr:uid="{00000000-0005-0000-0000-000051010000}"/>
    <cellStyle name="Output 3" xfId="337" xr:uid="{00000000-0005-0000-0000-000052010000}"/>
    <cellStyle name="Percent" xfId="338" builtinId="5"/>
    <cellStyle name="Percent 2" xfId="339" xr:uid="{00000000-0005-0000-0000-000054010000}"/>
    <cellStyle name="Percent 2 2" xfId="340" xr:uid="{00000000-0005-0000-0000-000055010000}"/>
    <cellStyle name="Percent 2 2 2" xfId="341" xr:uid="{00000000-0005-0000-0000-000056010000}"/>
    <cellStyle name="Percent 2 3" xfId="342" xr:uid="{00000000-0005-0000-0000-000057010000}"/>
    <cellStyle name="Percent 2 6" xfId="343" xr:uid="{00000000-0005-0000-0000-000058010000}"/>
    <cellStyle name="Percent 3" xfId="344" xr:uid="{00000000-0005-0000-0000-000059010000}"/>
    <cellStyle name="Percent 3 2" xfId="345" xr:uid="{00000000-0005-0000-0000-00005A010000}"/>
    <cellStyle name="Percent 4" xfId="346" xr:uid="{00000000-0005-0000-0000-00005B010000}"/>
    <cellStyle name="Percent 4 2" xfId="347" xr:uid="{00000000-0005-0000-0000-00005C010000}"/>
    <cellStyle name="Percent 4 3" xfId="348" xr:uid="{00000000-0005-0000-0000-00005D010000}"/>
    <cellStyle name="Percent 5" xfId="349" xr:uid="{00000000-0005-0000-0000-00005E010000}"/>
    <cellStyle name="Percent 6" xfId="350" xr:uid="{00000000-0005-0000-0000-00005F010000}"/>
    <cellStyle name="Percent 7" xfId="351" xr:uid="{00000000-0005-0000-0000-000060010000}"/>
    <cellStyle name="Percent 7 2" xfId="352" xr:uid="{00000000-0005-0000-0000-000061010000}"/>
    <cellStyle name="Percent 7 3" xfId="353" xr:uid="{00000000-0005-0000-0000-000062010000}"/>
    <cellStyle name="Percent 8" xfId="354" xr:uid="{00000000-0005-0000-0000-000063010000}"/>
    <cellStyle name="Percent 9" xfId="355" xr:uid="{00000000-0005-0000-0000-000064010000}"/>
    <cellStyle name="Percent(1)" xfId="356" xr:uid="{00000000-0005-0000-0000-000065010000}"/>
    <cellStyle name="Percent(2)" xfId="357" xr:uid="{00000000-0005-0000-0000-000066010000}"/>
    <cellStyle name="PRM" xfId="358" xr:uid="{00000000-0005-0000-0000-000067010000}"/>
    <cellStyle name="PRM 2" xfId="359" xr:uid="{00000000-0005-0000-0000-000068010000}"/>
    <cellStyle name="PRM 3" xfId="360" xr:uid="{00000000-0005-0000-0000-000069010000}"/>
    <cellStyle name="PRM_2011-11" xfId="361" xr:uid="{00000000-0005-0000-0000-00006A010000}"/>
    <cellStyle name="PS_Comma" xfId="362" xr:uid="{00000000-0005-0000-0000-00006B010000}"/>
    <cellStyle name="PSChar" xfId="363" xr:uid="{00000000-0005-0000-0000-00006C010000}"/>
    <cellStyle name="PSDate" xfId="364" xr:uid="{00000000-0005-0000-0000-00006D010000}"/>
    <cellStyle name="PSDec" xfId="365" xr:uid="{00000000-0005-0000-0000-00006E010000}"/>
    <cellStyle name="PSHeading" xfId="366" xr:uid="{00000000-0005-0000-0000-00006F010000}"/>
    <cellStyle name="PSInt" xfId="367" xr:uid="{00000000-0005-0000-0000-000070010000}"/>
    <cellStyle name="PSSpacer" xfId="368" xr:uid="{00000000-0005-0000-0000-000071010000}"/>
    <cellStyle name="STYL0 - Style1" xfId="369" xr:uid="{00000000-0005-0000-0000-000072010000}"/>
    <cellStyle name="STYL1 - Style2" xfId="370" xr:uid="{00000000-0005-0000-0000-000073010000}"/>
    <cellStyle name="STYL2 - Style3" xfId="371" xr:uid="{00000000-0005-0000-0000-000074010000}"/>
    <cellStyle name="STYL3 - Style4" xfId="372" xr:uid="{00000000-0005-0000-0000-000075010000}"/>
    <cellStyle name="STYL4 - Style5" xfId="373" xr:uid="{00000000-0005-0000-0000-000076010000}"/>
    <cellStyle name="STYL5 - Style6" xfId="374" xr:uid="{00000000-0005-0000-0000-000077010000}"/>
    <cellStyle name="STYL6 - Style7" xfId="375" xr:uid="{00000000-0005-0000-0000-000078010000}"/>
    <cellStyle name="STYL7 - Style8" xfId="376" xr:uid="{00000000-0005-0000-0000-000079010000}"/>
    <cellStyle name="Style 1" xfId="377" xr:uid="{00000000-0005-0000-0000-00007A010000}"/>
    <cellStyle name="Style 1 2" xfId="378" xr:uid="{00000000-0005-0000-0000-00007B010000}"/>
    <cellStyle name="STYLE1" xfId="379" xr:uid="{00000000-0005-0000-0000-00007C010000}"/>
    <cellStyle name="sub heading" xfId="380" xr:uid="{00000000-0005-0000-0000-00007D010000}"/>
    <cellStyle name="Title 2" xfId="381" xr:uid="{00000000-0005-0000-0000-00007E010000}"/>
    <cellStyle name="Title 3" xfId="382" xr:uid="{00000000-0005-0000-0000-00007F010000}"/>
    <cellStyle name="Total 2" xfId="383" xr:uid="{00000000-0005-0000-0000-000080010000}"/>
    <cellStyle name="Total 2 2" xfId="384" xr:uid="{00000000-0005-0000-0000-000081010000}"/>
    <cellStyle name="Total 3" xfId="385" xr:uid="{00000000-0005-0000-0000-000082010000}"/>
    <cellStyle name="Total 3 2" xfId="386" xr:uid="{00000000-0005-0000-0000-000083010000}"/>
    <cellStyle name="Warning Text 2" xfId="387" xr:uid="{00000000-0005-0000-0000-000084010000}"/>
    <cellStyle name="Warning Text 3" xfId="388" xr:uid="{00000000-0005-0000-0000-000085010000}"/>
    <cellStyle name="WM_STANDARD" xfId="389" xr:uid="{00000000-0005-0000-0000-00008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2"/>
  <sheetViews>
    <sheetView tabSelected="1" zoomScale="85" zoomScaleNormal="85" workbookViewId="0">
      <pane xSplit="4" ySplit="3" topLeftCell="N4" activePane="bottomRight" state="frozen"/>
      <selection pane="topRight" activeCell="D1" sqref="D1"/>
      <selection pane="bottomLeft" activeCell="A6" sqref="A6"/>
      <selection pane="bottomRight" activeCell="Y13" sqref="Y13"/>
    </sheetView>
  </sheetViews>
  <sheetFormatPr defaultColWidth="8.88671875" defaultRowHeight="14.4"/>
  <cols>
    <col min="1" max="1" width="15.88671875" style="57" hidden="1" customWidth="1"/>
    <col min="2" max="2" width="4.5546875" style="57" customWidth="1"/>
    <col min="3" max="3" width="10.88671875" style="61" bestFit="1" customWidth="1"/>
    <col min="4" max="4" width="40.33203125" style="57" customWidth="1"/>
    <col min="5" max="5" width="18.88671875" style="58" bestFit="1" customWidth="1"/>
    <col min="6" max="6" width="10.44140625" style="57" bestFit="1" customWidth="1"/>
    <col min="7" max="7" width="14" style="57" bestFit="1" customWidth="1"/>
    <col min="8" max="8" width="15.109375" style="57" customWidth="1"/>
    <col min="9" max="9" width="21.44140625" style="57" customWidth="1"/>
    <col min="10" max="10" width="16.33203125" style="56" customWidth="1"/>
    <col min="11" max="12" width="12.33203125" style="57" customWidth="1"/>
    <col min="13" max="13" width="10.6640625" style="57" customWidth="1"/>
    <col min="14" max="14" width="16.5546875" style="57" customWidth="1"/>
    <col min="15" max="15" width="15.44140625" style="57" customWidth="1"/>
    <col min="16" max="17" width="17.6640625" style="57" bestFit="1" customWidth="1"/>
    <col min="18" max="18" width="16" style="57" customWidth="1"/>
    <col min="19" max="19" width="2.21875" style="57" customWidth="1"/>
    <col min="20" max="23" width="16" style="57" customWidth="1"/>
    <col min="24" max="16384" width="8.88671875" style="57"/>
  </cols>
  <sheetData>
    <row r="1" spans="1:25">
      <c r="O1" s="187" t="s">
        <v>148</v>
      </c>
      <c r="P1" s="187"/>
      <c r="Q1" s="187"/>
      <c r="R1" s="187"/>
      <c r="S1" s="179"/>
      <c r="T1" s="188" t="s">
        <v>149</v>
      </c>
    </row>
    <row r="2" spans="1:25" ht="18">
      <c r="B2" s="155" t="s">
        <v>131</v>
      </c>
      <c r="C2" s="155"/>
      <c r="D2" s="155"/>
      <c r="E2" s="155"/>
      <c r="F2" s="155"/>
      <c r="G2" s="155"/>
      <c r="H2" s="155"/>
      <c r="I2" s="155"/>
      <c r="J2" s="156"/>
      <c r="K2" s="155"/>
      <c r="L2" s="155"/>
      <c r="M2" s="155"/>
      <c r="N2" s="155"/>
      <c r="O2" s="187"/>
      <c r="P2" s="187"/>
      <c r="Q2" s="187"/>
      <c r="R2" s="187"/>
      <c r="S2" s="179"/>
      <c r="T2" s="188"/>
      <c r="U2" s="155"/>
      <c r="V2" s="155"/>
      <c r="W2" s="155"/>
    </row>
    <row r="3" spans="1:25" ht="72">
      <c r="A3" s="57" t="s">
        <v>136</v>
      </c>
      <c r="B3" s="27" t="s">
        <v>135</v>
      </c>
      <c r="C3" s="81" t="s">
        <v>15</v>
      </c>
      <c r="D3" s="82" t="s">
        <v>17</v>
      </c>
      <c r="E3" s="81" t="s">
        <v>37</v>
      </c>
      <c r="F3" s="81" t="s">
        <v>0</v>
      </c>
      <c r="G3" s="27" t="s">
        <v>1</v>
      </c>
      <c r="H3" s="81" t="s">
        <v>10</v>
      </c>
      <c r="I3" s="81" t="s">
        <v>34</v>
      </c>
      <c r="J3" s="107" t="s">
        <v>35</v>
      </c>
      <c r="K3" s="106" t="s">
        <v>9</v>
      </c>
      <c r="L3" s="81" t="s">
        <v>2</v>
      </c>
      <c r="M3" s="81" t="s">
        <v>38</v>
      </c>
      <c r="N3" s="81" t="s">
        <v>107</v>
      </c>
      <c r="O3" s="81" t="s">
        <v>106</v>
      </c>
      <c r="P3" s="81" t="s">
        <v>36</v>
      </c>
      <c r="Q3" s="81" t="s">
        <v>108</v>
      </c>
      <c r="R3" s="81" t="s">
        <v>39</v>
      </c>
      <c r="S3" s="179"/>
      <c r="T3" s="183">
        <f>0.0175-0.015</f>
        <v>2.5000000000000022E-3</v>
      </c>
      <c r="U3" s="81" t="s">
        <v>150</v>
      </c>
      <c r="V3" s="81" t="s">
        <v>151</v>
      </c>
      <c r="W3" s="81" t="s">
        <v>152</v>
      </c>
    </row>
    <row r="4" spans="1:25" s="59" customFormat="1">
      <c r="B4" s="191" t="s">
        <v>13</v>
      </c>
      <c r="C4" s="111"/>
      <c r="S4" s="180"/>
    </row>
    <row r="5" spans="1:25" s="59" customFormat="1">
      <c r="B5" s="190"/>
      <c r="C5" s="47">
        <v>22</v>
      </c>
      <c r="D5" s="44" t="s">
        <v>124</v>
      </c>
      <c r="E5" s="112">
        <v>1</v>
      </c>
      <c r="F5" s="69">
        <f>References!$B$8</f>
        <v>4.33</v>
      </c>
      <c r="G5" s="68">
        <f t="shared" ref="G5" si="0">E5*F5*12</f>
        <v>51.96</v>
      </c>
      <c r="H5" s="131">
        <f>References!B14</f>
        <v>20</v>
      </c>
      <c r="I5" s="68">
        <f t="shared" ref="I5" si="1">G5*H5</f>
        <v>1039.2</v>
      </c>
      <c r="J5" s="46">
        <f t="shared" ref="J5:J11" si="2">$E$54*I5</f>
        <v>636.4531797835823</v>
      </c>
      <c r="K5" s="67">
        <f>(References!$C$50*J5)</f>
        <v>0</v>
      </c>
      <c r="L5" s="67">
        <f>K5/References!$G$53</f>
        <v>0</v>
      </c>
      <c r="M5" s="67">
        <f t="shared" ref="M5:M11" si="3">L5/G5*F5</f>
        <v>0</v>
      </c>
      <c r="N5" s="173">
        <v>5.63</v>
      </c>
      <c r="O5" s="184">
        <f t="shared" ref="O5:O10" si="4">M5+N5</f>
        <v>5.63</v>
      </c>
      <c r="P5" s="67">
        <f t="shared" ref="P5:P11" si="5">E5*N5*12</f>
        <v>67.56</v>
      </c>
      <c r="Q5" s="67">
        <f t="shared" ref="Q5:Q11" si="6">E5*O5*12</f>
        <v>67.56</v>
      </c>
      <c r="R5" s="67">
        <f t="shared" ref="R5" si="7">+Q5-P5</f>
        <v>0</v>
      </c>
      <c r="S5" s="181"/>
      <c r="T5" s="185">
        <f>O5/(1-$T$3)-O5</f>
        <v>1.4110275689223073E-2</v>
      </c>
      <c r="U5" s="197">
        <f>O5+T5</f>
        <v>5.644110275689223</v>
      </c>
      <c r="V5" s="70">
        <f>E5*U5*12</f>
        <v>67.729323308270679</v>
      </c>
      <c r="W5" s="70">
        <f>V5-Q5</f>
        <v>0.16932330827067688</v>
      </c>
      <c r="X5" s="50"/>
      <c r="Y5" s="50"/>
    </row>
    <row r="6" spans="1:25" s="59" customFormat="1">
      <c r="A6" t="s">
        <v>137</v>
      </c>
      <c r="B6" s="190"/>
      <c r="C6" s="47">
        <v>22</v>
      </c>
      <c r="D6" s="44" t="s">
        <v>96</v>
      </c>
      <c r="E6" s="112">
        <v>266</v>
      </c>
      <c r="F6" s="69">
        <f>References!$B$8</f>
        <v>4.33</v>
      </c>
      <c r="G6" s="68">
        <f t="shared" ref="G6:G11" si="8">E6*F6*12</f>
        <v>13821.36</v>
      </c>
      <c r="H6" s="131">
        <f>References!B15</f>
        <v>34</v>
      </c>
      <c r="I6" s="68">
        <f t="shared" ref="I6:I11" si="9">G6*H6</f>
        <v>469926.24</v>
      </c>
      <c r="J6" s="46">
        <f t="shared" si="2"/>
        <v>287804.12789813592</v>
      </c>
      <c r="K6" s="67">
        <f>(References!$C$50*J6)</f>
        <v>0</v>
      </c>
      <c r="L6" s="67">
        <f>K6/References!$G$53</f>
        <v>0</v>
      </c>
      <c r="M6" s="67">
        <f t="shared" si="3"/>
        <v>0</v>
      </c>
      <c r="N6" s="173">
        <v>7.52</v>
      </c>
      <c r="O6" s="135">
        <f t="shared" si="4"/>
        <v>7.52</v>
      </c>
      <c r="P6" s="67">
        <f t="shared" si="5"/>
        <v>24003.84</v>
      </c>
      <c r="Q6" s="67">
        <f t="shared" si="6"/>
        <v>24003.84</v>
      </c>
      <c r="R6" s="67">
        <f t="shared" ref="R6:R11" si="10">+Q6-P6</f>
        <v>0</v>
      </c>
      <c r="S6" s="181"/>
      <c r="T6" s="185">
        <f t="shared" ref="T6:T11" si="11">O6/(1-$T$3)-O6</f>
        <v>1.8847117794486223E-2</v>
      </c>
      <c r="U6" s="197">
        <f t="shared" ref="U6:U11" si="12">O6+T6</f>
        <v>7.5388471177944858</v>
      </c>
      <c r="V6" s="70">
        <f t="shared" ref="V6:V11" si="13">E6*U6*12</f>
        <v>24064</v>
      </c>
      <c r="W6" s="70">
        <f t="shared" ref="W6:W11" si="14">V6-Q6</f>
        <v>60.159999999999854</v>
      </c>
      <c r="X6" s="50"/>
      <c r="Y6" s="50"/>
    </row>
    <row r="7" spans="1:25" s="59" customFormat="1">
      <c r="B7" s="190"/>
      <c r="C7" s="47">
        <v>22</v>
      </c>
      <c r="D7" s="44" t="s">
        <v>125</v>
      </c>
      <c r="E7" s="112">
        <v>1</v>
      </c>
      <c r="F7" s="69">
        <f>References!$B$8</f>
        <v>4.33</v>
      </c>
      <c r="G7" s="68">
        <f t="shared" ref="G7" si="15">E7*F7*12</f>
        <v>51.96</v>
      </c>
      <c r="H7" s="131">
        <f>References!B16</f>
        <v>51</v>
      </c>
      <c r="I7" s="68">
        <f t="shared" ref="I7" si="16">G7*H7</f>
        <v>2649.96</v>
      </c>
      <c r="J7" s="46">
        <f t="shared" si="2"/>
        <v>1622.9556084481349</v>
      </c>
      <c r="K7" s="67">
        <f>(References!$C$50*J7)</f>
        <v>0</v>
      </c>
      <c r="L7" s="67">
        <f>K7/References!$G$53</f>
        <v>0</v>
      </c>
      <c r="M7" s="67">
        <f t="shared" si="3"/>
        <v>0</v>
      </c>
      <c r="N7" s="173">
        <v>9.31</v>
      </c>
      <c r="O7" s="135">
        <f t="shared" si="4"/>
        <v>9.31</v>
      </c>
      <c r="P7" s="67">
        <f t="shared" si="5"/>
        <v>111.72</v>
      </c>
      <c r="Q7" s="67">
        <f t="shared" si="6"/>
        <v>111.72</v>
      </c>
      <c r="R7" s="67">
        <f t="shared" ref="R7" si="17">+Q7-P7</f>
        <v>0</v>
      </c>
      <c r="S7" s="181"/>
      <c r="T7" s="185">
        <f t="shared" si="11"/>
        <v>2.3333333333333428E-2</v>
      </c>
      <c r="U7" s="197">
        <f t="shared" si="12"/>
        <v>9.3333333333333339</v>
      </c>
      <c r="V7" s="70">
        <f t="shared" si="13"/>
        <v>112</v>
      </c>
      <c r="W7" s="70">
        <f t="shared" si="14"/>
        <v>0.28000000000000114</v>
      </c>
      <c r="X7" s="50"/>
      <c r="Y7" s="50"/>
    </row>
    <row r="8" spans="1:25" s="59" customFormat="1">
      <c r="B8" s="190"/>
      <c r="C8" s="47">
        <v>22</v>
      </c>
      <c r="D8" s="102" t="s">
        <v>100</v>
      </c>
      <c r="E8" s="68">
        <v>10</v>
      </c>
      <c r="F8" s="69">
        <f>References!B10</f>
        <v>1</v>
      </c>
      <c r="G8" s="68">
        <f>F8*12</f>
        <v>12</v>
      </c>
      <c r="H8" s="68">
        <f>References!B15</f>
        <v>34</v>
      </c>
      <c r="I8" s="68">
        <f>G8*H8</f>
        <v>408</v>
      </c>
      <c r="J8" s="46">
        <f t="shared" si="2"/>
        <v>249.87769183189144</v>
      </c>
      <c r="K8" s="67">
        <f>(References!$C$50*J8)</f>
        <v>0</v>
      </c>
      <c r="L8" s="67">
        <f>K8/References!$G$53</f>
        <v>0</v>
      </c>
      <c r="M8" s="67">
        <f t="shared" si="3"/>
        <v>0</v>
      </c>
      <c r="N8" s="174">
        <v>2.35</v>
      </c>
      <c r="O8" s="135">
        <f t="shared" si="4"/>
        <v>2.35</v>
      </c>
      <c r="P8" s="67">
        <f t="shared" si="5"/>
        <v>282</v>
      </c>
      <c r="Q8" s="67">
        <f t="shared" si="6"/>
        <v>282</v>
      </c>
      <c r="R8" s="67">
        <f t="shared" ref="R8" si="18">+Q8-P8</f>
        <v>0</v>
      </c>
      <c r="S8" s="181"/>
      <c r="T8" s="185">
        <f t="shared" si="11"/>
        <v>5.8897243107769448E-3</v>
      </c>
      <c r="U8" s="197">
        <f t="shared" si="12"/>
        <v>2.355889724310777</v>
      </c>
      <c r="V8" s="70">
        <f t="shared" si="13"/>
        <v>282.70676691729329</v>
      </c>
      <c r="W8" s="70">
        <f t="shared" si="14"/>
        <v>0.70676691729329377</v>
      </c>
      <c r="X8" s="50"/>
      <c r="Y8" s="50"/>
    </row>
    <row r="9" spans="1:25" s="59" customFormat="1">
      <c r="A9" t="s">
        <v>138</v>
      </c>
      <c r="B9" s="190"/>
      <c r="C9" s="47">
        <v>22</v>
      </c>
      <c r="D9" s="44" t="s">
        <v>95</v>
      </c>
      <c r="E9" s="112">
        <v>885</v>
      </c>
      <c r="F9" s="69">
        <f>References!$B$8</f>
        <v>4.33</v>
      </c>
      <c r="G9" s="68">
        <f>E9*F9*12</f>
        <v>45984.600000000006</v>
      </c>
      <c r="H9" s="131">
        <f>References!B22</f>
        <v>47</v>
      </c>
      <c r="I9" s="68">
        <f>G9*H9</f>
        <v>2161276.2000000002</v>
      </c>
      <c r="J9" s="46">
        <f t="shared" si="2"/>
        <v>1323663.5006549053</v>
      </c>
      <c r="K9" s="67">
        <f>(References!$C$50*J9)</f>
        <v>0</v>
      </c>
      <c r="L9" s="67">
        <f>K9/References!$G$53</f>
        <v>0</v>
      </c>
      <c r="M9" s="67">
        <f t="shared" si="3"/>
        <v>0</v>
      </c>
      <c r="N9" s="173">
        <v>9.2799999999999994</v>
      </c>
      <c r="O9" s="135">
        <f t="shared" si="4"/>
        <v>9.2799999999999994</v>
      </c>
      <c r="P9" s="67">
        <f t="shared" si="5"/>
        <v>98553.599999999991</v>
      </c>
      <c r="Q9" s="67">
        <f t="shared" si="6"/>
        <v>98553.599999999991</v>
      </c>
      <c r="R9" s="67">
        <f>+Q9-P9</f>
        <v>0</v>
      </c>
      <c r="S9" s="181"/>
      <c r="T9" s="185">
        <f t="shared" si="11"/>
        <v>2.3258145363408644E-2</v>
      </c>
      <c r="U9" s="197">
        <f t="shared" si="12"/>
        <v>9.303258145363408</v>
      </c>
      <c r="V9" s="70">
        <f t="shared" si="13"/>
        <v>98800.60150375939</v>
      </c>
      <c r="W9" s="70">
        <f t="shared" si="14"/>
        <v>247.00150375939847</v>
      </c>
      <c r="X9" s="50"/>
      <c r="Y9" s="50"/>
    </row>
    <row r="10" spans="1:25" s="59" customFormat="1">
      <c r="A10" t="s">
        <v>140</v>
      </c>
      <c r="B10" s="190"/>
      <c r="C10" s="47">
        <v>23</v>
      </c>
      <c r="D10" s="130" t="s">
        <v>98</v>
      </c>
      <c r="E10" s="68">
        <v>219</v>
      </c>
      <c r="F10" s="69">
        <f>References!B10</f>
        <v>1</v>
      </c>
      <c r="G10" s="68">
        <f>F10*12</f>
        <v>12</v>
      </c>
      <c r="H10" s="68">
        <f>References!B25</f>
        <v>34</v>
      </c>
      <c r="I10" s="68">
        <f>G10*H10</f>
        <v>408</v>
      </c>
      <c r="J10" s="46">
        <f t="shared" si="2"/>
        <v>249.87769183189144</v>
      </c>
      <c r="K10" s="67">
        <f>(References!$C$50*J10)</f>
        <v>0</v>
      </c>
      <c r="L10" s="67">
        <f>K10/References!$G$53</f>
        <v>0</v>
      </c>
      <c r="M10" s="67">
        <f t="shared" si="3"/>
        <v>0</v>
      </c>
      <c r="N10" s="174">
        <v>2.35</v>
      </c>
      <c r="O10" s="135">
        <f t="shared" si="4"/>
        <v>2.35</v>
      </c>
      <c r="P10" s="67">
        <f t="shared" si="5"/>
        <v>6175.7999999999993</v>
      </c>
      <c r="Q10" s="67">
        <f t="shared" si="6"/>
        <v>6175.7999999999993</v>
      </c>
      <c r="R10" s="67">
        <f>+Q10-P10</f>
        <v>0</v>
      </c>
      <c r="S10" s="181"/>
      <c r="T10" s="185">
        <f t="shared" si="11"/>
        <v>5.8897243107769448E-3</v>
      </c>
      <c r="U10" s="197">
        <f t="shared" si="12"/>
        <v>2.355889724310777</v>
      </c>
      <c r="V10" s="70">
        <f t="shared" si="13"/>
        <v>6191.2781954887214</v>
      </c>
      <c r="W10" s="70">
        <f t="shared" si="14"/>
        <v>15.478195488722122</v>
      </c>
      <c r="X10" s="50"/>
      <c r="Y10" s="50"/>
    </row>
    <row r="11" spans="1:25" s="59" customFormat="1">
      <c r="A11" t="s">
        <v>139</v>
      </c>
      <c r="B11" s="190"/>
      <c r="C11" s="47">
        <v>22</v>
      </c>
      <c r="D11" s="44" t="s">
        <v>97</v>
      </c>
      <c r="E11" s="112">
        <v>696</v>
      </c>
      <c r="F11" s="69">
        <f>References!$B$8</f>
        <v>4.33</v>
      </c>
      <c r="G11" s="68">
        <f t="shared" si="8"/>
        <v>36164.159999999996</v>
      </c>
      <c r="H11" s="131">
        <f>References!B23</f>
        <v>68</v>
      </c>
      <c r="I11" s="68">
        <f t="shared" si="9"/>
        <v>2459162.88</v>
      </c>
      <c r="J11" s="46">
        <f t="shared" si="2"/>
        <v>1506102.8046398691</v>
      </c>
      <c r="K11" s="67">
        <f>(References!$C$50*J11)</f>
        <v>0</v>
      </c>
      <c r="L11" s="67">
        <f>K11/References!$G$53</f>
        <v>0</v>
      </c>
      <c r="M11" s="67">
        <f t="shared" si="3"/>
        <v>0</v>
      </c>
      <c r="N11" s="173">
        <v>11.37</v>
      </c>
      <c r="O11" s="135">
        <f t="shared" ref="O11:O21" si="19">M11+N11</f>
        <v>11.37</v>
      </c>
      <c r="P11" s="67">
        <f t="shared" si="5"/>
        <v>94962.239999999991</v>
      </c>
      <c r="Q11" s="67">
        <f t="shared" si="6"/>
        <v>94962.239999999991</v>
      </c>
      <c r="R11" s="67">
        <f t="shared" si="10"/>
        <v>0</v>
      </c>
      <c r="S11" s="181"/>
      <c r="T11" s="185">
        <f t="shared" si="11"/>
        <v>2.8496240601503686E-2</v>
      </c>
      <c r="U11" s="197">
        <f t="shared" si="12"/>
        <v>11.398496240601503</v>
      </c>
      <c r="V11" s="70">
        <f t="shared" si="13"/>
        <v>95200.240601503756</v>
      </c>
      <c r="W11" s="70">
        <f t="shared" si="14"/>
        <v>238.00060150376521</v>
      </c>
      <c r="X11" s="50"/>
      <c r="Y11" s="50"/>
    </row>
    <row r="12" spans="1:25" s="59" customFormat="1">
      <c r="B12" s="190"/>
      <c r="C12" s="47"/>
      <c r="D12" s="115"/>
      <c r="E12" s="116"/>
      <c r="F12" s="110"/>
      <c r="G12" s="68"/>
      <c r="H12" s="113"/>
      <c r="I12" s="68"/>
      <c r="J12" s="46"/>
      <c r="K12" s="67"/>
      <c r="L12" s="67"/>
      <c r="M12" s="67"/>
      <c r="N12" s="114"/>
      <c r="O12" s="67"/>
      <c r="P12" s="67"/>
      <c r="Q12" s="67"/>
      <c r="R12" s="67"/>
      <c r="S12" s="181"/>
      <c r="T12" s="185"/>
      <c r="U12" s="197"/>
      <c r="V12" s="70"/>
      <c r="W12" s="70"/>
    </row>
    <row r="13" spans="1:25" s="59" customFormat="1">
      <c r="B13" s="48"/>
      <c r="C13" s="83"/>
      <c r="D13" s="49" t="s">
        <v>16</v>
      </c>
      <c r="E13" s="51">
        <f>SUM(E5:E12)</f>
        <v>2078</v>
      </c>
      <c r="F13" s="52"/>
      <c r="G13" s="51">
        <f>SUM(G5:G12)</f>
        <v>96098.040000000008</v>
      </c>
      <c r="H13" s="53"/>
      <c r="I13" s="51">
        <f>SUM(I5:I12)</f>
        <v>5094870.4800000004</v>
      </c>
      <c r="J13" s="51">
        <f>SUM(J5:J12)</f>
        <v>3120329.5973648056</v>
      </c>
      <c r="K13" s="72"/>
      <c r="L13" s="72"/>
      <c r="M13" s="72"/>
      <c r="N13" s="72"/>
      <c r="O13" s="72"/>
      <c r="P13" s="51">
        <f>SUM(P5:P12)</f>
        <v>224156.76</v>
      </c>
      <c r="Q13" s="51">
        <f t="shared" ref="Q13:R13" si="20">SUM(Q5:Q12)</f>
        <v>224156.76</v>
      </c>
      <c r="R13" s="51">
        <f t="shared" si="20"/>
        <v>0</v>
      </c>
      <c r="S13" s="182"/>
      <c r="T13" s="51"/>
      <c r="U13" s="51"/>
      <c r="V13" s="51">
        <f t="shared" ref="V13:W13" si="21">SUM(V5:V12)</f>
        <v>224718.55639097741</v>
      </c>
      <c r="W13" s="51">
        <f t="shared" si="21"/>
        <v>561.79639097744962</v>
      </c>
    </row>
    <row r="14" spans="1:25" s="59" customFormat="1">
      <c r="B14" s="191" t="s">
        <v>14</v>
      </c>
      <c r="C14" s="47"/>
      <c r="D14" s="117"/>
      <c r="E14" s="56"/>
      <c r="F14" s="69"/>
      <c r="G14" s="118"/>
      <c r="H14" s="131"/>
      <c r="I14" s="68"/>
      <c r="J14" s="46"/>
      <c r="K14" s="67"/>
      <c r="L14" s="67"/>
      <c r="M14" s="67"/>
      <c r="N14" s="173"/>
      <c r="O14" s="135"/>
      <c r="P14" s="67"/>
      <c r="Q14" s="67"/>
      <c r="R14" s="67"/>
      <c r="S14" s="181"/>
      <c r="T14" s="70"/>
      <c r="U14" s="197"/>
      <c r="V14" s="70"/>
      <c r="W14" s="70"/>
    </row>
    <row r="15" spans="1:25" s="59" customFormat="1">
      <c r="B15" s="190"/>
      <c r="C15" s="47">
        <v>32</v>
      </c>
      <c r="D15" s="117" t="s">
        <v>130</v>
      </c>
      <c r="E15" s="152">
        <v>9</v>
      </c>
      <c r="F15" s="69">
        <v>1</v>
      </c>
      <c r="G15" s="68">
        <f>E15*F15*12</f>
        <v>108</v>
      </c>
      <c r="H15" s="131">
        <f>References!B23</f>
        <v>68</v>
      </c>
      <c r="I15" s="104">
        <f>G15*H15</f>
        <v>7344</v>
      </c>
      <c r="J15" s="46">
        <f>$E$54*I15</f>
        <v>4497.7984529740461</v>
      </c>
      <c r="K15" s="67">
        <f>(References!$C$50*J15)</f>
        <v>0</v>
      </c>
      <c r="L15" s="67">
        <f>K15/References!$G$53</f>
        <v>0</v>
      </c>
      <c r="M15" s="67">
        <f>L15/G15</f>
        <v>0</v>
      </c>
      <c r="N15" s="174">
        <v>1.41</v>
      </c>
      <c r="O15" s="135">
        <f t="shared" si="19"/>
        <v>1.41</v>
      </c>
      <c r="P15" s="67">
        <f>G15*N15</f>
        <v>152.28</v>
      </c>
      <c r="Q15" s="67">
        <f>G15*O15</f>
        <v>152.28</v>
      </c>
      <c r="R15" s="67">
        <f t="shared" ref="R15:R21" si="22">+Q15-P15</f>
        <v>0</v>
      </c>
      <c r="S15" s="181"/>
      <c r="T15" s="185">
        <f t="shared" ref="T15:T17" si="23">O15/(1-$T$3)-O15</f>
        <v>3.5338345864661669E-3</v>
      </c>
      <c r="U15" s="197">
        <f t="shared" ref="U15:U17" si="24">O15+T15</f>
        <v>1.4135338345864661</v>
      </c>
      <c r="V15" s="70">
        <f>G15*U15</f>
        <v>152.66165413533832</v>
      </c>
      <c r="W15" s="70">
        <f t="shared" ref="W15:W17" si="25">V15-Q15</f>
        <v>0.38165413533832293</v>
      </c>
      <c r="X15" s="50"/>
      <c r="Y15" s="50"/>
    </row>
    <row r="16" spans="1:25" s="59" customFormat="1">
      <c r="B16" s="190"/>
      <c r="C16" s="47">
        <v>32</v>
      </c>
      <c r="D16" s="117" t="s">
        <v>133</v>
      </c>
      <c r="E16" s="152">
        <v>9</v>
      </c>
      <c r="F16" s="69">
        <v>1</v>
      </c>
      <c r="G16" s="68">
        <f t="shared" ref="G16:G17" si="26">E16*F16*12</f>
        <v>108</v>
      </c>
      <c r="H16" s="131">
        <f>References!B23</f>
        <v>68</v>
      </c>
      <c r="I16" s="104">
        <f t="shared" ref="I16:I17" si="27">G16*H16</f>
        <v>7344</v>
      </c>
      <c r="J16" s="46">
        <f t="shared" ref="J16:J17" si="28">$E$54*I16</f>
        <v>4497.7984529740461</v>
      </c>
      <c r="K16" s="67">
        <f>(References!$C$50*J16)</f>
        <v>0</v>
      </c>
      <c r="L16" s="67">
        <f>K16/References!$G$53</f>
        <v>0</v>
      </c>
      <c r="M16" s="67">
        <f t="shared" ref="M16:M17" si="29">L16/G16</f>
        <v>0</v>
      </c>
      <c r="N16" s="174">
        <v>5.71</v>
      </c>
      <c r="O16" s="135">
        <f t="shared" ref="O16:O17" si="30">M16+N16</f>
        <v>5.71</v>
      </c>
      <c r="P16" s="67">
        <f t="shared" ref="P16:P17" si="31">G16*N16</f>
        <v>616.67999999999995</v>
      </c>
      <c r="Q16" s="67">
        <f t="shared" ref="Q16:Q17" si="32">G16*O16</f>
        <v>616.67999999999995</v>
      </c>
      <c r="R16" s="67">
        <f t="shared" ref="R16:R17" si="33">+Q16-P16</f>
        <v>0</v>
      </c>
      <c r="S16" s="181"/>
      <c r="T16" s="185">
        <f t="shared" si="23"/>
        <v>1.431077694235583E-2</v>
      </c>
      <c r="U16" s="197">
        <f t="shared" si="24"/>
        <v>5.7243107769423558</v>
      </c>
      <c r="V16" s="70">
        <f t="shared" ref="V16:V22" si="34">G16*U16</f>
        <v>618.22556390977445</v>
      </c>
      <c r="W16" s="70">
        <f t="shared" si="25"/>
        <v>1.5455639097745006</v>
      </c>
      <c r="X16" s="50"/>
      <c r="Y16" s="50"/>
    </row>
    <row r="17" spans="1:25" s="59" customFormat="1">
      <c r="B17" s="190"/>
      <c r="C17" s="47">
        <v>32</v>
      </c>
      <c r="D17" s="117" t="s">
        <v>134</v>
      </c>
      <c r="E17" s="152">
        <v>9</v>
      </c>
      <c r="F17" s="69">
        <v>1</v>
      </c>
      <c r="G17" s="68">
        <f t="shared" si="26"/>
        <v>108</v>
      </c>
      <c r="H17" s="131">
        <f>References!B23</f>
        <v>68</v>
      </c>
      <c r="I17" s="104">
        <f t="shared" si="27"/>
        <v>7344</v>
      </c>
      <c r="J17" s="46">
        <f t="shared" si="28"/>
        <v>4497.7984529740461</v>
      </c>
      <c r="K17" s="67">
        <f>(References!$C$50*J17)</f>
        <v>0</v>
      </c>
      <c r="L17" s="67">
        <f>K17/References!$G$53</f>
        <v>0</v>
      </c>
      <c r="M17" s="67">
        <f t="shared" si="29"/>
        <v>0</v>
      </c>
      <c r="N17" s="174">
        <v>2.41</v>
      </c>
      <c r="O17" s="135">
        <f t="shared" si="30"/>
        <v>2.41</v>
      </c>
      <c r="P17" s="67">
        <f t="shared" si="31"/>
        <v>260.28000000000003</v>
      </c>
      <c r="Q17" s="67">
        <f t="shared" si="32"/>
        <v>260.28000000000003</v>
      </c>
      <c r="R17" s="67">
        <f t="shared" si="33"/>
        <v>0</v>
      </c>
      <c r="S17" s="181"/>
      <c r="T17" s="185">
        <f t="shared" si="23"/>
        <v>6.0401002506265122E-3</v>
      </c>
      <c r="U17" s="197">
        <f t="shared" si="24"/>
        <v>2.4160401002506267</v>
      </c>
      <c r="V17" s="70">
        <f t="shared" si="34"/>
        <v>260.93233082706769</v>
      </c>
      <c r="W17" s="70">
        <f t="shared" si="25"/>
        <v>0.65233082706765799</v>
      </c>
      <c r="X17" s="50"/>
      <c r="Y17" s="50"/>
    </row>
    <row r="18" spans="1:25" s="59" customFormat="1">
      <c r="B18" s="190"/>
      <c r="C18" s="47"/>
      <c r="D18" s="136"/>
      <c r="E18" s="153"/>
      <c r="F18" s="137"/>
      <c r="G18" s="138"/>
      <c r="H18" s="139"/>
      <c r="I18" s="140"/>
      <c r="J18" s="141"/>
      <c r="K18" s="142"/>
      <c r="L18" s="142"/>
      <c r="M18" s="142"/>
      <c r="N18" s="175"/>
      <c r="O18" s="143"/>
      <c r="P18" s="142"/>
      <c r="Q18" s="142"/>
      <c r="R18" s="67"/>
      <c r="S18" s="181"/>
      <c r="T18" s="144"/>
      <c r="U18" s="197"/>
      <c r="V18" s="144"/>
      <c r="W18" s="144"/>
    </row>
    <row r="19" spans="1:25" s="59" customFormat="1">
      <c r="A19" t="s">
        <v>141</v>
      </c>
      <c r="B19" s="190"/>
      <c r="C19" s="47">
        <v>31</v>
      </c>
      <c r="D19" s="145" t="s">
        <v>127</v>
      </c>
      <c r="E19" s="154">
        <v>706</v>
      </c>
      <c r="F19" s="147">
        <f>+References!B10</f>
        <v>1</v>
      </c>
      <c r="G19" s="68">
        <f t="shared" ref="G19:G21" si="35">E19*F19*12</f>
        <v>8472</v>
      </c>
      <c r="H19" s="148">
        <f>References!$B$29</f>
        <v>250</v>
      </c>
      <c r="I19" s="146">
        <f t="shared" ref="I19:I21" si="36">G19*H19</f>
        <v>2118000</v>
      </c>
      <c r="J19" s="149">
        <f>$E$54*I19</f>
        <v>1297159.1943626129</v>
      </c>
      <c r="K19" s="150">
        <f>(References!$C$50*J19)</f>
        <v>0</v>
      </c>
      <c r="L19" s="150">
        <f>K19/References!$G$53</f>
        <v>0</v>
      </c>
      <c r="M19" s="150">
        <f t="shared" ref="M19:M21" si="37">L19/G19</f>
        <v>0</v>
      </c>
      <c r="N19" s="175">
        <v>9.73</v>
      </c>
      <c r="O19" s="135">
        <f t="shared" si="19"/>
        <v>9.73</v>
      </c>
      <c r="P19" s="150">
        <f t="shared" ref="P19:P21" si="38">G19*N19</f>
        <v>82432.56</v>
      </c>
      <c r="Q19" s="150">
        <f t="shared" ref="Q19:Q21" si="39">G19*O19</f>
        <v>82432.56</v>
      </c>
      <c r="R19" s="67">
        <f t="shared" si="22"/>
        <v>0</v>
      </c>
      <c r="S19" s="181"/>
      <c r="T19" s="185">
        <f t="shared" ref="T19:T22" si="40">O19/(1-$T$3)-O19</f>
        <v>2.43859649122804E-2</v>
      </c>
      <c r="U19" s="197">
        <f t="shared" ref="U19:U22" si="41">O19+T19</f>
        <v>9.7543859649122808</v>
      </c>
      <c r="V19" s="70">
        <f t="shared" si="34"/>
        <v>82639.15789473684</v>
      </c>
      <c r="W19" s="70">
        <f t="shared" ref="W19:W22" si="42">V19-Q19</f>
        <v>206.59789473684214</v>
      </c>
      <c r="X19" s="50"/>
    </row>
    <row r="20" spans="1:25" s="59" customFormat="1">
      <c r="B20" s="190"/>
      <c r="C20" s="47">
        <v>31</v>
      </c>
      <c r="D20" s="145" t="s">
        <v>126</v>
      </c>
      <c r="E20" s="154">
        <f>2670</f>
        <v>2670</v>
      </c>
      <c r="F20" s="147">
        <f>+References!B10</f>
        <v>1</v>
      </c>
      <c r="G20" s="68">
        <f t="shared" ref="G20" si="43">E20*F20*12</f>
        <v>32040</v>
      </c>
      <c r="H20" s="148">
        <f>References!$B$29</f>
        <v>250</v>
      </c>
      <c r="I20" s="146">
        <f t="shared" ref="I20" si="44">G20*H20</f>
        <v>8010000</v>
      </c>
      <c r="J20" s="149">
        <f>$E$54*I20</f>
        <v>4905687.0381702213</v>
      </c>
      <c r="K20" s="150">
        <f>(References!$C$50*J20)</f>
        <v>0</v>
      </c>
      <c r="L20" s="150">
        <f>K20/References!$G$53</f>
        <v>0</v>
      </c>
      <c r="M20" s="150">
        <f t="shared" ref="M20" si="45">L20/G20</f>
        <v>0</v>
      </c>
      <c r="N20" s="175">
        <v>9.73</v>
      </c>
      <c r="O20" s="135">
        <f t="shared" ref="O20" si="46">M20+N20</f>
        <v>9.73</v>
      </c>
      <c r="P20" s="150">
        <f t="shared" ref="P20" si="47">G20*N20</f>
        <v>311749.2</v>
      </c>
      <c r="Q20" s="150">
        <f t="shared" ref="Q20" si="48">G20*O20</f>
        <v>311749.2</v>
      </c>
      <c r="R20" s="67">
        <f t="shared" ref="R20" si="49">+Q20-P20</f>
        <v>0</v>
      </c>
      <c r="S20" s="181"/>
      <c r="T20" s="185">
        <f t="shared" si="40"/>
        <v>2.43859649122804E-2</v>
      </c>
      <c r="U20" s="197">
        <f t="shared" si="41"/>
        <v>9.7543859649122808</v>
      </c>
      <c r="V20" s="70">
        <f t="shared" si="34"/>
        <v>312530.5263157895</v>
      </c>
      <c r="W20" s="70">
        <f t="shared" si="42"/>
        <v>781.32631578948349</v>
      </c>
      <c r="X20" s="50"/>
      <c r="Y20" s="50"/>
    </row>
    <row r="21" spans="1:25" s="59" customFormat="1" ht="28.8">
      <c r="A21" s="172" t="s">
        <v>142</v>
      </c>
      <c r="B21" s="190"/>
      <c r="C21" s="47">
        <v>31</v>
      </c>
      <c r="D21" s="117" t="s">
        <v>128</v>
      </c>
      <c r="E21" s="151">
        <v>19</v>
      </c>
      <c r="F21" s="69">
        <f>+References!B10</f>
        <v>1</v>
      </c>
      <c r="G21" s="68">
        <f t="shared" si="35"/>
        <v>228</v>
      </c>
      <c r="H21" s="131">
        <f>References!$B$29</f>
        <v>250</v>
      </c>
      <c r="I21" s="68">
        <f t="shared" si="36"/>
        <v>57000</v>
      </c>
      <c r="J21" s="46">
        <f>$E$54*I21</f>
        <v>34909.383417690718</v>
      </c>
      <c r="K21" s="67">
        <f>(References!$C$50*J21)</f>
        <v>0</v>
      </c>
      <c r="L21" s="67">
        <f>K21/References!$G$53</f>
        <v>0</v>
      </c>
      <c r="M21" s="67">
        <f t="shared" si="37"/>
        <v>0</v>
      </c>
      <c r="N21" s="175">
        <v>9.73</v>
      </c>
      <c r="O21" s="135">
        <f t="shared" si="19"/>
        <v>9.73</v>
      </c>
      <c r="P21" s="67">
        <f t="shared" si="38"/>
        <v>2218.44</v>
      </c>
      <c r="Q21" s="67">
        <f t="shared" si="39"/>
        <v>2218.44</v>
      </c>
      <c r="R21" s="67">
        <f t="shared" si="22"/>
        <v>0</v>
      </c>
      <c r="S21" s="181"/>
      <c r="T21" s="185">
        <f t="shared" si="40"/>
        <v>2.43859649122804E-2</v>
      </c>
      <c r="U21" s="197">
        <f t="shared" si="41"/>
        <v>9.7543859649122808</v>
      </c>
      <c r="V21" s="70">
        <f t="shared" si="34"/>
        <v>2224</v>
      </c>
      <c r="W21" s="70">
        <f t="shared" si="42"/>
        <v>5.5599999999999454</v>
      </c>
      <c r="X21" s="50"/>
    </row>
    <row r="22" spans="1:25" s="59" customFormat="1">
      <c r="A22" s="59" t="s">
        <v>147</v>
      </c>
      <c r="B22" s="190"/>
      <c r="C22" s="47">
        <v>31</v>
      </c>
      <c r="D22" s="145" t="s">
        <v>129</v>
      </c>
      <c r="E22" s="154">
        <v>22</v>
      </c>
      <c r="F22" s="147">
        <f>+References!B10</f>
        <v>1</v>
      </c>
      <c r="G22" s="68">
        <f t="shared" ref="G22" si="50">E22*F22*12</f>
        <v>264</v>
      </c>
      <c r="H22" s="131">
        <f>References!$B$29</f>
        <v>250</v>
      </c>
      <c r="I22" s="68">
        <f t="shared" ref="I22" si="51">G22*H22</f>
        <v>66000</v>
      </c>
      <c r="J22" s="46">
        <f>$E$54*I22</f>
        <v>40421.391325747143</v>
      </c>
      <c r="K22" s="67">
        <f>(References!$C$50*J22)</f>
        <v>0</v>
      </c>
      <c r="L22" s="67">
        <f>K22/References!$G$53</f>
        <v>0</v>
      </c>
      <c r="M22" s="67">
        <f t="shared" ref="M22" si="52">L22/G22</f>
        <v>0</v>
      </c>
      <c r="N22" s="175">
        <v>9.73</v>
      </c>
      <c r="O22" s="135">
        <f t="shared" ref="O22" si="53">M22+N22</f>
        <v>9.73</v>
      </c>
      <c r="P22" s="67">
        <f t="shared" ref="P22" si="54">G22*N22</f>
        <v>2568.7200000000003</v>
      </c>
      <c r="Q22" s="67">
        <f t="shared" ref="Q22" si="55">G22*O22</f>
        <v>2568.7200000000003</v>
      </c>
      <c r="R22" s="67">
        <f t="shared" ref="R22" si="56">+Q22-P22</f>
        <v>0</v>
      </c>
      <c r="S22" s="181"/>
      <c r="T22" s="185">
        <f t="shared" si="40"/>
        <v>2.43859649122804E-2</v>
      </c>
      <c r="U22" s="197">
        <f t="shared" si="41"/>
        <v>9.7543859649122808</v>
      </c>
      <c r="V22" s="70">
        <f t="shared" si="34"/>
        <v>2575.1578947368421</v>
      </c>
      <c r="W22" s="70">
        <f t="shared" si="42"/>
        <v>6.4378947368418267</v>
      </c>
      <c r="X22" s="50"/>
    </row>
    <row r="23" spans="1:25" s="59" customFormat="1">
      <c r="B23" s="190"/>
      <c r="C23" s="47"/>
      <c r="D23" s="145"/>
      <c r="E23" s="154"/>
      <c r="F23" s="147"/>
      <c r="G23" s="68"/>
      <c r="H23" s="131"/>
      <c r="I23" s="68"/>
      <c r="J23" s="46"/>
      <c r="K23" s="67"/>
      <c r="L23" s="67"/>
      <c r="M23" s="67"/>
      <c r="N23" s="175"/>
      <c r="O23" s="135"/>
      <c r="P23" s="67"/>
      <c r="Q23" s="67"/>
      <c r="R23" s="67"/>
      <c r="S23" s="181"/>
      <c r="T23" s="70"/>
      <c r="U23" s="197"/>
      <c r="V23" s="70"/>
      <c r="W23" s="70"/>
    </row>
    <row r="24" spans="1:25" s="59" customFormat="1">
      <c r="B24" s="190"/>
      <c r="C24" s="47"/>
      <c r="D24" s="117"/>
      <c r="E24" s="56"/>
      <c r="F24" s="69"/>
      <c r="G24" s="118"/>
      <c r="H24" s="131"/>
      <c r="I24" s="68"/>
      <c r="J24" s="46"/>
      <c r="K24" s="67"/>
      <c r="L24" s="67"/>
      <c r="M24" s="67"/>
      <c r="N24" s="67"/>
      <c r="O24" s="67"/>
      <c r="P24" s="67"/>
      <c r="Q24" s="67"/>
      <c r="R24" s="67"/>
      <c r="S24" s="181"/>
      <c r="T24" s="70"/>
      <c r="U24" s="197"/>
      <c r="V24" s="70"/>
      <c r="W24" s="70"/>
    </row>
    <row r="25" spans="1:25" s="59" customFormat="1">
      <c r="B25" s="48"/>
      <c r="C25" s="25"/>
      <c r="D25" s="49"/>
      <c r="E25" s="51">
        <f>SUM(E14:E23)</f>
        <v>3444</v>
      </c>
      <c r="F25" s="51"/>
      <c r="G25" s="51">
        <f>SUM(G14:G23)</f>
        <v>41328</v>
      </c>
      <c r="H25" s="132">
        <f>SUM(H14:H24)</f>
        <v>1204</v>
      </c>
      <c r="I25" s="51">
        <f>SUM(I14:I23)</f>
        <v>10273032</v>
      </c>
      <c r="J25" s="51">
        <f>SUM(J14:J23)</f>
        <v>6291670.4026351953</v>
      </c>
      <c r="K25" s="71"/>
      <c r="L25" s="71"/>
      <c r="M25" s="71"/>
      <c r="N25" s="71"/>
      <c r="O25" s="71"/>
      <c r="P25" s="51">
        <f>SUM(P14:P23)</f>
        <v>399998.16</v>
      </c>
      <c r="Q25" s="51">
        <f>SUM(Q14:Q23)</f>
        <v>399998.16</v>
      </c>
      <c r="R25" s="51">
        <f>SUM(R14:R23)</f>
        <v>0</v>
      </c>
      <c r="S25" s="182"/>
      <c r="T25" s="51"/>
      <c r="U25" s="51"/>
      <c r="V25" s="51">
        <f>SUM(V14:V23)</f>
        <v>401000.66165413539</v>
      </c>
      <c r="W25" s="51">
        <f>SUM(W14:W23)</f>
        <v>1002.5016541353478</v>
      </c>
    </row>
    <row r="26" spans="1:25">
      <c r="D26" s="63"/>
      <c r="E26" s="64">
        <f>E13+E25</f>
        <v>5522</v>
      </c>
      <c r="F26" s="64"/>
      <c r="G26" s="99">
        <f>G13+G25</f>
        <v>137426.04</v>
      </c>
      <c r="H26" s="64"/>
      <c r="I26" s="64">
        <f>I13+I25</f>
        <v>15367902.48</v>
      </c>
      <c r="J26" s="64">
        <f>J13+J25</f>
        <v>9412000</v>
      </c>
      <c r="K26" s="67"/>
      <c r="L26" s="73"/>
      <c r="M26" s="73"/>
      <c r="N26" s="73"/>
      <c r="O26" s="73"/>
      <c r="P26" s="73">
        <f>P13+P25</f>
        <v>624154.91999999993</v>
      </c>
      <c r="Q26" s="73">
        <f>Q13+Q25</f>
        <v>624154.91999999993</v>
      </c>
      <c r="R26" s="73">
        <f>R13+R25</f>
        <v>0</v>
      </c>
      <c r="S26" s="181"/>
      <c r="T26" s="185"/>
      <c r="U26" s="197"/>
      <c r="V26" s="73">
        <f>V13+V25</f>
        <v>625719.21804511279</v>
      </c>
      <c r="W26" s="186">
        <f>W13+W25</f>
        <v>1564.2980451127974</v>
      </c>
    </row>
    <row r="27" spans="1:25">
      <c r="H27" s="133"/>
      <c r="K27" s="55"/>
      <c r="Q27" s="60"/>
      <c r="S27" s="179"/>
      <c r="T27" s="185"/>
      <c r="U27" s="197"/>
    </row>
    <row r="28" spans="1:25">
      <c r="H28" s="133"/>
      <c r="K28" s="55"/>
      <c r="Q28" s="60"/>
      <c r="S28" s="179"/>
      <c r="T28" s="185"/>
      <c r="U28" s="197"/>
    </row>
    <row r="29" spans="1:25">
      <c r="B29" s="74"/>
      <c r="C29" s="75"/>
      <c r="D29" s="79" t="s">
        <v>91</v>
      </c>
      <c r="E29" s="76"/>
      <c r="F29" s="74"/>
      <c r="G29" s="74"/>
      <c r="H29" s="134"/>
      <c r="I29" s="74"/>
      <c r="J29" s="77"/>
      <c r="K29" s="78"/>
      <c r="L29" s="74"/>
      <c r="M29" s="74"/>
      <c r="N29" s="74"/>
      <c r="O29" s="74"/>
      <c r="P29" s="59"/>
      <c r="Q29" s="98"/>
      <c r="R29" s="59"/>
      <c r="S29" s="179"/>
      <c r="T29" s="185"/>
      <c r="U29" s="197"/>
      <c r="V29" s="59"/>
      <c r="W29" s="59"/>
    </row>
    <row r="30" spans="1:25" s="59" customFormat="1">
      <c r="B30" s="190" t="s">
        <v>49</v>
      </c>
      <c r="C30" s="47"/>
      <c r="D30" s="117"/>
      <c r="E30" s="68"/>
      <c r="F30" s="69"/>
      <c r="G30" s="68"/>
      <c r="H30" s="68"/>
      <c r="I30" s="68"/>
      <c r="J30" s="46"/>
      <c r="K30" s="67"/>
      <c r="L30" s="67"/>
      <c r="M30" s="67"/>
      <c r="N30" s="174"/>
      <c r="O30" s="135"/>
      <c r="P30" s="119"/>
      <c r="Q30" s="67"/>
      <c r="R30" s="67"/>
      <c r="S30" s="179"/>
      <c r="T30" s="185"/>
      <c r="U30" s="197"/>
      <c r="V30" s="67"/>
      <c r="W30" s="67"/>
    </row>
    <row r="31" spans="1:25" s="59" customFormat="1">
      <c r="B31" s="190"/>
      <c r="C31" s="47">
        <v>22</v>
      </c>
      <c r="D31" s="102" t="s">
        <v>101</v>
      </c>
      <c r="E31" s="68">
        <v>0</v>
      </c>
      <c r="F31" s="69">
        <f>References!$B$8</f>
        <v>4.33</v>
      </c>
      <c r="G31" s="68">
        <f t="shared" ref="G31:G32" si="57">F31*12</f>
        <v>51.96</v>
      </c>
      <c r="H31" s="68">
        <f>References!B16</f>
        <v>51</v>
      </c>
      <c r="I31" s="68">
        <f t="shared" ref="I31:I36" si="58">G31*H31</f>
        <v>2649.96</v>
      </c>
      <c r="J31" s="46">
        <f>$E$54*I31</f>
        <v>1622.9556084481349</v>
      </c>
      <c r="K31" s="67">
        <f>(References!$C$50*J31)</f>
        <v>0</v>
      </c>
      <c r="L31" s="67">
        <f>K31/References!$G$53</f>
        <v>0</v>
      </c>
      <c r="M31" s="67">
        <f>L31/G31*F31</f>
        <v>0</v>
      </c>
      <c r="N31" s="174">
        <v>9.31</v>
      </c>
      <c r="O31" s="135">
        <f>M31+N31</f>
        <v>9.31</v>
      </c>
      <c r="P31" s="67"/>
      <c r="Q31" s="67"/>
      <c r="R31" s="67"/>
      <c r="S31" s="179"/>
      <c r="T31" s="185">
        <f t="shared" ref="T31:T38" si="59">O31/(1-$T$3)-O31</f>
        <v>2.3333333333333428E-2</v>
      </c>
      <c r="U31" s="197">
        <f t="shared" ref="U31:U32" si="60">O31+T31</f>
        <v>9.3333333333333339</v>
      </c>
      <c r="V31" s="67"/>
      <c r="W31" s="67"/>
      <c r="X31" s="50"/>
      <c r="Y31" s="50"/>
    </row>
    <row r="32" spans="1:25" s="59" customFormat="1">
      <c r="B32" s="190"/>
      <c r="C32" s="47">
        <v>22</v>
      </c>
      <c r="D32" s="102" t="s">
        <v>102</v>
      </c>
      <c r="E32" s="68">
        <v>0</v>
      </c>
      <c r="F32" s="69">
        <f>References!$B$8</f>
        <v>4.33</v>
      </c>
      <c r="G32" s="68">
        <f t="shared" si="57"/>
        <v>51.96</v>
      </c>
      <c r="H32" s="68">
        <f>References!B17</f>
        <v>77</v>
      </c>
      <c r="I32" s="68">
        <f t="shared" si="58"/>
        <v>4000.92</v>
      </c>
      <c r="J32" s="46">
        <f>$E$54*I32</f>
        <v>2450.344742166792</v>
      </c>
      <c r="K32" s="67">
        <f>(References!$C$50*J32)</f>
        <v>0</v>
      </c>
      <c r="L32" s="67">
        <f>K32/References!$G$53</f>
        <v>0</v>
      </c>
      <c r="M32" s="67">
        <f t="shared" ref="M32:M36" si="61">L32/G32*F32</f>
        <v>0</v>
      </c>
      <c r="N32" s="174">
        <v>11.44</v>
      </c>
      <c r="O32" s="135">
        <f t="shared" ref="O32:O36" si="62">M32+N32</f>
        <v>11.44</v>
      </c>
      <c r="P32" s="67"/>
      <c r="Q32" s="67"/>
      <c r="R32" s="67"/>
      <c r="S32" s="179"/>
      <c r="T32" s="185">
        <f t="shared" si="59"/>
        <v>2.8671679197994848E-2</v>
      </c>
      <c r="U32" s="197">
        <f t="shared" si="60"/>
        <v>11.468671679197994</v>
      </c>
      <c r="V32" s="67"/>
      <c r="W32" s="67"/>
      <c r="X32" s="50"/>
      <c r="Y32" s="50"/>
    </row>
    <row r="33" spans="1:25" s="59" customFormat="1">
      <c r="B33" s="190"/>
      <c r="N33" s="176"/>
      <c r="O33" s="135"/>
      <c r="P33" s="67"/>
      <c r="Q33" s="67"/>
      <c r="R33" s="67"/>
      <c r="S33" s="179"/>
      <c r="T33" s="185"/>
      <c r="U33" s="197"/>
      <c r="V33" s="67"/>
      <c r="W33" s="67"/>
    </row>
    <row r="34" spans="1:25" s="59" customFormat="1">
      <c r="A34" s="59" t="s">
        <v>145</v>
      </c>
      <c r="B34" s="190"/>
      <c r="C34" s="47">
        <v>23</v>
      </c>
      <c r="D34" s="102" t="s">
        <v>109</v>
      </c>
      <c r="E34" s="68">
        <v>0</v>
      </c>
      <c r="F34" s="69">
        <f>References!$B$8</f>
        <v>4.33</v>
      </c>
      <c r="G34" s="68">
        <v>1</v>
      </c>
      <c r="H34" s="68">
        <f>+References!B22</f>
        <v>47</v>
      </c>
      <c r="I34" s="68">
        <f t="shared" si="58"/>
        <v>47</v>
      </c>
      <c r="J34" s="46">
        <f>$E$54*I34</f>
        <v>28.784930186516906</v>
      </c>
      <c r="K34" s="67">
        <f>(References!$C$50*J34)</f>
        <v>0</v>
      </c>
      <c r="L34" s="67">
        <f>K34/References!$G$53</f>
        <v>0</v>
      </c>
      <c r="M34" s="67">
        <f t="shared" si="61"/>
        <v>0</v>
      </c>
      <c r="N34" s="174">
        <v>2.66</v>
      </c>
      <c r="O34" s="135">
        <f t="shared" si="62"/>
        <v>2.66</v>
      </c>
      <c r="P34" s="67"/>
      <c r="Q34" s="67"/>
      <c r="R34" s="67"/>
      <c r="S34" s="179"/>
      <c r="T34" s="185">
        <f t="shared" si="59"/>
        <v>6.6666666666663765E-3</v>
      </c>
      <c r="U34" s="197">
        <f t="shared" ref="U34:U38" si="63">O34+T34</f>
        <v>2.6666666666666665</v>
      </c>
      <c r="V34" s="67"/>
      <c r="W34" s="67"/>
      <c r="X34" s="50"/>
    </row>
    <row r="35" spans="1:25" s="59" customFormat="1">
      <c r="A35" s="59" t="s">
        <v>146</v>
      </c>
      <c r="B35" s="190"/>
      <c r="C35" s="47">
        <v>23</v>
      </c>
      <c r="D35" s="102" t="s">
        <v>110</v>
      </c>
      <c r="E35" s="68">
        <v>0</v>
      </c>
      <c r="F35" s="69">
        <f>References!$B$8</f>
        <v>4.33</v>
      </c>
      <c r="G35" s="68">
        <v>1</v>
      </c>
      <c r="H35" s="68">
        <f>References!B23</f>
        <v>68</v>
      </c>
      <c r="I35" s="68">
        <f t="shared" si="58"/>
        <v>68</v>
      </c>
      <c r="J35" s="46">
        <f>$E$54*I35</f>
        <v>41.646281971981907</v>
      </c>
      <c r="K35" s="67">
        <f>(References!$C$50*J35)</f>
        <v>0</v>
      </c>
      <c r="L35" s="67">
        <f>K35/References!$G$53</f>
        <v>0</v>
      </c>
      <c r="M35" s="67">
        <f t="shared" si="61"/>
        <v>0</v>
      </c>
      <c r="N35" s="174">
        <v>2.82</v>
      </c>
      <c r="O35" s="135">
        <f t="shared" si="62"/>
        <v>2.82</v>
      </c>
      <c r="P35" s="67"/>
      <c r="Q35" s="67"/>
      <c r="R35" s="67"/>
      <c r="S35" s="179"/>
      <c r="T35" s="185">
        <f t="shared" si="59"/>
        <v>7.0676691729323338E-3</v>
      </c>
      <c r="U35" s="197">
        <f t="shared" si="63"/>
        <v>2.8270676691729322</v>
      </c>
      <c r="V35" s="67"/>
      <c r="W35" s="67"/>
      <c r="X35" s="50"/>
    </row>
    <row r="36" spans="1:25" s="59" customFormat="1">
      <c r="B36" s="190"/>
      <c r="C36" s="47">
        <v>23</v>
      </c>
      <c r="D36" s="102" t="s">
        <v>111</v>
      </c>
      <c r="E36" s="68">
        <v>0</v>
      </c>
      <c r="F36" s="69">
        <f>References!$B$8</f>
        <v>4.33</v>
      </c>
      <c r="G36" s="68">
        <v>1</v>
      </c>
      <c r="H36" s="68">
        <f>+References!B15</f>
        <v>34</v>
      </c>
      <c r="I36" s="68">
        <f t="shared" si="58"/>
        <v>34</v>
      </c>
      <c r="J36" s="46">
        <f>$E$54*I36</f>
        <v>20.823140985990953</v>
      </c>
      <c r="K36" s="67">
        <f>(References!$C$50*J36)</f>
        <v>0</v>
      </c>
      <c r="L36" s="67">
        <f>K36/References!$G$53</f>
        <v>0</v>
      </c>
      <c r="M36" s="67">
        <f t="shared" si="61"/>
        <v>0</v>
      </c>
      <c r="N36" s="174">
        <v>4.2699999999999996</v>
      </c>
      <c r="O36" s="135">
        <f t="shared" si="62"/>
        <v>4.2699999999999996</v>
      </c>
      <c r="P36" s="67"/>
      <c r="Q36" s="67"/>
      <c r="R36" s="67"/>
      <c r="S36" s="179"/>
      <c r="T36" s="185">
        <f t="shared" si="59"/>
        <v>1.0701754385964435E-2</v>
      </c>
      <c r="U36" s="197">
        <f t="shared" si="63"/>
        <v>4.280701754385964</v>
      </c>
      <c r="V36" s="67"/>
      <c r="W36" s="67"/>
      <c r="X36" s="50"/>
    </row>
    <row r="37" spans="1:25" s="59" customFormat="1">
      <c r="B37" s="129"/>
      <c r="C37" s="47">
        <v>24</v>
      </c>
      <c r="D37" s="59" t="s">
        <v>99</v>
      </c>
      <c r="E37" s="68">
        <v>0</v>
      </c>
      <c r="F37" s="69">
        <f>References!B10</f>
        <v>1</v>
      </c>
      <c r="G37" s="68">
        <f>F37*12</f>
        <v>12</v>
      </c>
      <c r="H37" s="68">
        <f>References!B43</f>
        <v>125</v>
      </c>
      <c r="I37" s="68">
        <f>G37*H37</f>
        <v>1500</v>
      </c>
      <c r="J37" s="46">
        <f>$E$54*I37</f>
        <v>918.66798467607146</v>
      </c>
      <c r="K37" s="67">
        <f>(References!$C$50*J37)</f>
        <v>0</v>
      </c>
      <c r="L37" s="67">
        <f>K37/References!$G$53</f>
        <v>0</v>
      </c>
      <c r="M37" s="67">
        <f>L37/G37*F37</f>
        <v>0</v>
      </c>
      <c r="N37" s="174">
        <v>2.52</v>
      </c>
      <c r="O37" s="135">
        <f>M37+N37</f>
        <v>2.52</v>
      </c>
      <c r="P37" s="67"/>
      <c r="Q37" s="67"/>
      <c r="R37" s="67"/>
      <c r="S37" s="179"/>
      <c r="T37" s="185">
        <f t="shared" si="59"/>
        <v>6.3157894736840525E-3</v>
      </c>
      <c r="U37" s="197">
        <f t="shared" si="63"/>
        <v>2.5263157894736841</v>
      </c>
      <c r="V37" s="67"/>
      <c r="W37" s="67"/>
      <c r="X37" s="50"/>
      <c r="Y37" s="50"/>
    </row>
    <row r="38" spans="1:25" s="59" customFormat="1">
      <c r="A38" s="172" t="s">
        <v>144</v>
      </c>
      <c r="B38" s="171"/>
      <c r="C38" s="47">
        <v>31</v>
      </c>
      <c r="D38" s="59" t="s">
        <v>132</v>
      </c>
      <c r="E38" s="68">
        <v>0</v>
      </c>
      <c r="F38" s="69">
        <v>1</v>
      </c>
      <c r="G38" s="68">
        <f>F38*12</f>
        <v>12</v>
      </c>
      <c r="H38" s="68">
        <f>+References!B28</f>
        <v>175</v>
      </c>
      <c r="I38" s="68">
        <f>G38*H38</f>
        <v>2100</v>
      </c>
      <c r="J38" s="46">
        <f>$E$54*I38</f>
        <v>1286.1351785465001</v>
      </c>
      <c r="K38" s="67">
        <f>(References!$C$50*J38)</f>
        <v>0</v>
      </c>
      <c r="L38" s="67">
        <f>K38/References!$G$53</f>
        <v>0</v>
      </c>
      <c r="M38" s="67">
        <f>L38/G38*F38</f>
        <v>0</v>
      </c>
      <c r="N38" s="174">
        <v>6.81</v>
      </c>
      <c r="O38" s="135">
        <f>M38+N38</f>
        <v>6.81</v>
      </c>
      <c r="P38" s="67"/>
      <c r="Q38" s="67"/>
      <c r="R38" s="67"/>
      <c r="S38" s="179"/>
      <c r="T38" s="185">
        <f t="shared" si="59"/>
        <v>1.7067669172932121E-2</v>
      </c>
      <c r="U38" s="197">
        <f t="shared" si="63"/>
        <v>6.8270676691729317</v>
      </c>
      <c r="V38" s="67"/>
      <c r="W38" s="67"/>
      <c r="X38" s="50"/>
    </row>
    <row r="39" spans="1:25" s="59" customFormat="1">
      <c r="B39" s="129"/>
      <c r="C39" s="47"/>
      <c r="D39" s="105"/>
      <c r="E39" s="68"/>
      <c r="F39" s="69"/>
      <c r="G39" s="68"/>
      <c r="H39" s="68"/>
      <c r="I39" s="68"/>
      <c r="J39" s="46"/>
      <c r="K39" s="67"/>
      <c r="L39" s="67"/>
      <c r="M39" s="67"/>
      <c r="N39" s="87"/>
      <c r="O39" s="67"/>
      <c r="P39" s="67"/>
      <c r="Q39" s="67"/>
      <c r="R39" s="67"/>
      <c r="S39" s="179"/>
      <c r="T39" s="185"/>
      <c r="U39" s="197"/>
      <c r="V39" s="67"/>
      <c r="W39" s="67"/>
    </row>
    <row r="40" spans="1:25" s="59" customFormat="1">
      <c r="B40" s="121"/>
      <c r="C40" s="122"/>
      <c r="D40" s="105"/>
      <c r="E40" s="123"/>
      <c r="F40" s="124"/>
      <c r="G40" s="125"/>
      <c r="H40" s="125"/>
      <c r="I40" s="125"/>
      <c r="J40" s="126"/>
      <c r="K40" s="127"/>
      <c r="L40" s="127"/>
      <c r="M40" s="127"/>
      <c r="N40" s="128"/>
      <c r="O40" s="127"/>
      <c r="P40" s="67"/>
      <c r="Q40" s="67"/>
      <c r="R40" s="67"/>
      <c r="S40" s="179"/>
      <c r="T40" s="185"/>
      <c r="U40" s="197"/>
      <c r="V40" s="67"/>
      <c r="W40" s="67"/>
    </row>
    <row r="41" spans="1:25" s="59" customFormat="1">
      <c r="B41" s="192" t="s">
        <v>14</v>
      </c>
      <c r="C41" s="47">
        <v>24</v>
      </c>
      <c r="D41" s="102" t="s">
        <v>103</v>
      </c>
      <c r="E41" s="56">
        <v>0</v>
      </c>
      <c r="F41" s="69">
        <f>References!$B$10</f>
        <v>1</v>
      </c>
      <c r="G41" s="68">
        <f>F41*12</f>
        <v>12</v>
      </c>
      <c r="H41" s="68">
        <f>References!B43</f>
        <v>125</v>
      </c>
      <c r="I41" s="68">
        <f>G41*H41</f>
        <v>1500</v>
      </c>
      <c r="J41" s="46">
        <f>$E$54*I41</f>
        <v>918.66798467607146</v>
      </c>
      <c r="K41" s="67">
        <f>(References!$C$50*J41)</f>
        <v>0</v>
      </c>
      <c r="L41" s="67">
        <f>K41/References!$G$53</f>
        <v>0</v>
      </c>
      <c r="M41" s="67">
        <f>L41/G41</f>
        <v>0</v>
      </c>
      <c r="N41" s="174">
        <v>4.2300000000000004</v>
      </c>
      <c r="O41" s="135">
        <f>M41+N41</f>
        <v>4.2300000000000004</v>
      </c>
      <c r="P41" s="67"/>
      <c r="Q41" s="67"/>
      <c r="R41" s="67"/>
      <c r="S41" s="179"/>
      <c r="T41" s="185">
        <f t="shared" ref="T41:T43" si="64">O41/(1-$T$3)-O41</f>
        <v>1.0601503759398057E-2</v>
      </c>
      <c r="U41" s="197">
        <f t="shared" ref="U41:U43" si="65">O41+T41</f>
        <v>4.2406015037593985</v>
      </c>
      <c r="V41" s="67"/>
      <c r="W41" s="67"/>
      <c r="X41" s="50"/>
    </row>
    <row r="42" spans="1:25" s="59" customFormat="1">
      <c r="A42" s="172" t="s">
        <v>143</v>
      </c>
      <c r="B42" s="193"/>
      <c r="C42" s="47">
        <v>24</v>
      </c>
      <c r="D42" s="102" t="s">
        <v>104</v>
      </c>
      <c r="E42" s="56">
        <v>0</v>
      </c>
      <c r="F42" s="69">
        <f>References!$B$10</f>
        <v>1</v>
      </c>
      <c r="G42" s="68">
        <f>F42*12</f>
        <v>12</v>
      </c>
      <c r="H42" s="68">
        <f>References!B43</f>
        <v>125</v>
      </c>
      <c r="I42" s="68">
        <f>G42*H42</f>
        <v>1500</v>
      </c>
      <c r="J42" s="46">
        <f>$E$54*I42</f>
        <v>918.66798467607146</v>
      </c>
      <c r="K42" s="67">
        <f>(References!$C$50*J42)</f>
        <v>0</v>
      </c>
      <c r="L42" s="67">
        <f>K42/References!$G$53</f>
        <v>0</v>
      </c>
      <c r="M42" s="67">
        <f>L42/G42</f>
        <v>0</v>
      </c>
      <c r="N42" s="174">
        <v>6.69</v>
      </c>
      <c r="O42" s="135">
        <f>M42+N42</f>
        <v>6.69</v>
      </c>
      <c r="P42" s="67"/>
      <c r="Q42" s="67"/>
      <c r="R42" s="67"/>
      <c r="S42" s="179"/>
      <c r="T42" s="185">
        <f t="shared" si="64"/>
        <v>1.6766917293232986E-2</v>
      </c>
      <c r="U42" s="197">
        <f t="shared" si="65"/>
        <v>6.7067669172932334</v>
      </c>
      <c r="V42" s="67"/>
      <c r="W42" s="67"/>
      <c r="X42" s="50"/>
      <c r="Y42" s="50"/>
    </row>
    <row r="43" spans="1:25" s="59" customFormat="1">
      <c r="B43" s="193"/>
      <c r="C43" s="47">
        <v>24</v>
      </c>
      <c r="D43" s="102" t="s">
        <v>105</v>
      </c>
      <c r="E43" s="56">
        <v>0</v>
      </c>
      <c r="F43" s="69">
        <f>References!$B$10</f>
        <v>1</v>
      </c>
      <c r="G43" s="68">
        <f>F43*12</f>
        <v>12</v>
      </c>
      <c r="H43" s="68">
        <f>References!B43</f>
        <v>125</v>
      </c>
      <c r="I43" s="68">
        <f>G43*H43</f>
        <v>1500</v>
      </c>
      <c r="J43" s="46">
        <f>$E$54*I43</f>
        <v>918.66798467607146</v>
      </c>
      <c r="K43" s="67">
        <f>(References!$C$50*J43)</f>
        <v>0</v>
      </c>
      <c r="L43" s="67">
        <f>K43/References!$G$53</f>
        <v>0</v>
      </c>
      <c r="M43" s="67">
        <f>L43/G43</f>
        <v>0</v>
      </c>
      <c r="N43" s="174">
        <v>5.85</v>
      </c>
      <c r="O43" s="135">
        <f>M43+N43</f>
        <v>5.85</v>
      </c>
      <c r="P43" s="67"/>
      <c r="Q43" s="67"/>
      <c r="R43" s="67"/>
      <c r="S43" s="179"/>
      <c r="T43" s="185">
        <f t="shared" si="64"/>
        <v>1.4661654135338154E-2</v>
      </c>
      <c r="U43" s="197">
        <f t="shared" si="65"/>
        <v>5.8646616541353378</v>
      </c>
      <c r="V43" s="67"/>
      <c r="W43" s="67"/>
      <c r="X43" s="50"/>
    </row>
    <row r="44" spans="1:25" s="59" customFormat="1">
      <c r="B44" s="169"/>
      <c r="C44" s="47"/>
      <c r="D44" s="120"/>
      <c r="E44" s="56"/>
      <c r="F44" s="69"/>
      <c r="G44" s="68"/>
      <c r="H44" s="68"/>
      <c r="I44" s="104"/>
      <c r="J44" s="46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</row>
    <row r="45" spans="1:25" s="59" customFormat="1">
      <c r="B45" s="169"/>
      <c r="C45" s="103"/>
      <c r="D45" s="105"/>
      <c r="E45" s="12"/>
      <c r="F45" s="100"/>
      <c r="G45" s="80"/>
      <c r="H45" s="80"/>
      <c r="I45" s="80"/>
      <c r="J45" s="101"/>
      <c r="K45" s="86"/>
      <c r="L45" s="86"/>
      <c r="M45" s="86"/>
      <c r="N45" s="86"/>
      <c r="O45" s="86"/>
      <c r="P45" s="67"/>
      <c r="Q45" s="67"/>
      <c r="R45" s="67"/>
      <c r="S45" s="67"/>
      <c r="T45" s="67"/>
      <c r="U45" s="67"/>
      <c r="V45" s="67"/>
      <c r="W45" s="67"/>
    </row>
    <row r="46" spans="1:25">
      <c r="D46" s="85"/>
      <c r="E46" s="38"/>
      <c r="F46" s="31"/>
      <c r="G46" s="56"/>
      <c r="H46" s="68"/>
      <c r="I46" s="56"/>
      <c r="K46" s="67"/>
      <c r="L46" s="87"/>
      <c r="M46" s="87"/>
      <c r="N46" s="87"/>
      <c r="O46" s="87"/>
      <c r="Q46" s="60"/>
    </row>
    <row r="47" spans="1:25">
      <c r="B47" s="62"/>
      <c r="D47" s="65"/>
      <c r="Q47" s="60"/>
    </row>
    <row r="48" spans="1:25">
      <c r="B48" s="62"/>
      <c r="D48" s="65"/>
      <c r="Q48" s="60"/>
    </row>
    <row r="49" spans="2:16">
      <c r="B49" s="62"/>
      <c r="D49" s="189" t="s">
        <v>86</v>
      </c>
      <c r="E49" s="189"/>
      <c r="F49" s="84"/>
      <c r="G49" s="84"/>
      <c r="I49" s="108"/>
    </row>
    <row r="50" spans="2:16">
      <c r="B50" s="62"/>
      <c r="E50" s="54" t="s">
        <v>16</v>
      </c>
      <c r="F50" s="37"/>
      <c r="G50" s="37"/>
      <c r="I50" s="108"/>
      <c r="K50" s="41"/>
      <c r="P50" s="58"/>
    </row>
    <row r="51" spans="2:16">
      <c r="B51" s="62"/>
      <c r="D51" s="57" t="s">
        <v>32</v>
      </c>
      <c r="E51" s="66">
        <f>+References!B55</f>
        <v>4706</v>
      </c>
      <c r="F51" s="56"/>
      <c r="G51" s="56"/>
      <c r="H51" s="45"/>
      <c r="I51" s="108"/>
      <c r="K51" s="41"/>
      <c r="P51" s="58"/>
    </row>
    <row r="52" spans="2:16">
      <c r="B52" s="62"/>
      <c r="D52" s="57" t="s">
        <v>33</v>
      </c>
      <c r="E52" s="36">
        <f>E51*2000</f>
        <v>9412000</v>
      </c>
      <c r="F52" s="36"/>
      <c r="G52" s="36"/>
      <c r="H52" s="36"/>
      <c r="I52" s="108"/>
      <c r="K52" s="41"/>
    </row>
    <row r="53" spans="2:16">
      <c r="B53" s="62"/>
      <c r="D53" s="57" t="s">
        <v>4</v>
      </c>
      <c r="E53" s="36">
        <f>G13+G25</f>
        <v>137426.04</v>
      </c>
      <c r="F53" s="56"/>
      <c r="G53" s="56"/>
      <c r="H53" s="56"/>
      <c r="I53" s="109"/>
      <c r="K53" s="41"/>
      <c r="P53" s="58"/>
    </row>
    <row r="54" spans="2:16">
      <c r="D54" s="42" t="s">
        <v>11</v>
      </c>
      <c r="E54" s="35">
        <f>E52/$I$26</f>
        <v>0.61244532311738098</v>
      </c>
      <c r="F54" s="35"/>
      <c r="G54" s="35"/>
      <c r="H54" s="35"/>
      <c r="I54" s="30"/>
      <c r="K54" s="41"/>
      <c r="N54" s="40"/>
      <c r="O54" s="40"/>
      <c r="P54" s="39"/>
    </row>
    <row r="55" spans="2:16">
      <c r="H55" s="44"/>
      <c r="I55" s="32"/>
      <c r="K55" s="41"/>
      <c r="N55" s="43"/>
      <c r="O55" s="29"/>
      <c r="P55" s="60"/>
    </row>
    <row r="56" spans="2:16">
      <c r="E56" s="34"/>
      <c r="F56" s="33"/>
      <c r="H56" s="44"/>
      <c r="I56" s="32"/>
      <c r="K56" s="41"/>
      <c r="N56" s="43"/>
      <c r="O56" s="29"/>
      <c r="P56" s="60"/>
    </row>
    <row r="57" spans="2:16">
      <c r="E57" s="34"/>
      <c r="F57" s="33"/>
      <c r="H57" s="44"/>
      <c r="I57" s="32"/>
      <c r="K57" s="41"/>
      <c r="N57" s="43"/>
      <c r="O57" s="29"/>
      <c r="P57" s="60"/>
    </row>
    <row r="58" spans="2:16">
      <c r="E58" s="57"/>
      <c r="J58" s="57"/>
    </row>
    <row r="59" spans="2:16">
      <c r="E59" s="57"/>
      <c r="F59" s="41"/>
      <c r="J59" s="57"/>
    </row>
    <row r="60" spans="2:16">
      <c r="E60" s="57"/>
      <c r="J60" s="57"/>
    </row>
    <row r="61" spans="2:16">
      <c r="E61" s="57"/>
      <c r="J61" s="57"/>
    </row>
    <row r="62" spans="2:16">
      <c r="E62" s="57"/>
    </row>
  </sheetData>
  <mergeCells count="7">
    <mergeCell ref="O1:R2"/>
    <mergeCell ref="T1:T2"/>
    <mergeCell ref="D49:E49"/>
    <mergeCell ref="B30:B36"/>
    <mergeCell ref="B4:B12"/>
    <mergeCell ref="B14:B24"/>
    <mergeCell ref="B41:B43"/>
  </mergeCells>
  <phoneticPr fontId="0" type="noConversion"/>
  <pageMargins left="0" right="0" top="0.63" bottom="0.34" header="0.19" footer="0.17"/>
  <pageSetup scale="50" fitToHeight="0" orientation="landscape" r:id="rId1"/>
  <headerFooter>
    <oddFooter>&amp;L&amp;Z&amp;F&amp;C  [Date]&amp;R&amp;P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workbookViewId="0">
      <selection activeCell="G60" sqref="G60"/>
    </sheetView>
  </sheetViews>
  <sheetFormatPr defaultColWidth="9.109375" defaultRowHeight="14.4"/>
  <cols>
    <col min="1" max="1" width="40" style="3" customWidth="1"/>
    <col min="2" max="4" width="16" style="3" customWidth="1"/>
    <col min="5" max="5" width="7" style="3" bestFit="1" customWidth="1"/>
    <col min="6" max="6" width="11.44140625" style="3" bestFit="1" customWidth="1"/>
    <col min="7" max="7" width="10" style="3" bestFit="1" customWidth="1"/>
    <col min="8" max="8" width="8" style="3" bestFit="1" customWidth="1"/>
    <col min="9" max="9" width="15.88671875" style="3" bestFit="1" customWidth="1"/>
    <col min="10" max="10" width="12" style="3" bestFit="1" customWidth="1"/>
    <col min="11" max="16384" width="9.109375" style="3"/>
  </cols>
  <sheetData>
    <row r="1" spans="1:8" ht="18">
      <c r="A1" s="155" t="s">
        <v>122</v>
      </c>
      <c r="B1" s="155"/>
      <c r="C1" s="155"/>
      <c r="D1" s="155"/>
      <c r="E1" s="155"/>
      <c r="F1" s="155"/>
      <c r="G1" s="155"/>
      <c r="H1" s="155"/>
    </row>
    <row r="2" spans="1:8">
      <c r="A2" s="194" t="s">
        <v>18</v>
      </c>
      <c r="B2" s="194"/>
      <c r="C2" s="194"/>
      <c r="D2" s="194"/>
      <c r="E2" s="194"/>
      <c r="F2" s="194"/>
      <c r="G2" s="194"/>
      <c r="H2" s="194"/>
    </row>
    <row r="3" spans="1:8">
      <c r="A3" s="3" t="s">
        <v>54</v>
      </c>
      <c r="B3" s="15" t="s">
        <v>40</v>
      </c>
      <c r="C3" s="15" t="s">
        <v>41</v>
      </c>
      <c r="D3" s="15" t="s">
        <v>42</v>
      </c>
      <c r="E3" s="16" t="s">
        <v>45</v>
      </c>
      <c r="F3" s="16" t="s">
        <v>46</v>
      </c>
      <c r="G3" s="16" t="s">
        <v>47</v>
      </c>
      <c r="H3" s="15" t="s">
        <v>50</v>
      </c>
    </row>
    <row r="4" spans="1:8">
      <c r="A4" s="3" t="s">
        <v>51</v>
      </c>
      <c r="B4" s="1">
        <f>ROUND(52*5/12,2)</f>
        <v>21.67</v>
      </c>
      <c r="C4" s="17">
        <f>$B$4*2</f>
        <v>43.34</v>
      </c>
      <c r="D4" s="17">
        <f>$B$4*3</f>
        <v>65.010000000000005</v>
      </c>
      <c r="E4" s="17">
        <f>$B$4*4</f>
        <v>86.68</v>
      </c>
      <c r="F4" s="17">
        <f>$B$4*5</f>
        <v>108.35000000000001</v>
      </c>
      <c r="G4" s="17">
        <f>$B$4*6</f>
        <v>130.02000000000001</v>
      </c>
      <c r="H4" s="17">
        <f>$B$4*7</f>
        <v>151.69</v>
      </c>
    </row>
    <row r="5" spans="1:8">
      <c r="A5" s="3" t="s">
        <v>87</v>
      </c>
      <c r="B5" s="1">
        <f>ROUND(52*4/12,2)</f>
        <v>17.329999999999998</v>
      </c>
      <c r="C5" s="17">
        <f>$B$5*2</f>
        <v>34.659999999999997</v>
      </c>
      <c r="D5" s="17">
        <f>$B$5*3</f>
        <v>51.989999999999995</v>
      </c>
      <c r="E5" s="17">
        <f>$B$5*4</f>
        <v>69.319999999999993</v>
      </c>
      <c r="F5" s="17">
        <f>$B$5*5</f>
        <v>86.649999999999991</v>
      </c>
      <c r="G5" s="17">
        <f>$B$5*6</f>
        <v>103.97999999999999</v>
      </c>
      <c r="H5" s="17">
        <f>$B$5*7</f>
        <v>121.30999999999999</v>
      </c>
    </row>
    <row r="6" spans="1:8">
      <c r="A6" s="3" t="s">
        <v>52</v>
      </c>
      <c r="B6" s="1">
        <f>ROUND(52*3/12,2)</f>
        <v>13</v>
      </c>
      <c r="C6" s="17">
        <f>$B$6*2</f>
        <v>26</v>
      </c>
      <c r="D6" s="17">
        <f>$B$6*3</f>
        <v>39</v>
      </c>
      <c r="E6" s="17">
        <f>$B$6*4</f>
        <v>52</v>
      </c>
      <c r="F6" s="17">
        <f>$B$6*5</f>
        <v>65</v>
      </c>
      <c r="G6" s="17">
        <f>$B$6*6</f>
        <v>78</v>
      </c>
      <c r="H6" s="17">
        <f>$B$6*7</f>
        <v>91</v>
      </c>
    </row>
    <row r="7" spans="1:8">
      <c r="A7" s="3" t="s">
        <v>53</v>
      </c>
      <c r="B7" s="1">
        <f>ROUND(52*2/12,2)</f>
        <v>8.67</v>
      </c>
      <c r="C7" s="18">
        <f>$B$7*2</f>
        <v>17.34</v>
      </c>
      <c r="D7" s="18">
        <f>$B$7*3</f>
        <v>26.009999999999998</v>
      </c>
      <c r="E7" s="18">
        <f>$B$7*4</f>
        <v>34.68</v>
      </c>
      <c r="F7" s="18">
        <f>$B$7*5</f>
        <v>43.35</v>
      </c>
      <c r="G7" s="18">
        <f>$B$7*6</f>
        <v>52.019999999999996</v>
      </c>
      <c r="H7" s="18">
        <f>$B$7*7</f>
        <v>60.69</v>
      </c>
    </row>
    <row r="8" spans="1:8">
      <c r="A8" s="3" t="s">
        <v>21</v>
      </c>
      <c r="B8" s="1">
        <f>ROUND(52/12,2)</f>
        <v>4.33</v>
      </c>
      <c r="C8" s="18">
        <f>$B$8*2</f>
        <v>8.66</v>
      </c>
      <c r="D8" s="18">
        <f>$B$8*3</f>
        <v>12.99</v>
      </c>
      <c r="E8" s="18">
        <f>$B$8*4</f>
        <v>17.32</v>
      </c>
      <c r="F8" s="18">
        <f>$B$8*5</f>
        <v>21.65</v>
      </c>
      <c r="G8" s="18">
        <f>$B$8*6</f>
        <v>25.98</v>
      </c>
      <c r="H8" s="18">
        <f>$B$8*7</f>
        <v>30.310000000000002</v>
      </c>
    </row>
    <row r="9" spans="1:8">
      <c r="A9" s="3" t="s">
        <v>23</v>
      </c>
      <c r="B9" s="1">
        <f>ROUND(26/12,2)</f>
        <v>2.17</v>
      </c>
      <c r="C9" s="18">
        <f>$B$9*2</f>
        <v>4.34</v>
      </c>
      <c r="D9" s="18">
        <f>$B$9*3</f>
        <v>6.51</v>
      </c>
      <c r="E9" s="18">
        <f>$B$9*4</f>
        <v>8.68</v>
      </c>
      <c r="F9" s="18">
        <f>$B$9*5</f>
        <v>10.85</v>
      </c>
      <c r="G9" s="18">
        <f>$B$9*6</f>
        <v>13.02</v>
      </c>
      <c r="H9" s="18">
        <f>$B$9*7</f>
        <v>15.19</v>
      </c>
    </row>
    <row r="10" spans="1:8">
      <c r="A10" s="3" t="s">
        <v>22</v>
      </c>
      <c r="B10" s="1">
        <f>12/12</f>
        <v>1</v>
      </c>
      <c r="C10" s="18">
        <f>$B$10*2</f>
        <v>2</v>
      </c>
      <c r="D10" s="18">
        <f>$B$10*3</f>
        <v>3</v>
      </c>
      <c r="E10" s="18">
        <f>$B$10*4</f>
        <v>4</v>
      </c>
      <c r="F10" s="18">
        <f>$B$10*5</f>
        <v>5</v>
      </c>
      <c r="G10" s="18">
        <f>$B$10*6</f>
        <v>6</v>
      </c>
      <c r="H10" s="18">
        <f>$B$10*7</f>
        <v>7</v>
      </c>
    </row>
    <row r="11" spans="1:8">
      <c r="B11" s="1"/>
      <c r="C11" s="18"/>
      <c r="D11" s="18"/>
      <c r="E11" s="18"/>
      <c r="F11" s="18"/>
      <c r="G11" s="18"/>
      <c r="H11" s="18"/>
    </row>
    <row r="12" spans="1:8">
      <c r="A12" s="194" t="s">
        <v>10</v>
      </c>
      <c r="B12" s="194"/>
      <c r="C12" s="18"/>
      <c r="D12" s="18"/>
      <c r="E12" s="18"/>
      <c r="F12" s="18"/>
      <c r="G12" s="18"/>
      <c r="H12" s="18"/>
    </row>
    <row r="13" spans="1:8">
      <c r="A13" s="2" t="s">
        <v>49</v>
      </c>
      <c r="B13" s="28" t="s">
        <v>79</v>
      </c>
      <c r="C13" s="18"/>
      <c r="D13" s="18"/>
      <c r="E13" s="18"/>
      <c r="F13" s="18"/>
      <c r="G13" s="18"/>
      <c r="H13" s="18"/>
    </row>
    <row r="14" spans="1:8">
      <c r="A14" s="19" t="s">
        <v>80</v>
      </c>
      <c r="B14" s="11">
        <v>20</v>
      </c>
      <c r="C14" s="18"/>
      <c r="D14" s="18"/>
      <c r="E14" s="18"/>
      <c r="F14" s="18"/>
      <c r="G14" s="18"/>
      <c r="H14" s="18"/>
    </row>
    <row r="15" spans="1:8">
      <c r="A15" s="19" t="s">
        <v>55</v>
      </c>
      <c r="B15" s="11">
        <v>34</v>
      </c>
      <c r="C15" s="18"/>
      <c r="D15" s="18"/>
      <c r="E15" s="18"/>
      <c r="F15" s="18"/>
      <c r="G15" s="18"/>
      <c r="H15" s="18"/>
    </row>
    <row r="16" spans="1:8">
      <c r="A16" s="19" t="s">
        <v>56</v>
      </c>
      <c r="B16" s="11">
        <v>51</v>
      </c>
      <c r="C16" s="18"/>
      <c r="D16" s="18"/>
      <c r="E16" s="18"/>
      <c r="F16" s="18"/>
      <c r="G16" s="18"/>
      <c r="H16" s="18"/>
    </row>
    <row r="17" spans="1:8">
      <c r="A17" s="19" t="s">
        <v>57</v>
      </c>
      <c r="B17" s="11">
        <v>77</v>
      </c>
      <c r="C17" s="18"/>
      <c r="D17" s="18"/>
      <c r="E17" s="18"/>
      <c r="F17" s="3" t="s">
        <v>19</v>
      </c>
      <c r="G17" s="11">
        <v>2000</v>
      </c>
      <c r="H17" s="18"/>
    </row>
    <row r="18" spans="1:8">
      <c r="A18" s="19" t="s">
        <v>58</v>
      </c>
      <c r="B18" s="11">
        <v>97</v>
      </c>
      <c r="C18" s="18"/>
      <c r="D18" s="18"/>
      <c r="E18" s="18"/>
      <c r="F18" s="3" t="s">
        <v>20</v>
      </c>
      <c r="G18" s="20" t="s">
        <v>43</v>
      </c>
      <c r="H18" s="18"/>
    </row>
    <row r="19" spans="1:8">
      <c r="A19" s="19" t="s">
        <v>59</v>
      </c>
      <c r="B19" s="11">
        <v>117</v>
      </c>
      <c r="C19" s="18"/>
      <c r="D19" s="18"/>
      <c r="E19" s="18"/>
      <c r="H19" s="18"/>
    </row>
    <row r="20" spans="1:8">
      <c r="A20" s="19" t="s">
        <v>60</v>
      </c>
      <c r="B20" s="11">
        <v>157</v>
      </c>
      <c r="C20" s="18"/>
      <c r="D20" s="18"/>
      <c r="E20" s="18"/>
      <c r="F20" s="13"/>
      <c r="G20" s="14"/>
      <c r="H20" s="18"/>
    </row>
    <row r="21" spans="1:8">
      <c r="A21" s="19" t="s">
        <v>94</v>
      </c>
      <c r="B21" s="11">
        <v>37</v>
      </c>
      <c r="C21" s="18" t="s">
        <v>81</v>
      </c>
      <c r="D21" s="18"/>
      <c r="E21" s="18"/>
      <c r="F21" s="13"/>
      <c r="G21" s="14"/>
      <c r="H21" s="18"/>
    </row>
    <row r="22" spans="1:8">
      <c r="A22" s="19" t="s">
        <v>61</v>
      </c>
      <c r="B22" s="11">
        <v>47</v>
      </c>
      <c r="C22" s="18"/>
      <c r="D22" s="18"/>
      <c r="E22" s="18"/>
      <c r="F22" s="18"/>
      <c r="G22" s="18"/>
      <c r="H22" s="18"/>
    </row>
    <row r="23" spans="1:8">
      <c r="A23" s="19" t="s">
        <v>62</v>
      </c>
      <c r="B23" s="11">
        <v>68</v>
      </c>
      <c r="C23" s="18"/>
      <c r="D23" s="18"/>
      <c r="E23" s="18"/>
      <c r="F23" s="18"/>
      <c r="G23" s="18"/>
      <c r="H23" s="18"/>
    </row>
    <row r="24" spans="1:8">
      <c r="A24" s="19" t="s">
        <v>63</v>
      </c>
      <c r="B24" s="11">
        <v>34</v>
      </c>
      <c r="C24" s="18"/>
      <c r="D24" s="18"/>
      <c r="E24" s="18"/>
      <c r="F24" s="18"/>
      <c r="G24" s="18"/>
      <c r="H24" s="18"/>
    </row>
    <row r="25" spans="1:8">
      <c r="A25" s="19" t="s">
        <v>31</v>
      </c>
      <c r="B25" s="11">
        <v>34</v>
      </c>
      <c r="C25" s="18"/>
      <c r="D25" s="18"/>
      <c r="E25" s="18"/>
      <c r="F25" s="18"/>
      <c r="G25" s="18"/>
      <c r="H25" s="18"/>
    </row>
    <row r="26" spans="1:8">
      <c r="A26" s="2" t="s">
        <v>64</v>
      </c>
      <c r="B26" s="11"/>
      <c r="C26" s="18"/>
      <c r="D26" s="18"/>
      <c r="E26" s="18"/>
      <c r="F26" s="18"/>
      <c r="G26" s="18"/>
      <c r="H26" s="18"/>
    </row>
    <row r="27" spans="1:8">
      <c r="A27" s="19" t="s">
        <v>65</v>
      </c>
      <c r="B27" s="11">
        <v>29</v>
      </c>
      <c r="C27" s="18"/>
      <c r="D27" s="18"/>
      <c r="E27" s="18"/>
      <c r="F27" s="18"/>
      <c r="G27" s="18"/>
      <c r="H27" s="18"/>
    </row>
    <row r="28" spans="1:8">
      <c r="A28" s="19" t="s">
        <v>66</v>
      </c>
      <c r="B28" s="11">
        <v>175</v>
      </c>
      <c r="C28" s="18"/>
      <c r="D28" s="18"/>
      <c r="E28" s="18"/>
      <c r="F28" s="18"/>
      <c r="G28" s="18"/>
      <c r="H28" s="18"/>
    </row>
    <row r="29" spans="1:8">
      <c r="A29" s="19" t="s">
        <v>67</v>
      </c>
      <c r="B29" s="11">
        <v>250</v>
      </c>
      <c r="C29" s="18"/>
      <c r="D29" s="18"/>
      <c r="E29" s="18"/>
      <c r="F29" s="18"/>
      <c r="G29" s="18"/>
      <c r="H29" s="18"/>
    </row>
    <row r="30" spans="1:8">
      <c r="A30" s="19" t="s">
        <v>68</v>
      </c>
      <c r="B30" s="11">
        <v>324</v>
      </c>
      <c r="C30" s="18"/>
      <c r="D30" s="18"/>
      <c r="E30" s="18"/>
      <c r="F30" s="18"/>
      <c r="G30" s="18"/>
      <c r="H30" s="18"/>
    </row>
    <row r="31" spans="1:8">
      <c r="A31" s="19" t="s">
        <v>69</v>
      </c>
      <c r="B31" s="11">
        <v>473</v>
      </c>
      <c r="C31" s="18"/>
      <c r="D31" s="18"/>
      <c r="E31" s="18"/>
      <c r="F31" s="18"/>
      <c r="G31" s="18"/>
      <c r="H31" s="18"/>
    </row>
    <row r="32" spans="1:8">
      <c r="A32" s="19" t="s">
        <v>70</v>
      </c>
      <c r="B32" s="11">
        <v>613</v>
      </c>
      <c r="C32" s="18"/>
      <c r="D32" s="18"/>
      <c r="E32" s="18"/>
      <c r="F32" s="18"/>
      <c r="G32" s="18"/>
      <c r="H32" s="18"/>
    </row>
    <row r="33" spans="1:8">
      <c r="A33" s="19" t="s">
        <v>71</v>
      </c>
      <c r="B33" s="11">
        <v>840</v>
      </c>
      <c r="C33" s="18"/>
      <c r="D33" s="18"/>
      <c r="E33" s="18"/>
      <c r="F33" s="18"/>
      <c r="G33" s="18"/>
      <c r="H33" s="18"/>
    </row>
    <row r="34" spans="1:8">
      <c r="A34" s="19" t="s">
        <v>72</v>
      </c>
      <c r="B34" s="11">
        <v>980</v>
      </c>
      <c r="C34" s="18"/>
      <c r="D34" s="18"/>
      <c r="E34" s="18"/>
      <c r="F34" s="18"/>
      <c r="G34" s="18"/>
      <c r="H34" s="18"/>
    </row>
    <row r="35" spans="1:8">
      <c r="A35" s="19" t="s">
        <v>88</v>
      </c>
      <c r="B35" s="11">
        <v>482</v>
      </c>
      <c r="C35" s="18" t="s">
        <v>81</v>
      </c>
      <c r="D35" s="18"/>
      <c r="E35" s="18"/>
      <c r="F35" s="18"/>
      <c r="G35" s="18"/>
      <c r="H35" s="18"/>
    </row>
    <row r="36" spans="1:8">
      <c r="A36" s="19" t="s">
        <v>89</v>
      </c>
      <c r="B36" s="11">
        <v>689</v>
      </c>
      <c r="C36" s="18" t="s">
        <v>81</v>
      </c>
      <c r="D36" s="18"/>
      <c r="E36" s="18"/>
      <c r="F36" s="18"/>
      <c r="G36" s="18"/>
      <c r="H36" s="18"/>
    </row>
    <row r="37" spans="1:8">
      <c r="A37" s="19" t="s">
        <v>74</v>
      </c>
      <c r="B37" s="11">
        <v>892</v>
      </c>
      <c r="C37" s="18" t="s">
        <v>81</v>
      </c>
      <c r="D37" s="18"/>
      <c r="E37" s="18"/>
      <c r="F37" s="18"/>
      <c r="G37" s="18"/>
      <c r="H37" s="18"/>
    </row>
    <row r="38" spans="1:8">
      <c r="A38" s="19" t="s">
        <v>73</v>
      </c>
      <c r="B38" s="11">
        <v>1301</v>
      </c>
      <c r="C38" s="18"/>
      <c r="D38" s="18"/>
      <c r="E38" s="18"/>
      <c r="F38" s="18"/>
      <c r="G38" s="18"/>
      <c r="H38" s="18"/>
    </row>
    <row r="39" spans="1:8">
      <c r="A39" s="19" t="s">
        <v>75</v>
      </c>
      <c r="B39" s="11">
        <v>1686</v>
      </c>
      <c r="C39" s="18"/>
      <c r="D39" s="18"/>
      <c r="E39" s="18"/>
      <c r="F39" s="18"/>
      <c r="G39" s="18"/>
      <c r="H39" s="18"/>
    </row>
    <row r="40" spans="1:8">
      <c r="A40" s="19" t="s">
        <v>76</v>
      </c>
      <c r="B40" s="11">
        <v>2046</v>
      </c>
      <c r="C40" s="18"/>
      <c r="D40" s="18"/>
      <c r="E40" s="18"/>
      <c r="F40" s="18"/>
      <c r="G40" s="18"/>
      <c r="H40" s="18"/>
    </row>
    <row r="41" spans="1:8">
      <c r="A41" s="19" t="s">
        <v>77</v>
      </c>
      <c r="B41" s="11">
        <v>2310</v>
      </c>
      <c r="C41" s="18"/>
      <c r="D41" s="18"/>
      <c r="E41" s="18"/>
      <c r="F41" s="18"/>
      <c r="G41" s="18"/>
      <c r="H41" s="18"/>
    </row>
    <row r="42" spans="1:8">
      <c r="A42" s="19" t="s">
        <v>90</v>
      </c>
      <c r="B42" s="11">
        <v>2800</v>
      </c>
      <c r="C42" s="18" t="s">
        <v>81</v>
      </c>
      <c r="D42" s="18"/>
      <c r="E42" s="18"/>
      <c r="F42" s="18"/>
      <c r="G42" s="18"/>
      <c r="H42" s="18"/>
    </row>
    <row r="43" spans="1:8">
      <c r="A43" s="19" t="s">
        <v>78</v>
      </c>
      <c r="B43" s="11">
        <v>125</v>
      </c>
      <c r="C43" s="18"/>
      <c r="D43" s="18"/>
      <c r="E43" s="18"/>
      <c r="F43" s="18"/>
      <c r="G43" s="18"/>
      <c r="H43" s="18"/>
    </row>
    <row r="44" spans="1:8">
      <c r="B44" s="196" t="s">
        <v>92</v>
      </c>
      <c r="C44" s="196"/>
    </row>
    <row r="47" spans="1:8">
      <c r="A47" s="27" t="s">
        <v>123</v>
      </c>
      <c r="B47" s="25" t="s">
        <v>5</v>
      </c>
      <c r="C47" s="25" t="s">
        <v>6</v>
      </c>
      <c r="F47" s="195" t="s">
        <v>26</v>
      </c>
      <c r="G47" s="195"/>
    </row>
    <row r="48" spans="1:8">
      <c r="A48" s="21" t="s">
        <v>7</v>
      </c>
      <c r="B48" s="6">
        <v>36.68</v>
      </c>
      <c r="C48" s="5">
        <f>B48/2000</f>
        <v>1.8339999999999999E-2</v>
      </c>
      <c r="F48" s="3" t="s">
        <v>27</v>
      </c>
      <c r="G48" s="177">
        <f>0.015</f>
        <v>1.4999999999999999E-2</v>
      </c>
    </row>
    <row r="49" spans="1:7">
      <c r="A49" s="21" t="s">
        <v>8</v>
      </c>
      <c r="B49" s="7">
        <v>36.68</v>
      </c>
      <c r="C49" s="8">
        <f>B49/2000</f>
        <v>1.8339999999999999E-2</v>
      </c>
      <c r="F49" s="3" t="s">
        <v>28</v>
      </c>
      <c r="G49" s="178">
        <f>0.0051</f>
        <v>5.1000000000000004E-3</v>
      </c>
    </row>
    <row r="50" spans="1:7">
      <c r="A50" s="19" t="s">
        <v>9</v>
      </c>
      <c r="B50" s="6">
        <f>B49-B48</f>
        <v>0</v>
      </c>
      <c r="C50" s="10">
        <f>C49-C48</f>
        <v>0</v>
      </c>
      <c r="F50" s="3" t="s">
        <v>48</v>
      </c>
      <c r="G50" s="9"/>
    </row>
    <row r="51" spans="1:7">
      <c r="F51" s="3" t="s">
        <v>16</v>
      </c>
      <c r="G51" s="22">
        <f>SUM(G48:G50)</f>
        <v>2.01E-2</v>
      </c>
    </row>
    <row r="52" spans="1:7">
      <c r="B52" s="26" t="s">
        <v>93</v>
      </c>
    </row>
    <row r="53" spans="1:7">
      <c r="A53" s="3" t="s">
        <v>3</v>
      </c>
      <c r="B53" s="23">
        <f>B50</f>
        <v>0</v>
      </c>
      <c r="F53" s="3" t="s">
        <v>29</v>
      </c>
      <c r="G53" s="24">
        <f>1-G51</f>
        <v>0.97989999999999999</v>
      </c>
    </row>
    <row r="54" spans="1:7">
      <c r="A54" s="3" t="s">
        <v>25</v>
      </c>
      <c r="B54" s="23">
        <f>B53/$G$53</f>
        <v>0</v>
      </c>
    </row>
    <row r="55" spans="1:7">
      <c r="A55" s="3" t="s">
        <v>24</v>
      </c>
      <c r="B55" s="12">
        <v>4706</v>
      </c>
    </row>
    <row r="56" spans="1:7">
      <c r="A56" s="2" t="s">
        <v>30</v>
      </c>
      <c r="B56" s="4">
        <f>B54*B55</f>
        <v>0</v>
      </c>
    </row>
    <row r="59" spans="1:7" ht="15" thickBot="1"/>
    <row r="60" spans="1:7">
      <c r="A60" s="88" t="s">
        <v>84</v>
      </c>
      <c r="B60" s="89" t="s">
        <v>82</v>
      </c>
      <c r="D60" s="23"/>
    </row>
    <row r="61" spans="1:7">
      <c r="A61" s="90" t="s">
        <v>83</v>
      </c>
      <c r="B61" s="91">
        <f>+'B&amp;O Increase Calculations'!R26</f>
        <v>0</v>
      </c>
    </row>
    <row r="62" spans="1:7">
      <c r="A62" s="90" t="s">
        <v>12</v>
      </c>
      <c r="B62" s="91">
        <f>B61-B56</f>
        <v>0</v>
      </c>
    </row>
    <row r="63" spans="1:7">
      <c r="A63" s="90"/>
      <c r="B63" s="92"/>
    </row>
    <row r="64" spans="1:7">
      <c r="A64" s="93" t="s">
        <v>85</v>
      </c>
      <c r="B64" s="94" t="s">
        <v>82</v>
      </c>
    </row>
    <row r="65" spans="1:3">
      <c r="A65" s="90" t="s">
        <v>44</v>
      </c>
      <c r="B65" s="95">
        <f>'B&amp;O Increase Calculations'!R26</f>
        <v>0</v>
      </c>
    </row>
    <row r="66" spans="1:3" ht="15" thickBot="1">
      <c r="A66" s="96" t="s">
        <v>12</v>
      </c>
      <c r="B66" s="97">
        <f>B65-B56</f>
        <v>0</v>
      </c>
      <c r="C66" s="23">
        <f>B62-B66</f>
        <v>0</v>
      </c>
    </row>
  </sheetData>
  <mergeCells count="4">
    <mergeCell ref="A2:H2"/>
    <mergeCell ref="F47:G47"/>
    <mergeCell ref="A12:B12"/>
    <mergeCell ref="B44:C44"/>
  </mergeCells>
  <phoneticPr fontId="0" type="noConversion"/>
  <pageMargins left="0.28000000000000003" right="0.52" top="0.75" bottom="0.75" header="0.3" footer="0.3"/>
  <pageSetup scale="70" orientation="portrait" r:id="rId1"/>
  <headerFooter>
    <oddHeader>&amp;C&amp;12Disposal Fee Reference</oddHeader>
    <oddFooter>&amp;L&amp;8&amp;F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1"/>
  <sheetViews>
    <sheetView workbookViewId="0">
      <selection activeCell="H22" sqref="H22"/>
    </sheetView>
  </sheetViews>
  <sheetFormatPr defaultRowHeight="14.4"/>
  <cols>
    <col min="1" max="1" width="21.109375" customWidth="1"/>
    <col min="6" max="6" width="12.5546875" bestFit="1" customWidth="1"/>
    <col min="7" max="7" width="1.6640625" customWidth="1"/>
    <col min="8" max="8" width="12.5546875" bestFit="1" customWidth="1"/>
    <col min="9" max="9" width="1.6640625" customWidth="1"/>
    <col min="11" max="11" width="1.6640625" customWidth="1"/>
    <col min="12" max="12" width="11.6640625" customWidth="1"/>
  </cols>
  <sheetData>
    <row r="1" spans="1:12" ht="18">
      <c r="A1" s="166" t="s">
        <v>112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8">
      <c r="A2" s="166" t="s">
        <v>113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18">
      <c r="A3" s="167">
        <v>44562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18">
      <c r="A4" s="166" t="s">
        <v>153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6" spans="1:12">
      <c r="F6" s="168" t="s">
        <v>115</v>
      </c>
      <c r="G6" s="168"/>
      <c r="H6" s="168" t="s">
        <v>117</v>
      </c>
      <c r="I6" s="168"/>
      <c r="J6" s="168" t="s">
        <v>9</v>
      </c>
      <c r="L6" s="168" t="s">
        <v>9</v>
      </c>
    </row>
    <row r="7" spans="1:12">
      <c r="F7" s="168" t="s">
        <v>116</v>
      </c>
      <c r="G7" s="168"/>
      <c r="H7" s="168" t="s">
        <v>116</v>
      </c>
      <c r="I7" s="168"/>
      <c r="J7" s="168" t="s">
        <v>121</v>
      </c>
      <c r="L7" s="168" t="s">
        <v>120</v>
      </c>
    </row>
    <row r="8" spans="1:12">
      <c r="A8" t="s">
        <v>114</v>
      </c>
      <c r="F8" s="157">
        <f>+'B&amp;O Increase Calculations'!P13</f>
        <v>224156.76</v>
      </c>
      <c r="H8" s="157">
        <f>'B&amp;O Increase Calculations'!V13</f>
        <v>224718.55639097741</v>
      </c>
      <c r="J8" s="157">
        <f>+H8-F8</f>
        <v>561.7963909773971</v>
      </c>
      <c r="L8" s="163">
        <f>+H8/F8-1</f>
        <v>2.5062656641601233E-3</v>
      </c>
    </row>
    <row r="9" spans="1:12">
      <c r="A9" t="s">
        <v>118</v>
      </c>
      <c r="F9" s="164">
        <f>+'B&amp;O Increase Calculations'!P25</f>
        <v>399998.16</v>
      </c>
      <c r="H9" s="164">
        <f>'B&amp;O Increase Calculations'!V25</f>
        <v>401000.66165413539</v>
      </c>
      <c r="J9" s="164">
        <f t="shared" ref="J9" si="0">+H9-F9</f>
        <v>1002.5016541354125</v>
      </c>
      <c r="L9" s="165">
        <f t="shared" ref="L9:L10" si="1">+H9/F9-1</f>
        <v>2.5062656641605674E-3</v>
      </c>
    </row>
    <row r="10" spans="1:12">
      <c r="F10" s="157">
        <f>SUM(F8:F9)</f>
        <v>624154.91999999993</v>
      </c>
      <c r="G10" s="157"/>
      <c r="H10" s="157">
        <f>SUM(H8:H9)</f>
        <v>625719.21804511279</v>
      </c>
      <c r="I10" s="157"/>
      <c r="J10" s="157">
        <f>SUM(J8:J9)</f>
        <v>1564.2980451128096</v>
      </c>
      <c r="L10" s="163">
        <f t="shared" si="1"/>
        <v>2.5062656641605674E-3</v>
      </c>
    </row>
    <row r="16" spans="1:12">
      <c r="A16" t="s">
        <v>119</v>
      </c>
    </row>
    <row r="18" spans="1:4">
      <c r="A18" s="170" t="s">
        <v>123</v>
      </c>
      <c r="D18" s="158" t="s">
        <v>5</v>
      </c>
    </row>
    <row r="19" spans="1:4">
      <c r="A19" s="159" t="s">
        <v>7</v>
      </c>
      <c r="D19" s="160">
        <f>+References!B48</f>
        <v>36.68</v>
      </c>
    </row>
    <row r="20" spans="1:4">
      <c r="A20" s="159" t="s">
        <v>8</v>
      </c>
      <c r="D20" s="161">
        <f>+References!B49</f>
        <v>36.68</v>
      </c>
    </row>
    <row r="21" spans="1:4">
      <c r="A21" s="162" t="s">
        <v>9</v>
      </c>
      <c r="D21" s="160">
        <f>D20-D19</f>
        <v>0</v>
      </c>
    </row>
  </sheetData>
  <pageMargins left="0.2" right="0.2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2021-11-11T08:00:00+00:00</OpenedDate>
    <SignificantOrder xmlns="dc463f71-b30c-4ab2-9473-d307f9d35888">false</SignificantOrder>
    <Date1 xmlns="dc463f71-b30c-4ab2-9473-d307f9d35888">2021-11-11T08:00:00+00:00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Yakima, LLC</CaseCompanyNames>
    <Nickname xmlns="http://schemas.microsoft.com/sharepoint/v3" xsi:nil="true"/>
    <DocketNumber xmlns="dc463f71-b30c-4ab2-9473-d307f9d35888">210892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004C74CD3A524B8BD223E602CEE6DC" ma:contentTypeVersion="44" ma:contentTypeDescription="" ma:contentTypeScope="" ma:versionID="be9f7d14333d1b405bd71699bbd477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38375-1189-4892-A6D2-BB556694395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a7bd91e-004b-490a-8704-e368d63d59a0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4A1BB-AAC6-438D-9D16-B84BA88CBE0A}"/>
</file>

<file path=customXml/itemProps4.xml><?xml version="1.0" encoding="utf-8"?>
<ds:datastoreItem xmlns:ds="http://schemas.openxmlformats.org/officeDocument/2006/customXml" ds:itemID="{2F071A4F-8ECB-458A-B50D-7762F8846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B&amp;O Increase Calculations</vt:lpstr>
      <vt:lpstr>References</vt:lpstr>
      <vt:lpstr>Revenue Increase</vt:lpstr>
      <vt:lpstr>'B&amp;O Increase Calculations'!Print_Area</vt:lpstr>
      <vt:lpstr>References!Print_Area</vt:lpstr>
      <vt:lpstr>'Revenue Increase'!Print_Area</vt:lpstr>
      <vt:lpstr>'B&amp;O Increase Calculations'!Print_Titles</vt:lpstr>
      <vt:lpstr>References!Print_Titles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Francisco Alcala</cp:lastModifiedBy>
  <cp:lastPrinted>2016-12-15T21:53:31Z</cp:lastPrinted>
  <dcterms:created xsi:type="dcterms:W3CDTF">2013-10-29T22:33:54Z</dcterms:created>
  <dcterms:modified xsi:type="dcterms:W3CDTF">2021-10-20T17:30:44Z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0x0101006E56B4D1795A2E4DB2F0B01679ED314A0028004C74CD3A524B8BD223E602CEE6DC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