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weinst\OneDrive - Waste Management\Documents\WUTC Rate Cases\WUTC Commodity Rebates - Puget Sound\2020-2021 Commodity Rebates\2021 Commodity Rebate Analysis\"/>
    </mc:Choice>
  </mc:AlternateContent>
  <xr:revisionPtr revIDLastSave="0" documentId="13_ncr:1_{3EB526E8-A829-4BCF-A6BB-FBEC38C191C4}" xr6:coauthVersionLast="46" xr6:coauthVersionMax="46" xr10:uidLastSave="{00000000-0000-0000-0000-000000000000}"/>
  <bookViews>
    <workbookView xWindow="450" yWindow="2355" windowWidth="21600" windowHeight="11250" firstSheet="1" activeTab="2" xr2:uid="{00000000-000D-0000-FFFF-FFFF00000000}"/>
  </bookViews>
  <sheets>
    <sheet name="Rebate (Charge) Analysis" sheetId="24" state="hidden" r:id="rId1"/>
    <sheet name="Rate Sheet Summary" sheetId="27" r:id="rId2"/>
    <sheet name="Rebate (charge) Calculation" sheetId="28" r:id="rId3"/>
    <sheet name="2020-2021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2-2023 Budget" sheetId="18" r:id="rId10"/>
    <sheet name="KC 2022-2023 Budget" sheetId="17" r:id="rId11"/>
    <sheet name="Labor Costs built into rates" sheetId="33" r:id="rId12"/>
    <sheet name="KC 2020-2021 Budget vs. Actual" sheetId="30" r:id="rId13"/>
    <sheet name="SC 2020-2021 Budget vs. Actual" sheetId="29" r:id="rId14"/>
    <sheet name="KC Incentive Analysis" sheetId="31" r:id="rId15"/>
    <sheet name="SC Incentive Analysis" sheetId="32" r:id="rId16"/>
  </sheets>
  <externalReferences>
    <externalReference r:id="rId17"/>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 i="26" l="1"/>
  <c r="H4" i="33"/>
  <c r="I4" i="33"/>
  <c r="C4" i="33"/>
  <c r="D4" i="33"/>
  <c r="E4" i="33"/>
  <c r="D8" i="17" l="1"/>
  <c r="D34" i="17" s="1"/>
  <c r="D12" i="17"/>
  <c r="F20" i="29"/>
  <c r="F19" i="29"/>
  <c r="J6" i="33"/>
  <c r="F24" i="29"/>
  <c r="F50" i="29"/>
  <c r="F49" i="29"/>
  <c r="F48" i="29"/>
  <c r="F47" i="29"/>
  <c r="F46" i="29"/>
  <c r="F6" i="33"/>
  <c r="F43" i="30"/>
  <c r="F44" i="30"/>
  <c r="F45" i="30"/>
  <c r="F46" i="30"/>
  <c r="F42" i="30"/>
  <c r="F51" i="29" l="1"/>
  <c r="F47" i="30"/>
  <c r="D83" i="8"/>
  <c r="D75" i="8"/>
  <c r="C68" i="8"/>
  <c r="I43" i="9"/>
  <c r="F24" i="30"/>
  <c r="H15" i="32"/>
  <c r="H10" i="32"/>
  <c r="F30" i="30" l="1"/>
  <c r="D30" i="30"/>
  <c r="F8" i="30"/>
  <c r="F34" i="29"/>
  <c r="D34" i="29" l="1"/>
  <c r="D33" i="29"/>
  <c r="D128" i="11" l="1"/>
  <c r="C128" i="11"/>
  <c r="G97" i="11"/>
  <c r="D97" i="11"/>
  <c r="C97" i="11"/>
  <c r="D58" i="11"/>
  <c r="C58" i="11"/>
  <c r="D30" i="11"/>
  <c r="C30" i="11"/>
  <c r="M166" i="8" s="1"/>
  <c r="C166" i="8" s="1"/>
  <c r="R29" i="9"/>
  <c r="Q29" i="9"/>
  <c r="I44" i="9" s="1"/>
  <c r="G29" i="9"/>
  <c r="F29" i="9"/>
  <c r="S29" i="9"/>
  <c r="H29" i="9"/>
  <c r="M29" i="9"/>
  <c r="B29" i="9"/>
  <c r="N29" i="9"/>
  <c r="C29" i="8"/>
  <c r="H29" i="8"/>
  <c r="L29" i="8"/>
  <c r="L30" i="8" s="1"/>
  <c r="L31" i="8" s="1"/>
  <c r="C63" i="8"/>
  <c r="C64" i="8" s="1"/>
  <c r="H63" i="8"/>
  <c r="L63" i="8"/>
  <c r="L64" i="8" s="1"/>
  <c r="C30" i="8"/>
  <c r="J30" i="8"/>
  <c r="J31" i="8" s="1"/>
  <c r="K30" i="8"/>
  <c r="H64" i="8"/>
  <c r="J64" i="8"/>
  <c r="J65" i="8" s="1"/>
  <c r="K64" i="8"/>
  <c r="K65" i="8" s="1"/>
  <c r="D31" i="8"/>
  <c r="E31" i="8"/>
  <c r="F31" i="8"/>
  <c r="G31" i="8"/>
  <c r="I31" i="8"/>
  <c r="K31" i="8"/>
  <c r="D65" i="8"/>
  <c r="E65" i="8"/>
  <c r="F65" i="8"/>
  <c r="G65" i="8"/>
  <c r="H65" i="8"/>
  <c r="I65" i="8"/>
  <c r="M74" i="8"/>
  <c r="C74" i="8" s="1"/>
  <c r="M78" i="8"/>
  <c r="C78" i="8" s="1"/>
  <c r="M82" i="8"/>
  <c r="C82" i="8" s="1"/>
  <c r="M86" i="8"/>
  <c r="C86" i="8" s="1"/>
  <c r="M90" i="8"/>
  <c r="C90" i="8" s="1"/>
  <c r="M94" i="8"/>
  <c r="C94" i="8" s="1"/>
  <c r="C97" i="8"/>
  <c r="M98" i="8"/>
  <c r="M102" i="8"/>
  <c r="C102" i="8" s="1"/>
  <c r="M106" i="8"/>
  <c r="C106" i="8" s="1"/>
  <c r="M110" i="8"/>
  <c r="C110" i="8" s="1"/>
  <c r="M114" i="8"/>
  <c r="C114" i="8" s="1"/>
  <c r="M118" i="8"/>
  <c r="C118" i="8" s="1"/>
  <c r="M122" i="8"/>
  <c r="C122" i="8" s="1"/>
  <c r="M126" i="8"/>
  <c r="C126" i="8" s="1"/>
  <c r="M130" i="8"/>
  <c r="C130" i="8" s="1"/>
  <c r="M134" i="8"/>
  <c r="C134" i="8" s="1"/>
  <c r="M138" i="8"/>
  <c r="C138" i="8" s="1"/>
  <c r="M142" i="8"/>
  <c r="M146" i="8"/>
  <c r="M150" i="8"/>
  <c r="M154" i="8"/>
  <c r="M158" i="8"/>
  <c r="M162" i="8"/>
  <c r="B170" i="8"/>
  <c r="D170" i="8"/>
  <c r="D73" i="8" s="1"/>
  <c r="E170" i="8"/>
  <c r="E73" i="8" s="1"/>
  <c r="E74" i="8" s="1"/>
  <c r="F170" i="8"/>
  <c r="F73" i="8" s="1"/>
  <c r="F74" i="8" s="1"/>
  <c r="G170" i="8"/>
  <c r="G73" i="8" s="1"/>
  <c r="H170" i="8"/>
  <c r="H73" i="8" s="1"/>
  <c r="I170" i="8"/>
  <c r="I73" i="8" s="1"/>
  <c r="I74" i="8" s="1"/>
  <c r="J170" i="8"/>
  <c r="J73" i="8" s="1"/>
  <c r="J74" i="8" s="1"/>
  <c r="K170" i="8"/>
  <c r="K73" i="8" s="1"/>
  <c r="L170" i="8"/>
  <c r="L73" i="8" s="1"/>
  <c r="M171" i="8"/>
  <c r="E171" i="8" s="1"/>
  <c r="E172" i="8" s="1"/>
  <c r="D174" i="8"/>
  <c r="D77" i="8" s="1"/>
  <c r="E174" i="8"/>
  <c r="E77" i="8" s="1"/>
  <c r="F174" i="8"/>
  <c r="F77" i="8" s="1"/>
  <c r="G174" i="8"/>
  <c r="G77" i="8" s="1"/>
  <c r="H174" i="8"/>
  <c r="H77" i="8" s="1"/>
  <c r="I174" i="8"/>
  <c r="I77" i="8" s="1"/>
  <c r="J174" i="8"/>
  <c r="J77" i="8" s="1"/>
  <c r="K174" i="8"/>
  <c r="K77" i="8" s="1"/>
  <c r="L174" i="8"/>
  <c r="L77" i="8" s="1"/>
  <c r="M175" i="8"/>
  <c r="E175" i="8" s="1"/>
  <c r="E176" i="8" s="1"/>
  <c r="D178" i="8"/>
  <c r="D81" i="8" s="1"/>
  <c r="E178" i="8"/>
  <c r="E81" i="8" s="1"/>
  <c r="E82" i="8" s="1"/>
  <c r="F178" i="8"/>
  <c r="F81" i="8" s="1"/>
  <c r="F82" i="8" s="1"/>
  <c r="G178" i="8"/>
  <c r="G81" i="8" s="1"/>
  <c r="G82" i="8" s="1"/>
  <c r="H178" i="8"/>
  <c r="H81" i="8" s="1"/>
  <c r="H82" i="8" s="1"/>
  <c r="I178" i="8"/>
  <c r="I81" i="8" s="1"/>
  <c r="I82" i="8" s="1"/>
  <c r="J178" i="8"/>
  <c r="J81" i="8" s="1"/>
  <c r="J82" i="8" s="1"/>
  <c r="K178" i="8"/>
  <c r="K81" i="8" s="1"/>
  <c r="K82" i="8" s="1"/>
  <c r="L178" i="8"/>
  <c r="L81" i="8" s="1"/>
  <c r="L82" i="8" s="1"/>
  <c r="M179" i="8"/>
  <c r="E179" i="8" s="1"/>
  <c r="E180" i="8" s="1"/>
  <c r="B182" i="8"/>
  <c r="D182" i="8"/>
  <c r="D85" i="8" s="1"/>
  <c r="D86" i="8" s="1"/>
  <c r="E182" i="8"/>
  <c r="F182" i="8"/>
  <c r="F85" i="8" s="1"/>
  <c r="F86" i="8" s="1"/>
  <c r="G182" i="8"/>
  <c r="G85" i="8" s="1"/>
  <c r="G86" i="8" s="1"/>
  <c r="H182" i="8"/>
  <c r="H85" i="8" s="1"/>
  <c r="H86" i="8" s="1"/>
  <c r="I182" i="8"/>
  <c r="I85" i="8" s="1"/>
  <c r="I86" i="8" s="1"/>
  <c r="J182" i="8"/>
  <c r="J85" i="8" s="1"/>
  <c r="J86" i="8" s="1"/>
  <c r="K182" i="8"/>
  <c r="K85" i="8" s="1"/>
  <c r="K86" i="8" s="1"/>
  <c r="L182" i="8"/>
  <c r="L85" i="8" s="1"/>
  <c r="L86" i="8" s="1"/>
  <c r="M183" i="8"/>
  <c r="C183" i="8" s="1"/>
  <c r="C184" i="8" s="1"/>
  <c r="D186" i="8"/>
  <c r="D89" i="8" s="1"/>
  <c r="E186" i="8"/>
  <c r="E89" i="8" s="1"/>
  <c r="F186" i="8"/>
  <c r="F89" i="8" s="1"/>
  <c r="G186" i="8"/>
  <c r="G89" i="8" s="1"/>
  <c r="H186" i="8"/>
  <c r="H89" i="8" s="1"/>
  <c r="I186" i="8"/>
  <c r="I89" i="8" s="1"/>
  <c r="J186" i="8"/>
  <c r="J89" i="8" s="1"/>
  <c r="K186" i="8"/>
  <c r="K89" i="8" s="1"/>
  <c r="L186" i="8"/>
  <c r="L89" i="8" s="1"/>
  <c r="M187" i="8"/>
  <c r="C187" i="8" s="1"/>
  <c r="C188" i="8" s="1"/>
  <c r="D190" i="8"/>
  <c r="D93" i="8" s="1"/>
  <c r="E190" i="8"/>
  <c r="E93" i="8" s="1"/>
  <c r="F190" i="8"/>
  <c r="F93" i="8" s="1"/>
  <c r="G190" i="8"/>
  <c r="G93" i="8" s="1"/>
  <c r="G94" i="8" s="1"/>
  <c r="H190" i="8"/>
  <c r="H93" i="8" s="1"/>
  <c r="I190" i="8"/>
  <c r="I93" i="8" s="1"/>
  <c r="J190" i="8"/>
  <c r="J93" i="8" s="1"/>
  <c r="K190" i="8"/>
  <c r="K93" i="8" s="1"/>
  <c r="K94" i="8" s="1"/>
  <c r="L190" i="8"/>
  <c r="L93" i="8" s="1"/>
  <c r="M191" i="8"/>
  <c r="C191" i="8" s="1"/>
  <c r="C192" i="8" s="1"/>
  <c r="D194" i="8"/>
  <c r="D97" i="8" s="1"/>
  <c r="D98" i="8" s="1"/>
  <c r="E194" i="8"/>
  <c r="E97" i="8" s="1"/>
  <c r="E98" i="8" s="1"/>
  <c r="F194" i="8"/>
  <c r="F97" i="8" s="1"/>
  <c r="F98" i="8" s="1"/>
  <c r="G194" i="8"/>
  <c r="H194" i="8"/>
  <c r="H97" i="8" s="1"/>
  <c r="H98" i="8" s="1"/>
  <c r="I194" i="8"/>
  <c r="I97" i="8" s="1"/>
  <c r="I98" i="8" s="1"/>
  <c r="J194" i="8"/>
  <c r="J97" i="8" s="1"/>
  <c r="J98" i="8" s="1"/>
  <c r="K194" i="8"/>
  <c r="L194" i="8"/>
  <c r="L97" i="8" s="1"/>
  <c r="L98" i="8" s="1"/>
  <c r="J195" i="8"/>
  <c r="J196" i="8" s="1"/>
  <c r="M195" i="8"/>
  <c r="C195" i="8" s="1"/>
  <c r="C196" i="8" s="1"/>
  <c r="D198" i="8"/>
  <c r="D101" i="8" s="1"/>
  <c r="E198" i="8"/>
  <c r="E101" i="8" s="1"/>
  <c r="F198" i="8"/>
  <c r="F101" i="8" s="1"/>
  <c r="F102" i="8" s="1"/>
  <c r="G198" i="8"/>
  <c r="H198" i="8"/>
  <c r="H101" i="8" s="1"/>
  <c r="I198" i="8"/>
  <c r="I101" i="8" s="1"/>
  <c r="J198" i="8"/>
  <c r="J101" i="8" s="1"/>
  <c r="J102" i="8" s="1"/>
  <c r="K198" i="8"/>
  <c r="L198" i="8"/>
  <c r="L101" i="8" s="1"/>
  <c r="M199" i="8"/>
  <c r="C199" i="8" s="1"/>
  <c r="C200" i="8" s="1"/>
  <c r="D202" i="8"/>
  <c r="D105" i="8" s="1"/>
  <c r="E202" i="8"/>
  <c r="F202" i="8"/>
  <c r="F105" i="8" s="1"/>
  <c r="G202" i="8"/>
  <c r="H202" i="8"/>
  <c r="H105" i="8" s="1"/>
  <c r="I202" i="8"/>
  <c r="J202" i="8"/>
  <c r="J105" i="8" s="1"/>
  <c r="K202" i="8"/>
  <c r="L202" i="8"/>
  <c r="L105" i="8" s="1"/>
  <c r="M203" i="8"/>
  <c r="C203" i="8" s="1"/>
  <c r="C204" i="8" s="1"/>
  <c r="D206" i="8"/>
  <c r="D109" i="8" s="1"/>
  <c r="E206" i="8"/>
  <c r="F206" i="8"/>
  <c r="F109" i="8" s="1"/>
  <c r="F110" i="8" s="1"/>
  <c r="G206" i="8"/>
  <c r="H206" i="8"/>
  <c r="H109" i="8" s="1"/>
  <c r="H110" i="8" s="1"/>
  <c r="I206" i="8"/>
  <c r="J206" i="8"/>
  <c r="J109" i="8" s="1"/>
  <c r="J110" i="8" s="1"/>
  <c r="K206" i="8"/>
  <c r="L206" i="8"/>
  <c r="L109" i="8" s="1"/>
  <c r="L110" i="8" s="1"/>
  <c r="L207" i="8"/>
  <c r="L208" i="8" s="1"/>
  <c r="M207" i="8"/>
  <c r="C207" i="8" s="1"/>
  <c r="C208" i="8" s="1"/>
  <c r="D210" i="8"/>
  <c r="D113" i="8" s="1"/>
  <c r="E210" i="8"/>
  <c r="F210" i="8"/>
  <c r="F113" i="8" s="1"/>
  <c r="G210" i="8"/>
  <c r="H210" i="8"/>
  <c r="H113" i="8" s="1"/>
  <c r="I210" i="8"/>
  <c r="J210" i="8"/>
  <c r="J113" i="8" s="1"/>
  <c r="K210" i="8"/>
  <c r="L210" i="8"/>
  <c r="L113" i="8" s="1"/>
  <c r="M211" i="8"/>
  <c r="C211" i="8" s="1"/>
  <c r="C212" i="8" s="1"/>
  <c r="D214" i="8"/>
  <c r="D117" i="8" s="1"/>
  <c r="E214" i="8"/>
  <c r="F214" i="8"/>
  <c r="F117" i="8" s="1"/>
  <c r="G214" i="8"/>
  <c r="H214" i="8"/>
  <c r="H117" i="8" s="1"/>
  <c r="H118" i="8" s="1"/>
  <c r="I214" i="8"/>
  <c r="J214" i="8"/>
  <c r="J117" i="8" s="1"/>
  <c r="K214" i="8"/>
  <c r="L214" i="8"/>
  <c r="L117" i="8" s="1"/>
  <c r="L118" i="8" s="1"/>
  <c r="M215" i="8"/>
  <c r="C215" i="8" s="1"/>
  <c r="C216" i="8" s="1"/>
  <c r="D218" i="8"/>
  <c r="D121" i="8" s="1"/>
  <c r="E218" i="8"/>
  <c r="F218" i="8"/>
  <c r="F121" i="8" s="1"/>
  <c r="G218" i="8"/>
  <c r="H218" i="8"/>
  <c r="H121" i="8" s="1"/>
  <c r="I218" i="8"/>
  <c r="J218" i="8"/>
  <c r="J121" i="8" s="1"/>
  <c r="K218" i="8"/>
  <c r="L218" i="8"/>
  <c r="L121" i="8" s="1"/>
  <c r="M219" i="8"/>
  <c r="C219" i="8" s="1"/>
  <c r="C220" i="8" s="1"/>
  <c r="D222" i="8"/>
  <c r="D125" i="8" s="1"/>
  <c r="E222" i="8"/>
  <c r="F222" i="8"/>
  <c r="F125" i="8" s="1"/>
  <c r="F126" i="8" s="1"/>
  <c r="G222" i="8"/>
  <c r="H222" i="8"/>
  <c r="H125" i="8" s="1"/>
  <c r="H126" i="8" s="1"/>
  <c r="I222" i="8"/>
  <c r="J222" i="8"/>
  <c r="J125" i="8" s="1"/>
  <c r="J126" i="8" s="1"/>
  <c r="K222" i="8"/>
  <c r="L222" i="8"/>
  <c r="L125" i="8" s="1"/>
  <c r="L126" i="8" s="1"/>
  <c r="M223" i="8"/>
  <c r="C223" i="8" s="1"/>
  <c r="C224" i="8" s="1"/>
  <c r="D226" i="8"/>
  <c r="D129" i="8" s="1"/>
  <c r="E226" i="8"/>
  <c r="E129" i="8" s="1"/>
  <c r="E130" i="8" s="1"/>
  <c r="F226" i="8"/>
  <c r="F129" i="8" s="1"/>
  <c r="G226" i="8"/>
  <c r="H226" i="8"/>
  <c r="H129" i="8" s="1"/>
  <c r="I226" i="8"/>
  <c r="I129" i="8" s="1"/>
  <c r="I130" i="8" s="1"/>
  <c r="J226" i="8"/>
  <c r="J129" i="8" s="1"/>
  <c r="K226" i="8"/>
  <c r="L226" i="8"/>
  <c r="L129" i="8" s="1"/>
  <c r="D227" i="8"/>
  <c r="D228" i="8" s="1"/>
  <c r="M227" i="8"/>
  <c r="C227" i="8" s="1"/>
  <c r="C228" i="8"/>
  <c r="D230" i="8"/>
  <c r="D133" i="8" s="1"/>
  <c r="E230" i="8"/>
  <c r="E133" i="8" s="1"/>
  <c r="F230" i="8"/>
  <c r="F133" i="8" s="1"/>
  <c r="G230" i="8"/>
  <c r="G133" i="8" s="1"/>
  <c r="G134" i="8" s="1"/>
  <c r="H230" i="8"/>
  <c r="H133" i="8" s="1"/>
  <c r="I230" i="8"/>
  <c r="I133" i="8" s="1"/>
  <c r="J230" i="8"/>
  <c r="J133" i="8" s="1"/>
  <c r="K230" i="8"/>
  <c r="K133" i="8" s="1"/>
  <c r="K134" i="8" s="1"/>
  <c r="L230" i="8"/>
  <c r="L133" i="8" s="1"/>
  <c r="M231" i="8"/>
  <c r="D234" i="8"/>
  <c r="D137" i="8" s="1"/>
  <c r="E234" i="8"/>
  <c r="E137" i="8" s="1"/>
  <c r="E138" i="8" s="1"/>
  <c r="F234" i="8"/>
  <c r="F137" i="8" s="1"/>
  <c r="F138" i="8" s="1"/>
  <c r="G234" i="8"/>
  <c r="G137" i="8" s="1"/>
  <c r="G138" i="8" s="1"/>
  <c r="H234" i="8"/>
  <c r="H137" i="8" s="1"/>
  <c r="H138" i="8" s="1"/>
  <c r="I234" i="8"/>
  <c r="I137" i="8" s="1"/>
  <c r="I138" i="8" s="1"/>
  <c r="J234" i="8"/>
  <c r="J137" i="8" s="1"/>
  <c r="J138" i="8" s="1"/>
  <c r="K234" i="8"/>
  <c r="K137" i="8" s="1"/>
  <c r="K138" i="8" s="1"/>
  <c r="L234" i="8"/>
  <c r="L137" i="8" s="1"/>
  <c r="L138" i="8" s="1"/>
  <c r="M235" i="8"/>
  <c r="D238" i="8"/>
  <c r="D141" i="8" s="1"/>
  <c r="E238" i="8"/>
  <c r="E141" i="8" s="1"/>
  <c r="F238" i="8"/>
  <c r="F141" i="8" s="1"/>
  <c r="G238" i="8"/>
  <c r="G141" i="8" s="1"/>
  <c r="H238" i="8"/>
  <c r="H141" i="8" s="1"/>
  <c r="H142" i="8" s="1"/>
  <c r="I238" i="8"/>
  <c r="I141" i="8" s="1"/>
  <c r="J238" i="8"/>
  <c r="J141" i="8" s="1"/>
  <c r="K238" i="8"/>
  <c r="K141" i="8" s="1"/>
  <c r="L238" i="8"/>
  <c r="L141" i="8" s="1"/>
  <c r="L142" i="8" s="1"/>
  <c r="M239" i="8"/>
  <c r="D242" i="8"/>
  <c r="D145" i="8" s="1"/>
  <c r="E242" i="8"/>
  <c r="E145" i="8" s="1"/>
  <c r="F242" i="8"/>
  <c r="F145" i="8" s="1"/>
  <c r="G242" i="8"/>
  <c r="G145" i="8" s="1"/>
  <c r="G146" i="8" s="1"/>
  <c r="H242" i="8"/>
  <c r="H145" i="8" s="1"/>
  <c r="I242" i="8"/>
  <c r="I145" i="8" s="1"/>
  <c r="J242" i="8"/>
  <c r="J145" i="8" s="1"/>
  <c r="K242" i="8"/>
  <c r="K145" i="8" s="1"/>
  <c r="K146" i="8" s="1"/>
  <c r="L242" i="8"/>
  <c r="L145" i="8" s="1"/>
  <c r="M243" i="8"/>
  <c r="C243" i="8" s="1"/>
  <c r="C244" i="8" s="1"/>
  <c r="D246" i="8"/>
  <c r="D149" i="8" s="1"/>
  <c r="E246" i="8"/>
  <c r="E149" i="8" s="1"/>
  <c r="F246" i="8"/>
  <c r="F149" i="8" s="1"/>
  <c r="G246" i="8"/>
  <c r="G149" i="8" s="1"/>
  <c r="G150" i="8" s="1"/>
  <c r="H246" i="8"/>
  <c r="H149" i="8" s="1"/>
  <c r="I246" i="8"/>
  <c r="I149" i="8" s="1"/>
  <c r="J246" i="8"/>
  <c r="J149" i="8" s="1"/>
  <c r="K246" i="8"/>
  <c r="K149" i="8" s="1"/>
  <c r="K150" i="8" s="1"/>
  <c r="L246" i="8"/>
  <c r="L149" i="8" s="1"/>
  <c r="M247" i="8"/>
  <c r="D250" i="8"/>
  <c r="D153" i="8" s="1"/>
  <c r="E250" i="8"/>
  <c r="E153" i="8" s="1"/>
  <c r="E154" i="8" s="1"/>
  <c r="F250" i="8"/>
  <c r="F153" i="8" s="1"/>
  <c r="F154" i="8" s="1"/>
  <c r="G250" i="8"/>
  <c r="G153" i="8" s="1"/>
  <c r="G154" i="8" s="1"/>
  <c r="H250" i="8"/>
  <c r="H153" i="8" s="1"/>
  <c r="H154" i="8" s="1"/>
  <c r="I250" i="8"/>
  <c r="I153" i="8" s="1"/>
  <c r="I154" i="8" s="1"/>
  <c r="J250" i="8"/>
  <c r="J153" i="8" s="1"/>
  <c r="J154" i="8" s="1"/>
  <c r="K250" i="8"/>
  <c r="K153" i="8" s="1"/>
  <c r="K154" i="8" s="1"/>
  <c r="L250" i="8"/>
  <c r="L153" i="8" s="1"/>
  <c r="L154" i="8" s="1"/>
  <c r="M251" i="8"/>
  <c r="C251" i="8" s="1"/>
  <c r="C252" i="8" s="1"/>
  <c r="D254" i="8"/>
  <c r="D157" i="8" s="1"/>
  <c r="E254" i="8"/>
  <c r="E157" i="8" s="1"/>
  <c r="F254" i="8"/>
  <c r="F157" i="8" s="1"/>
  <c r="G254" i="8"/>
  <c r="G157" i="8" s="1"/>
  <c r="H254" i="8"/>
  <c r="H157" i="8" s="1"/>
  <c r="H158" i="8" s="1"/>
  <c r="I254" i="8"/>
  <c r="I157" i="8" s="1"/>
  <c r="J254" i="8"/>
  <c r="J157" i="8" s="1"/>
  <c r="K254" i="8"/>
  <c r="K157" i="8" s="1"/>
  <c r="L254" i="8"/>
  <c r="L157" i="8" s="1"/>
  <c r="L158" i="8" s="1"/>
  <c r="M255" i="8"/>
  <c r="D258" i="8"/>
  <c r="D161" i="8" s="1"/>
  <c r="E258" i="8"/>
  <c r="E161" i="8" s="1"/>
  <c r="F258" i="8"/>
  <c r="F161" i="8" s="1"/>
  <c r="G258" i="8"/>
  <c r="G161" i="8" s="1"/>
  <c r="G162" i="8" s="1"/>
  <c r="H258" i="8"/>
  <c r="H161" i="8" s="1"/>
  <c r="I258" i="8"/>
  <c r="I161" i="8" s="1"/>
  <c r="I162" i="8" s="1"/>
  <c r="J258" i="8"/>
  <c r="J161" i="8" s="1"/>
  <c r="K258" i="8"/>
  <c r="K161" i="8" s="1"/>
  <c r="K162" i="8" s="1"/>
  <c r="L258" i="8"/>
  <c r="L161" i="8" s="1"/>
  <c r="M259" i="8"/>
  <c r="C259" i="8" s="1"/>
  <c r="C260" i="8" s="1"/>
  <c r="D262" i="8"/>
  <c r="D165" i="8" s="1"/>
  <c r="E262" i="8"/>
  <c r="E165" i="8" s="1"/>
  <c r="F262" i="8"/>
  <c r="F165" i="8" s="1"/>
  <c r="G262" i="8"/>
  <c r="G165" i="8" s="1"/>
  <c r="H262" i="8"/>
  <c r="H165" i="8" s="1"/>
  <c r="I262" i="8"/>
  <c r="I165" i="8" s="1"/>
  <c r="J262" i="8"/>
  <c r="J165" i="8" s="1"/>
  <c r="K262" i="8"/>
  <c r="K165" i="8" s="1"/>
  <c r="L262" i="8"/>
  <c r="L165" i="8" s="1"/>
  <c r="M263" i="8"/>
  <c r="I37" i="9"/>
  <c r="G166" i="8" l="1"/>
  <c r="K166" i="8"/>
  <c r="I45" i="9"/>
  <c r="J166" i="8"/>
  <c r="F150" i="8"/>
  <c r="J134" i="8"/>
  <c r="F134" i="8"/>
  <c r="L122" i="8"/>
  <c r="H122" i="8"/>
  <c r="D122" i="8"/>
  <c r="J106" i="8"/>
  <c r="F106" i="8"/>
  <c r="J199" i="8"/>
  <c r="J200" i="8" s="1"/>
  <c r="K78" i="8"/>
  <c r="G78" i="8"/>
  <c r="F166" i="8"/>
  <c r="I166" i="8"/>
  <c r="G255" i="8"/>
  <c r="G256" i="8" s="1"/>
  <c r="G247" i="8"/>
  <c r="G248" i="8" s="1"/>
  <c r="I150" i="8"/>
  <c r="E150" i="8"/>
  <c r="G239" i="8"/>
  <c r="G240" i="8" s="1"/>
  <c r="K231" i="8"/>
  <c r="K232" i="8" s="1"/>
  <c r="I134" i="8"/>
  <c r="E134" i="8"/>
  <c r="L227" i="8"/>
  <c r="L228" i="8" s="1"/>
  <c r="L74" i="8"/>
  <c r="H74" i="8"/>
  <c r="J150" i="8"/>
  <c r="E166" i="8"/>
  <c r="L166" i="8"/>
  <c r="H166" i="8"/>
  <c r="L150" i="8"/>
  <c r="H150" i="8"/>
  <c r="L134" i="8"/>
  <c r="H134" i="8"/>
  <c r="J227" i="8"/>
  <c r="J228" i="8" s="1"/>
  <c r="J122" i="8"/>
  <c r="F122" i="8"/>
  <c r="J215" i="8"/>
  <c r="J216" i="8" s="1"/>
  <c r="L106" i="8"/>
  <c r="H106" i="8"/>
  <c r="J90" i="8"/>
  <c r="F90" i="8"/>
  <c r="K74" i="8"/>
  <c r="G74" i="8"/>
  <c r="J183" i="8"/>
  <c r="J184" i="8" s="1"/>
  <c r="J162" i="8"/>
  <c r="F162" i="8"/>
  <c r="J146" i="8"/>
  <c r="F146" i="8"/>
  <c r="L223" i="8"/>
  <c r="L224" i="8" s="1"/>
  <c r="D199" i="8"/>
  <c r="D200" i="8" s="1"/>
  <c r="I102" i="8"/>
  <c r="E102" i="8"/>
  <c r="J94" i="8"/>
  <c r="F94" i="8"/>
  <c r="H183" i="8"/>
  <c r="H184" i="8" s="1"/>
  <c r="J78" i="8"/>
  <c r="F78" i="8"/>
  <c r="I146" i="8"/>
  <c r="J118" i="8"/>
  <c r="F118" i="8"/>
  <c r="L211" i="8"/>
  <c r="L212" i="8" s="1"/>
  <c r="L102" i="8"/>
  <c r="H102" i="8"/>
  <c r="I94" i="8"/>
  <c r="E94" i="8"/>
  <c r="I78" i="8"/>
  <c r="E78" i="8"/>
  <c r="E162" i="8"/>
  <c r="E146" i="8"/>
  <c r="L162" i="8"/>
  <c r="H162" i="8"/>
  <c r="L146" i="8"/>
  <c r="H146" i="8"/>
  <c r="D215" i="8"/>
  <c r="D216" i="8" s="1"/>
  <c r="J211" i="8"/>
  <c r="J212" i="8" s="1"/>
  <c r="L199" i="8"/>
  <c r="L200" i="8" s="1"/>
  <c r="L94" i="8"/>
  <c r="H94" i="8"/>
  <c r="D94" i="8"/>
  <c r="L183" i="8"/>
  <c r="L184" i="8" s="1"/>
  <c r="L78" i="8"/>
  <c r="H78" i="8"/>
  <c r="D78" i="8"/>
  <c r="D223" i="8"/>
  <c r="D224" i="8" s="1"/>
  <c r="J219" i="8"/>
  <c r="J220" i="8" s="1"/>
  <c r="L215" i="8"/>
  <c r="L216" i="8" s="1"/>
  <c r="D207" i="8"/>
  <c r="D208" i="8" s="1"/>
  <c r="J203" i="8"/>
  <c r="J204" i="8" s="1"/>
  <c r="H191" i="8"/>
  <c r="H192" i="8" s="1"/>
  <c r="D183" i="8"/>
  <c r="D184" i="8" s="1"/>
  <c r="E183" i="8"/>
  <c r="E184" i="8" s="1"/>
  <c r="I32" i="8"/>
  <c r="D219" i="8"/>
  <c r="D220" i="8" s="1"/>
  <c r="D203" i="8"/>
  <c r="D204" i="8" s="1"/>
  <c r="G235" i="8"/>
  <c r="G236" i="8" s="1"/>
  <c r="J223" i="8"/>
  <c r="J224" i="8" s="1"/>
  <c r="L219" i="8"/>
  <c r="L220" i="8" s="1"/>
  <c r="D211" i="8"/>
  <c r="D212" i="8" s="1"/>
  <c r="J207" i="8"/>
  <c r="J208" i="8" s="1"/>
  <c r="L203" i="8"/>
  <c r="L204" i="8" s="1"/>
  <c r="I259" i="8"/>
  <c r="I260" i="8" s="1"/>
  <c r="G158" i="8"/>
  <c r="K142" i="8"/>
  <c r="G142" i="8"/>
  <c r="I227" i="8"/>
  <c r="I228" i="8" s="1"/>
  <c r="L130" i="8"/>
  <c r="H130" i="8"/>
  <c r="D130" i="8"/>
  <c r="L114" i="8"/>
  <c r="H114" i="8"/>
  <c r="D114" i="8"/>
  <c r="H195" i="8"/>
  <c r="H196" i="8" s="1"/>
  <c r="F191" i="8"/>
  <c r="F192" i="8" s="1"/>
  <c r="L187" i="8"/>
  <c r="L188" i="8" s="1"/>
  <c r="D187" i="8"/>
  <c r="D188" i="8" s="1"/>
  <c r="I90" i="8"/>
  <c r="E90" i="8"/>
  <c r="F187" i="8"/>
  <c r="F188" i="8" s="1"/>
  <c r="K158" i="8"/>
  <c r="K263" i="8"/>
  <c r="K264" i="8" s="1"/>
  <c r="J158" i="8"/>
  <c r="F158" i="8"/>
  <c r="J142" i="8"/>
  <c r="F142" i="8"/>
  <c r="F227" i="8"/>
  <c r="F228" i="8" s="1"/>
  <c r="H223" i="8"/>
  <c r="H224" i="8" s="1"/>
  <c r="H219" i="8"/>
  <c r="H220" i="8" s="1"/>
  <c r="H215" i="8"/>
  <c r="H216" i="8" s="1"/>
  <c r="H211" i="8"/>
  <c r="H212" i="8" s="1"/>
  <c r="H207" i="8"/>
  <c r="H208" i="8" s="1"/>
  <c r="H203" i="8"/>
  <c r="H204" i="8" s="1"/>
  <c r="H199" i="8"/>
  <c r="H200" i="8" s="1"/>
  <c r="F195" i="8"/>
  <c r="F196" i="8" s="1"/>
  <c r="L191" i="8"/>
  <c r="L192" i="8" s="1"/>
  <c r="D191" i="8"/>
  <c r="D192" i="8" s="1"/>
  <c r="J187" i="8"/>
  <c r="J188" i="8" s="1"/>
  <c r="L90" i="8"/>
  <c r="H90" i="8"/>
  <c r="I158" i="8"/>
  <c r="E158" i="8"/>
  <c r="I142" i="8"/>
  <c r="E142" i="8"/>
  <c r="E227" i="8"/>
  <c r="E228" i="8" s="1"/>
  <c r="J130" i="8"/>
  <c r="F130" i="8"/>
  <c r="F223" i="8"/>
  <c r="F224" i="8" s="1"/>
  <c r="F219" i="8"/>
  <c r="F220" i="8" s="1"/>
  <c r="F215" i="8"/>
  <c r="F216" i="8" s="1"/>
  <c r="F211" i="8"/>
  <c r="F212" i="8" s="1"/>
  <c r="J114" i="8"/>
  <c r="F114" i="8"/>
  <c r="F207" i="8"/>
  <c r="F208" i="8" s="1"/>
  <c r="F203" i="8"/>
  <c r="F204" i="8" s="1"/>
  <c r="F199" i="8"/>
  <c r="F200" i="8" s="1"/>
  <c r="L195" i="8"/>
  <c r="L196" i="8" s="1"/>
  <c r="D195" i="8"/>
  <c r="D196" i="8" s="1"/>
  <c r="J191" i="8"/>
  <c r="J192" i="8" s="1"/>
  <c r="H187" i="8"/>
  <c r="H188" i="8" s="1"/>
  <c r="K90" i="8"/>
  <c r="G90" i="8"/>
  <c r="F183" i="8"/>
  <c r="F184" i="8" s="1"/>
  <c r="G263" i="8"/>
  <c r="G264" i="8" s="1"/>
  <c r="C263" i="8"/>
  <c r="C264" i="8" s="1"/>
  <c r="K259" i="8"/>
  <c r="K260" i="8" s="1"/>
  <c r="G259" i="8"/>
  <c r="G260" i="8" s="1"/>
  <c r="K255" i="8"/>
  <c r="K256" i="8" s="1"/>
  <c r="C255" i="8"/>
  <c r="C256" i="8" s="1"/>
  <c r="G251" i="8"/>
  <c r="G252" i="8" s="1"/>
  <c r="K247" i="8"/>
  <c r="K248" i="8" s="1"/>
  <c r="C247" i="8"/>
  <c r="C248" i="8" s="1"/>
  <c r="K243" i="8"/>
  <c r="K244" i="8" s="1"/>
  <c r="G243" i="8"/>
  <c r="G244" i="8" s="1"/>
  <c r="K239" i="8"/>
  <c r="K240" i="8" s="1"/>
  <c r="C239" i="8"/>
  <c r="C240" i="8" s="1"/>
  <c r="K235" i="8"/>
  <c r="K236" i="8" s="1"/>
  <c r="C235" i="8"/>
  <c r="C236" i="8" s="1"/>
  <c r="G231" i="8"/>
  <c r="G232" i="8" s="1"/>
  <c r="C231" i="8"/>
  <c r="C232" i="8" s="1"/>
  <c r="J263" i="8"/>
  <c r="J264" i="8" s="1"/>
  <c r="F263" i="8"/>
  <c r="F264" i="8" s="1"/>
  <c r="M262" i="8"/>
  <c r="J259" i="8"/>
  <c r="J260" i="8" s="1"/>
  <c r="F259" i="8"/>
  <c r="F260" i="8" s="1"/>
  <c r="M258" i="8"/>
  <c r="J255" i="8"/>
  <c r="J256" i="8" s="1"/>
  <c r="F255" i="8"/>
  <c r="F256" i="8" s="1"/>
  <c r="M254" i="8"/>
  <c r="J251" i="8"/>
  <c r="J252" i="8" s="1"/>
  <c r="F251" i="8"/>
  <c r="F252" i="8" s="1"/>
  <c r="M250" i="8"/>
  <c r="J247" i="8"/>
  <c r="J248" i="8" s="1"/>
  <c r="F247" i="8"/>
  <c r="F248" i="8" s="1"/>
  <c r="M246" i="8"/>
  <c r="J243" i="8"/>
  <c r="J244" i="8" s="1"/>
  <c r="F243" i="8"/>
  <c r="F244" i="8" s="1"/>
  <c r="M242" i="8"/>
  <c r="J239" i="8"/>
  <c r="J240" i="8" s="1"/>
  <c r="F239" i="8"/>
  <c r="F240" i="8" s="1"/>
  <c r="M238" i="8"/>
  <c r="J235" i="8"/>
  <c r="J236" i="8" s="1"/>
  <c r="F235" i="8"/>
  <c r="F236" i="8" s="1"/>
  <c r="M234" i="8"/>
  <c r="J231" i="8"/>
  <c r="J232" i="8" s="1"/>
  <c r="F231" i="8"/>
  <c r="F232" i="8" s="1"/>
  <c r="M230" i="8"/>
  <c r="K129" i="8"/>
  <c r="K130" i="8" s="1"/>
  <c r="K227" i="8"/>
  <c r="K228" i="8" s="1"/>
  <c r="G129" i="8"/>
  <c r="G130" i="8" s="1"/>
  <c r="G227" i="8"/>
  <c r="G228" i="8" s="1"/>
  <c r="I125" i="8"/>
  <c r="I126" i="8" s="1"/>
  <c r="I223" i="8"/>
  <c r="I224" i="8" s="1"/>
  <c r="E125" i="8"/>
  <c r="E126" i="8" s="1"/>
  <c r="E223" i="8"/>
  <c r="E224" i="8" s="1"/>
  <c r="K121" i="8"/>
  <c r="K122" i="8" s="1"/>
  <c r="K219" i="8"/>
  <c r="K220" i="8" s="1"/>
  <c r="G121" i="8"/>
  <c r="G122" i="8" s="1"/>
  <c r="G219" i="8"/>
  <c r="G220" i="8" s="1"/>
  <c r="I117" i="8"/>
  <c r="I118" i="8" s="1"/>
  <c r="I215" i="8"/>
  <c r="I216" i="8" s="1"/>
  <c r="E117" i="8"/>
  <c r="E118" i="8" s="1"/>
  <c r="E215" i="8"/>
  <c r="E216" i="8" s="1"/>
  <c r="K113" i="8"/>
  <c r="K114" i="8" s="1"/>
  <c r="K211" i="8"/>
  <c r="K212" i="8" s="1"/>
  <c r="G113" i="8"/>
  <c r="G114" i="8" s="1"/>
  <c r="G211" i="8"/>
  <c r="G212" i="8" s="1"/>
  <c r="I109" i="8"/>
  <c r="I110" i="8" s="1"/>
  <c r="I207" i="8"/>
  <c r="I208" i="8" s="1"/>
  <c r="E109" i="8"/>
  <c r="E110" i="8" s="1"/>
  <c r="E207" i="8"/>
  <c r="E208" i="8" s="1"/>
  <c r="K105" i="8"/>
  <c r="K106" i="8" s="1"/>
  <c r="K203" i="8"/>
  <c r="K204" i="8" s="1"/>
  <c r="G105" i="8"/>
  <c r="G106" i="8" s="1"/>
  <c r="G203" i="8"/>
  <c r="G204" i="8" s="1"/>
  <c r="K97" i="8"/>
  <c r="K98" i="8" s="1"/>
  <c r="K195" i="8"/>
  <c r="K196" i="8" s="1"/>
  <c r="G97" i="8"/>
  <c r="G98" i="8" s="1"/>
  <c r="G195" i="8"/>
  <c r="G196" i="8" s="1"/>
  <c r="D82" i="8"/>
  <c r="M81" i="8"/>
  <c r="M178" i="8" s="1"/>
  <c r="I263" i="8"/>
  <c r="I264" i="8" s="1"/>
  <c r="M165" i="8"/>
  <c r="D166" i="8"/>
  <c r="E259" i="8"/>
  <c r="E260" i="8" s="1"/>
  <c r="I255" i="8"/>
  <c r="I256" i="8" s="1"/>
  <c r="M157" i="8"/>
  <c r="D158" i="8"/>
  <c r="I251" i="8"/>
  <c r="I252" i="8" s="1"/>
  <c r="M153" i="8"/>
  <c r="D154" i="8"/>
  <c r="I247" i="8"/>
  <c r="I248" i="8" s="1"/>
  <c r="M149" i="8"/>
  <c r="D150" i="8"/>
  <c r="I243" i="8"/>
  <c r="I244" i="8" s="1"/>
  <c r="E243" i="8"/>
  <c r="E244" i="8" s="1"/>
  <c r="I239" i="8"/>
  <c r="I240" i="8" s="1"/>
  <c r="E239" i="8"/>
  <c r="E240" i="8" s="1"/>
  <c r="I235" i="8"/>
  <c r="I236" i="8" s="1"/>
  <c r="D138" i="8"/>
  <c r="M137" i="8"/>
  <c r="I231" i="8"/>
  <c r="I232" i="8" s="1"/>
  <c r="M133" i="8"/>
  <c r="D134" i="8"/>
  <c r="D126" i="8"/>
  <c r="D118" i="8"/>
  <c r="D110" i="8"/>
  <c r="D162" i="8"/>
  <c r="M161" i="8"/>
  <c r="E255" i="8"/>
  <c r="E256" i="8" s="1"/>
  <c r="E251" i="8"/>
  <c r="E252" i="8" s="1"/>
  <c r="E247" i="8"/>
  <c r="E248" i="8" s="1"/>
  <c r="M145" i="8"/>
  <c r="D146" i="8"/>
  <c r="M141" i="8"/>
  <c r="D142" i="8"/>
  <c r="E235" i="8"/>
  <c r="E236" i="8" s="1"/>
  <c r="E231" i="8"/>
  <c r="E232" i="8" s="1"/>
  <c r="L263" i="8"/>
  <c r="L264" i="8" s="1"/>
  <c r="H263" i="8"/>
  <c r="D263" i="8"/>
  <c r="D264" i="8" s="1"/>
  <c r="L259" i="8"/>
  <c r="L260" i="8" s="1"/>
  <c r="H259" i="8"/>
  <c r="H260" i="8" s="1"/>
  <c r="D259" i="8"/>
  <c r="D260" i="8" s="1"/>
  <c r="L255" i="8"/>
  <c r="L256" i="8" s="1"/>
  <c r="H255" i="8"/>
  <c r="H256" i="8" s="1"/>
  <c r="D255" i="8"/>
  <c r="D256" i="8" s="1"/>
  <c r="L251" i="8"/>
  <c r="L252" i="8" s="1"/>
  <c r="H251" i="8"/>
  <c r="H252" i="8" s="1"/>
  <c r="D251" i="8"/>
  <c r="D252" i="8" s="1"/>
  <c r="L247" i="8"/>
  <c r="L248" i="8" s="1"/>
  <c r="H247" i="8"/>
  <c r="H248" i="8" s="1"/>
  <c r="D247" i="8"/>
  <c r="D248" i="8" s="1"/>
  <c r="L243" i="8"/>
  <c r="L244" i="8" s="1"/>
  <c r="H243" i="8"/>
  <c r="H244" i="8" s="1"/>
  <c r="D243" i="8"/>
  <c r="D244" i="8" s="1"/>
  <c r="L239" i="8"/>
  <c r="L240" i="8" s="1"/>
  <c r="H239" i="8"/>
  <c r="H240" i="8" s="1"/>
  <c r="D239" i="8"/>
  <c r="D240" i="8" s="1"/>
  <c r="L235" i="8"/>
  <c r="L236" i="8" s="1"/>
  <c r="H235" i="8"/>
  <c r="H236" i="8" s="1"/>
  <c r="D235" i="8"/>
  <c r="D236" i="8" s="1"/>
  <c r="L231" i="8"/>
  <c r="L232" i="8" s="1"/>
  <c r="H231" i="8"/>
  <c r="H232" i="8" s="1"/>
  <c r="D231" i="8"/>
  <c r="D232" i="8" s="1"/>
  <c r="H227" i="8"/>
  <c r="H228" i="8" s="1"/>
  <c r="K125" i="8"/>
  <c r="K126" i="8" s="1"/>
  <c r="K223" i="8"/>
  <c r="K224" i="8" s="1"/>
  <c r="G125" i="8"/>
  <c r="G126" i="8" s="1"/>
  <c r="G223" i="8"/>
  <c r="G224" i="8" s="1"/>
  <c r="I121" i="8"/>
  <c r="I122" i="8" s="1"/>
  <c r="I219" i="8"/>
  <c r="I220" i="8" s="1"/>
  <c r="E121" i="8"/>
  <c r="E122" i="8" s="1"/>
  <c r="E219" i="8"/>
  <c r="E220" i="8" s="1"/>
  <c r="K117" i="8"/>
  <c r="K118" i="8" s="1"/>
  <c r="K215" i="8"/>
  <c r="K216" i="8" s="1"/>
  <c r="G117" i="8"/>
  <c r="G118" i="8" s="1"/>
  <c r="G215" i="8"/>
  <c r="G216" i="8" s="1"/>
  <c r="I113" i="8"/>
  <c r="I114" i="8" s="1"/>
  <c r="I211" i="8"/>
  <c r="I212" i="8" s="1"/>
  <c r="E113" i="8"/>
  <c r="E114" i="8" s="1"/>
  <c r="E211" i="8"/>
  <c r="E212" i="8" s="1"/>
  <c r="K109" i="8"/>
  <c r="K110" i="8" s="1"/>
  <c r="K207" i="8"/>
  <c r="K208" i="8" s="1"/>
  <c r="G109" i="8"/>
  <c r="G110" i="8" s="1"/>
  <c r="G207" i="8"/>
  <c r="G208" i="8" s="1"/>
  <c r="I105" i="8"/>
  <c r="I106" i="8" s="1"/>
  <c r="I203" i="8"/>
  <c r="I204" i="8" s="1"/>
  <c r="E105" i="8"/>
  <c r="E106" i="8" s="1"/>
  <c r="E203" i="8"/>
  <c r="E204" i="8" s="1"/>
  <c r="K101" i="8"/>
  <c r="K102" i="8" s="1"/>
  <c r="K199" i="8"/>
  <c r="K200" i="8" s="1"/>
  <c r="G101" i="8"/>
  <c r="G102" i="8" s="1"/>
  <c r="G199" i="8"/>
  <c r="G200" i="8" s="1"/>
  <c r="M89" i="8"/>
  <c r="D90" i="8"/>
  <c r="E263" i="8"/>
  <c r="E264" i="8" s="1"/>
  <c r="K251" i="8"/>
  <c r="K252" i="8" s="1"/>
  <c r="K191" i="8"/>
  <c r="K192" i="8" s="1"/>
  <c r="G191" i="8"/>
  <c r="G192" i="8" s="1"/>
  <c r="K187" i="8"/>
  <c r="K188" i="8" s="1"/>
  <c r="G187" i="8"/>
  <c r="G188" i="8" s="1"/>
  <c r="K183" i="8"/>
  <c r="K184" i="8" s="1"/>
  <c r="G183" i="8"/>
  <c r="G184" i="8" s="1"/>
  <c r="L179" i="8"/>
  <c r="L180" i="8" s="1"/>
  <c r="H179" i="8"/>
  <c r="H180" i="8" s="1"/>
  <c r="D179" i="8"/>
  <c r="D180" i="8" s="1"/>
  <c r="L175" i="8"/>
  <c r="L176" i="8" s="1"/>
  <c r="H175" i="8"/>
  <c r="H176" i="8" s="1"/>
  <c r="D175" i="8"/>
  <c r="D176" i="8" s="1"/>
  <c r="L171" i="8"/>
  <c r="L172" i="8" s="1"/>
  <c r="H171" i="8"/>
  <c r="H172" i="8" s="1"/>
  <c r="D171" i="8"/>
  <c r="D172" i="8" s="1"/>
  <c r="M190" i="8"/>
  <c r="M186" i="8"/>
  <c r="M182" i="8"/>
  <c r="K179" i="8"/>
  <c r="K180" i="8" s="1"/>
  <c r="G179" i="8"/>
  <c r="G180" i="8" s="1"/>
  <c r="C179" i="8"/>
  <c r="C180" i="8" s="1"/>
  <c r="K175" i="8"/>
  <c r="K176" i="8" s="1"/>
  <c r="G175" i="8"/>
  <c r="G176" i="8" s="1"/>
  <c r="C175" i="8"/>
  <c r="C176" i="8" s="1"/>
  <c r="K171" i="8"/>
  <c r="K172" i="8" s="1"/>
  <c r="G171" i="8"/>
  <c r="G172" i="8" s="1"/>
  <c r="C171" i="8"/>
  <c r="C172" i="8" s="1"/>
  <c r="E85" i="8"/>
  <c r="E86" i="8" s="1"/>
  <c r="D106" i="8"/>
  <c r="I199" i="8"/>
  <c r="I200" i="8" s="1"/>
  <c r="E199" i="8"/>
  <c r="E200" i="8" s="1"/>
  <c r="D102" i="8"/>
  <c r="I195" i="8"/>
  <c r="I196" i="8" s="1"/>
  <c r="E195" i="8"/>
  <c r="E196" i="8" s="1"/>
  <c r="I191" i="8"/>
  <c r="I192" i="8" s="1"/>
  <c r="E191" i="8"/>
  <c r="E192" i="8" s="1"/>
  <c r="I187" i="8"/>
  <c r="I188" i="8" s="1"/>
  <c r="E187" i="8"/>
  <c r="E188" i="8" s="1"/>
  <c r="I183" i="8"/>
  <c r="I184" i="8" s="1"/>
  <c r="J179" i="8"/>
  <c r="J180" i="8" s="1"/>
  <c r="F179" i="8"/>
  <c r="F180" i="8" s="1"/>
  <c r="J175" i="8"/>
  <c r="J176" i="8" s="1"/>
  <c r="F175" i="8"/>
  <c r="F176" i="8" s="1"/>
  <c r="J171" i="8"/>
  <c r="J172" i="8" s="1"/>
  <c r="F171" i="8"/>
  <c r="F172" i="8" s="1"/>
  <c r="C98" i="8"/>
  <c r="M93" i="8"/>
  <c r="M77" i="8"/>
  <c r="M174" i="8" s="1"/>
  <c r="I179" i="8"/>
  <c r="I180" i="8" s="1"/>
  <c r="I175" i="8"/>
  <c r="I176" i="8" s="1"/>
  <c r="I171" i="8"/>
  <c r="I172" i="8" s="1"/>
  <c r="M73" i="8"/>
  <c r="M170" i="8" s="1"/>
  <c r="D74" i="8"/>
  <c r="L65" i="8"/>
  <c r="I66" i="8" s="1"/>
  <c r="H30" i="8"/>
  <c r="C65" i="8"/>
  <c r="C31" i="8"/>
  <c r="S96" i="26"/>
  <c r="Q96" i="26"/>
  <c r="S95" i="26"/>
  <c r="Q95" i="26"/>
  <c r="V96" i="25"/>
  <c r="T96" i="25"/>
  <c r="V95" i="25"/>
  <c r="T95" i="25"/>
  <c r="AW16" i="5"/>
  <c r="I30" i="32"/>
  <c r="J30" i="32"/>
  <c r="J28" i="32"/>
  <c r="I28" i="32"/>
  <c r="E30" i="32"/>
  <c r="E28" i="32"/>
  <c r="H14" i="32"/>
  <c r="F14" i="32" s="1"/>
  <c r="H9" i="32"/>
  <c r="I9" i="32"/>
  <c r="I15" i="32"/>
  <c r="I10" i="32"/>
  <c r="F15" i="32"/>
  <c r="G29" i="32"/>
  <c r="D11" i="32"/>
  <c r="D16" i="32"/>
  <c r="D19" i="31"/>
  <c r="D16" i="31"/>
  <c r="F15" i="31"/>
  <c r="J15" i="31"/>
  <c r="F14" i="31"/>
  <c r="J14" i="31"/>
  <c r="J9" i="31"/>
  <c r="F9" i="31" s="1"/>
  <c r="D11" i="31"/>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V92" i="25"/>
  <c r="V3" i="25"/>
  <c r="V4" i="25"/>
  <c r="J10" i="31"/>
  <c r="F10" i="31" s="1"/>
  <c r="G27" i="31"/>
  <c r="K26" i="31"/>
  <c r="F26" i="31" s="1"/>
  <c r="K28" i="31"/>
  <c r="F28" i="31" s="1"/>
  <c r="F30" i="31" s="1"/>
  <c r="E26" i="31"/>
  <c r="G26" i="31" s="1"/>
  <c r="D127" i="11"/>
  <c r="C127" i="11"/>
  <c r="G96" i="11"/>
  <c r="D96" i="11"/>
  <c r="C96" i="11"/>
  <c r="D57" i="11"/>
  <c r="C57" i="11"/>
  <c r="D29" i="11"/>
  <c r="C29" i="11"/>
  <c r="AU16" i="5"/>
  <c r="D17" i="31" l="1"/>
  <c r="D20" i="31" s="1"/>
  <c r="J4" i="33"/>
  <c r="J8" i="33" s="1"/>
  <c r="J13" i="33" s="1"/>
  <c r="M200" i="8"/>
  <c r="M188" i="8"/>
  <c r="M196" i="8"/>
  <c r="M184" i="8"/>
  <c r="M113" i="8"/>
  <c r="M210" i="8" s="1"/>
  <c r="M244" i="8"/>
  <c r="M260" i="8"/>
  <c r="H264" i="8"/>
  <c r="H31" i="8"/>
  <c r="M192" i="8"/>
  <c r="M101" i="8"/>
  <c r="M198" i="8" s="1"/>
  <c r="M121" i="8"/>
  <c r="M218" i="8" s="1"/>
  <c r="M97" i="8"/>
  <c r="M194" i="8" s="1"/>
  <c r="M105" i="8"/>
  <c r="M202" i="8" s="1"/>
  <c r="M129" i="8"/>
  <c r="M226" i="8" s="1"/>
  <c r="M204" i="8"/>
  <c r="M212" i="8"/>
  <c r="M220" i="8"/>
  <c r="M252" i="8"/>
  <c r="M117" i="8"/>
  <c r="M214" i="8" s="1"/>
  <c r="M208" i="8"/>
  <c r="M216" i="8"/>
  <c r="M224" i="8"/>
  <c r="M228" i="8"/>
  <c r="M85" i="8"/>
  <c r="M236" i="8"/>
  <c r="M264" i="8"/>
  <c r="M232" i="8"/>
  <c r="M248" i="8"/>
  <c r="M180" i="8"/>
  <c r="M176" i="8"/>
  <c r="M109" i="8"/>
  <c r="M206" i="8" s="1"/>
  <c r="M125" i="8"/>
  <c r="M222" i="8" s="1"/>
  <c r="M256" i="8"/>
  <c r="M172" i="8"/>
  <c r="M240" i="8"/>
  <c r="F4" i="33"/>
  <c r="F8" i="33" s="1"/>
  <c r="F13" i="33" s="1"/>
  <c r="F30" i="32"/>
  <c r="F28" i="32"/>
  <c r="E32" i="32"/>
  <c r="G28" i="32"/>
  <c r="F9" i="32"/>
  <c r="F10" i="32"/>
  <c r="G30" i="32"/>
  <c r="F32" i="32"/>
  <c r="D19" i="32"/>
  <c r="D17" i="32"/>
  <c r="M28" i="9"/>
  <c r="B28" i="9"/>
  <c r="N28" i="9"/>
  <c r="S28" i="9"/>
  <c r="R28" i="9"/>
  <c r="Q28" i="9"/>
  <c r="G28" i="9"/>
  <c r="F28" i="9"/>
  <c r="G83" i="26"/>
  <c r="G87" i="26"/>
  <c r="G91" i="26"/>
  <c r="E92" i="26"/>
  <c r="E91" i="26"/>
  <c r="Q92" i="25"/>
  <c r="O92" i="26"/>
  <c r="O91" i="26"/>
  <c r="Q92" i="26"/>
  <c r="T91" i="25"/>
  <c r="K20" i="27"/>
  <c r="K19" i="27"/>
  <c r="K18" i="27"/>
  <c r="K17" i="27"/>
  <c r="K16" i="27"/>
  <c r="K15" i="27"/>
  <c r="K11" i="27"/>
  <c r="K10" i="27"/>
  <c r="E54" i="27"/>
  <c r="E28" i="27"/>
  <c r="H6" i="33" l="1"/>
  <c r="D6" i="33"/>
  <c r="D8" i="33" s="1"/>
  <c r="D13" i="33" s="1"/>
  <c r="C6" i="33"/>
  <c r="G32" i="32"/>
  <c r="D20" i="32"/>
  <c r="Q91" i="26"/>
  <c r="S92" i="26"/>
  <c r="S91" i="26"/>
  <c r="T92" i="25"/>
  <c r="O66" i="11"/>
  <c r="N66" i="11"/>
  <c r="H66" i="11"/>
  <c r="G66" i="11"/>
  <c r="D66" i="11"/>
  <c r="C66" i="11"/>
  <c r="I6" i="33" l="1"/>
  <c r="I8" i="33" s="1"/>
  <c r="I13" i="33" s="1"/>
  <c r="H8" i="33"/>
  <c r="H13" i="33" s="1"/>
  <c r="C8" i="33"/>
  <c r="C13" i="33" s="1"/>
  <c r="E6" i="33"/>
  <c r="E8" i="33" s="1"/>
  <c r="E13" i="33" s="1"/>
  <c r="F36" i="29"/>
  <c r="B51" i="29"/>
  <c r="D50" i="29"/>
  <c r="D49" i="29"/>
  <c r="D48" i="29"/>
  <c r="D47" i="29"/>
  <c r="D46" i="29"/>
  <c r="D42" i="29"/>
  <c r="D40" i="29"/>
  <c r="D18" i="29"/>
  <c r="F32" i="30"/>
  <c r="F20" i="30" s="1"/>
  <c r="B47" i="30"/>
  <c r="D46" i="30"/>
  <c r="D45" i="30"/>
  <c r="D44" i="30"/>
  <c r="D43" i="30"/>
  <c r="D42" i="30"/>
  <c r="D38" i="30"/>
  <c r="D36" i="30"/>
  <c r="D19" i="30"/>
  <c r="D51" i="29" l="1"/>
  <c r="D24" i="29" s="1"/>
  <c r="D36" i="29" s="1"/>
  <c r="D47" i="30"/>
  <c r="D24" i="30" s="1"/>
  <c r="D32" i="30"/>
  <c r="D20" i="29" l="1"/>
  <c r="D21" i="29" s="1"/>
  <c r="D38" i="29" s="1"/>
  <c r="D20" i="30"/>
  <c r="D21" i="30" s="1"/>
  <c r="C53" i="28"/>
  <c r="C12" i="28"/>
  <c r="C92" i="28"/>
  <c r="D11" i="18"/>
  <c r="AU6" i="5"/>
  <c r="AW6" i="5" s="1"/>
  <c r="C11" i="28"/>
  <c r="C54" i="28"/>
  <c r="A115" i="28"/>
  <c r="A98" i="28"/>
  <c r="A97" i="28"/>
  <c r="A96" i="28"/>
  <c r="A91" i="28"/>
  <c r="A71" i="28"/>
  <c r="A110" i="28" s="1"/>
  <c r="A59" i="28"/>
  <c r="A58" i="28"/>
  <c r="A57" i="28"/>
  <c r="I115" i="28"/>
  <c r="V113" i="28"/>
  <c r="AE112" i="28"/>
  <c r="AE117" i="28" s="1"/>
  <c r="V110" i="28"/>
  <c r="V111" i="28" s="1"/>
  <c r="I98" i="28"/>
  <c r="V97" i="28"/>
  <c r="V98" i="28" s="1"/>
  <c r="I97" i="28"/>
  <c r="N97" i="28"/>
  <c r="I96" i="28"/>
  <c r="AA94" i="28"/>
  <c r="AD105" i="28" s="1"/>
  <c r="S94" i="28"/>
  <c r="AD93" i="28"/>
  <c r="AD92" i="28"/>
  <c r="U92" i="28"/>
  <c r="V92" i="28" s="1"/>
  <c r="I91" i="28"/>
  <c r="V74" i="28"/>
  <c r="AE73" i="28"/>
  <c r="U54" i="28" s="1"/>
  <c r="V71" i="28"/>
  <c r="W75" i="28" s="1"/>
  <c r="M54" i="28" s="1"/>
  <c r="E53" i="28" s="1"/>
  <c r="I71" i="28"/>
  <c r="I110" i="28" s="1"/>
  <c r="I59" i="28"/>
  <c r="V58" i="28"/>
  <c r="V59" i="28" s="1"/>
  <c r="I58" i="28"/>
  <c r="N58" i="28"/>
  <c r="I57" i="28"/>
  <c r="AA55" i="28"/>
  <c r="AD66" i="28" s="1"/>
  <c r="S55" i="28"/>
  <c r="AD54" i="28"/>
  <c r="AD53" i="28"/>
  <c r="U53" i="28"/>
  <c r="V53" i="28" s="1"/>
  <c r="AD29" i="28"/>
  <c r="V29" i="28"/>
  <c r="V30" i="28" s="1"/>
  <c r="V31" i="28" s="1"/>
  <c r="V24" i="28"/>
  <c r="V32" i="28" s="1"/>
  <c r="S21" i="28"/>
  <c r="V17" i="28"/>
  <c r="V18" i="28" s="1"/>
  <c r="N29" i="28"/>
  <c r="AA13" i="28"/>
  <c r="AC34" i="28" s="1"/>
  <c r="AE34" i="28" s="1"/>
  <c r="S13" i="28"/>
  <c r="AD12" i="28"/>
  <c r="AD11" i="28"/>
  <c r="U11" i="28"/>
  <c r="V11" i="28" s="1"/>
  <c r="AD55" i="28" l="1"/>
  <c r="AD64" i="28" s="1"/>
  <c r="AE68" i="28" s="1"/>
  <c r="AE74" i="28" s="1"/>
  <c r="D34" i="30"/>
  <c r="C55" i="28"/>
  <c r="F66" i="28" s="1"/>
  <c r="F74" i="28" s="1"/>
  <c r="F53" i="28"/>
  <c r="C13" i="28"/>
  <c r="F24" i="28" s="1"/>
  <c r="F32" i="28" s="1"/>
  <c r="AD94" i="28"/>
  <c r="AD103" i="28" s="1"/>
  <c r="AE107" i="28" s="1"/>
  <c r="AE113" i="28" s="1"/>
  <c r="AE119" i="28" s="1"/>
  <c r="U101" i="28" s="1"/>
  <c r="V101" i="28" s="1"/>
  <c r="AD13" i="28"/>
  <c r="AD22" i="28" s="1"/>
  <c r="AC115" i="28"/>
  <c r="AE115" i="28" s="1"/>
  <c r="K94" i="28"/>
  <c r="N105" i="28" s="1"/>
  <c r="N113" i="28" s="1"/>
  <c r="U93" i="28"/>
  <c r="N71" i="28"/>
  <c r="N72" i="28" s="1"/>
  <c r="N73" i="28" s="1"/>
  <c r="AE78" i="28"/>
  <c r="V112" i="28"/>
  <c r="W114" i="28"/>
  <c r="M93" i="28" s="1"/>
  <c r="E92" i="28" s="1"/>
  <c r="F92" i="28" s="1"/>
  <c r="N30" i="28"/>
  <c r="N31" i="28" s="1"/>
  <c r="N98" i="28"/>
  <c r="N110" i="28"/>
  <c r="O114" i="28" s="1"/>
  <c r="E93" i="28" s="1"/>
  <c r="N17" i="28"/>
  <c r="N18" i="28" s="1"/>
  <c r="K55" i="28"/>
  <c r="N66" i="28" s="1"/>
  <c r="N74" i="28" s="1"/>
  <c r="W33" i="28"/>
  <c r="N54" i="28"/>
  <c r="M53" i="28"/>
  <c r="N53" i="28" s="1"/>
  <c r="N55" i="28" s="1"/>
  <c r="V54" i="28"/>
  <c r="V55" i="28" s="1"/>
  <c r="V61" i="28" s="1"/>
  <c r="AD24" i="28"/>
  <c r="AD30" i="28"/>
  <c r="AE31" i="28" s="1"/>
  <c r="N59" i="28"/>
  <c r="AC76" i="28"/>
  <c r="AE76" i="28" s="1"/>
  <c r="K13" i="28"/>
  <c r="N24" i="28" s="1"/>
  <c r="N32" i="28" s="1"/>
  <c r="O33" i="28" s="1"/>
  <c r="V72" i="28"/>
  <c r="V73" i="28" s="1"/>
  <c r="AE26" i="28" l="1"/>
  <c r="N93" i="28"/>
  <c r="O75" i="28"/>
  <c r="E54" i="28" s="1"/>
  <c r="F54" i="28" s="1"/>
  <c r="F55" i="28" s="1"/>
  <c r="O37" i="28"/>
  <c r="E12" i="28"/>
  <c r="F12" i="28" s="1"/>
  <c r="AE80" i="28"/>
  <c r="U62" i="28" s="1"/>
  <c r="V62" i="28" s="1"/>
  <c r="V64" i="28" s="1"/>
  <c r="W68" i="28" s="1"/>
  <c r="W76" i="28" s="1"/>
  <c r="V93" i="28"/>
  <c r="V94" i="28" s="1"/>
  <c r="V100" i="28" s="1"/>
  <c r="V103" i="28" s="1"/>
  <c r="W107" i="28" s="1"/>
  <c r="W115" i="28" s="1"/>
  <c r="M92" i="28"/>
  <c r="N92" i="28" s="1"/>
  <c r="N111" i="28"/>
  <c r="N112" i="28" s="1"/>
  <c r="AE36" i="28"/>
  <c r="U12" i="28"/>
  <c r="AE32" i="28"/>
  <c r="W37" i="28"/>
  <c r="M12" i="28"/>
  <c r="N64" i="28"/>
  <c r="O68" i="28" s="1"/>
  <c r="O76" i="28" s="1"/>
  <c r="N94" i="28" l="1"/>
  <c r="N103" i="28" s="1"/>
  <c r="O107" i="28" s="1"/>
  <c r="O115" i="28" s="1"/>
  <c r="N12" i="28"/>
  <c r="E11" i="28"/>
  <c r="F11" i="28" s="1"/>
  <c r="F13" i="28" s="1"/>
  <c r="AE40" i="28"/>
  <c r="AE38" i="28"/>
  <c r="U21" i="28" s="1"/>
  <c r="V21" i="28" s="1"/>
  <c r="V12" i="28"/>
  <c r="V13" i="28" s="1"/>
  <c r="V20" i="28" s="1"/>
  <c r="M11" i="28"/>
  <c r="N11" i="28" s="1"/>
  <c r="N13" i="28" l="1"/>
  <c r="N22" i="28" s="1"/>
  <c r="O26" i="28" s="1"/>
  <c r="O34" i="28" s="1"/>
  <c r="O39" i="28" s="1"/>
  <c r="V22" i="28"/>
  <c r="W26" i="28" s="1"/>
  <c r="W34" i="28" s="1"/>
  <c r="W39" i="28" s="1"/>
  <c r="D126" i="11" l="1"/>
  <c r="C126" i="11"/>
  <c r="R95" i="11"/>
  <c r="S95" i="11"/>
  <c r="G95" i="11"/>
  <c r="D95" i="11"/>
  <c r="C95" i="11"/>
  <c r="D56" i="11"/>
  <c r="C56" i="11"/>
  <c r="C28" i="11"/>
  <c r="R27" i="9"/>
  <c r="Q27" i="9"/>
  <c r="G27" i="9"/>
  <c r="F27" i="9"/>
  <c r="P87" i="25"/>
  <c r="Q87" i="25"/>
  <c r="Q88" i="25"/>
  <c r="T87" i="25" l="1"/>
  <c r="S88" i="26"/>
  <c r="Q88" i="26"/>
  <c r="S87" i="26"/>
  <c r="Q87" i="26"/>
  <c r="D28" i="11" l="1"/>
  <c r="T88" i="25"/>
  <c r="AS16" i="5"/>
  <c r="D125" i="11" l="1"/>
  <c r="C125" i="11"/>
  <c r="R94" i="11"/>
  <c r="S94" i="11" s="1"/>
  <c r="G94" i="11"/>
  <c r="D94" i="11"/>
  <c r="D93" i="11"/>
  <c r="C94" i="11"/>
  <c r="D55" i="11"/>
  <c r="C55" i="11"/>
  <c r="C27" i="11"/>
  <c r="S26" i="9"/>
  <c r="H26" i="9"/>
  <c r="R26" i="9"/>
  <c r="F26" i="9"/>
  <c r="G26" i="9"/>
  <c r="Q26" i="9"/>
  <c r="M26" i="9"/>
  <c r="B26" i="9"/>
  <c r="N26" i="9"/>
  <c r="H83" i="26"/>
  <c r="E84" i="26"/>
  <c r="E83" i="26"/>
  <c r="O84" i="26"/>
  <c r="O83" i="26"/>
  <c r="Q84" i="25"/>
  <c r="Q83" i="25"/>
  <c r="P83" i="25"/>
  <c r="S84" i="26" l="1"/>
  <c r="Q84" i="26"/>
  <c r="S83" i="26"/>
  <c r="Q83" i="26"/>
  <c r="T84" i="25"/>
  <c r="D27" i="11" l="1"/>
  <c r="T83" i="25"/>
  <c r="AQ16" i="5" l="1"/>
  <c r="D26" i="11" l="1"/>
  <c r="C26" i="11"/>
  <c r="D124" i="11"/>
  <c r="C124" i="11"/>
  <c r="G93" i="11"/>
  <c r="C93" i="11"/>
  <c r="D54" i="11"/>
  <c r="C54" i="11"/>
  <c r="G79" i="26"/>
  <c r="P80" i="26"/>
  <c r="S80" i="26" s="1"/>
  <c r="P79" i="26"/>
  <c r="O80" i="26"/>
  <c r="O79" i="26"/>
  <c r="Q80" i="25"/>
  <c r="P79" i="25"/>
  <c r="T79" i="25" s="1"/>
  <c r="Q80" i="26"/>
  <c r="Q79" i="26"/>
  <c r="S25" i="9"/>
  <c r="H25" i="9"/>
  <c r="G25" i="9"/>
  <c r="R25" i="9"/>
  <c r="Q25" i="9"/>
  <c r="F25" i="9"/>
  <c r="M25" i="9"/>
  <c r="N25" i="9"/>
  <c r="S79" i="26" l="1"/>
  <c r="T80" i="25"/>
  <c r="AO16" i="5"/>
  <c r="D123" i="11" l="1"/>
  <c r="C123" i="11"/>
  <c r="R92" i="11"/>
  <c r="S92" i="11"/>
  <c r="G92" i="11"/>
  <c r="D92" i="11"/>
  <c r="C92" i="11"/>
  <c r="D53" i="11"/>
  <c r="C53" i="11"/>
  <c r="C52" i="11"/>
  <c r="D25" i="11"/>
  <c r="C25" i="11"/>
  <c r="S21" i="9"/>
  <c r="H21" i="9"/>
  <c r="S20" i="9"/>
  <c r="H20" i="9"/>
  <c r="S19" i="9"/>
  <c r="H19" i="9"/>
  <c r="S18" i="9"/>
  <c r="H18" i="9"/>
  <c r="S24" i="9"/>
  <c r="H24" i="9"/>
  <c r="M24" i="9" l="1"/>
  <c r="B24" i="9"/>
  <c r="N24" i="9"/>
  <c r="R24" i="9"/>
  <c r="G24" i="9"/>
  <c r="Q24" i="9"/>
  <c r="F24" i="9"/>
  <c r="Q76" i="25"/>
  <c r="P75" i="25"/>
  <c r="O76" i="26"/>
  <c r="O75" i="26"/>
  <c r="G75" i="26"/>
  <c r="E76" i="26"/>
  <c r="E75" i="26"/>
  <c r="T76" i="25" l="1"/>
  <c r="T75" i="25"/>
  <c r="S76" i="26"/>
  <c r="S75" i="26"/>
  <c r="Q75" i="26"/>
  <c r="Q76" i="26" l="1"/>
  <c r="AM16" i="5" l="1"/>
  <c r="R23" i="9" l="1"/>
  <c r="S23" i="9"/>
  <c r="H23" i="9"/>
  <c r="Q23" i="9"/>
  <c r="G23" i="9"/>
  <c r="F23" i="9"/>
  <c r="AK16" i="5" l="1"/>
  <c r="D122" i="11" l="1"/>
  <c r="C122" i="11"/>
  <c r="D91" i="11"/>
  <c r="C91" i="11"/>
  <c r="C24" i="11"/>
  <c r="S67" i="26" l="1"/>
  <c r="E68" i="26"/>
  <c r="E67" i="26"/>
  <c r="E72" i="26"/>
  <c r="S72" i="26" s="1"/>
  <c r="E71" i="26"/>
  <c r="Q71" i="26"/>
  <c r="S71" i="26"/>
  <c r="T72" i="25"/>
  <c r="T71" i="25"/>
  <c r="D24" i="11" l="1"/>
  <c r="D52" i="11"/>
  <c r="G91" i="11"/>
  <c r="Q72" i="26"/>
  <c r="A52" i="11"/>
  <c r="D121" i="11" l="1"/>
  <c r="C121" i="11"/>
  <c r="C23" i="11"/>
  <c r="D90" i="11"/>
  <c r="C90" i="11"/>
  <c r="C51" i="11"/>
  <c r="AI16" i="5"/>
  <c r="P68" i="26" l="1"/>
  <c r="S68" i="26" s="1"/>
  <c r="P67" i="26"/>
  <c r="G63" i="26"/>
  <c r="G67" i="26"/>
  <c r="Q67" i="26" s="1"/>
  <c r="T68" i="25"/>
  <c r="T67" i="25"/>
  <c r="S22" i="9"/>
  <c r="H22" i="9"/>
  <c r="R22" i="9"/>
  <c r="G22" i="9"/>
  <c r="Q22" i="9"/>
  <c r="N22" i="9"/>
  <c r="C22" i="9"/>
  <c r="F22" i="9"/>
  <c r="M22" i="9"/>
  <c r="B22" i="9"/>
  <c r="Q21" i="9"/>
  <c r="F21" i="9"/>
  <c r="G90" i="11" l="1"/>
  <c r="D51" i="11"/>
  <c r="Q68" i="26"/>
  <c r="D23" i="11" s="1"/>
  <c r="D120" i="11"/>
  <c r="D119" i="11"/>
  <c r="D118" i="11"/>
  <c r="D117" i="11"/>
  <c r="C120" i="11"/>
  <c r="C119" i="11"/>
  <c r="C118" i="11"/>
  <c r="C117" i="11"/>
  <c r="R86" i="11"/>
  <c r="S86" i="11"/>
  <c r="R87" i="11"/>
  <c r="S87" i="11"/>
  <c r="R88" i="11"/>
  <c r="S88" i="11"/>
  <c r="R89" i="11"/>
  <c r="S89" i="11"/>
  <c r="G89" i="11"/>
  <c r="G88" i="11"/>
  <c r="G87" i="11"/>
  <c r="G86" i="11"/>
  <c r="D89" i="11"/>
  <c r="D88" i="11"/>
  <c r="D87" i="11"/>
  <c r="D86" i="11"/>
  <c r="C89" i="11"/>
  <c r="C88" i="11"/>
  <c r="C87" i="11"/>
  <c r="C86" i="11"/>
  <c r="D50" i="11"/>
  <c r="C50" i="11"/>
  <c r="C22" i="11"/>
  <c r="E64" i="26"/>
  <c r="S64" i="26" s="1"/>
  <c r="E63" i="26"/>
  <c r="S63" i="26" s="1"/>
  <c r="Q63" i="26"/>
  <c r="T64" i="25"/>
  <c r="T63" i="25"/>
  <c r="R21" i="9"/>
  <c r="G21" i="9"/>
  <c r="N21" i="9"/>
  <c r="M21" i="9"/>
  <c r="AG16" i="5"/>
  <c r="Q64" i="26" l="1"/>
  <c r="D22" i="11" s="1"/>
  <c r="D49" i="11" l="1"/>
  <c r="D48" i="11"/>
  <c r="D47" i="11"/>
  <c r="C49" i="11"/>
  <c r="C48" i="11"/>
  <c r="C47" i="11"/>
  <c r="Q20" i="9"/>
  <c r="R20" i="9"/>
  <c r="G20" i="9"/>
  <c r="F20" i="9"/>
  <c r="N20" i="9"/>
  <c r="M20" i="9"/>
  <c r="D21" i="11"/>
  <c r="D20" i="11"/>
  <c r="D19" i="11"/>
  <c r="C21" i="11"/>
  <c r="G59" i="26"/>
  <c r="C20" i="11"/>
  <c r="R19" i="9" l="1"/>
  <c r="Q19" i="9"/>
  <c r="G19" i="9"/>
  <c r="F19" i="9"/>
  <c r="R18" i="9"/>
  <c r="Q18" i="9"/>
  <c r="F18" i="9"/>
  <c r="G18" i="9"/>
  <c r="Q52" i="26" l="1"/>
  <c r="Q51" i="26"/>
  <c r="S60" i="26" l="1"/>
  <c r="Q60" i="26"/>
  <c r="S59" i="26"/>
  <c r="Q59" i="26"/>
  <c r="S56" i="26"/>
  <c r="Q56" i="26"/>
  <c r="S55" i="26"/>
  <c r="Q55" i="26"/>
  <c r="S52" i="26"/>
  <c r="S51" i="26"/>
  <c r="T60" i="25"/>
  <c r="T59" i="25"/>
  <c r="T56" i="25"/>
  <c r="T55" i="25"/>
  <c r="T52" i="25"/>
  <c r="T51" i="25"/>
  <c r="C19" i="11" l="1"/>
  <c r="D18" i="11" l="1"/>
  <c r="C18" i="11"/>
  <c r="Y16" i="5" l="1"/>
  <c r="D116" i="11" l="1"/>
  <c r="C116" i="11"/>
  <c r="D85" i="11"/>
  <c r="C85" i="11"/>
  <c r="H47" i="26"/>
  <c r="E48" i="26"/>
  <c r="E47" i="26"/>
  <c r="D115" i="11" l="1"/>
  <c r="C115" i="11"/>
  <c r="C84" i="11"/>
  <c r="W16" i="5" l="1"/>
  <c r="P43" i="25" l="1"/>
  <c r="D84" i="11" s="1"/>
  <c r="H43" i="26"/>
  <c r="G43" i="26"/>
  <c r="E44" i="26"/>
  <c r="E43" i="26"/>
  <c r="Q43" i="26" s="1"/>
  <c r="D17" i="11" s="1"/>
  <c r="O44" i="26"/>
  <c r="O43" i="26"/>
  <c r="S48" i="26"/>
  <c r="Q48" i="26"/>
  <c r="S47" i="26"/>
  <c r="Q47" i="26"/>
  <c r="Q44" i="26"/>
  <c r="S44" i="26"/>
  <c r="T48" i="25"/>
  <c r="T47" i="25"/>
  <c r="T44" i="25"/>
  <c r="S43" i="26" l="1"/>
  <c r="T43" i="25"/>
  <c r="C17" i="11" s="1"/>
  <c r="C45" i="11"/>
  <c r="C46" i="11"/>
  <c r="G85" i="11"/>
  <c r="D46" i="11"/>
  <c r="D114" i="11"/>
  <c r="C114" i="11"/>
  <c r="D83" i="11"/>
  <c r="C83" i="11"/>
  <c r="G84" i="11" l="1"/>
  <c r="D45" i="11"/>
  <c r="H39" i="26"/>
  <c r="S39" i="26" s="1"/>
  <c r="G39" i="26"/>
  <c r="E40" i="26"/>
  <c r="E39" i="26"/>
  <c r="O40" i="26"/>
  <c r="S40" i="26" s="1"/>
  <c r="O39" i="26"/>
  <c r="Q40" i="26"/>
  <c r="Q39" i="26"/>
  <c r="D16" i="11" s="1"/>
  <c r="T40" i="25"/>
  <c r="C16" i="11" s="1"/>
  <c r="C44" i="11"/>
  <c r="T39" i="25"/>
  <c r="G83" i="11" l="1"/>
  <c r="D44" i="11"/>
  <c r="D113" i="11"/>
  <c r="C113" i="11"/>
  <c r="D82" i="11"/>
  <c r="C82" i="11"/>
  <c r="T4" i="25"/>
  <c r="T7" i="25"/>
  <c r="T8" i="25"/>
  <c r="O36" i="26"/>
  <c r="O35" i="26"/>
  <c r="H35" i="26"/>
  <c r="E36" i="26"/>
  <c r="E35" i="26"/>
  <c r="T12" i="25"/>
  <c r="T15" i="25"/>
  <c r="T16" i="25"/>
  <c r="T20" i="25"/>
  <c r="T24" i="25"/>
  <c r="T27" i="25"/>
  <c r="T28" i="25"/>
  <c r="T31" i="25"/>
  <c r="T32" i="25"/>
  <c r="T35" i="25"/>
  <c r="T36" i="25"/>
  <c r="C15" i="11" s="1"/>
  <c r="S16" i="5" l="1"/>
  <c r="S36" i="26" l="1"/>
  <c r="Q36" i="26"/>
  <c r="S35" i="26"/>
  <c r="Q35" i="26"/>
  <c r="D15" i="11" s="1"/>
  <c r="C43" i="11"/>
  <c r="D43" i="11" l="1"/>
  <c r="G82" i="11"/>
  <c r="D112" i="11"/>
  <c r="C112" i="11"/>
  <c r="D81" i="11"/>
  <c r="C81" i="11"/>
  <c r="C80" i="11"/>
  <c r="C14" i="11"/>
  <c r="Q16" i="5"/>
  <c r="E32" i="26"/>
  <c r="Q32" i="26" s="1"/>
  <c r="E31" i="26"/>
  <c r="H31" i="26"/>
  <c r="O32" i="26"/>
  <c r="O31" i="26"/>
  <c r="S31" i="26" s="1"/>
  <c r="C42" i="11"/>
  <c r="Q31" i="26"/>
  <c r="D111" i="11"/>
  <c r="C111" i="11"/>
  <c r="E111" i="11" s="1"/>
  <c r="D80" i="11"/>
  <c r="C13" i="11"/>
  <c r="H27" i="26"/>
  <c r="Q27" i="26" s="1"/>
  <c r="G27" i="26"/>
  <c r="E28" i="26"/>
  <c r="Q28" i="26" s="1"/>
  <c r="E27" i="26"/>
  <c r="O28" i="26"/>
  <c r="S28" i="26" s="1"/>
  <c r="O27" i="26"/>
  <c r="S27" i="26"/>
  <c r="G80" i="11" s="1"/>
  <c r="C41" i="11"/>
  <c r="D110" i="11"/>
  <c r="E110" i="11" s="1"/>
  <c r="C110" i="11"/>
  <c r="C79" i="11"/>
  <c r="P23" i="25"/>
  <c r="T23" i="25" s="1"/>
  <c r="C12" i="11" s="1"/>
  <c r="H23" i="26"/>
  <c r="E24" i="26"/>
  <c r="S24" i="26" s="1"/>
  <c r="E23" i="26"/>
  <c r="S23" i="26"/>
  <c r="G79" i="11" s="1"/>
  <c r="Q23" i="26"/>
  <c r="M16" i="5"/>
  <c r="D109" i="11"/>
  <c r="E109" i="11" s="1"/>
  <c r="C109" i="11"/>
  <c r="D78" i="11"/>
  <c r="C78" i="11"/>
  <c r="D39" i="11"/>
  <c r="C11" i="11"/>
  <c r="S20" i="26"/>
  <c r="Q20" i="26"/>
  <c r="S19" i="26"/>
  <c r="G78" i="11" s="1"/>
  <c r="Q19" i="26"/>
  <c r="D11" i="11" s="1"/>
  <c r="C39" i="11"/>
  <c r="T19" i="25"/>
  <c r="K16" i="5"/>
  <c r="D108" i="11"/>
  <c r="C108" i="11"/>
  <c r="D77" i="11"/>
  <c r="E77" i="11" s="1"/>
  <c r="C77" i="11"/>
  <c r="D10" i="11"/>
  <c r="C10" i="11"/>
  <c r="S16" i="26"/>
  <c r="Q16" i="26"/>
  <c r="S15" i="26"/>
  <c r="G77" i="11" s="1"/>
  <c r="Q15" i="26"/>
  <c r="C38" i="11"/>
  <c r="I16" i="5"/>
  <c r="O61" i="11"/>
  <c r="P61" i="11" s="1"/>
  <c r="N61" i="11"/>
  <c r="H61" i="11"/>
  <c r="G61" i="11"/>
  <c r="D61" i="11"/>
  <c r="S61" i="11" s="1"/>
  <c r="S66" i="11" s="1"/>
  <c r="C61" i="11"/>
  <c r="D107" i="11"/>
  <c r="E107" i="11" s="1"/>
  <c r="D106" i="11"/>
  <c r="D105" i="11"/>
  <c r="C107" i="11"/>
  <c r="C106" i="11"/>
  <c r="C105" i="11"/>
  <c r="D76" i="11"/>
  <c r="D75" i="11"/>
  <c r="D74" i="11"/>
  <c r="C76" i="11"/>
  <c r="C75" i="11"/>
  <c r="E75" i="11"/>
  <c r="C74" i="11"/>
  <c r="D8" i="11"/>
  <c r="D7" i="11"/>
  <c r="C8" i="11"/>
  <c r="S12" i="26"/>
  <c r="H11" i="26"/>
  <c r="S11" i="26" s="1"/>
  <c r="G11" i="26"/>
  <c r="E12" i="26"/>
  <c r="Q12" i="26" s="1"/>
  <c r="E11" i="26"/>
  <c r="Q11" i="26" s="1"/>
  <c r="D9" i="11" s="1"/>
  <c r="S8" i="26"/>
  <c r="D36" i="11" s="1"/>
  <c r="Q8" i="26"/>
  <c r="S7" i="26"/>
  <c r="G75" i="11" s="1"/>
  <c r="Q7" i="26"/>
  <c r="S4" i="26"/>
  <c r="Q4" i="26"/>
  <c r="G74" i="11"/>
  <c r="Q3" i="26"/>
  <c r="C37" i="11"/>
  <c r="T11" i="25"/>
  <c r="C9" i="11" s="1"/>
  <c r="C36" i="11"/>
  <c r="C35" i="11"/>
  <c r="T3" i="25"/>
  <c r="C7" i="11"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S17" i="5"/>
  <c r="T11" i="5" s="1"/>
  <c r="K17" i="5"/>
  <c r="E97" i="11"/>
  <c r="H97" i="11" s="1"/>
  <c r="R97" i="11" s="1"/>
  <c r="S97" i="11" s="1"/>
  <c r="E58" i="11"/>
  <c r="E125" i="11"/>
  <c r="E94" i="11"/>
  <c r="H94" i="11" s="1"/>
  <c r="E93" i="11"/>
  <c r="H93" i="11" s="1"/>
  <c r="R93" i="11" s="1"/>
  <c r="S93" i="11" s="1"/>
  <c r="E53" i="11"/>
  <c r="E92" i="11"/>
  <c r="E91" i="11"/>
  <c r="H91" i="11" s="1"/>
  <c r="R91" i="11" s="1"/>
  <c r="S91" i="11" s="1"/>
  <c r="E90" i="11"/>
  <c r="H90" i="11" s="1"/>
  <c r="R90" i="11" s="1"/>
  <c r="S90" i="11" s="1"/>
  <c r="E120" i="11"/>
  <c r="E89" i="11"/>
  <c r="H89" i="11" s="1"/>
  <c r="E50" i="11"/>
  <c r="G119" i="11"/>
  <c r="E88" i="11"/>
  <c r="H88" i="11" s="1"/>
  <c r="T19" i="9"/>
  <c r="Y19" i="9" s="1"/>
  <c r="O19" i="9"/>
  <c r="I19" i="9"/>
  <c r="D19" i="9"/>
  <c r="N48" i="11" s="1"/>
  <c r="R48" i="11" s="1"/>
  <c r="T20" i="9"/>
  <c r="O20" i="9"/>
  <c r="I20" i="9"/>
  <c r="D20" i="9"/>
  <c r="G118" i="11"/>
  <c r="E87" i="11"/>
  <c r="H87" i="11" s="1"/>
  <c r="E48" i="11"/>
  <c r="E117" i="11"/>
  <c r="E86" i="11"/>
  <c r="H86" i="11" s="1"/>
  <c r="E47" i="11"/>
  <c r="E116" i="11"/>
  <c r="G116" i="11"/>
  <c r="E85" i="11"/>
  <c r="E115" i="11"/>
  <c r="G115" i="11"/>
  <c r="E84" i="11"/>
  <c r="G114" i="11"/>
  <c r="E83" i="11"/>
  <c r="H83" i="11" s="1"/>
  <c r="R83" i="11" s="1"/>
  <c r="S83" i="11" s="1"/>
  <c r="G113" i="11"/>
  <c r="E113" i="11"/>
  <c r="E106" i="11"/>
  <c r="O30" i="11"/>
  <c r="S30" i="11" s="1"/>
  <c r="O58" i="11"/>
  <c r="S58" i="11" s="1"/>
  <c r="AY7" i="5"/>
  <c r="AY8" i="5"/>
  <c r="AY11" i="5"/>
  <c r="AY12" i="5"/>
  <c r="AY15" i="5"/>
  <c r="AW17" i="5"/>
  <c r="AX9" i="5" s="1"/>
  <c r="O57" i="11"/>
  <c r="S57" i="11" s="1"/>
  <c r="O29" i="11"/>
  <c r="S29" i="11" s="1"/>
  <c r="O56" i="11"/>
  <c r="S56" i="11" s="1"/>
  <c r="O28" i="11"/>
  <c r="S28" i="11" s="1"/>
  <c r="O55" i="11"/>
  <c r="S55" i="11" s="1"/>
  <c r="O27" i="11"/>
  <c r="S27" i="11" s="1"/>
  <c r="O54" i="11"/>
  <c r="S54" i="11" s="1"/>
  <c r="O26" i="11"/>
  <c r="S26" i="11" s="1"/>
  <c r="AO17" i="5"/>
  <c r="AP16" i="5" s="1"/>
  <c r="O25" i="11"/>
  <c r="S25" i="11" s="1"/>
  <c r="O53" i="11"/>
  <c r="S53" i="11" s="1"/>
  <c r="O52" i="11"/>
  <c r="S52" i="11" s="1"/>
  <c r="O24" i="11"/>
  <c r="S24" i="11" s="1"/>
  <c r="O51" i="11"/>
  <c r="S51" i="11" s="1"/>
  <c r="O23" i="11"/>
  <c r="S23" i="11" s="1"/>
  <c r="O50" i="11"/>
  <c r="S50" i="11" s="1"/>
  <c r="O22" i="11"/>
  <c r="S22" i="11" s="1"/>
  <c r="O49" i="11"/>
  <c r="S49" i="11" s="1"/>
  <c r="O21" i="11"/>
  <c r="S21" i="11" s="1"/>
  <c r="O48" i="11"/>
  <c r="S48" i="11" s="1"/>
  <c r="O20" i="11"/>
  <c r="S20" i="11" s="1"/>
  <c r="O47" i="11"/>
  <c r="S47" i="11" s="1"/>
  <c r="O19" i="11"/>
  <c r="S19" i="11" s="1"/>
  <c r="O46" i="11"/>
  <c r="S46" i="11" s="1"/>
  <c r="O18" i="11"/>
  <c r="S18" i="11" s="1"/>
  <c r="O45" i="11"/>
  <c r="S45" i="11" s="1"/>
  <c r="O17" i="11"/>
  <c r="S17" i="11" s="1"/>
  <c r="O43" i="11"/>
  <c r="O44" i="11"/>
  <c r="S44" i="11" s="1"/>
  <c r="O15" i="11"/>
  <c r="S15" i="11" s="1"/>
  <c r="O16" i="11"/>
  <c r="S16" i="11" s="1"/>
  <c r="D6" i="9"/>
  <c r="N35" i="11" s="1"/>
  <c r="R35" i="11" s="1"/>
  <c r="I6" i="9"/>
  <c r="O6" i="9"/>
  <c r="T6" i="9"/>
  <c r="Y6" i="9" s="1"/>
  <c r="D7" i="9"/>
  <c r="I7" i="9"/>
  <c r="O7" i="9"/>
  <c r="T7" i="9"/>
  <c r="D8" i="9"/>
  <c r="I8" i="9"/>
  <c r="O8" i="9"/>
  <c r="T8" i="9"/>
  <c r="Y8" i="9" s="1"/>
  <c r="D9" i="9"/>
  <c r="I9" i="9"/>
  <c r="O9" i="9"/>
  <c r="T9" i="9"/>
  <c r="Y9" i="9" s="1"/>
  <c r="D10" i="9"/>
  <c r="I10" i="9"/>
  <c r="O10" i="9"/>
  <c r="T10" i="9"/>
  <c r="Y10" i="9" s="1"/>
  <c r="Z10" i="9" s="1"/>
  <c r="D11" i="9"/>
  <c r="I11" i="9"/>
  <c r="X11" i="9" s="1"/>
  <c r="O11" i="9"/>
  <c r="T11" i="9"/>
  <c r="V11" i="9" s="1"/>
  <c r="D12" i="9"/>
  <c r="I12" i="9"/>
  <c r="O12" i="9"/>
  <c r="T12" i="9"/>
  <c r="Y12" i="9" s="1"/>
  <c r="D13" i="9"/>
  <c r="I13" i="9"/>
  <c r="O13" i="9"/>
  <c r="T13" i="9"/>
  <c r="V13" i="9" s="1"/>
  <c r="D14" i="9"/>
  <c r="O14" i="9"/>
  <c r="T14" i="9"/>
  <c r="D15" i="9"/>
  <c r="I15" i="9"/>
  <c r="O15" i="9"/>
  <c r="T15" i="9"/>
  <c r="D16" i="9"/>
  <c r="N17" i="11" s="1"/>
  <c r="I16" i="9"/>
  <c r="O16" i="9"/>
  <c r="D17" i="9"/>
  <c r="I17" i="9"/>
  <c r="O17" i="9"/>
  <c r="D18" i="9"/>
  <c r="I18" i="9"/>
  <c r="O18" i="9"/>
  <c r="T18" i="9"/>
  <c r="N49" i="11"/>
  <c r="R49" i="11" s="1"/>
  <c r="D21" i="9"/>
  <c r="I21" i="9"/>
  <c r="O21" i="9"/>
  <c r="T21" i="9"/>
  <c r="D22" i="9"/>
  <c r="I22" i="9"/>
  <c r="O22" i="9"/>
  <c r="T22" i="9"/>
  <c r="D23" i="9"/>
  <c r="I23" i="9"/>
  <c r="O23" i="9"/>
  <c r="T23" i="9"/>
  <c r="D24" i="9"/>
  <c r="N53" i="11" s="1"/>
  <c r="I24" i="9"/>
  <c r="O24" i="9"/>
  <c r="N25" i="11" s="1"/>
  <c r="T24" i="9"/>
  <c r="D25" i="9"/>
  <c r="N54" i="11" s="1"/>
  <c r="R54" i="11" s="1"/>
  <c r="I25" i="9"/>
  <c r="K25" i="9" s="1"/>
  <c r="O25" i="9"/>
  <c r="T25" i="9"/>
  <c r="D26" i="9"/>
  <c r="N55" i="11" s="1"/>
  <c r="R55" i="11" s="1"/>
  <c r="I26" i="9"/>
  <c r="O26" i="9"/>
  <c r="N27" i="11" s="1"/>
  <c r="R27" i="11" s="1"/>
  <c r="T26" i="9"/>
  <c r="D27" i="9"/>
  <c r="N56" i="11" s="1"/>
  <c r="R56" i="11" s="1"/>
  <c r="I27" i="9"/>
  <c r="O27" i="9"/>
  <c r="T27" i="9"/>
  <c r="D28" i="9"/>
  <c r="N57" i="11" s="1"/>
  <c r="I28" i="9"/>
  <c r="O28" i="9"/>
  <c r="T28" i="9"/>
  <c r="D29" i="9"/>
  <c r="I29" i="9"/>
  <c r="O29" i="9"/>
  <c r="T29" i="9"/>
  <c r="B30" i="9"/>
  <c r="C30" i="9"/>
  <c r="F30" i="9"/>
  <c r="G30" i="9"/>
  <c r="M30" i="9"/>
  <c r="N30" i="9"/>
  <c r="R30" i="9"/>
  <c r="S30" i="9"/>
  <c r="B32" i="9"/>
  <c r="C32" i="9"/>
  <c r="F32" i="9"/>
  <c r="G32" i="9"/>
  <c r="M32" i="9"/>
  <c r="N32" i="9"/>
  <c r="R32" i="9"/>
  <c r="S32" i="9"/>
  <c r="O7" i="11"/>
  <c r="S7" i="11" s="1"/>
  <c r="O8" i="11"/>
  <c r="O9" i="11"/>
  <c r="S9" i="11" s="1"/>
  <c r="O10" i="11"/>
  <c r="S10" i="11" s="1"/>
  <c r="O11" i="11"/>
  <c r="O12" i="11"/>
  <c r="O13" i="11"/>
  <c r="O14" i="11"/>
  <c r="A35" i="11"/>
  <c r="A74" i="11"/>
  <c r="A105" i="11"/>
  <c r="O35" i="11"/>
  <c r="A36" i="11"/>
  <c r="A75" i="11"/>
  <c r="A106" i="11"/>
  <c r="O36" i="11"/>
  <c r="A37" i="11"/>
  <c r="A76" i="11"/>
  <c r="A107" i="11" s="1"/>
  <c r="O37" i="11"/>
  <c r="A38" i="11"/>
  <c r="A77" i="1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120"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Y17" i="9" s="1"/>
  <c r="Q30" i="9"/>
  <c r="Q32" i="9"/>
  <c r="T16" i="9"/>
  <c r="E55" i="11"/>
  <c r="G128" i="11"/>
  <c r="E128" i="11"/>
  <c r="Y15" i="9"/>
  <c r="K20" i="9"/>
  <c r="M17" i="5"/>
  <c r="N7" i="5" s="1"/>
  <c r="W17" i="5"/>
  <c r="X11" i="5" s="1"/>
  <c r="AG17" i="5"/>
  <c r="AH12" i="5" s="1"/>
  <c r="AK17" i="5"/>
  <c r="AL12" i="5" s="1"/>
  <c r="AY16" i="5"/>
  <c r="U17" i="5"/>
  <c r="V6" i="5" s="1"/>
  <c r="G117" i="11"/>
  <c r="E25" i="11"/>
  <c r="E21" i="11"/>
  <c r="E56" i="11"/>
  <c r="E96" i="11"/>
  <c r="H96" i="11" s="1"/>
  <c r="R96" i="11" s="1"/>
  <c r="S96" i="11" s="1"/>
  <c r="G122" i="11"/>
  <c r="E23" i="11"/>
  <c r="E51" i="11"/>
  <c r="G121" i="11"/>
  <c r="E82" i="11"/>
  <c r="H82" i="11" s="1"/>
  <c r="E114" i="11"/>
  <c r="H114" i="11" s="1"/>
  <c r="E119" i="11"/>
  <c r="H119" i="11" s="1"/>
  <c r="E121" i="11"/>
  <c r="E95" i="11"/>
  <c r="H95" i="11" s="1"/>
  <c r="E126" i="11"/>
  <c r="E18" i="11"/>
  <c r="G123" i="11"/>
  <c r="G127" i="11"/>
  <c r="E57" i="11"/>
  <c r="E22" i="11"/>
  <c r="G120" i="11"/>
  <c r="H120" i="11" s="1"/>
  <c r="E122" i="11"/>
  <c r="E123" i="11"/>
  <c r="G125" i="11"/>
  <c r="H125" i="11" s="1"/>
  <c r="G126" i="11"/>
  <c r="E29" i="11"/>
  <c r="E49" i="11"/>
  <c r="E15" i="11"/>
  <c r="G124" i="11"/>
  <c r="E127" i="11"/>
  <c r="E54" i="11"/>
  <c r="E81" i="11"/>
  <c r="E17" i="11"/>
  <c r="E124" i="11"/>
  <c r="H124" i="11" s="1"/>
  <c r="E27" i="11"/>
  <c r="E112" i="11"/>
  <c r="AX12" i="5"/>
  <c r="E24" i="11"/>
  <c r="E20" i="11"/>
  <c r="E52" i="11"/>
  <c r="E26" i="11"/>
  <c r="E28" i="11"/>
  <c r="E118" i="11"/>
  <c r="E19" i="11"/>
  <c r="E16" i="11"/>
  <c r="E46" i="11"/>
  <c r="E45" i="11"/>
  <c r="E43" i="11"/>
  <c r="E44" i="11"/>
  <c r="E30" i="11"/>
  <c r="X8" i="5"/>
  <c r="AU17" i="5"/>
  <c r="AV9" i="5" s="1"/>
  <c r="AY6" i="5"/>
  <c r="AS17" i="5"/>
  <c r="AT10" i="5" s="1"/>
  <c r="AQ17" i="5"/>
  <c r="AR16" i="5" s="1"/>
  <c r="AN15" i="5"/>
  <c r="AI17" i="5"/>
  <c r="AJ12" i="5" s="1"/>
  <c r="AH11" i="5"/>
  <c r="AE17" i="5"/>
  <c r="AF6" i="5" s="1"/>
  <c r="AC17" i="5"/>
  <c r="AD9" i="5" s="1"/>
  <c r="AA17" i="5"/>
  <c r="AB8" i="5" s="1"/>
  <c r="Y17" i="5"/>
  <c r="Z9" i="5" s="1"/>
  <c r="X16" i="5"/>
  <c r="X6" i="5"/>
  <c r="X7" i="5"/>
  <c r="X12" i="5"/>
  <c r="X9" i="5"/>
  <c r="X13" i="5"/>
  <c r="X10" i="5"/>
  <c r="X15" i="5"/>
  <c r="X14" i="5"/>
  <c r="Q17" i="5"/>
  <c r="R15" i="5" s="1"/>
  <c r="O17" i="5"/>
  <c r="I17" i="5"/>
  <c r="AY13" i="5"/>
  <c r="G17" i="5"/>
  <c r="E17" i="5"/>
  <c r="F8" i="5" s="1"/>
  <c r="AY9" i="5"/>
  <c r="AY14" i="5"/>
  <c r="AY10" i="5"/>
  <c r="C17" i="5"/>
  <c r="AR15" i="5"/>
  <c r="AJ14" i="5"/>
  <c r="AB11" i="5"/>
  <c r="P10" i="5"/>
  <c r="H7" i="5"/>
  <c r="H15" i="5"/>
  <c r="D14" i="5"/>
  <c r="C13" i="24"/>
  <c r="F53" i="24"/>
  <c r="F55" i="24"/>
  <c r="F7" i="5"/>
  <c r="N40" i="11"/>
  <c r="P40" i="11" s="1"/>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12" i="11"/>
  <c r="P12" i="11" s="1"/>
  <c r="N22" i="11"/>
  <c r="R22" i="11" s="1"/>
  <c r="K11" i="9"/>
  <c r="N50" i="11"/>
  <c r="R50" i="11" s="1"/>
  <c r="AX13" i="5"/>
  <c r="AR11" i="5"/>
  <c r="AJ13" i="5"/>
  <c r="AJ16" i="5"/>
  <c r="AJ15" i="5"/>
  <c r="AJ7" i="5"/>
  <c r="AH8" i="5"/>
  <c r="AH9" i="5"/>
  <c r="AH16" i="5"/>
  <c r="AH13" i="5"/>
  <c r="AH10" i="5"/>
  <c r="AH6" i="5"/>
  <c r="AH15" i="5"/>
  <c r="AH7" i="5"/>
  <c r="AB10" i="5"/>
  <c r="P7" i="5"/>
  <c r="P13" i="5"/>
  <c r="J8" i="5"/>
  <c r="J7" i="5"/>
  <c r="J9" i="5"/>
  <c r="J11" i="5"/>
  <c r="H10" i="5"/>
  <c r="H6" i="5"/>
  <c r="H11" i="5"/>
  <c r="F100" i="24"/>
  <c r="F61" i="24"/>
  <c r="F30" i="24"/>
  <c r="F31" i="24" s="1"/>
  <c r="H9" i="5"/>
  <c r="H12" i="5"/>
  <c r="F14" i="5"/>
  <c r="F16" i="5"/>
  <c r="F15" i="5"/>
  <c r="F13" i="5"/>
  <c r="F6" i="5"/>
  <c r="F12" i="5"/>
  <c r="F9" i="5"/>
  <c r="D7" i="5"/>
  <c r="D8" i="5"/>
  <c r="D12" i="5"/>
  <c r="D15" i="5"/>
  <c r="P66" i="11"/>
  <c r="J66" i="11"/>
  <c r="N9" i="11"/>
  <c r="Y7" i="9"/>
  <c r="E105" i="11"/>
  <c r="E74" i="11"/>
  <c r="J6" i="5"/>
  <c r="X10" i="9"/>
  <c r="N11" i="11"/>
  <c r="R11" i="11" s="1"/>
  <c r="N39" i="11"/>
  <c r="K10" i="9"/>
  <c r="N10" i="5"/>
  <c r="N15" i="5"/>
  <c r="N16" i="5"/>
  <c r="N11" i="5"/>
  <c r="N6" i="5"/>
  <c r="N14" i="5"/>
  <c r="N8" i="5"/>
  <c r="N9" i="5"/>
  <c r="N12" i="5"/>
  <c r="N13" i="5"/>
  <c r="H75" i="11"/>
  <c r="R75" i="11"/>
  <c r="S75" i="11"/>
  <c r="E39" i="11"/>
  <c r="S8" i="11"/>
  <c r="E7" i="11"/>
  <c r="X12" i="9"/>
  <c r="N41" i="11"/>
  <c r="P41" i="11" s="1"/>
  <c r="K12" i="9"/>
  <c r="N13" i="11"/>
  <c r="R13" i="11"/>
  <c r="E108" i="11"/>
  <c r="D129" i="11"/>
  <c r="C98" i="11"/>
  <c r="E80" i="11"/>
  <c r="E76" i="11"/>
  <c r="H74" i="11"/>
  <c r="S39" i="11"/>
  <c r="G109" i="11"/>
  <c r="H109" i="11" s="1"/>
  <c r="H92" i="11"/>
  <c r="E9" i="11"/>
  <c r="C129" i="11"/>
  <c r="J61" i="11"/>
  <c r="E78" i="11"/>
  <c r="H126" i="11"/>
  <c r="R39" i="11"/>
  <c r="H78" i="11"/>
  <c r="R78" i="11"/>
  <c r="S78" i="11" s="1"/>
  <c r="R74" i="11"/>
  <c r="S74" i="11" s="1"/>
  <c r="X13" i="9"/>
  <c r="K13" i="9"/>
  <c r="N42" i="11"/>
  <c r="P42" i="11" s="1"/>
  <c r="N14" i="11"/>
  <c r="R14" i="11" s="1"/>
  <c r="R9" i="5"/>
  <c r="R12" i="5"/>
  <c r="R7" i="5"/>
  <c r="R6" i="5"/>
  <c r="R10" i="5"/>
  <c r="R13" i="5"/>
  <c r="R16" i="5"/>
  <c r="R11" i="5"/>
  <c r="R8" i="5"/>
  <c r="R14" i="5"/>
  <c r="H77" i="11"/>
  <c r="R77" i="11" s="1"/>
  <c r="S77" i="11" s="1"/>
  <c r="V61" i="11" l="1"/>
  <c r="N58" i="11"/>
  <c r="R58" i="11" s="1"/>
  <c r="I36" i="9"/>
  <c r="E28" i="31"/>
  <c r="P25" i="11"/>
  <c r="T25" i="11" s="1"/>
  <c r="R25" i="11"/>
  <c r="T54" i="11"/>
  <c r="P11" i="11"/>
  <c r="P53" i="11"/>
  <c r="R53" i="11"/>
  <c r="T53" i="11"/>
  <c r="R41" i="11"/>
  <c r="AX16" i="5"/>
  <c r="AV6" i="5"/>
  <c r="AV8" i="5"/>
  <c r="AV10" i="5"/>
  <c r="AV13" i="5"/>
  <c r="AV14" i="5"/>
  <c r="AV12" i="5"/>
  <c r="AV7" i="5"/>
  <c r="AV16" i="5"/>
  <c r="AV11" i="5"/>
  <c r="AV15" i="5"/>
  <c r="N29" i="11"/>
  <c r="R29" i="11" s="1"/>
  <c r="C93" i="28"/>
  <c r="P58" i="11"/>
  <c r="T58" i="11" s="1"/>
  <c r="P57" i="11"/>
  <c r="T57" i="11" s="1"/>
  <c r="R57" i="11"/>
  <c r="E61" i="11"/>
  <c r="E66" i="11"/>
  <c r="L66" i="11" s="1"/>
  <c r="R61" i="11"/>
  <c r="R66" i="11" s="1"/>
  <c r="X61" i="11"/>
  <c r="AX15" i="5"/>
  <c r="AX11" i="5"/>
  <c r="AX14" i="5"/>
  <c r="AX8" i="5"/>
  <c r="AX10" i="5"/>
  <c r="H128" i="11"/>
  <c r="Y29" i="9"/>
  <c r="V29" i="9"/>
  <c r="V28" i="9"/>
  <c r="X28" i="9"/>
  <c r="N28" i="11"/>
  <c r="P56" i="11"/>
  <c r="T56" i="11" s="1"/>
  <c r="K27" i="9"/>
  <c r="V27" i="9"/>
  <c r="AT16" i="5"/>
  <c r="P55" i="11"/>
  <c r="T55" i="11" s="1"/>
  <c r="V26" i="9"/>
  <c r="AR8" i="5"/>
  <c r="AR13" i="5"/>
  <c r="AR14" i="5"/>
  <c r="AR12" i="5"/>
  <c r="AR10" i="5"/>
  <c r="AR9" i="5"/>
  <c r="AR6" i="5"/>
  <c r="AR7" i="5"/>
  <c r="H62" i="11"/>
  <c r="G62" i="11"/>
  <c r="C62" i="11"/>
  <c r="D62" i="11"/>
  <c r="P54" i="11"/>
  <c r="V25" i="9"/>
  <c r="AP15" i="5"/>
  <c r="AP11" i="5"/>
  <c r="AP9" i="5"/>
  <c r="AP14" i="5"/>
  <c r="AP12" i="5"/>
  <c r="AP10" i="5"/>
  <c r="AP8" i="5"/>
  <c r="AP7" i="5"/>
  <c r="AP13" i="5"/>
  <c r="AP6" i="5"/>
  <c r="H123" i="11"/>
  <c r="V20" i="9"/>
  <c r="Y18" i="9"/>
  <c r="AN6" i="5"/>
  <c r="AN16" i="5"/>
  <c r="AN11" i="5"/>
  <c r="AN12" i="5"/>
  <c r="AN13" i="5"/>
  <c r="AN14" i="5"/>
  <c r="AN9" i="5"/>
  <c r="AN10" i="5"/>
  <c r="AN8" i="5"/>
  <c r="Y23" i="9"/>
  <c r="K23" i="9"/>
  <c r="AL10" i="5"/>
  <c r="AL7" i="5"/>
  <c r="AL13" i="5"/>
  <c r="AL11" i="5"/>
  <c r="AL8" i="5"/>
  <c r="AL16" i="5"/>
  <c r="AL15" i="5"/>
  <c r="AL9" i="5"/>
  <c r="AL6" i="5"/>
  <c r="AL14" i="5"/>
  <c r="H122" i="11"/>
  <c r="H121" i="11"/>
  <c r="AJ6" i="5"/>
  <c r="AJ8" i="5"/>
  <c r="AJ10" i="5"/>
  <c r="AJ11" i="5"/>
  <c r="AJ9" i="5"/>
  <c r="Y22" i="9"/>
  <c r="X22" i="9"/>
  <c r="V22" i="9"/>
  <c r="H117" i="11"/>
  <c r="H118" i="11"/>
  <c r="Y21" i="9"/>
  <c r="AH14" i="5"/>
  <c r="AD15" i="5"/>
  <c r="AD7" i="5"/>
  <c r="AD14" i="5"/>
  <c r="AD13" i="5"/>
  <c r="AD6" i="5"/>
  <c r="AB9" i="5"/>
  <c r="AB12" i="5"/>
  <c r="AD10" i="5"/>
  <c r="AD12" i="5"/>
  <c r="AB7" i="5"/>
  <c r="AB16" i="5"/>
  <c r="AB6" i="5"/>
  <c r="AF10" i="5"/>
  <c r="AF7" i="5"/>
  <c r="AF9" i="5"/>
  <c r="AF14" i="5"/>
  <c r="AF12" i="5"/>
  <c r="AF13" i="5"/>
  <c r="AF8" i="5"/>
  <c r="AF16" i="5"/>
  <c r="AF11" i="5"/>
  <c r="AD11" i="5"/>
  <c r="AB14" i="5"/>
  <c r="AB15" i="5"/>
  <c r="X20" i="9"/>
  <c r="P13" i="11"/>
  <c r="P9" i="11"/>
  <c r="X27" i="9"/>
  <c r="K28" i="9"/>
  <c r="X6" i="9"/>
  <c r="Z6" i="9" s="1"/>
  <c r="Y28" i="9"/>
  <c r="Y26" i="9"/>
  <c r="K16" i="9"/>
  <c r="X18" i="9"/>
  <c r="Z18" i="9" s="1"/>
  <c r="Y13" i="9"/>
  <c r="Y11" i="9"/>
  <c r="Z11" i="9" s="1"/>
  <c r="Z13" i="9"/>
  <c r="V12" i="9"/>
  <c r="X25" i="9"/>
  <c r="Y27" i="9"/>
  <c r="N45" i="11"/>
  <c r="R45" i="11" s="1"/>
  <c r="X23" i="9"/>
  <c r="P14" i="11"/>
  <c r="N7" i="11"/>
  <c r="P7" i="11" s="1"/>
  <c r="T7" i="11" s="1"/>
  <c r="P35" i="11"/>
  <c r="X16" i="9"/>
  <c r="X15" i="9"/>
  <c r="V10" i="9"/>
  <c r="P27" i="11"/>
  <c r="T27" i="11" s="1"/>
  <c r="R12" i="11"/>
  <c r="Z12" i="9"/>
  <c r="P49" i="11"/>
  <c r="T49" i="11" s="1"/>
  <c r="P22" i="11"/>
  <c r="T22" i="11" s="1"/>
  <c r="P48" i="11"/>
  <c r="T48" i="11" s="1"/>
  <c r="V19" i="9"/>
  <c r="X19" i="9"/>
  <c r="Z19" i="9" s="1"/>
  <c r="N20" i="11"/>
  <c r="K19" i="9"/>
  <c r="D32" i="9"/>
  <c r="K18" i="9"/>
  <c r="AF15" i="5"/>
  <c r="AB13" i="5"/>
  <c r="L6" i="5"/>
  <c r="L10" i="5"/>
  <c r="L13" i="5"/>
  <c r="L14" i="5"/>
  <c r="L15" i="5"/>
  <c r="L9" i="5"/>
  <c r="L16" i="5"/>
  <c r="L7" i="5"/>
  <c r="L12" i="5"/>
  <c r="L11" i="5"/>
  <c r="D37" i="11"/>
  <c r="G76" i="11"/>
  <c r="R80" i="11"/>
  <c r="S80" i="11" s="1"/>
  <c r="H80" i="11"/>
  <c r="G106" i="11"/>
  <c r="H106" i="11" s="1"/>
  <c r="S36" i="11"/>
  <c r="E36" i="11"/>
  <c r="S11" i="11"/>
  <c r="R17" i="5"/>
  <c r="L8" i="5"/>
  <c r="X24" i="9"/>
  <c r="K24" i="9"/>
  <c r="X21" i="9"/>
  <c r="K21" i="9"/>
  <c r="V21" i="9"/>
  <c r="X9" i="9"/>
  <c r="Z9" i="9" s="1"/>
  <c r="N38" i="11"/>
  <c r="R38" i="11" s="1"/>
  <c r="K9" i="9"/>
  <c r="N10" i="11"/>
  <c r="P10" i="11" s="1"/>
  <c r="V9" i="9"/>
  <c r="N37" i="11"/>
  <c r="P37" i="11" s="1"/>
  <c r="V8" i="9"/>
  <c r="X8" i="9"/>
  <c r="K8" i="9"/>
  <c r="N36" i="11"/>
  <c r="P36" i="11" s="1"/>
  <c r="V7" i="9"/>
  <c r="K7" i="9"/>
  <c r="N8" i="11"/>
  <c r="P8" i="11" s="1"/>
  <c r="X7" i="9"/>
  <c r="Z7" i="9" s="1"/>
  <c r="R9" i="11"/>
  <c r="N17" i="5"/>
  <c r="F64" i="24"/>
  <c r="G68" i="24" s="1"/>
  <c r="G76" i="24" s="1"/>
  <c r="P15" i="5"/>
  <c r="P16" i="5"/>
  <c r="P11" i="5"/>
  <c r="P14" i="5"/>
  <c r="P6" i="5"/>
  <c r="P8" i="5"/>
  <c r="P9" i="5"/>
  <c r="P12" i="5"/>
  <c r="T9" i="11"/>
  <c r="Z8" i="9"/>
  <c r="O40" i="24"/>
  <c r="O36" i="24"/>
  <c r="O38" i="24" s="1"/>
  <c r="E21" i="24"/>
  <c r="F21" i="24" s="1"/>
  <c r="E12" i="24"/>
  <c r="F12" i="24" s="1"/>
  <c r="F13" i="24" s="1"/>
  <c r="F20" i="24" s="1"/>
  <c r="D9" i="5"/>
  <c r="D13" i="5"/>
  <c r="J14" i="5"/>
  <c r="J13" i="5"/>
  <c r="AT15" i="5"/>
  <c r="AT13" i="5"/>
  <c r="AT9" i="5"/>
  <c r="AT8" i="5"/>
  <c r="AT11" i="5"/>
  <c r="Y24" i="9"/>
  <c r="V24" i="9"/>
  <c r="N52" i="11"/>
  <c r="N24" i="11"/>
  <c r="K22" i="9"/>
  <c r="N23" i="11"/>
  <c r="N51" i="11"/>
  <c r="N21" i="11"/>
  <c r="Y20" i="9"/>
  <c r="Z20" i="9" s="1"/>
  <c r="D10" i="5"/>
  <c r="D16" i="5"/>
  <c r="J12" i="5"/>
  <c r="J10" i="5"/>
  <c r="P17" i="11"/>
  <c r="T17" i="11" s="1"/>
  <c r="R17" i="11"/>
  <c r="AT12" i="5"/>
  <c r="F11" i="5"/>
  <c r="F10" i="5"/>
  <c r="H127" i="11"/>
  <c r="P45" i="11"/>
  <c r="T45" i="11" s="1"/>
  <c r="P39" i="11"/>
  <c r="T39" i="11" s="1"/>
  <c r="O59" i="11"/>
  <c r="O63" i="11" s="1"/>
  <c r="O64" i="11" s="1"/>
  <c r="P38" i="11"/>
  <c r="K29" i="9"/>
  <c r="X29" i="9"/>
  <c r="Z29" i="9" s="1"/>
  <c r="K26" i="9"/>
  <c r="X26" i="9"/>
  <c r="Z26" i="9" s="1"/>
  <c r="N26" i="11"/>
  <c r="Y25" i="9"/>
  <c r="Z23" i="9"/>
  <c r="Z22" i="9"/>
  <c r="N47" i="11"/>
  <c r="N19" i="11"/>
  <c r="P50" i="11"/>
  <c r="T50" i="11" s="1"/>
  <c r="AX7" i="5"/>
  <c r="AX6" i="5"/>
  <c r="H84" i="11"/>
  <c r="R84" i="11" s="1"/>
  <c r="S84" i="11" s="1"/>
  <c r="D11" i="5"/>
  <c r="D6" i="5"/>
  <c r="J16" i="5"/>
  <c r="J15" i="5"/>
  <c r="F111" i="24"/>
  <c r="F112" i="24" s="1"/>
  <c r="G114" i="24"/>
  <c r="V23" i="9"/>
  <c r="AT14" i="5"/>
  <c r="AT6" i="5"/>
  <c r="AT7" i="5"/>
  <c r="H16" i="5"/>
  <c r="H14" i="5"/>
  <c r="H13" i="5"/>
  <c r="H8" i="5"/>
  <c r="AD16" i="5"/>
  <c r="AD8" i="5"/>
  <c r="V18" i="9"/>
  <c r="K6" i="9"/>
  <c r="V6" i="9"/>
  <c r="G81" i="11"/>
  <c r="H81" i="11" s="1"/>
  <c r="N30" i="11"/>
  <c r="Y16" i="9"/>
  <c r="Z16" i="9" s="1"/>
  <c r="D13" i="11"/>
  <c r="E13" i="11" s="1"/>
  <c r="T13" i="11" s="1"/>
  <c r="D14" i="11"/>
  <c r="N18" i="11"/>
  <c r="R18" i="11" s="1"/>
  <c r="R42" i="11"/>
  <c r="D41" i="11"/>
  <c r="M115" i="24"/>
  <c r="O115" i="24" s="1"/>
  <c r="O119" i="24" s="1"/>
  <c r="E101" i="24" s="1"/>
  <c r="F101" i="24" s="1"/>
  <c r="F103" i="24" s="1"/>
  <c r="G107" i="24" s="1"/>
  <c r="G115" i="24" s="1"/>
  <c r="D35" i="11"/>
  <c r="Q24" i="26"/>
  <c r="D12" i="11" s="1"/>
  <c r="E11" i="11"/>
  <c r="C40" i="11"/>
  <c r="R40" i="11" s="1"/>
  <c r="D79" i="11"/>
  <c r="S32" i="26"/>
  <c r="D42" i="11" s="1"/>
  <c r="R82" i="11"/>
  <c r="S82" i="11" s="1"/>
  <c r="D38" i="11"/>
  <c r="D40" i="11"/>
  <c r="S43" i="11"/>
  <c r="Z16" i="5"/>
  <c r="Z10" i="5"/>
  <c r="Z12" i="5"/>
  <c r="Z13" i="5"/>
  <c r="Z14" i="5"/>
  <c r="Z15" i="5"/>
  <c r="Z11" i="5"/>
  <c r="Z7" i="5"/>
  <c r="Z8" i="5"/>
  <c r="Z6" i="5"/>
  <c r="H85" i="11"/>
  <c r="R85" i="11" s="1"/>
  <c r="S85" i="11" s="1"/>
  <c r="N46" i="11"/>
  <c r="R46" i="11" s="1"/>
  <c r="P18" i="11"/>
  <c r="T18" i="11" s="1"/>
  <c r="H116" i="11"/>
  <c r="O32" i="9"/>
  <c r="V17" i="9"/>
  <c r="K17" i="9"/>
  <c r="P46" i="11"/>
  <c r="T46" i="11" s="1"/>
  <c r="X17" i="9"/>
  <c r="Z17" i="9" s="1"/>
  <c r="H115" i="11"/>
  <c r="X17" i="5"/>
  <c r="T30" i="9"/>
  <c r="O30" i="9"/>
  <c r="V16" i="9"/>
  <c r="E129" i="11"/>
  <c r="F13" i="31" s="1"/>
  <c r="F16" i="31" s="1"/>
  <c r="L61" i="11"/>
  <c r="O31" i="11"/>
  <c r="Z15" i="9"/>
  <c r="K15" i="9"/>
  <c r="V15" i="9"/>
  <c r="N16" i="11"/>
  <c r="N44" i="11"/>
  <c r="V12" i="5"/>
  <c r="V11" i="5"/>
  <c r="V13" i="5"/>
  <c r="V8" i="5"/>
  <c r="V14" i="5"/>
  <c r="V10" i="5"/>
  <c r="V15" i="5"/>
  <c r="V16" i="5"/>
  <c r="V9" i="5"/>
  <c r="V7" i="5"/>
  <c r="T61" i="11"/>
  <c r="T66" i="11" s="1"/>
  <c r="H113" i="11"/>
  <c r="E8" i="11"/>
  <c r="T8" i="11" s="1"/>
  <c r="R8" i="11"/>
  <c r="R10" i="11"/>
  <c r="C31" i="11"/>
  <c r="E10" i="11"/>
  <c r="T11" i="11"/>
  <c r="AY17" i="5"/>
  <c r="AZ13" i="5" s="1"/>
  <c r="T6" i="5"/>
  <c r="T15" i="5"/>
  <c r="T8" i="5"/>
  <c r="T16" i="5"/>
  <c r="T14" i="5"/>
  <c r="T10" i="5"/>
  <c r="T9" i="5"/>
  <c r="T13" i="5"/>
  <c r="T7" i="5"/>
  <c r="T12" i="5"/>
  <c r="T32" i="9"/>
  <c r="Y14" i="9"/>
  <c r="N15" i="11"/>
  <c r="D30" i="9"/>
  <c r="N43" i="11"/>
  <c r="R43" i="11" s="1"/>
  <c r="I46" i="9" l="1"/>
  <c r="K43" i="9" s="1"/>
  <c r="E30" i="31"/>
  <c r="G28" i="31"/>
  <c r="G30" i="31" s="1"/>
  <c r="P26" i="11"/>
  <c r="T26" i="11" s="1"/>
  <c r="R26" i="11"/>
  <c r="P51" i="11"/>
  <c r="T51" i="11" s="1"/>
  <c r="R51" i="11"/>
  <c r="P23" i="11"/>
  <c r="T23" i="11" s="1"/>
  <c r="R23" i="11"/>
  <c r="P20" i="11"/>
  <c r="T20" i="11" s="1"/>
  <c r="R20" i="11"/>
  <c r="P47" i="11"/>
  <c r="T47" i="11" s="1"/>
  <c r="R47" i="11"/>
  <c r="P52" i="11"/>
  <c r="T52" i="11" s="1"/>
  <c r="R52" i="11"/>
  <c r="P19" i="11"/>
  <c r="T19" i="11" s="1"/>
  <c r="R19" i="11"/>
  <c r="P24" i="11"/>
  <c r="T24" i="11" s="1"/>
  <c r="R24" i="11"/>
  <c r="P28" i="11"/>
  <c r="T28" i="11" s="1"/>
  <c r="R28" i="11"/>
  <c r="P29" i="11"/>
  <c r="T29" i="11" s="1"/>
  <c r="F17" i="5"/>
  <c r="AH17" i="5"/>
  <c r="AJ17" i="5"/>
  <c r="H17" i="5"/>
  <c r="D17" i="5"/>
  <c r="AV17" i="5"/>
  <c r="C94" i="28"/>
  <c r="F105" i="28" s="1"/>
  <c r="F113" i="28" s="1"/>
  <c r="F93" i="28"/>
  <c r="F94" i="28" s="1"/>
  <c r="P30" i="11"/>
  <c r="T30" i="11" s="1"/>
  <c r="R30" i="11"/>
  <c r="E62" i="11"/>
  <c r="AX17" i="5"/>
  <c r="Z28" i="9"/>
  <c r="AT17" i="5"/>
  <c r="AR17" i="5"/>
  <c r="J62" i="11"/>
  <c r="Z25" i="9"/>
  <c r="AP17" i="5"/>
  <c r="Z21" i="9"/>
  <c r="Z24" i="9"/>
  <c r="AN17" i="5"/>
  <c r="AL17" i="5"/>
  <c r="AD17" i="5"/>
  <c r="AF17" i="5"/>
  <c r="AB17" i="5"/>
  <c r="P21" i="11"/>
  <c r="T21" i="11" s="1"/>
  <c r="R21" i="11"/>
  <c r="R7" i="11"/>
  <c r="Z27" i="9"/>
  <c r="T10" i="11"/>
  <c r="R36" i="11"/>
  <c r="R37" i="11"/>
  <c r="S42" i="11"/>
  <c r="G112" i="11"/>
  <c r="H112" i="11" s="1"/>
  <c r="E42" i="11"/>
  <c r="T42" i="11" s="1"/>
  <c r="S12" i="11"/>
  <c r="E12" i="11"/>
  <c r="T12" i="11" s="1"/>
  <c r="D31" i="11"/>
  <c r="G111" i="11"/>
  <c r="H111" i="11" s="1"/>
  <c r="S41" i="11"/>
  <c r="E41" i="11"/>
  <c r="T41" i="11" s="1"/>
  <c r="P17" i="5"/>
  <c r="T36" i="11"/>
  <c r="C59" i="11"/>
  <c r="F12" i="30" s="1"/>
  <c r="C33" i="9"/>
  <c r="S40" i="11"/>
  <c r="G110" i="11"/>
  <c r="H110" i="11" s="1"/>
  <c r="E40" i="11"/>
  <c r="T40" i="11" s="1"/>
  <c r="D98" i="11"/>
  <c r="E79" i="11"/>
  <c r="J17" i="5"/>
  <c r="G108" i="11"/>
  <c r="H108" i="11" s="1"/>
  <c r="S38" i="11"/>
  <c r="E38" i="11"/>
  <c r="T38" i="11" s="1"/>
  <c r="R81" i="11"/>
  <c r="S81" i="11" s="1"/>
  <c r="R76" i="11"/>
  <c r="S76" i="11" s="1"/>
  <c r="G98" i="11"/>
  <c r="F8" i="32" s="1"/>
  <c r="F11" i="32" s="1"/>
  <c r="H76" i="11"/>
  <c r="P44" i="11"/>
  <c r="T44" i="11" s="1"/>
  <c r="R44" i="11"/>
  <c r="S13" i="11"/>
  <c r="P15" i="11"/>
  <c r="T15" i="11" s="1"/>
  <c r="R15" i="11"/>
  <c r="B33" i="9"/>
  <c r="D33" i="9"/>
  <c r="Y30" i="9"/>
  <c r="E35" i="11"/>
  <c r="G105" i="11"/>
  <c r="S35" i="11"/>
  <c r="D59" i="11"/>
  <c r="F11" i="29" s="1"/>
  <c r="S14" i="11"/>
  <c r="E14" i="11"/>
  <c r="T14" i="11" s="1"/>
  <c r="F22" i="24"/>
  <c r="G26" i="24" s="1"/>
  <c r="G34" i="24" s="1"/>
  <c r="S37" i="11"/>
  <c r="E37" i="11"/>
  <c r="T37" i="11" s="1"/>
  <c r="G107" i="11"/>
  <c r="H107" i="11" s="1"/>
  <c r="L17" i="5"/>
  <c r="Z17" i="5"/>
  <c r="Y32" i="9"/>
  <c r="C130" i="11"/>
  <c r="D130" i="11"/>
  <c r="R16" i="11"/>
  <c r="P16" i="11"/>
  <c r="T16" i="11" s="1"/>
  <c r="V17" i="5"/>
  <c r="AZ9" i="5"/>
  <c r="AZ7" i="5"/>
  <c r="AZ8" i="5"/>
  <c r="E31" i="11"/>
  <c r="C32" i="11" s="1"/>
  <c r="AZ14" i="5"/>
  <c r="AZ6" i="5"/>
  <c r="AZ10" i="5"/>
  <c r="AZ11" i="5"/>
  <c r="AZ16" i="5"/>
  <c r="AZ15" i="5"/>
  <c r="AZ12" i="5"/>
  <c r="T17" i="5"/>
  <c r="N31" i="11"/>
  <c r="R31" i="11" s="1"/>
  <c r="P43" i="11"/>
  <c r="N59" i="11"/>
  <c r="K46" i="9" l="1"/>
  <c r="K44" i="9"/>
  <c r="K45" i="9"/>
  <c r="F36" i="30"/>
  <c r="C63" i="11"/>
  <c r="C64" i="11" s="1"/>
  <c r="S31" i="11"/>
  <c r="D32" i="11"/>
  <c r="E130" i="11"/>
  <c r="G99" i="11"/>
  <c r="P59" i="11"/>
  <c r="O60" i="11" s="1"/>
  <c r="T43" i="11"/>
  <c r="H105" i="11"/>
  <c r="H129" i="11" s="1"/>
  <c r="G129" i="11"/>
  <c r="H79" i="11"/>
  <c r="E98" i="11"/>
  <c r="F8" i="31" s="1"/>
  <c r="D63" i="11"/>
  <c r="D64" i="11" s="1"/>
  <c r="S59" i="11"/>
  <c r="S63" i="11" s="1"/>
  <c r="S64" i="11" s="1"/>
  <c r="E59" i="11"/>
  <c r="T35" i="11"/>
  <c r="P31" i="11"/>
  <c r="T31" i="11" s="1"/>
  <c r="AZ17" i="5"/>
  <c r="R59" i="11"/>
  <c r="R63" i="11" s="1"/>
  <c r="R64" i="11" s="1"/>
  <c r="N63" i="11"/>
  <c r="N64" i="11" s="1"/>
  <c r="F19" i="31" l="1"/>
  <c r="F11" i="31"/>
  <c r="F17" i="31" s="1"/>
  <c r="G130" i="11"/>
  <c r="F13" i="32"/>
  <c r="E63" i="11"/>
  <c r="E64" i="11" s="1"/>
  <c r="D60" i="11"/>
  <c r="C60" i="11"/>
  <c r="N60" i="11"/>
  <c r="P60" i="11" s="1"/>
  <c r="T59" i="11"/>
  <c r="T63" i="11" s="1"/>
  <c r="T64" i="11" s="1"/>
  <c r="P63" i="11"/>
  <c r="P64" i="11" s="1"/>
  <c r="R79" i="11"/>
  <c r="S79" i="11" s="1"/>
  <c r="H98" i="11"/>
  <c r="C101" i="11"/>
  <c r="E99" i="11"/>
  <c r="H130" i="11"/>
  <c r="F20" i="31" l="1"/>
  <c r="F16" i="32"/>
  <c r="F17" i="32" s="1"/>
  <c r="F19" i="32"/>
  <c r="C69" i="8"/>
  <c r="F167" i="8" s="1"/>
  <c r="F131" i="8"/>
  <c r="G95" i="8"/>
  <c r="F115" i="8"/>
  <c r="D107" i="8"/>
  <c r="L99" i="8"/>
  <c r="G151" i="8"/>
  <c r="L167" i="8"/>
  <c r="F95" i="8"/>
  <c r="H83" i="8"/>
  <c r="G103" i="8"/>
  <c r="D111" i="8"/>
  <c r="F163" i="8"/>
  <c r="L163" i="8"/>
  <c r="F127" i="8"/>
  <c r="E115" i="8"/>
  <c r="I135" i="8"/>
  <c r="F147" i="8"/>
  <c r="J79" i="8"/>
  <c r="I87" i="8"/>
  <c r="K111" i="8"/>
  <c r="K131" i="8"/>
  <c r="K167" i="8"/>
  <c r="I163" i="8"/>
  <c r="I79" i="8"/>
  <c r="G119" i="8"/>
  <c r="G123" i="8"/>
  <c r="J159" i="8"/>
  <c r="E159" i="8"/>
  <c r="K95" i="8"/>
  <c r="I115" i="8"/>
  <c r="F143" i="8"/>
  <c r="L127" i="8"/>
  <c r="E167" i="8"/>
  <c r="E127" i="8"/>
  <c r="D135" i="8"/>
  <c r="L95" i="8"/>
  <c r="L147" i="8"/>
  <c r="D123" i="8"/>
  <c r="F139" i="8"/>
  <c r="H11" i="11"/>
  <c r="H28" i="11"/>
  <c r="E60" i="11"/>
  <c r="H19" i="11"/>
  <c r="O86" i="11" s="1"/>
  <c r="D101" i="11"/>
  <c r="E101" i="11" s="1"/>
  <c r="H99" i="11"/>
  <c r="R98" i="11"/>
  <c r="H16" i="11"/>
  <c r="D155" i="8" l="1"/>
  <c r="J115" i="8"/>
  <c r="F75" i="8"/>
  <c r="H135" i="8"/>
  <c r="D147" i="8"/>
  <c r="E135" i="8"/>
  <c r="G139" i="8"/>
  <c r="I119" i="8"/>
  <c r="J151" i="8"/>
  <c r="G107" i="8"/>
  <c r="L155" i="8"/>
  <c r="I83" i="8"/>
  <c r="F79" i="8"/>
  <c r="J99" i="8"/>
  <c r="D79" i="8"/>
  <c r="H163" i="8"/>
  <c r="J139" i="8"/>
  <c r="K115" i="8"/>
  <c r="J135" i="8"/>
  <c r="F119" i="8"/>
  <c r="L151" i="8"/>
  <c r="F107" i="8"/>
  <c r="H147" i="8"/>
  <c r="H131" i="8"/>
  <c r="L103" i="8"/>
  <c r="J87" i="8"/>
  <c r="H103" i="8"/>
  <c r="K143" i="8"/>
  <c r="D115" i="8"/>
  <c r="L91" i="8"/>
  <c r="L143" i="8"/>
  <c r="I127" i="8"/>
  <c r="I123" i="8"/>
  <c r="J147" i="8"/>
  <c r="D143" i="8"/>
  <c r="F151" i="8"/>
  <c r="G111" i="8"/>
  <c r="D151" i="8"/>
  <c r="E75" i="8"/>
  <c r="D95" i="8"/>
  <c r="H111" i="8"/>
  <c r="F99" i="8"/>
  <c r="I91" i="8"/>
  <c r="L115" i="8"/>
  <c r="L123" i="8"/>
  <c r="H119" i="8"/>
  <c r="J163" i="8"/>
  <c r="L111" i="8"/>
  <c r="L87" i="8"/>
  <c r="D91" i="8"/>
  <c r="E147" i="8"/>
  <c r="J83" i="8"/>
  <c r="E111" i="8"/>
  <c r="L83" i="8"/>
  <c r="E151" i="8"/>
  <c r="E131" i="8"/>
  <c r="I111" i="8"/>
  <c r="K103" i="8"/>
  <c r="H91" i="8"/>
  <c r="E143" i="8"/>
  <c r="G147" i="8"/>
  <c r="G131" i="8"/>
  <c r="K91" i="8"/>
  <c r="H139" i="8"/>
  <c r="G75" i="8"/>
  <c r="E87" i="8"/>
  <c r="E123" i="8"/>
  <c r="F111" i="8"/>
  <c r="D139" i="8"/>
  <c r="J119" i="8"/>
  <c r="D127" i="8"/>
  <c r="D99" i="8"/>
  <c r="J131" i="8"/>
  <c r="F83" i="8"/>
  <c r="J167" i="8"/>
  <c r="K119" i="8"/>
  <c r="I139" i="8"/>
  <c r="I151" i="8"/>
  <c r="H79" i="8"/>
  <c r="H159" i="8"/>
  <c r="H87" i="8"/>
  <c r="G167" i="8"/>
  <c r="D87" i="8"/>
  <c r="F159" i="8"/>
  <c r="G83" i="8"/>
  <c r="E139" i="8"/>
  <c r="K139" i="8"/>
  <c r="E107" i="8"/>
  <c r="J155" i="8"/>
  <c r="H151" i="8"/>
  <c r="F91" i="8"/>
  <c r="K127" i="8"/>
  <c r="I75" i="8"/>
  <c r="L79" i="8"/>
  <c r="K159" i="8"/>
  <c r="I167" i="8"/>
  <c r="G159" i="8"/>
  <c r="F103" i="8"/>
  <c r="I147" i="8"/>
  <c r="I103" i="8"/>
  <c r="L159" i="8"/>
  <c r="G143" i="8"/>
  <c r="K87" i="8"/>
  <c r="L135" i="8"/>
  <c r="H107" i="8"/>
  <c r="L119" i="8"/>
  <c r="K75" i="8"/>
  <c r="K83" i="8"/>
  <c r="D167" i="8"/>
  <c r="E91" i="8"/>
  <c r="G115" i="8"/>
  <c r="G87" i="8"/>
  <c r="F20" i="32"/>
  <c r="J91" i="8"/>
  <c r="H127" i="8"/>
  <c r="K123" i="8"/>
  <c r="F87" i="8"/>
  <c r="H95" i="8"/>
  <c r="G91" i="8"/>
  <c r="M91" i="8" s="1"/>
  <c r="J123" i="8"/>
  <c r="I95" i="8"/>
  <c r="F123" i="8"/>
  <c r="F155" i="8"/>
  <c r="I143" i="8"/>
  <c r="G135" i="8"/>
  <c r="D131" i="8"/>
  <c r="L75" i="8"/>
  <c r="E103" i="8"/>
  <c r="G163" i="8"/>
  <c r="F135" i="8"/>
  <c r="D119" i="8"/>
  <c r="J143" i="8"/>
  <c r="G79" i="8"/>
  <c r="E79" i="8"/>
  <c r="L139" i="8"/>
  <c r="K135" i="8"/>
  <c r="E163" i="8"/>
  <c r="K163" i="8"/>
  <c r="J107" i="8"/>
  <c r="E99" i="8"/>
  <c r="I155" i="8"/>
  <c r="H155" i="8"/>
  <c r="I107" i="8"/>
  <c r="E119" i="8"/>
  <c r="I131" i="8"/>
  <c r="K99" i="8"/>
  <c r="H167" i="8"/>
  <c r="M167" i="8" s="1"/>
  <c r="G30" i="11" s="1"/>
  <c r="K151" i="8"/>
  <c r="K147" i="8"/>
  <c r="K79" i="8"/>
  <c r="H115" i="8"/>
  <c r="M115" i="8" s="1"/>
  <c r="G17" i="11" s="1"/>
  <c r="N84" i="11" s="1"/>
  <c r="J111" i="8"/>
  <c r="E83" i="8"/>
  <c r="D159" i="8"/>
  <c r="G155" i="8"/>
  <c r="I159" i="8"/>
  <c r="D163" i="8"/>
  <c r="H99" i="8"/>
  <c r="D103" i="8"/>
  <c r="H143" i="8"/>
  <c r="L131" i="8"/>
  <c r="E155" i="8"/>
  <c r="G127" i="8"/>
  <c r="G99" i="8"/>
  <c r="K107" i="8"/>
  <c r="M139" i="8"/>
  <c r="M111" i="8"/>
  <c r="G16" i="11" s="1"/>
  <c r="J95" i="8"/>
  <c r="J127" i="8"/>
  <c r="E95" i="8"/>
  <c r="H75" i="8"/>
  <c r="I99" i="8"/>
  <c r="K155" i="8"/>
  <c r="H123" i="8"/>
  <c r="L107" i="8"/>
  <c r="J103" i="8"/>
  <c r="J75" i="8"/>
  <c r="H25" i="11"/>
  <c r="X28" i="11"/>
  <c r="H56" i="11"/>
  <c r="O95" i="11"/>
  <c r="H30" i="11"/>
  <c r="H29" i="11"/>
  <c r="H27" i="11"/>
  <c r="H26" i="11"/>
  <c r="H24" i="11"/>
  <c r="H23" i="11"/>
  <c r="H22" i="11"/>
  <c r="H47" i="11"/>
  <c r="X47" i="11" s="1"/>
  <c r="X19" i="11"/>
  <c r="H20" i="11"/>
  <c r="O87" i="11" s="1"/>
  <c r="H21" i="11"/>
  <c r="O88" i="11" s="1"/>
  <c r="X11" i="11"/>
  <c r="H39" i="11"/>
  <c r="X39" i="11" s="1"/>
  <c r="O78" i="11"/>
  <c r="O83" i="11"/>
  <c r="H44" i="11"/>
  <c r="X44" i="11" s="1"/>
  <c r="X16" i="11"/>
  <c r="H7" i="11"/>
  <c r="H13" i="11"/>
  <c r="H12" i="11"/>
  <c r="S98" i="11"/>
  <c r="S101" i="11" s="1"/>
  <c r="R101" i="11"/>
  <c r="H17" i="11"/>
  <c r="H18" i="11"/>
  <c r="H15" i="11"/>
  <c r="H14" i="11"/>
  <c r="M87" i="8" l="1"/>
  <c r="M147" i="8"/>
  <c r="M151" i="8"/>
  <c r="M119" i="8"/>
  <c r="G18" i="11" s="1"/>
  <c r="V18" i="11" s="1"/>
  <c r="M127" i="8"/>
  <c r="G20" i="11" s="1"/>
  <c r="M159" i="8"/>
  <c r="G28" i="11" s="1"/>
  <c r="V28" i="11" s="1"/>
  <c r="M163" i="8"/>
  <c r="M135" i="8"/>
  <c r="G22" i="11" s="1"/>
  <c r="M83" i="8"/>
  <c r="M131" i="8"/>
  <c r="M79" i="8"/>
  <c r="M155" i="8"/>
  <c r="G27" i="11" s="1"/>
  <c r="J27" i="11" s="1"/>
  <c r="L27" i="11" s="1"/>
  <c r="M143" i="8"/>
  <c r="G24" i="11" s="1"/>
  <c r="J24" i="11" s="1"/>
  <c r="L24" i="11" s="1"/>
  <c r="M103" i="8"/>
  <c r="G14" i="11" s="1"/>
  <c r="V14" i="11" s="1"/>
  <c r="M99" i="8"/>
  <c r="M107" i="8"/>
  <c r="G15" i="11" s="1"/>
  <c r="G43" i="11" s="1"/>
  <c r="V43" i="11" s="1"/>
  <c r="M123" i="8"/>
  <c r="G19" i="11" s="1"/>
  <c r="M75" i="8"/>
  <c r="M95" i="8"/>
  <c r="G44" i="11"/>
  <c r="J44" i="11" s="1"/>
  <c r="L44" i="11" s="1"/>
  <c r="V16" i="11"/>
  <c r="N83" i="11"/>
  <c r="J83" i="11" s="1"/>
  <c r="L83" i="11" s="1"/>
  <c r="J16" i="11"/>
  <c r="L16" i="11" s="1"/>
  <c r="G26" i="11"/>
  <c r="X26" i="11"/>
  <c r="O93" i="11"/>
  <c r="H54" i="11"/>
  <c r="H53" i="11"/>
  <c r="X25" i="11"/>
  <c r="O92" i="11"/>
  <c r="N87" i="11"/>
  <c r="G45" i="11"/>
  <c r="V45" i="11" s="1"/>
  <c r="V17" i="11"/>
  <c r="G58" i="11"/>
  <c r="V30" i="11"/>
  <c r="N97" i="11"/>
  <c r="X27" i="11"/>
  <c r="O94" i="11"/>
  <c r="H55" i="11"/>
  <c r="X29" i="11"/>
  <c r="O96" i="11"/>
  <c r="H57" i="11"/>
  <c r="X30" i="11"/>
  <c r="H58" i="11"/>
  <c r="O97" i="11"/>
  <c r="J30" i="11"/>
  <c r="L30" i="11" s="1"/>
  <c r="X56" i="11"/>
  <c r="O126" i="11"/>
  <c r="X24" i="11"/>
  <c r="O91" i="11"/>
  <c r="H52" i="11"/>
  <c r="X23" i="11"/>
  <c r="H51" i="11"/>
  <c r="O90" i="11"/>
  <c r="X22" i="11"/>
  <c r="O89" i="11"/>
  <c r="H50" i="11"/>
  <c r="X50" i="11" s="1"/>
  <c r="X21" i="11"/>
  <c r="H49" i="11"/>
  <c r="X49" i="11" s="1"/>
  <c r="H48" i="11"/>
  <c r="X48" i="11" s="1"/>
  <c r="X20" i="11"/>
  <c r="J20" i="11"/>
  <c r="L20" i="11" s="1"/>
  <c r="G48" i="11"/>
  <c r="V20" i="11"/>
  <c r="O117" i="11"/>
  <c r="X12" i="11"/>
  <c r="O79" i="11"/>
  <c r="H40" i="11"/>
  <c r="X40" i="11" s="1"/>
  <c r="O74" i="11"/>
  <c r="X7" i="11"/>
  <c r="H35" i="11"/>
  <c r="X35" i="11" s="1"/>
  <c r="J84" i="11"/>
  <c r="L84" i="11" s="1"/>
  <c r="H8" i="11"/>
  <c r="X13" i="11"/>
  <c r="H41" i="11"/>
  <c r="X41" i="11" s="1"/>
  <c r="O80" i="11"/>
  <c r="O109" i="11"/>
  <c r="H9" i="11"/>
  <c r="G21" i="11"/>
  <c r="H10" i="11"/>
  <c r="O82" i="11"/>
  <c r="X15" i="11"/>
  <c r="H43" i="11"/>
  <c r="X43" i="11" s="1"/>
  <c r="X17" i="11"/>
  <c r="O84" i="11"/>
  <c r="P84" i="11" s="1"/>
  <c r="H45" i="11"/>
  <c r="X45" i="11" s="1"/>
  <c r="J17" i="11"/>
  <c r="L17" i="11" s="1"/>
  <c r="G29" i="11"/>
  <c r="O114" i="11"/>
  <c r="X14" i="11"/>
  <c r="O81" i="11"/>
  <c r="J14" i="11"/>
  <c r="L14" i="11" s="1"/>
  <c r="H42" i="11"/>
  <c r="X42" i="11" s="1"/>
  <c r="N81" i="11"/>
  <c r="J81" i="11" s="1"/>
  <c r="L81" i="11" s="1"/>
  <c r="G23" i="11"/>
  <c r="G25" i="11"/>
  <c r="D15" i="18" l="1"/>
  <c r="J28" i="11"/>
  <c r="L28" i="11" s="1"/>
  <c r="G56" i="11"/>
  <c r="J56" i="11" s="1"/>
  <c r="L56" i="11" s="1"/>
  <c r="N95" i="11"/>
  <c r="J95" i="11" s="1"/>
  <c r="L95" i="11" s="1"/>
  <c r="N82" i="11"/>
  <c r="J82" i="11" s="1"/>
  <c r="L82" i="11" s="1"/>
  <c r="G47" i="11"/>
  <c r="V15" i="11"/>
  <c r="J15" i="11"/>
  <c r="L15" i="11" s="1"/>
  <c r="N86" i="11"/>
  <c r="P86" i="11" s="1"/>
  <c r="J19" i="11"/>
  <c r="L19" i="11" s="1"/>
  <c r="V19" i="11"/>
  <c r="G42" i="11"/>
  <c r="V42" i="11" s="1"/>
  <c r="P83" i="11"/>
  <c r="V44" i="11"/>
  <c r="N114" i="11"/>
  <c r="J114" i="11" s="1"/>
  <c r="L114" i="11" s="1"/>
  <c r="J26" i="11"/>
  <c r="L26" i="11" s="1"/>
  <c r="G54" i="11"/>
  <c r="V54" i="11" s="1"/>
  <c r="N93" i="11"/>
  <c r="V26" i="11"/>
  <c r="N115" i="11"/>
  <c r="J115" i="11" s="1"/>
  <c r="L115" i="11" s="1"/>
  <c r="X54" i="11"/>
  <c r="O124" i="11"/>
  <c r="V27" i="11"/>
  <c r="G55" i="11"/>
  <c r="J55" i="11" s="1"/>
  <c r="L55" i="11" s="1"/>
  <c r="N94" i="11"/>
  <c r="J94" i="11" s="1"/>
  <c r="L94" i="11" s="1"/>
  <c r="V56" i="11"/>
  <c r="J29" i="11"/>
  <c r="L29" i="11" s="1"/>
  <c r="X53" i="11"/>
  <c r="O123" i="11"/>
  <c r="N91" i="11"/>
  <c r="J91" i="11" s="1"/>
  <c r="L91" i="11" s="1"/>
  <c r="V24" i="11"/>
  <c r="G52" i="11"/>
  <c r="J52" i="11" s="1"/>
  <c r="L52" i="11" s="1"/>
  <c r="J22" i="11"/>
  <c r="L22" i="11" s="1"/>
  <c r="J21" i="11"/>
  <c r="L21" i="11" s="1"/>
  <c r="N88" i="11"/>
  <c r="P87" i="11"/>
  <c r="J87" i="11"/>
  <c r="L87" i="11" s="1"/>
  <c r="J86" i="11"/>
  <c r="L86" i="11" s="1"/>
  <c r="N85" i="11"/>
  <c r="G46" i="11"/>
  <c r="V46" i="11" s="1"/>
  <c r="V47" i="11"/>
  <c r="N118" i="11"/>
  <c r="V48" i="11"/>
  <c r="P97" i="11"/>
  <c r="J97" i="11"/>
  <c r="L97" i="11" s="1"/>
  <c r="V29" i="11"/>
  <c r="N96" i="11"/>
  <c r="G57" i="11"/>
  <c r="J57" i="11" s="1"/>
  <c r="L57" i="11" s="1"/>
  <c r="V58" i="11"/>
  <c r="N128" i="11"/>
  <c r="X55" i="11"/>
  <c r="O125" i="11"/>
  <c r="F16" i="28"/>
  <c r="F17" i="28" s="1"/>
  <c r="X58" i="11"/>
  <c r="O128" i="11"/>
  <c r="J58" i="11"/>
  <c r="L58" i="11" s="1"/>
  <c r="X57" i="11"/>
  <c r="O127" i="11"/>
  <c r="G53" i="11"/>
  <c r="N92" i="11"/>
  <c r="V25" i="11"/>
  <c r="J25" i="11"/>
  <c r="L25" i="11" s="1"/>
  <c r="X52" i="11"/>
  <c r="O122" i="11"/>
  <c r="V23" i="11"/>
  <c r="G51" i="11"/>
  <c r="J51" i="11" s="1"/>
  <c r="L51" i="11" s="1"/>
  <c r="N90" i="11"/>
  <c r="J90" i="11" s="1"/>
  <c r="L90" i="11" s="1"/>
  <c r="J23" i="11"/>
  <c r="L23" i="11" s="1"/>
  <c r="G50" i="11"/>
  <c r="N89" i="11"/>
  <c r="V22" i="11"/>
  <c r="X51" i="11"/>
  <c r="O121" i="11"/>
  <c r="O120" i="11"/>
  <c r="G49" i="11"/>
  <c r="V21" i="11"/>
  <c r="O119" i="11"/>
  <c r="J48" i="11"/>
  <c r="L48" i="11" s="1"/>
  <c r="O118" i="11"/>
  <c r="J47" i="11"/>
  <c r="L47" i="11" s="1"/>
  <c r="P81" i="11"/>
  <c r="O110" i="11"/>
  <c r="X18" i="11"/>
  <c r="H46" i="11"/>
  <c r="X46" i="11" s="1"/>
  <c r="O85" i="11"/>
  <c r="J18" i="11"/>
  <c r="L18" i="11" s="1"/>
  <c r="P82" i="11"/>
  <c r="O115" i="11"/>
  <c r="J45" i="11"/>
  <c r="L45" i="11" s="1"/>
  <c r="J43" i="11"/>
  <c r="L43" i="11" s="1"/>
  <c r="O113" i="11"/>
  <c r="X9" i="11"/>
  <c r="O76" i="11"/>
  <c r="H37" i="11"/>
  <c r="X37" i="11" s="1"/>
  <c r="O111" i="11"/>
  <c r="X8" i="11"/>
  <c r="O75" i="11"/>
  <c r="H36" i="11"/>
  <c r="X36" i="11" s="1"/>
  <c r="H31" i="11"/>
  <c r="X31" i="11" s="1"/>
  <c r="O112" i="11"/>
  <c r="O77" i="11"/>
  <c r="X10" i="11"/>
  <c r="H38" i="11"/>
  <c r="X38" i="11" s="1"/>
  <c r="O105" i="11"/>
  <c r="N113" i="11"/>
  <c r="J113" i="11" s="1"/>
  <c r="L113" i="11" s="1"/>
  <c r="N126" i="11" l="1"/>
  <c r="J126" i="11" s="1"/>
  <c r="L126" i="11" s="1"/>
  <c r="P95" i="11"/>
  <c r="D16" i="17"/>
  <c r="N112" i="11"/>
  <c r="J112" i="11" s="1"/>
  <c r="L112" i="11" s="1"/>
  <c r="J54" i="11"/>
  <c r="L54" i="11" s="1"/>
  <c r="N117" i="11"/>
  <c r="P117" i="11" s="1"/>
  <c r="J42" i="11"/>
  <c r="L42" i="11" s="1"/>
  <c r="P115" i="11"/>
  <c r="P114" i="11"/>
  <c r="N124" i="11"/>
  <c r="J124" i="11" s="1"/>
  <c r="L124" i="11" s="1"/>
  <c r="P93" i="11"/>
  <c r="J93" i="11"/>
  <c r="L93" i="11" s="1"/>
  <c r="P112" i="11"/>
  <c r="P85" i="11"/>
  <c r="N116" i="11"/>
  <c r="J116" i="11" s="1"/>
  <c r="L116" i="11" s="1"/>
  <c r="P94" i="11"/>
  <c r="P126" i="11"/>
  <c r="V55" i="11"/>
  <c r="N125" i="11"/>
  <c r="J125" i="11" s="1"/>
  <c r="L125" i="11" s="1"/>
  <c r="V52" i="11"/>
  <c r="N122" i="11"/>
  <c r="J122" i="11" s="1"/>
  <c r="L122" i="11" s="1"/>
  <c r="P91" i="11"/>
  <c r="J88" i="11"/>
  <c r="L88" i="11" s="1"/>
  <c r="P88" i="11"/>
  <c r="J85" i="11"/>
  <c r="L85" i="11" s="1"/>
  <c r="H59" i="11"/>
  <c r="F15" i="29" s="1"/>
  <c r="F18" i="29" s="1"/>
  <c r="F21" i="29" s="1"/>
  <c r="F38" i="29" s="1"/>
  <c r="D19" i="18" s="1"/>
  <c r="P118" i="11"/>
  <c r="J118" i="11"/>
  <c r="L118" i="11" s="1"/>
  <c r="N119" i="11"/>
  <c r="V49" i="11"/>
  <c r="J96" i="11"/>
  <c r="P128" i="11"/>
  <c r="P96" i="11"/>
  <c r="J128" i="11"/>
  <c r="L128" i="11" s="1"/>
  <c r="V57" i="11"/>
  <c r="N127" i="11"/>
  <c r="J127" i="11" s="1"/>
  <c r="L127" i="11" s="1"/>
  <c r="D18" i="18"/>
  <c r="D38" i="18"/>
  <c r="F18" i="28"/>
  <c r="F22" i="28" s="1"/>
  <c r="G26" i="28" s="1"/>
  <c r="F29" i="28"/>
  <c r="P92" i="11"/>
  <c r="J92" i="11"/>
  <c r="L92" i="11" s="1"/>
  <c r="V53" i="11"/>
  <c r="N123" i="11"/>
  <c r="J53" i="11"/>
  <c r="L53" i="11" s="1"/>
  <c r="J89" i="11"/>
  <c r="L89" i="11" s="1"/>
  <c r="V50" i="11"/>
  <c r="N120" i="11"/>
  <c r="P120" i="11" s="1"/>
  <c r="J50" i="11"/>
  <c r="L50" i="11" s="1"/>
  <c r="P89" i="11"/>
  <c r="V51" i="11"/>
  <c r="N121" i="11"/>
  <c r="P121" i="11" s="1"/>
  <c r="P90" i="11"/>
  <c r="J49" i="11"/>
  <c r="L49" i="11" s="1"/>
  <c r="G11" i="11"/>
  <c r="G12" i="11"/>
  <c r="O116" i="11"/>
  <c r="J46" i="11"/>
  <c r="L46" i="11" s="1"/>
  <c r="O98" i="11"/>
  <c r="O108" i="11"/>
  <c r="P113" i="11"/>
  <c r="O106" i="11"/>
  <c r="O107" i="11"/>
  <c r="F30" i="28" l="1"/>
  <c r="G33" i="28"/>
  <c r="D32" i="18"/>
  <c r="D20" i="18" s="1"/>
  <c r="J117" i="11"/>
  <c r="L117" i="11" s="1"/>
  <c r="P124" i="11"/>
  <c r="P116" i="11"/>
  <c r="P125" i="11"/>
  <c r="P122" i="11"/>
  <c r="F57" i="28"/>
  <c r="F58" i="28" s="1"/>
  <c r="F59" i="28" s="1"/>
  <c r="F64" i="28" s="1"/>
  <c r="G68" i="28" s="1"/>
  <c r="X59" i="11"/>
  <c r="F42" i="29"/>
  <c r="H63" i="11"/>
  <c r="H68" i="11" s="1"/>
  <c r="P119" i="11"/>
  <c r="J119" i="11"/>
  <c r="L119" i="11" s="1"/>
  <c r="L96" i="11"/>
  <c r="F96" i="28" s="1"/>
  <c r="F97" i="28" s="1"/>
  <c r="F98" i="28" s="1"/>
  <c r="F103" i="28" s="1"/>
  <c r="G107" i="28" s="1"/>
  <c r="D36" i="17"/>
  <c r="D19" i="17"/>
  <c r="P127" i="11"/>
  <c r="G37" i="28"/>
  <c r="F31" i="28"/>
  <c r="P123" i="11"/>
  <c r="J123" i="11"/>
  <c r="L123" i="11" s="1"/>
  <c r="J121" i="11"/>
  <c r="L121" i="11" s="1"/>
  <c r="J120" i="11"/>
  <c r="L120" i="11" s="1"/>
  <c r="G8" i="11"/>
  <c r="G10" i="11"/>
  <c r="O129" i="11"/>
  <c r="O99" i="11"/>
  <c r="N79" i="11"/>
  <c r="J12" i="11"/>
  <c r="L12" i="11" s="1"/>
  <c r="V12" i="11"/>
  <c r="G40" i="11"/>
  <c r="V40" i="11" s="1"/>
  <c r="G13" i="11"/>
  <c r="G7" i="11"/>
  <c r="G9" i="11"/>
  <c r="J11" i="11"/>
  <c r="L11" i="11" s="1"/>
  <c r="G39" i="11"/>
  <c r="V39" i="11" s="1"/>
  <c r="N78" i="11"/>
  <c r="V11" i="11"/>
  <c r="D21" i="18" l="1"/>
  <c r="D34" i="18" s="1"/>
  <c r="F71" i="28"/>
  <c r="F72" i="28" s="1"/>
  <c r="F73" i="28" s="1"/>
  <c r="H64" i="11"/>
  <c r="F110" i="28"/>
  <c r="F111" i="28" s="1"/>
  <c r="F112" i="28" s="1"/>
  <c r="G34" i="28"/>
  <c r="G39" i="28" s="1"/>
  <c r="D7" i="27" s="1"/>
  <c r="P79" i="11"/>
  <c r="J79" i="11"/>
  <c r="L79" i="11" s="1"/>
  <c r="N74" i="11"/>
  <c r="V7" i="11"/>
  <c r="G35" i="11"/>
  <c r="V35" i="11" s="1"/>
  <c r="G31" i="11"/>
  <c r="V31" i="11" s="1"/>
  <c r="J7" i="11"/>
  <c r="J40" i="11"/>
  <c r="L40" i="11" s="1"/>
  <c r="N110" i="11"/>
  <c r="V10" i="11"/>
  <c r="N77" i="11"/>
  <c r="G38" i="11"/>
  <c r="V38" i="11" s="1"/>
  <c r="J10" i="11"/>
  <c r="L10" i="11" s="1"/>
  <c r="P78" i="11"/>
  <c r="J78" i="11"/>
  <c r="L78" i="11" s="1"/>
  <c r="N76" i="11"/>
  <c r="V9" i="11"/>
  <c r="G37" i="11"/>
  <c r="V37" i="11" s="1"/>
  <c r="J9" i="11"/>
  <c r="L9" i="11" s="1"/>
  <c r="V13" i="11"/>
  <c r="J13" i="11"/>
  <c r="L13" i="11" s="1"/>
  <c r="G41" i="11"/>
  <c r="V41" i="11" s="1"/>
  <c r="N80" i="11"/>
  <c r="J39" i="11"/>
  <c r="L39" i="11" s="1"/>
  <c r="N109" i="11"/>
  <c r="O130" i="11"/>
  <c r="G36" i="11"/>
  <c r="V36" i="11" s="1"/>
  <c r="V8" i="11"/>
  <c r="N75" i="11"/>
  <c r="J8" i="11"/>
  <c r="L8" i="11" s="1"/>
  <c r="G75" i="28" l="1"/>
  <c r="G76" i="28" s="1"/>
  <c r="G6" i="27" s="1"/>
  <c r="G114" i="28"/>
  <c r="G115" i="28" s="1"/>
  <c r="J6" i="27" s="1"/>
  <c r="D6" i="27"/>
  <c r="J75" i="11"/>
  <c r="L75" i="11" s="1"/>
  <c r="P75" i="11"/>
  <c r="N107" i="11"/>
  <c r="J37" i="11"/>
  <c r="L37" i="11" s="1"/>
  <c r="J109" i="11"/>
  <c r="L109" i="11" s="1"/>
  <c r="P109" i="11"/>
  <c r="P110" i="11"/>
  <c r="J110" i="11"/>
  <c r="L110" i="11" s="1"/>
  <c r="N105" i="11"/>
  <c r="G59" i="11"/>
  <c r="F16" i="30" s="1"/>
  <c r="J35" i="11"/>
  <c r="J41" i="11"/>
  <c r="L41" i="11" s="1"/>
  <c r="N111" i="11"/>
  <c r="J76" i="11"/>
  <c r="L76" i="11" s="1"/>
  <c r="P76" i="11"/>
  <c r="N108" i="11"/>
  <c r="J38" i="11"/>
  <c r="L38" i="11" s="1"/>
  <c r="N106" i="11"/>
  <c r="J36" i="11"/>
  <c r="L36" i="11" s="1"/>
  <c r="P80" i="11"/>
  <c r="J80" i="11"/>
  <c r="L80" i="11" s="1"/>
  <c r="J77" i="11"/>
  <c r="L77" i="11" s="1"/>
  <c r="P77" i="11"/>
  <c r="L7" i="11"/>
  <c r="J31" i="11"/>
  <c r="J74" i="11"/>
  <c r="L74" i="11" s="1"/>
  <c r="N98" i="11"/>
  <c r="P74" i="11"/>
  <c r="L6" i="27" l="1"/>
  <c r="J14" i="27" s="1"/>
  <c r="I6" i="27"/>
  <c r="J10" i="27" s="1"/>
  <c r="J38" i="27" s="1"/>
  <c r="F6" i="27"/>
  <c r="D47" i="27" s="1"/>
  <c r="F47" i="27" s="1"/>
  <c r="D45" i="27"/>
  <c r="F45" i="27" s="1"/>
  <c r="D44" i="27"/>
  <c r="F44" i="27" s="1"/>
  <c r="J15" i="27"/>
  <c r="L15" i="27" s="1"/>
  <c r="D49" i="27"/>
  <c r="F49" i="27" s="1"/>
  <c r="F19" i="30"/>
  <c r="F21" i="30" s="1"/>
  <c r="F34" i="30" s="1"/>
  <c r="F38" i="30"/>
  <c r="G63" i="11"/>
  <c r="V59" i="11"/>
  <c r="L31" i="11"/>
  <c r="G32" i="11"/>
  <c r="H32" i="11"/>
  <c r="P111" i="11"/>
  <c r="J111" i="11"/>
  <c r="L111" i="11" s="1"/>
  <c r="J105" i="11"/>
  <c r="N129" i="11"/>
  <c r="P105" i="11"/>
  <c r="L98" i="11"/>
  <c r="J108" i="11"/>
  <c r="L108" i="11" s="1"/>
  <c r="P108" i="11"/>
  <c r="N99" i="11"/>
  <c r="P98" i="11"/>
  <c r="J98" i="11"/>
  <c r="L35" i="11"/>
  <c r="J59" i="11"/>
  <c r="H60" i="11" s="1"/>
  <c r="J107" i="11"/>
  <c r="L107" i="11" s="1"/>
  <c r="P107" i="11"/>
  <c r="J106" i="11"/>
  <c r="L106" i="11" s="1"/>
  <c r="P106" i="11"/>
  <c r="D46" i="27" l="1"/>
  <c r="D41" i="27"/>
  <c r="F41" i="27" s="1"/>
  <c r="D14" i="27"/>
  <c r="D19" i="27" s="1"/>
  <c r="D43" i="27"/>
  <c r="F43" i="27" s="1"/>
  <c r="D42" i="27"/>
  <c r="F42" i="27" s="1"/>
  <c r="D48" i="27"/>
  <c r="F48" i="27" s="1"/>
  <c r="J13" i="27"/>
  <c r="J12" i="27" s="1"/>
  <c r="L12" i="27" s="1"/>
  <c r="J18" i="27"/>
  <c r="L18" i="27" s="1"/>
  <c r="J20" i="27"/>
  <c r="L20" i="27" s="1"/>
  <c r="J17" i="27"/>
  <c r="L17" i="27" s="1"/>
  <c r="L14" i="27"/>
  <c r="J19" i="27"/>
  <c r="L19" i="27" s="1"/>
  <c r="J16" i="27"/>
  <c r="L16" i="27" s="1"/>
  <c r="G10" i="27"/>
  <c r="G38" i="27" s="1"/>
  <c r="G39" i="27" s="1"/>
  <c r="I39" i="27" s="1"/>
  <c r="G15" i="27"/>
  <c r="I15" i="27" s="1"/>
  <c r="G14" i="27"/>
  <c r="I14" i="27" s="1"/>
  <c r="G11" i="27"/>
  <c r="I11" i="27" s="1"/>
  <c r="D30" i="17"/>
  <c r="D21" i="17" s="1"/>
  <c r="D20" i="17"/>
  <c r="D10" i="27"/>
  <c r="D13" i="27"/>
  <c r="D11" i="27"/>
  <c r="F19" i="27"/>
  <c r="D34" i="27"/>
  <c r="D29" i="27"/>
  <c r="D59" i="27"/>
  <c r="F59" i="27" s="1"/>
  <c r="L13" i="27"/>
  <c r="G20" i="27"/>
  <c r="I20" i="27" s="1"/>
  <c r="D61" i="27"/>
  <c r="F61" i="27" s="1"/>
  <c r="D16" i="27"/>
  <c r="D31" i="27" s="1"/>
  <c r="D20" i="27"/>
  <c r="D18" i="27"/>
  <c r="F14" i="27"/>
  <c r="D15" i="27"/>
  <c r="D30" i="27" s="1"/>
  <c r="D17" i="27"/>
  <c r="D55" i="27"/>
  <c r="F55" i="27" s="1"/>
  <c r="D57" i="27"/>
  <c r="F57" i="27" s="1"/>
  <c r="D56" i="27"/>
  <c r="F56" i="27" s="1"/>
  <c r="D60" i="27"/>
  <c r="F60" i="27" s="1"/>
  <c r="D54" i="27"/>
  <c r="F54" i="27" s="1"/>
  <c r="D53" i="27"/>
  <c r="F53" i="27" s="1"/>
  <c r="L10" i="27"/>
  <c r="J11" i="27"/>
  <c r="L11" i="27" s="1"/>
  <c r="G64" i="11"/>
  <c r="G68" i="11"/>
  <c r="J39" i="27"/>
  <c r="L39" i="27" s="1"/>
  <c r="L38" i="27"/>
  <c r="F15" i="27"/>
  <c r="G60" i="11"/>
  <c r="J60" i="11" s="1"/>
  <c r="J129" i="11"/>
  <c r="N130" i="11"/>
  <c r="P129" i="11"/>
  <c r="L59" i="11"/>
  <c r="L63" i="11" s="1"/>
  <c r="L64" i="11" s="1"/>
  <c r="J63" i="11"/>
  <c r="J64" i="11" s="1"/>
  <c r="L105" i="11"/>
  <c r="L129" i="11" s="1"/>
  <c r="G19" i="27" l="1"/>
  <c r="I19" i="27" s="1"/>
  <c r="G18" i="27"/>
  <c r="I18" i="27" s="1"/>
  <c r="G16" i="27"/>
  <c r="I16" i="27" s="1"/>
  <c r="F46" i="27"/>
  <c r="D58" i="27"/>
  <c r="F58" i="27" s="1"/>
  <c r="I38" i="27"/>
  <c r="I10" i="27"/>
  <c r="G17" i="27"/>
  <c r="I17" i="27" s="1"/>
  <c r="G13" i="27"/>
  <c r="D22" i="17"/>
  <c r="D32" i="17" s="1"/>
  <c r="F18" i="27"/>
  <c r="D33" i="27"/>
  <c r="D26" i="27"/>
  <c r="F11" i="27"/>
  <c r="F17" i="27"/>
  <c r="D32" i="27"/>
  <c r="F20" i="27"/>
  <c r="D35" i="27"/>
  <c r="D12" i="27"/>
  <c r="D28" i="27"/>
  <c r="F13" i="27"/>
  <c r="D9" i="27"/>
  <c r="D25" i="27"/>
  <c r="F10" i="27"/>
  <c r="F16" i="27"/>
  <c r="K14" i="9"/>
  <c r="K30" i="9" s="1"/>
  <c r="H32" i="9"/>
  <c r="I32" i="9" s="1"/>
  <c r="I14" i="9"/>
  <c r="I30" i="9" s="1"/>
  <c r="H30" i="9"/>
  <c r="I13" i="27" l="1"/>
  <c r="G12" i="27"/>
  <c r="I12" i="27" s="1"/>
  <c r="D27" i="27"/>
  <c r="F12" i="27"/>
  <c r="D24" i="27"/>
  <c r="F9" i="27"/>
  <c r="V32" i="9"/>
  <c r="X32" i="9"/>
  <c r="Z32" i="9" s="1"/>
  <c r="K32" i="9"/>
  <c r="I38" i="9"/>
  <c r="V14" i="9"/>
  <c r="V30" i="9" s="1"/>
  <c r="X14" i="9"/>
  <c r="I39" i="9" l="1"/>
  <c r="D7" i="18"/>
  <c r="F7" i="29"/>
  <c r="F40" i="29" s="1"/>
  <c r="Z14" i="9"/>
  <c r="Z30" i="9" s="1"/>
  <c r="X30" i="9"/>
  <c r="K37" i="9" l="1"/>
  <c r="K38" i="9"/>
  <c r="K39" i="9"/>
  <c r="K36" i="9"/>
  <c r="D3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AC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S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AC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U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N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AC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AC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AC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AC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charset val="1"/>
          </rPr>
          <t>Weinstein, Mike:</t>
        </r>
        <r>
          <rPr>
            <sz val="9"/>
            <color indexed="81"/>
            <rFont val="Tahoma"/>
            <charset val="1"/>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sharedStrings.xml><?xml version="1.0" encoding="utf-8"?>
<sst xmlns="http://schemas.openxmlformats.org/spreadsheetml/2006/main" count="1317" uniqueCount="348">
  <si>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</si>
  <si>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</si>
  <si>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</si>
  <si>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</si>
  <si>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</si>
  <si>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</si>
  <si>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</si>
  <si>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</si>
  <si>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</si>
  <si>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</si>
  <si>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</si>
  <si>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</si>
  <si>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</si>
  <si>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</si>
  <si>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</si>
  <si>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</si>
  <si>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</si>
  <si>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</si>
  <si>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</si>
  <si>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</si>
  <si>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</si>
  <si>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</si>
  <si>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</si>
  <si>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</si>
  <si>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</si>
  <si>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</si>
  <si>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Labor Cost Total (see detail below)</t>
  </si>
  <si>
    <t>Tasks As Outlined In RSA</t>
  </si>
  <si>
    <t>Total RSA Task Fees (excluding capital)</t>
  </si>
  <si>
    <t>Total Budgeted Expenses</t>
  </si>
  <si>
    <t>Avg. lbs./customer/mo.</t>
  </si>
  <si>
    <t>Avg. revenue/ton</t>
  </si>
  <si>
    <t>Labor Cost Allocation</t>
  </si>
  <si>
    <t>Total Hours</t>
  </si>
  <si>
    <t>Hourly Rate</t>
  </si>
  <si>
    <t>Total 2 yrs</t>
  </si>
  <si>
    <t>Monthly Reporting (CC Team )</t>
  </si>
  <si>
    <t>Executive Management/Oversight (Mindy &amp; Mary)</t>
  </si>
  <si>
    <t xml:space="preserve">Labor Cost Totals </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</si>
  <si>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</si>
  <si>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</si>
  <si>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</si>
  <si>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</si>
  <si>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</si>
  <si>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</si>
  <si>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</si>
  <si>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</si>
  <si>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</si>
  <si>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</si>
  <si>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</si>
  <si>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</si>
  <si>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</si>
  <si>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</si>
  <si>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</si>
  <si>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</si>
  <si>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</si>
  <si>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</si>
  <si>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</si>
  <si>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</si>
  <si>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</si>
  <si>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</si>
  <si>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</si>
  <si>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</si>
  <si>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</si>
  <si>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</si>
  <si>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</si>
  <si>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</si>
  <si>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</si>
  <si>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</si>
  <si>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</si>
  <si>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</si>
  <si>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</si>
  <si>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</si>
  <si>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</si>
  <si>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</si>
  <si>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</si>
  <si>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</si>
  <si>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</si>
  <si>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</si>
  <si>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</si>
  <si>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</si>
  <si>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</si>
  <si>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</si>
  <si>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</si>
  <si>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</si>
  <si>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</si>
  <si>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</si>
  <si>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</si>
  <si>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</si>
  <si>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</si>
  <si>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</si>
  <si>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</si>
  <si>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</si>
  <si>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</si>
  <si>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</si>
  <si>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</si>
  <si>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</si>
  <si>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</si>
  <si>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</si>
  <si>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</si>
  <si>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</si>
  <si>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</si>
  <si>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</si>
  <si>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Task 1 - Single Family Residential Audience Outreach &amp; Education</t>
  </si>
  <si>
    <t>Task 2 - Multifamily Residential Audience Outreach &amp; Education</t>
  </si>
  <si>
    <t>Less: Performance Incentive Earned (5% of Expenditures)</t>
  </si>
  <si>
    <t>WM - North Sound/Marysville</t>
  </si>
  <si>
    <t>King County</t>
  </si>
  <si>
    <t>King Cty</t>
  </si>
  <si>
    <t>Sno.Cty</t>
  </si>
  <si>
    <t>North Sound/</t>
  </si>
  <si>
    <t>Snohomish County</t>
  </si>
  <si>
    <t>Residential (average)</t>
  </si>
  <si>
    <t>RSA Project Manager</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</si>
  <si>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</si>
  <si>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</si>
  <si>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</si>
  <si>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</si>
  <si>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</si>
  <si>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</si>
  <si>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</si>
  <si>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</si>
  <si>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</si>
  <si>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</si>
  <si>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</si>
  <si>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</si>
  <si>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</si>
  <si>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</si>
  <si>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</si>
  <si>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</si>
  <si>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</si>
  <si>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</si>
  <si>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</si>
  <si>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</si>
  <si>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</si>
  <si>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</si>
  <si>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</si>
  <si>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</si>
  <si>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</si>
  <si>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</si>
  <si>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</si>
  <si>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</si>
  <si>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</si>
  <si>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</si>
  <si>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</si>
  <si>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1 - Knowledge Sharing</t>
  </si>
  <si>
    <t>Task 2 - Enhanced Multicultural Engagement</t>
  </si>
  <si>
    <t>Task 3 - Multifamily Recycling and Reduction of Contamination</t>
  </si>
  <si>
    <t>Task 4 - Community Events- Reducing Contamination &amp; Waste, and Encouraging Composting</t>
  </si>
  <si>
    <t>Task 5 - Sustainable Materials Management</t>
  </si>
  <si>
    <t>Task 6 - Focused Education for Younger Minds</t>
  </si>
  <si>
    <t>Support Staff (e.g. Public Education Team, Website Updates, Accounting)</t>
  </si>
  <si>
    <t>Intern Program (recruitement &amp; boot camp)</t>
  </si>
  <si>
    <t>Intern Program (recruitment &amp; boot camp)</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</si>
  <si>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</si>
  <si>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</si>
  <si>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</si>
  <si>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</si>
  <si>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</si>
  <si>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</si>
  <si>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</si>
  <si>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</si>
  <si>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</si>
  <si>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</si>
  <si>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</si>
  <si>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</si>
  <si>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</si>
  <si>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</si>
  <si>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</si>
  <si>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</si>
  <si>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</si>
  <si>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</si>
  <si>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</si>
  <si>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Less: Reduction in the Tasks above to reflect prior overspent funds</t>
  </si>
  <si>
    <t>Oct., 2019</t>
  </si>
  <si>
    <t>Jan., 2020</t>
  </si>
  <si>
    <t>Jan. 2021</t>
  </si>
  <si>
    <t>Oct.; 2019</t>
  </si>
  <si>
    <t>Jan.; 2020</t>
  </si>
  <si>
    <t>Jan., 2021</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</si>
  <si>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</si>
  <si>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</si>
  <si>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</si>
  <si>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</si>
  <si>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</si>
  <si>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</si>
  <si>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</si>
  <si>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</si>
  <si>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</si>
  <si>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</si>
  <si>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</si>
  <si>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</si>
  <si>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</si>
  <si>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</si>
  <si>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</si>
  <si>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</si>
  <si>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</si>
  <si>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UTC North Sound</t>
  </si>
  <si>
    <t>Grand total</t>
  </si>
  <si>
    <t>October:</t>
  </si>
  <si>
    <t>Recycle</t>
  </si>
  <si>
    <t>Multifamily</t>
  </si>
  <si>
    <t>November:</t>
  </si>
  <si>
    <t>December:</t>
  </si>
  <si>
    <t>Arlington</t>
  </si>
  <si>
    <t>Granite Falls</t>
  </si>
  <si>
    <t>Lake Stevens</t>
  </si>
  <si>
    <t>Mill Creek</t>
  </si>
  <si>
    <t>Mountlake Terrace</t>
  </si>
  <si>
    <t>Mukilteo</t>
  </si>
  <si>
    <t>Darrington</t>
  </si>
  <si>
    <t>Stanwood</t>
  </si>
  <si>
    <t>UTC Marysville</t>
  </si>
  <si>
    <t>December</t>
  </si>
  <si>
    <t>2020 - 2021 Pro Rata per Budget</t>
  </si>
  <si>
    <t>2020 - 2021 Total per Budget</t>
  </si>
  <si>
    <t>January:</t>
  </si>
  <si>
    <t>February:</t>
  </si>
  <si>
    <t>March</t>
  </si>
  <si>
    <t>April</t>
  </si>
  <si>
    <t>Oct; '19</t>
  </si>
  <si>
    <t>Jan. '20</t>
  </si>
  <si>
    <t>Jan. '21</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</si>
  <si>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</si>
  <si>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</si>
  <si>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</si>
  <si>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</si>
  <si>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</si>
  <si>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</si>
  <si>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</si>
  <si>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</si>
  <si>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</si>
  <si>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</si>
  <si>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</si>
  <si>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</si>
  <si>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</si>
  <si>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</si>
  <si>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</si>
  <si>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</si>
  <si>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</si>
  <si>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</si>
  <si>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</si>
  <si>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</si>
  <si>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</si>
  <si>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</si>
  <si>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</si>
  <si>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</si>
  <si>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</si>
  <si>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</si>
  <si>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</si>
  <si>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</si>
  <si>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</si>
  <si>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</si>
  <si>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</si>
  <si>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</si>
  <si>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</si>
  <si>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</si>
  <si>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</si>
  <si>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</si>
  <si>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</si>
  <si>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</si>
  <si>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</si>
  <si>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</si>
  <si>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</si>
  <si>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</si>
  <si>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</si>
  <si>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</si>
  <si>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</si>
  <si>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</si>
  <si>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</si>
  <si>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</si>
  <si>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</si>
  <si>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</si>
  <si>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</si>
  <si>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</si>
  <si>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</si>
  <si>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</si>
  <si>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</si>
  <si>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 xml:space="preserve">2018 - 2019 plan years </t>
  </si>
  <si>
    <t>Actual</t>
  </si>
  <si>
    <t>Residential and Multi-Family WUTC tonnage</t>
  </si>
  <si>
    <t>King County Financial Incentive Analysis</t>
  </si>
  <si>
    <t>RSA Total</t>
  </si>
  <si>
    <t>a.) Diversion:</t>
  </si>
  <si>
    <t xml:space="preserve"> RESIDENTIAL WASTE STREAM</t>
  </si>
  <si>
    <t xml:space="preserve">Residential Recycling </t>
  </si>
  <si>
    <t xml:space="preserve">Residential Yard Waste </t>
  </si>
  <si>
    <t xml:space="preserve">Residential Solid Waste </t>
  </si>
  <si>
    <t>TOTAL RESIDENTIAL</t>
  </si>
  <si>
    <t xml:space="preserve"> MULTIFAMILY WASTE STREAM</t>
  </si>
  <si>
    <t xml:space="preserve">Multifamily Recycling </t>
  </si>
  <si>
    <t xml:space="preserve">Multifamily Yard Waste </t>
  </si>
  <si>
    <t xml:space="preserve">Multifamily Solid Waste </t>
  </si>
  <si>
    <t>TOTAL MULTIFAMILY</t>
  </si>
  <si>
    <t xml:space="preserve"> TOTAL WASTE STREAM</t>
  </si>
  <si>
    <t>Total Diversion</t>
  </si>
  <si>
    <t>Diversion Rate</t>
  </si>
  <si>
    <t>Yard Waste</t>
  </si>
  <si>
    <t>Snohomish County Financial Incentive Analysis</t>
  </si>
  <si>
    <t>b.) Increase in Recycling Customers:</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</si>
  <si>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</si>
  <si>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</si>
  <si>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</si>
  <si>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</si>
  <si>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Current customers</t>
  </si>
  <si>
    <t>Actual Labor Costs</t>
  </si>
  <si>
    <t xml:space="preserve">WM  Seattle/SS </t>
  </si>
  <si>
    <t>Cost/customer per month</t>
  </si>
  <si>
    <t>Current recycling Rate</t>
  </si>
  <si>
    <t>Revised recycling rate</t>
  </si>
  <si>
    <t>Financial Incentives</t>
  </si>
  <si>
    <t>Waste Management is eligible for a financial incentive payment for implementation of the Plan if the following conditions are met:</t>
  </si>
  <si>
    <r>
      <t>a)</t>
    </r>
    <r>
      <rPr>
        <sz val="7"/>
        <rFont val="Times New Roman"/>
        <family val="1"/>
      </rPr>
      <t xml:space="preserve">      </t>
    </r>
    <r>
      <rPr>
        <sz val="12"/>
        <rFont val="Times New Roman"/>
        <family val="1"/>
      </rPr>
      <t xml:space="preserve">For participation in regional strategic planning efforts, planning and executing tactics in collaboration with King County addressing national sword and organic stream contamination reduction tactics and any increased diversion of materials from disposal by regulated residential customers, as a result of these efforts, an amount equal to </t>
    </r>
    <r>
      <rPr>
        <b/>
        <sz val="12"/>
        <rFont val="Times New Roman"/>
        <family val="1"/>
      </rPr>
      <t>3%</t>
    </r>
    <r>
      <rPr>
        <sz val="12"/>
        <rFont val="Times New Roman"/>
        <family val="1"/>
      </rPr>
      <t xml:space="preserve"> of the total expenditures incurred by Waste Management in implementation of Plan activities. To determine eligibility for this incentive payment, Waste Management will, in collaboration with King County, develop and execute measures for delivery of tactics which reduce contamination in the basic and organic’s stream. The completion of deliverables and evaluation will determine eligibility and be reported on for Part A (January 2020 – September 2020), and Part B (October 2020 – September 2021) of the plan.</t>
    </r>
  </si>
  <si>
    <r>
      <t>b)</t>
    </r>
    <r>
      <rPr>
        <sz val="7"/>
        <rFont val="Times New Roman"/>
        <family val="1"/>
      </rPr>
      <t xml:space="preserve">      </t>
    </r>
    <r>
      <rPr>
        <sz val="12"/>
        <rFont val="Times New Roman"/>
        <family val="1"/>
      </rPr>
      <t xml:space="preserve">For increasing the total number of regulated residential recycling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</si>
  <si>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2021.  The County may waive requirements a) and b) if in County’s judgment, WM has complied with all aspects of the Plan.</t>
    </r>
  </si>
  <si>
    <t xml:space="preserve">Oct; 2019 </t>
  </si>
  <si>
    <t>Sept. 2021</t>
  </si>
  <si>
    <t>Recycling</t>
  </si>
  <si>
    <t>% increase</t>
  </si>
  <si>
    <t>2020-2021</t>
  </si>
  <si>
    <t>2018-2019</t>
  </si>
  <si>
    <t>Over the past several years the amount of data describing the environmental impacts of the solid waste industry has greatly been expanded upon. Through that research, it’s become increasingly clear that evaluating success of a recycling program strictly by evaluating total diversion rate is not an accurate assessment of environmental benefit. For example, solely evaluating weight of recyclables would give equal benefit to recycling one pound of glass, versus one pound of aluminum; yet the environmental benefit from a green-house-gas and lifecycle point of view of recycling that pound of aluminum is far greater.</t>
  </si>
  <si>
    <t>The concept of sustainable materials management (SMM) is centered upon the idea that in order to maximize environmental benefit, it makes sense to prioritize, and measure disposal for items that have the maximum environmental impact to be recycled, composted, or have avoided disposal altogether.</t>
  </si>
  <si>
    <t>Per capita diversion rates mean that on an individual customer basis the weight of the aluminum, plastic bottles and cardboard, divided by the total weight of all materials collected per customer. If the diversion rate for these combined items has increased, WM will be eligible for this incentive payment, subject to the conditions in subsection c) below.</t>
  </si>
  <si>
    <r>
      <t>a)</t>
    </r>
    <r>
      <rPr>
        <sz val="7"/>
        <rFont val="Times New Roman"/>
        <family val="1"/>
      </rPr>
      <t xml:space="preserve">      </t>
    </r>
    <r>
      <rPr>
        <sz val="12"/>
        <rFont val="Times New Roman"/>
        <family val="1"/>
      </rPr>
      <t xml:space="preserve">For increasing per capita diversion rates of the combined commodities aluminum, plastic bottles (PET), and cardboard by regulated single family and multifamily residential customers, an amount equal to </t>
    </r>
    <r>
      <rPr>
        <b/>
        <u/>
        <sz val="12"/>
        <rFont val="Times New Roman"/>
        <family val="1"/>
      </rPr>
      <t>3%</t>
    </r>
    <r>
      <rPr>
        <sz val="12"/>
        <rFont val="Times New Roman"/>
        <family val="1"/>
      </rPr>
      <t xml:space="preserve"> of the total expenditures incurred by WM in implementation of Plan activities. To determine eligibility of this incentive payment, WM will evaluate the diversion rate by material type for Snohomish County WUTC single family and multifamily customers based on a 3-year rolling average on a calendar year basis.</t>
    </r>
  </si>
  <si>
    <r>
      <t>b)</t>
    </r>
    <r>
      <rPr>
        <sz val="7"/>
        <rFont val="Times New Roman"/>
        <family val="1"/>
      </rPr>
      <t xml:space="preserve">      </t>
    </r>
    <r>
      <rPr>
        <sz val="12"/>
        <rFont val="Times New Roman"/>
        <family val="1"/>
      </rPr>
      <t xml:space="preserve">For increasing the total number of regulated residential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</si>
  <si>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t>b.) Increase in Recycling Accounts:</t>
  </si>
  <si>
    <t>september</t>
  </si>
  <si>
    <t>WUTC - King County (Seattle/South Sound)</t>
  </si>
  <si>
    <t>WUTC - King County (North Sound/Marysville)</t>
  </si>
  <si>
    <t>Total Average</t>
  </si>
  <si>
    <t>King County (Seattle/South Sound)</t>
  </si>
  <si>
    <t>King County (North Sound/Marysville)</t>
  </si>
  <si>
    <t>50% of the amount overspent in the 2018-2019 RSA will be used to reduce the expenditures in the 2020-2021 RSA with remainder to be recovered in future RSA's</t>
  </si>
  <si>
    <t>Less: 50% of amount overspent in 2018-2019 RSA</t>
  </si>
  <si>
    <t>Task 3 - Analysis of incorporating tasks into base rates</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</si>
  <si>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</si>
  <si>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</si>
  <si>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</si>
  <si>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</si>
  <si>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</si>
  <si>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</si>
  <si>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</si>
  <si>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</si>
  <si>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</si>
  <si>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Lynnwood- UTC</t>
  </si>
  <si>
    <t>Edmonds- UTC</t>
  </si>
  <si>
    <t>Everett_UTC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</si>
</sst>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11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u val="singleAccounting"/>
      <sz val="9"/>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u val="singleAccounting"/>
      <sz val="11"/>
      <color theme="1"/>
      <name val="Calibri"/>
      <family val="2"/>
      <scheme val="minor"/>
    </font>
    <font>
      <b/>
      <u val="doubleAccounting"/>
      <sz val="11"/>
      <name val="Calibri"/>
      <family val="2"/>
      <scheme val="minor"/>
    </font>
    <font>
      <b/>
      <u val="doubleAccounting"/>
      <sz val="11"/>
      <color theme="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sz val="11"/>
      <color theme="1"/>
      <name val="Calibri"/>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sz val="11"/>
      <color rgb="FFFF0000"/>
      <name val="Calibri"/>
      <family val="2"/>
    </font>
    <font>
      <b/>
      <sz val="10"/>
      <color rgb="FFFF0000"/>
      <name val="Arial"/>
      <family val="2"/>
    </font>
    <font>
      <b/>
      <i/>
      <u/>
      <sz val="11"/>
      <color theme="1"/>
      <name val="Calibri"/>
      <family val="2"/>
      <scheme val="minor"/>
    </font>
    <font>
      <b/>
      <i/>
      <u/>
      <sz val="11"/>
      <color rgb="FFFF0000"/>
      <name val="Calibri"/>
      <family val="2"/>
    </font>
    <font>
      <sz val="9"/>
      <color indexed="81"/>
      <name val="Tahoma"/>
      <charset val="1"/>
    </font>
    <font>
      <b/>
      <sz val="9"/>
      <color indexed="81"/>
      <name val="Tahoma"/>
      <charset val="1"/>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u val="doubleAccounting"/>
      <sz val="11"/>
      <color rgb="FF00B050"/>
      <name val="Calibri"/>
      <family val="2"/>
    </font>
    <font>
      <b/>
      <sz val="11"/>
      <color theme="1"/>
      <name val="Arial"/>
      <family val="2"/>
    </font>
    <font>
      <b/>
      <u/>
      <sz val="11"/>
      <color theme="1"/>
      <name val="Arial"/>
      <family val="2"/>
    </font>
    <font>
      <b/>
      <u/>
      <sz val="12"/>
      <color theme="1"/>
      <name val="Arial"/>
      <family val="2"/>
    </font>
    <font>
      <b/>
      <i/>
      <sz val="11"/>
      <name val="Arial"/>
      <family val="2"/>
    </font>
    <font>
      <b/>
      <i/>
      <sz val="10"/>
      <name val="Arial"/>
      <family val="2"/>
    </font>
    <font>
      <sz val="11"/>
      <name val="Arial"/>
      <family val="2"/>
    </font>
    <font>
      <u val="singleAccounting"/>
      <sz val="11"/>
      <color theme="1"/>
      <name val="Arial"/>
      <family val="2"/>
    </font>
    <font>
      <b/>
      <sz val="11"/>
      <name val="Arial"/>
      <family val="2"/>
    </font>
    <font>
      <u/>
      <sz val="11"/>
      <color theme="1"/>
      <name val="Arial"/>
      <family val="2"/>
    </font>
    <font>
      <b/>
      <i/>
      <sz val="11"/>
      <color indexed="10"/>
      <name val="Arial"/>
      <family val="2"/>
    </font>
    <font>
      <b/>
      <i/>
      <sz val="10"/>
      <color indexed="10"/>
      <name val="Arial"/>
      <family val="2"/>
    </font>
    <font>
      <b/>
      <u val="double"/>
      <sz val="11"/>
      <color theme="1"/>
      <name val="Arial"/>
      <family val="2"/>
    </font>
    <font>
      <b/>
      <u/>
      <sz val="12"/>
      <color theme="1"/>
      <name val="Calibri"/>
      <family val="2"/>
      <scheme val="minor"/>
    </font>
    <font>
      <u val="singleAccounting"/>
      <sz val="11"/>
      <color rgb="FFFF0000"/>
      <name val="Calibri"/>
      <family val="2"/>
    </font>
    <font>
      <b/>
      <u val="singleAccounting"/>
      <sz val="11"/>
      <color rgb="FFFF0000"/>
      <name val="Calibri"/>
      <family val="2"/>
    </font>
    <font>
      <b/>
      <u val="doubleAccounting"/>
      <sz val="11"/>
      <color rgb="FFFF0000"/>
      <name val="Calibri"/>
      <family val="2"/>
    </font>
    <font>
      <sz val="12"/>
      <name val="Times New Roman"/>
      <family val="1"/>
    </font>
    <font>
      <b/>
      <sz val="12"/>
      <name val="Times New Roman"/>
      <family val="1"/>
    </font>
    <font>
      <sz val="7"/>
      <name val="Times New Roman"/>
      <family val="1"/>
    </font>
    <font>
      <b/>
      <u/>
      <sz val="12"/>
      <name val="Times New Roman"/>
      <family val="1"/>
    </font>
    <font>
      <b/>
      <sz val="11"/>
      <name val="Palatino Linotype"/>
      <family val="1"/>
    </font>
  </fonts>
  <fills count="8">
    <fill>
      <patternFill patternType="none"/>
    </fill>
    <fill>
      <patternFill patternType="gray125"/>
    </fill>
    <fill>
      <patternFill patternType="solid">
        <fgColor indexed="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6" fillId="0" borderId="0" applyFont="0" applyFill="0" applyBorder="0" applyAlignment="0" applyProtection="0"/>
  </cellStyleXfs>
  <cellXfs count="594">
    <xf numFmtId="0" fontId="0" fillId="0" borderId="0" xfId="0"/>
    <xf numFmtId="0" fontId="4" fillId="0" borderId="0" xfId="0" applyFont="1"/>
    <xf numFmtId="0" fontId="5" fillId="0" borderId="1"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5" fillId="0" borderId="6" xfId="0" applyNumberFormat="1" applyFont="1" applyBorder="1" applyAlignment="1">
      <alignment horizontal="right"/>
    </xf>
    <xf numFmtId="0" fontId="6" fillId="0" borderId="0" xfId="0" applyFont="1"/>
    <xf numFmtId="0" fontId="0" fillId="0" borderId="0" xfId="0" applyBorder="1"/>
    <xf numFmtId="0" fontId="37" fillId="0" borderId="0" xfId="0" applyFont="1" applyAlignment="1">
      <alignment horizontal="center"/>
    </xf>
    <xf numFmtId="0" fontId="39" fillId="0" borderId="0" xfId="0" applyFont="1" applyAlignment="1">
      <alignment horizontal="center"/>
    </xf>
    <xf numFmtId="164" fontId="6" fillId="0" borderId="3" xfId="10" applyNumberFormat="1" applyFont="1" applyBorder="1" applyAlignment="1">
      <alignment horizontal="right"/>
    </xf>
    <xf numFmtId="43" fontId="6" fillId="0" borderId="2" xfId="2" applyFont="1" applyBorder="1" applyAlignment="1">
      <alignment horizontal="right"/>
    </xf>
    <xf numFmtId="43" fontId="7" fillId="0" borderId="2" xfId="2" applyFont="1" applyBorder="1" applyAlignment="1">
      <alignment horizontal="right"/>
    </xf>
    <xf numFmtId="0" fontId="4" fillId="0" borderId="7" xfId="0" applyFont="1" applyBorder="1"/>
    <xf numFmtId="43" fontId="4" fillId="0" borderId="8" xfId="2" applyFont="1" applyBorder="1"/>
    <xf numFmtId="9" fontId="4" fillId="0" borderId="9" xfId="0" applyNumberFormat="1" applyFont="1" applyBorder="1"/>
    <xf numFmtId="0" fontId="40" fillId="0" borderId="0" xfId="0" applyFont="1" applyBorder="1"/>
    <xf numFmtId="0" fontId="0" fillId="0" borderId="0" xfId="0" applyFill="1"/>
    <xf numFmtId="0" fontId="41" fillId="0" borderId="0" xfId="0" quotePrefix="1" applyFont="1" applyAlignment="1">
      <alignment wrapText="1"/>
    </xf>
    <xf numFmtId="0" fontId="42" fillId="0" borderId="0" xfId="0" applyFont="1" applyAlignment="1">
      <alignment horizontal="right" wrapText="1"/>
    </xf>
    <xf numFmtId="0" fontId="42" fillId="0" borderId="0" xfId="0" applyFont="1" applyAlignment="1">
      <alignment horizontal="center" wrapText="1"/>
    </xf>
    <xf numFmtId="0" fontId="42" fillId="0" borderId="0" xfId="0" applyFont="1" applyAlignment="1">
      <alignment wrapText="1"/>
    </xf>
    <xf numFmtId="0" fontId="39" fillId="0" borderId="0" xfId="0" applyFont="1" applyBorder="1"/>
    <xf numFmtId="0" fontId="37" fillId="0" borderId="0" xfId="0" applyFont="1" applyFill="1" applyBorder="1"/>
    <xf numFmtId="0" fontId="0" fillId="0" borderId="0" xfId="0" applyFill="1" applyBorder="1"/>
    <xf numFmtId="0" fontId="43" fillId="0" borderId="0" xfId="0" applyFont="1" applyBorder="1"/>
    <xf numFmtId="0" fontId="37" fillId="0" borderId="0" xfId="0" applyFont="1" applyAlignment="1">
      <alignment wrapText="1"/>
    </xf>
    <xf numFmtId="0" fontId="44" fillId="0" borderId="0" xfId="0" applyFont="1" applyAlignment="1">
      <alignment horizontal="right" wrapText="1"/>
    </xf>
    <xf numFmtId="0" fontId="45" fillId="0" borderId="0" xfId="0" applyFont="1" applyBorder="1"/>
    <xf numFmtId="0" fontId="46" fillId="0" borderId="0" xfId="0" applyFont="1" applyAlignment="1">
      <alignment wrapText="1"/>
    </xf>
    <xf numFmtId="0" fontId="46" fillId="0" borderId="0" xfId="0" applyFont="1" applyAlignment="1">
      <alignment horizontal="right" wrapText="1"/>
    </xf>
    <xf numFmtId="0" fontId="39"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8" fillId="0" borderId="0" xfId="0" applyFont="1" applyAlignment="1">
      <alignment horizontal="right" wrapText="1"/>
    </xf>
    <xf numFmtId="0" fontId="44" fillId="0" borderId="0" xfId="0" applyFont="1" applyAlignment="1">
      <alignment wrapText="1"/>
    </xf>
    <xf numFmtId="6" fontId="46" fillId="0" borderId="0" xfId="3" applyNumberFormat="1" applyFont="1" applyAlignment="1">
      <alignment horizontal="right" wrapText="1"/>
    </xf>
    <xf numFmtId="6" fontId="46" fillId="0" borderId="0" xfId="3" applyNumberFormat="1" applyFont="1" applyAlignment="1">
      <alignment horizontal="center" wrapText="1"/>
    </xf>
    <xf numFmtId="0" fontId="0" fillId="3" borderId="10" xfId="0" applyFill="1" applyBorder="1" applyAlignment="1">
      <alignment wrapText="1"/>
    </xf>
    <xf numFmtId="0" fontId="0" fillId="3" borderId="11" xfId="0" applyFill="1" applyBorder="1" applyAlignment="1">
      <alignment wrapText="1"/>
    </xf>
    <xf numFmtId="0" fontId="0" fillId="3" borderId="11" xfId="0" applyFill="1" applyBorder="1" applyAlignment="1">
      <alignment horizontal="right" wrapText="1"/>
    </xf>
    <xf numFmtId="0" fontId="39" fillId="3" borderId="13" xfId="0" applyFont="1" applyFill="1" applyBorder="1" applyAlignment="1">
      <alignment wrapText="1"/>
    </xf>
    <xf numFmtId="0" fontId="0" fillId="3" borderId="13" xfId="0" applyFill="1" applyBorder="1" applyAlignment="1">
      <alignment wrapText="1"/>
    </xf>
    <xf numFmtId="165" fontId="47" fillId="3" borderId="0" xfId="1" applyNumberFormat="1" applyFont="1" applyFill="1" applyBorder="1" applyAlignment="1">
      <alignment horizontal="center" wrapText="1"/>
    </xf>
    <xf numFmtId="0" fontId="46" fillId="3" borderId="13" xfId="0" applyFont="1" applyFill="1" applyBorder="1" applyAlignment="1">
      <alignment wrapText="1"/>
    </xf>
    <xf numFmtId="165" fontId="48" fillId="3" borderId="0" xfId="1" applyNumberFormat="1" applyFont="1" applyFill="1" applyBorder="1" applyAlignment="1">
      <alignment horizontal="center" wrapText="1"/>
    </xf>
    <xf numFmtId="0" fontId="0" fillId="3" borderId="15" xfId="0" applyFill="1" applyBorder="1" applyAlignment="1">
      <alignment wrapText="1"/>
    </xf>
    <xf numFmtId="0" fontId="0" fillId="3" borderId="16" xfId="0" applyFill="1" applyBorder="1" applyAlignment="1">
      <alignment wrapText="1"/>
    </xf>
    <xf numFmtId="0" fontId="0" fillId="3" borderId="16" xfId="0" applyFill="1" applyBorder="1" applyAlignment="1">
      <alignment horizontal="right" wrapText="1"/>
    </xf>
    <xf numFmtId="0" fontId="0" fillId="3" borderId="17" xfId="0" applyFill="1" applyBorder="1" applyAlignment="1">
      <alignment horizontal="right" wrapText="1"/>
    </xf>
    <xf numFmtId="164" fontId="42" fillId="0" borderId="0" xfId="9" applyNumberFormat="1" applyFont="1" applyAlignment="1">
      <alignment horizontal="center" wrapText="1"/>
    </xf>
    <xf numFmtId="164" fontId="4" fillId="0" borderId="9" xfId="0" applyNumberFormat="1" applyFont="1" applyBorder="1"/>
    <xf numFmtId="43" fontId="4" fillId="0" borderId="8" xfId="1" applyFont="1" applyBorder="1"/>
    <xf numFmtId="43" fontId="0" fillId="0" borderId="0" xfId="1" applyFont="1"/>
    <xf numFmtId="0" fontId="4" fillId="0" borderId="18" xfId="0" applyFont="1" applyBorder="1"/>
    <xf numFmtId="0" fontId="4" fillId="2" borderId="18" xfId="0" applyFont="1" applyFill="1" applyBorder="1"/>
    <xf numFmtId="0" fontId="4" fillId="2" borderId="18" xfId="0" applyFont="1" applyFill="1" applyBorder="1" applyAlignment="1">
      <alignment horizontal="center"/>
    </xf>
    <xf numFmtId="0" fontId="4" fillId="2" borderId="18" xfId="0" applyFont="1" applyFill="1" applyBorder="1" applyAlignment="1" applyProtection="1">
      <alignment horizontal="center"/>
    </xf>
    <xf numFmtId="0" fontId="10" fillId="0" borderId="18" xfId="0" applyFont="1" applyFill="1" applyBorder="1"/>
    <xf numFmtId="17" fontId="4" fillId="0" borderId="18" xfId="8" applyNumberFormat="1" applyFont="1" applyFill="1" applyBorder="1" applyAlignment="1">
      <alignment horizontal="right"/>
    </xf>
    <xf numFmtId="44" fontId="6" fillId="0" borderId="18" xfId="5" applyFont="1" applyFill="1" applyBorder="1"/>
    <xf numFmtId="0" fontId="38" fillId="0" borderId="0" xfId="0" applyFont="1"/>
    <xf numFmtId="0" fontId="37" fillId="0" borderId="0" xfId="0" applyFont="1"/>
    <xf numFmtId="0" fontId="39" fillId="0" borderId="0" xfId="0" applyFont="1"/>
    <xf numFmtId="165" fontId="50" fillId="0" borderId="0" xfId="1" applyNumberFormat="1" applyFont="1"/>
    <xf numFmtId="0" fontId="11" fillId="0" borderId="0" xfId="0" applyFont="1" applyAlignment="1">
      <alignment horizontal="center"/>
    </xf>
    <xf numFmtId="165" fontId="12" fillId="0" borderId="0" xfId="2" applyNumberFormat="1" applyFont="1" applyAlignment="1">
      <alignment horizontal="center"/>
    </xf>
    <xf numFmtId="0" fontId="12" fillId="0" borderId="0" xfId="0" applyFont="1" applyAlignment="1">
      <alignment horizontal="center"/>
    </xf>
    <xf numFmtId="165" fontId="51" fillId="0" borderId="0" xfId="1" applyNumberFormat="1" applyFont="1" applyAlignment="1">
      <alignment horizontal="center"/>
    </xf>
    <xf numFmtId="165" fontId="6" fillId="0" borderId="0" xfId="1" applyNumberFormat="1" applyFont="1" applyProtection="1"/>
    <xf numFmtId="165" fontId="52" fillId="0" borderId="0" xfId="1" applyNumberFormat="1" applyFont="1"/>
    <xf numFmtId="0" fontId="9" fillId="0" borderId="0" xfId="0" applyFont="1"/>
    <xf numFmtId="165" fontId="9" fillId="0" borderId="0" xfId="2" applyNumberFormat="1" applyFont="1"/>
    <xf numFmtId="43" fontId="13" fillId="0" borderId="0" xfId="1" applyFont="1" applyBorder="1" applyAlignment="1" applyProtection="1">
      <alignment horizontal="right"/>
      <protection locked="0"/>
    </xf>
    <xf numFmtId="0" fontId="14" fillId="0" borderId="0" xfId="7" applyFont="1"/>
    <xf numFmtId="0" fontId="53" fillId="0" borderId="0" xfId="0" applyFont="1"/>
    <xf numFmtId="0" fontId="42" fillId="0" borderId="0" xfId="0" applyFont="1"/>
    <xf numFmtId="0" fontId="54" fillId="0" borderId="0" xfId="0" applyFont="1"/>
    <xf numFmtId="0" fontId="55" fillId="0" borderId="0" xfId="0" applyFont="1" applyAlignment="1">
      <alignment horizontal="left"/>
    </xf>
    <xf numFmtId="164" fontId="7" fillId="0" borderId="3" xfId="9" applyNumberFormat="1" applyFont="1" applyBorder="1"/>
    <xf numFmtId="43" fontId="15" fillId="0" borderId="0" xfId="1" applyFont="1" applyBorder="1" applyAlignment="1" applyProtection="1">
      <alignment horizontal="right"/>
      <protection locked="0"/>
    </xf>
    <xf numFmtId="43" fontId="7" fillId="0" borderId="0" xfId="0" applyNumberFormat="1" applyFont="1"/>
    <xf numFmtId="164" fontId="8" fillId="0" borderId="3" xfId="9" applyNumberFormat="1" applyFont="1" applyBorder="1"/>
    <xf numFmtId="0" fontId="44" fillId="0" borderId="0" xfId="0" applyFont="1"/>
    <xf numFmtId="165" fontId="16" fillId="0" borderId="0" xfId="0" applyNumberFormat="1" applyFont="1"/>
    <xf numFmtId="0" fontId="46" fillId="0" borderId="0" xfId="0" applyFont="1"/>
    <xf numFmtId="44" fontId="6" fillId="0" borderId="18" xfId="3" applyFont="1" applyFill="1" applyBorder="1" applyProtection="1">
      <protection locked="0"/>
    </xf>
    <xf numFmtId="44" fontId="6" fillId="0" borderId="0" xfId="3" applyFont="1" applyFill="1" applyBorder="1" applyProtection="1">
      <protection locked="0"/>
    </xf>
    <xf numFmtId="44" fontId="56" fillId="0" borderId="0" xfId="0" applyNumberFormat="1" applyFont="1"/>
    <xf numFmtId="0" fontId="57" fillId="0" borderId="0" xfId="0" applyFont="1"/>
    <xf numFmtId="0" fontId="6" fillId="0" borderId="18" xfId="0" applyFont="1" applyBorder="1"/>
    <xf numFmtId="44" fontId="6" fillId="0" borderId="0" xfId="0" applyNumberFormat="1" applyFont="1" applyFill="1" applyBorder="1"/>
    <xf numFmtId="0" fontId="6" fillId="2" borderId="18" xfId="0" applyFont="1" applyFill="1" applyBorder="1"/>
    <xf numFmtId="0" fontId="6" fillId="0" borderId="18" xfId="0" applyFont="1" applyFill="1" applyBorder="1"/>
    <xf numFmtId="0" fontId="6" fillId="0" borderId="0" xfId="0" applyFont="1" applyFill="1" applyBorder="1"/>
    <xf numFmtId="164" fontId="6" fillId="0" borderId="0" xfId="0" applyNumberFormat="1" applyFont="1"/>
    <xf numFmtId="43" fontId="6" fillId="0" borderId="0" xfId="0" applyNumberFormat="1" applyFont="1"/>
    <xf numFmtId="0" fontId="52" fillId="0" borderId="0" xfId="0" applyFont="1" applyFill="1" applyBorder="1"/>
    <xf numFmtId="0" fontId="52" fillId="0" borderId="0" xfId="0" applyFont="1"/>
    <xf numFmtId="0" fontId="58" fillId="0" borderId="0" xfId="0" applyFont="1"/>
    <xf numFmtId="164" fontId="50" fillId="0" borderId="0" xfId="9" applyNumberFormat="1" applyFont="1"/>
    <xf numFmtId="43" fontId="50" fillId="0" borderId="0" xfId="1" applyFont="1"/>
    <xf numFmtId="165" fontId="0" fillId="0" borderId="0" xfId="2" applyNumberFormat="1" applyFont="1"/>
    <xf numFmtId="44" fontId="6" fillId="0" borderId="19" xfId="5" applyFont="1" applyFill="1" applyBorder="1"/>
    <xf numFmtId="0" fontId="0" fillId="0" borderId="0" xfId="0" quotePrefix="1"/>
    <xf numFmtId="0" fontId="0" fillId="0" borderId="0" xfId="0" quotePrefix="1" applyAlignment="1">
      <alignment horizontal="left"/>
    </xf>
    <xf numFmtId="164" fontId="6" fillId="0" borderId="3" xfId="9" applyNumberFormat="1" applyFont="1" applyBorder="1"/>
    <xf numFmtId="164" fontId="8" fillId="0" borderId="3" xfId="10" applyNumberFormat="1" applyFont="1" applyBorder="1" applyAlignment="1">
      <alignment horizontal="right"/>
    </xf>
    <xf numFmtId="0" fontId="4" fillId="0" borderId="0" xfId="0" applyFont="1" applyAlignment="1">
      <alignment horizontal="center"/>
    </xf>
    <xf numFmtId="43" fontId="13" fillId="0" borderId="0" xfId="1" applyFont="1" applyBorder="1" applyProtection="1">
      <protection locked="0"/>
    </xf>
    <xf numFmtId="44" fontId="6" fillId="0" borderId="0" xfId="3" applyFont="1"/>
    <xf numFmtId="165" fontId="7" fillId="0" borderId="0" xfId="0" applyNumberFormat="1" applyFont="1"/>
    <xf numFmtId="0" fontId="59" fillId="0" borderId="0" xfId="0" applyFont="1" applyAlignment="1">
      <alignment horizontal="center" wrapText="1"/>
    </xf>
    <xf numFmtId="0" fontId="19" fillId="0" borderId="0" xfId="0" applyFont="1" applyFill="1"/>
    <xf numFmtId="0" fontId="19" fillId="0" borderId="0" xfId="0" applyFont="1"/>
    <xf numFmtId="44" fontId="17" fillId="0" borderId="0" xfId="3" applyFont="1" applyAlignment="1">
      <alignment horizontal="center"/>
    </xf>
    <xf numFmtId="44" fontId="18" fillId="0" borderId="0" xfId="3" applyFont="1" applyAlignment="1">
      <alignment horizontal="center"/>
    </xf>
    <xf numFmtId="0" fontId="60" fillId="0" borderId="0" xfId="0" applyFont="1" applyBorder="1" applyAlignment="1">
      <alignment horizontal="center"/>
    </xf>
    <xf numFmtId="165" fontId="61" fillId="0" borderId="0" xfId="0" applyNumberFormat="1" applyFont="1" applyBorder="1" applyAlignment="1">
      <alignment horizontal="center"/>
    </xf>
    <xf numFmtId="164" fontId="62" fillId="0" borderId="0" xfId="9" applyNumberFormat="1" applyFont="1" applyAlignment="1"/>
    <xf numFmtId="165" fontId="61" fillId="0" borderId="0" xfId="0" applyNumberFormat="1" applyFont="1" applyBorder="1" applyAlignment="1"/>
    <xf numFmtId="166" fontId="61" fillId="0" borderId="0" xfId="0" applyNumberFormat="1" applyFont="1" applyAlignment="1">
      <alignment horizontal="right"/>
    </xf>
    <xf numFmtId="0" fontId="19" fillId="0" borderId="0" xfId="0" applyFont="1" applyAlignment="1">
      <alignment horizontal="right"/>
    </xf>
    <xf numFmtId="166" fontId="63" fillId="0" borderId="0" xfId="3" applyNumberFormat="1" applyFont="1" applyAlignment="1">
      <alignment horizontal="right"/>
    </xf>
    <xf numFmtId="166" fontId="64" fillId="0" borderId="0" xfId="0" applyNumberFormat="1" applyFont="1"/>
    <xf numFmtId="166" fontId="65" fillId="0" borderId="0" xfId="3" applyNumberFormat="1" applyFont="1" applyAlignment="1">
      <alignment horizontal="right"/>
    </xf>
    <xf numFmtId="166" fontId="61" fillId="0" borderId="0" xfId="3" applyNumberFormat="1" applyFont="1" applyAlignment="1">
      <alignment horizontal="right"/>
    </xf>
    <xf numFmtId="166" fontId="61" fillId="0" borderId="0" xfId="3" applyNumberFormat="1" applyFont="1" applyBorder="1" applyAlignment="1">
      <alignment horizontal="center"/>
    </xf>
    <xf numFmtId="166" fontId="19" fillId="0" borderId="0" xfId="0" applyNumberFormat="1" applyFont="1"/>
    <xf numFmtId="166" fontId="18" fillId="0" borderId="0" xfId="3" applyNumberFormat="1" applyFont="1" applyFill="1" applyAlignment="1">
      <alignment horizontal="center"/>
    </xf>
    <xf numFmtId="166" fontId="60" fillId="0" borderId="0" xfId="3" applyNumberFormat="1" applyFont="1" applyBorder="1" applyAlignment="1">
      <alignment horizontal="center"/>
    </xf>
    <xf numFmtId="166" fontId="19" fillId="0" borderId="0" xfId="0" applyNumberFormat="1" applyFont="1" applyFill="1"/>
    <xf numFmtId="166" fontId="21" fillId="0" borderId="0" xfId="3" applyNumberFormat="1" applyFont="1" applyAlignment="1">
      <alignment horizontal="right"/>
    </xf>
    <xf numFmtId="166" fontId="18" fillId="0" borderId="0" xfId="3" applyNumberFormat="1" applyFont="1" applyAlignment="1">
      <alignment horizontal="right"/>
    </xf>
    <xf numFmtId="166" fontId="22" fillId="0" borderId="0" xfId="3" applyNumberFormat="1" applyFont="1" applyAlignment="1">
      <alignment horizontal="center"/>
    </xf>
    <xf numFmtId="43" fontId="22" fillId="0" borderId="0" xfId="1" applyFont="1" applyAlignment="1">
      <alignment horizontal="center"/>
    </xf>
    <xf numFmtId="44" fontId="22" fillId="0" borderId="0" xfId="3" applyFont="1" applyAlignment="1">
      <alignment horizontal="center"/>
    </xf>
    <xf numFmtId="9" fontId="60" fillId="0" borderId="0" xfId="9" applyFont="1" applyBorder="1" applyAlignment="1">
      <alignment horizontal="center"/>
    </xf>
    <xf numFmtId="166" fontId="66" fillId="0" borderId="0" xfId="3" applyNumberFormat="1" applyFont="1" applyAlignment="1">
      <alignment horizontal="right"/>
    </xf>
    <xf numFmtId="6" fontId="17" fillId="0" borderId="0" xfId="3" applyNumberFormat="1" applyFont="1" applyAlignment="1">
      <alignment horizontal="right"/>
    </xf>
    <xf numFmtId="164" fontId="22" fillId="0" borderId="0" xfId="9" applyNumberFormat="1" applyFont="1" applyAlignment="1">
      <alignment horizontal="center"/>
    </xf>
    <xf numFmtId="165" fontId="4" fillId="0" borderId="0" xfId="2" applyNumberFormat="1" applyFont="1" applyAlignment="1">
      <alignment horizontal="center"/>
    </xf>
    <xf numFmtId="43" fontId="6" fillId="0" borderId="0" xfId="1" applyFont="1"/>
    <xf numFmtId="43" fontId="7" fillId="0" borderId="0" xfId="1" applyFont="1"/>
    <xf numFmtId="165" fontId="6" fillId="0" borderId="0" xfId="0" applyNumberFormat="1" applyFont="1"/>
    <xf numFmtId="43" fontId="6" fillId="0" borderId="0" xfId="0" applyNumberFormat="1" applyFont="1" applyFill="1"/>
    <xf numFmtId="0" fontId="6" fillId="0" borderId="0" xfId="0" applyFont="1" applyFill="1"/>
    <xf numFmtId="164" fontId="67" fillId="0" borderId="0" xfId="9" applyNumberFormat="1" applyFont="1"/>
    <xf numFmtId="166" fontId="6" fillId="0" borderId="0" xfId="0" applyNumberFormat="1" applyFont="1"/>
    <xf numFmtId="165" fontId="6" fillId="0" borderId="0" xfId="0" applyNumberFormat="1" applyFont="1" applyFill="1"/>
    <xf numFmtId="166" fontId="50" fillId="0" borderId="0" xfId="3" applyNumberFormat="1" applyFont="1"/>
    <xf numFmtId="44" fontId="50" fillId="0" borderId="0" xfId="3" applyFont="1"/>
    <xf numFmtId="0" fontId="68" fillId="0" borderId="0" xfId="0" applyFont="1"/>
    <xf numFmtId="166" fontId="68" fillId="0" borderId="0" xfId="3" applyNumberFormat="1" applyFont="1"/>
    <xf numFmtId="43" fontId="68" fillId="0" borderId="0" xfId="0" applyNumberFormat="1" applyFont="1"/>
    <xf numFmtId="43" fontId="52" fillId="0" borderId="0" xfId="0" applyNumberFormat="1" applyFont="1"/>
    <xf numFmtId="44" fontId="68" fillId="0" borderId="0" xfId="3" applyFont="1"/>
    <xf numFmtId="43" fontId="56" fillId="0" borderId="0" xfId="0" applyNumberFormat="1" applyFont="1"/>
    <xf numFmtId="166" fontId="56" fillId="0" borderId="0" xfId="3" applyNumberFormat="1" applyFont="1"/>
    <xf numFmtId="44" fontId="56" fillId="0" borderId="0" xfId="3" applyFont="1"/>
    <xf numFmtId="165" fontId="56" fillId="0" borderId="0" xfId="0" applyNumberFormat="1" applyFont="1"/>
    <xf numFmtId="166" fontId="50" fillId="0" borderId="0" xfId="3" applyNumberFormat="1" applyFont="1" applyFill="1"/>
    <xf numFmtId="0" fontId="68" fillId="0" borderId="0" xfId="0" applyFont="1" applyFill="1"/>
    <xf numFmtId="43" fontId="68" fillId="0" borderId="0" xfId="0" applyNumberFormat="1" applyFont="1" applyFill="1"/>
    <xf numFmtId="43" fontId="69" fillId="0" borderId="0" xfId="1" applyFont="1"/>
    <xf numFmtId="43" fontId="69" fillId="0" borderId="0" xfId="0" applyNumberFormat="1" applyFont="1"/>
    <xf numFmtId="166" fontId="69" fillId="0" borderId="0" xfId="3" applyNumberFormat="1" applyFont="1"/>
    <xf numFmtId="166" fontId="69" fillId="0" borderId="0" xfId="0" applyNumberFormat="1" applyFont="1"/>
    <xf numFmtId="44" fontId="69" fillId="0" borderId="0" xfId="3" applyFont="1"/>
    <xf numFmtId="165" fontId="69" fillId="0" borderId="0" xfId="1" applyNumberFormat="1" applyFont="1"/>
    <xf numFmtId="166" fontId="16" fillId="0" borderId="0" xfId="3" applyNumberFormat="1" applyFont="1"/>
    <xf numFmtId="166" fontId="16" fillId="0" borderId="0" xfId="0" applyNumberFormat="1" applyFont="1"/>
    <xf numFmtId="0" fontId="57" fillId="0" borderId="0" xfId="0" applyFont="1" applyAlignment="1">
      <alignment horizontal="center"/>
    </xf>
    <xf numFmtId="0" fontId="58" fillId="0" borderId="0" xfId="0" applyFont="1" applyAlignment="1">
      <alignment horizontal="center"/>
    </xf>
    <xf numFmtId="43" fontId="7" fillId="0" borderId="0" xfId="0" applyNumberFormat="1" applyFont="1" applyFill="1"/>
    <xf numFmtId="43" fontId="52" fillId="0" borderId="0" xfId="0" applyNumberFormat="1" applyFont="1" applyFill="1"/>
    <xf numFmtId="164" fontId="70" fillId="0" borderId="0" xfId="9" applyNumberFormat="1" applyFont="1"/>
    <xf numFmtId="164" fontId="56" fillId="0" borderId="0" xfId="9" applyNumberFormat="1" applyFont="1"/>
    <xf numFmtId="0" fontId="58" fillId="0" borderId="0" xfId="0" applyFont="1" applyAlignment="1">
      <alignment horizontal="center"/>
    </xf>
    <xf numFmtId="165" fontId="6" fillId="0" borderId="0" xfId="2" applyNumberFormat="1" applyFont="1" applyFill="1"/>
    <xf numFmtId="165" fontId="6" fillId="0" borderId="0" xfId="2" applyNumberFormat="1" applyFont="1"/>
    <xf numFmtId="0" fontId="6" fillId="0" borderId="0" xfId="0" quotePrefix="1" applyFont="1"/>
    <xf numFmtId="165" fontId="50" fillId="0" borderId="0" xfId="2" applyNumberFormat="1" applyFont="1"/>
    <xf numFmtId="165" fontId="68" fillId="0" borderId="0" xfId="2" applyNumberFormat="1" applyFont="1"/>
    <xf numFmtId="165" fontId="71" fillId="0" borderId="0" xfId="2" applyNumberFormat="1" applyFont="1"/>
    <xf numFmtId="0" fontId="71" fillId="0" borderId="0" xfId="0" applyFont="1"/>
    <xf numFmtId="165" fontId="68" fillId="0" borderId="0" xfId="0" applyNumberFormat="1" applyFont="1"/>
    <xf numFmtId="164" fontId="70" fillId="0" borderId="0" xfId="0" applyNumberFormat="1" applyFont="1"/>
    <xf numFmtId="165" fontId="57" fillId="0" borderId="0" xfId="0" applyNumberFormat="1" applyFont="1"/>
    <xf numFmtId="165" fontId="51" fillId="0" borderId="0" xfId="0" applyNumberFormat="1" applyFont="1"/>
    <xf numFmtId="165" fontId="57" fillId="0" borderId="0" xfId="1" applyNumberFormat="1" applyFont="1"/>
    <xf numFmtId="165" fontId="51" fillId="0" borderId="0" xfId="1" applyNumberFormat="1" applyFont="1"/>
    <xf numFmtId="0" fontId="5" fillId="0" borderId="0" xfId="0" applyFont="1" applyFill="1" applyAlignment="1">
      <alignment horizontal="center"/>
    </xf>
    <xf numFmtId="165" fontId="50" fillId="0" borderId="0" xfId="2" applyNumberFormat="1" applyFont="1" applyFill="1"/>
    <xf numFmtId="165" fontId="6" fillId="0" borderId="0" xfId="1" applyNumberFormat="1" applyFont="1" applyFill="1" applyProtection="1"/>
    <xf numFmtId="43" fontId="0" fillId="0" borderId="0" xfId="0" applyNumberFormat="1"/>
    <xf numFmtId="16" fontId="11" fillId="0" borderId="0" xfId="0" applyNumberFormat="1" applyFont="1" applyAlignment="1">
      <alignment horizontal="center"/>
    </xf>
    <xf numFmtId="0" fontId="4" fillId="0" borderId="0" xfId="0" quotePrefix="1" applyFont="1" applyAlignment="1">
      <alignment horizontal="center"/>
    </xf>
    <xf numFmtId="0" fontId="50" fillId="0" borderId="0" xfId="1" applyNumberFormat="1" applyFont="1"/>
    <xf numFmtId="44" fontId="50" fillId="0" borderId="0" xfId="1" applyNumberFormat="1" applyFont="1"/>
    <xf numFmtId="165" fontId="68" fillId="0" borderId="0" xfId="2" applyNumberFormat="1" applyFont="1" applyFill="1"/>
    <xf numFmtId="0" fontId="7" fillId="0" borderId="0" xfId="0" applyFont="1"/>
    <xf numFmtId="0" fontId="63" fillId="0" borderId="0" xfId="0" applyFont="1" applyBorder="1"/>
    <xf numFmtId="0" fontId="59" fillId="0" borderId="0" xfId="0" applyFont="1" applyAlignment="1">
      <alignment horizontal="right" wrapText="1"/>
    </xf>
    <xf numFmtId="0" fontId="59" fillId="0" borderId="0" xfId="0" applyFont="1" applyAlignment="1">
      <alignment wrapText="1"/>
    </xf>
    <xf numFmtId="0" fontId="60" fillId="0" borderId="0" xfId="0" applyFont="1" applyBorder="1"/>
    <xf numFmtId="0" fontId="63" fillId="0" borderId="0" xfId="0" applyFont="1" applyFill="1" applyBorder="1"/>
    <xf numFmtId="0" fontId="63" fillId="0" borderId="0" xfId="0" applyFont="1" applyAlignment="1">
      <alignment wrapText="1"/>
    </xf>
    <xf numFmtId="0" fontId="19" fillId="0" borderId="0" xfId="0" applyFont="1" applyAlignment="1">
      <alignment horizontal="right" wrapText="1"/>
    </xf>
    <xf numFmtId="164" fontId="59" fillId="0" borderId="0" xfId="9" applyNumberFormat="1" applyFont="1" applyAlignment="1">
      <alignment horizontal="center" wrapText="1"/>
    </xf>
    <xf numFmtId="0" fontId="63" fillId="0" borderId="0" xfId="0" applyFont="1" applyBorder="1" applyAlignment="1">
      <alignment wrapText="1"/>
    </xf>
    <xf numFmtId="0" fontId="17" fillId="0" borderId="0" xfId="0" applyFont="1" applyAlignment="1">
      <alignment wrapText="1"/>
    </xf>
    <xf numFmtId="0" fontId="17" fillId="0" borderId="0" xfId="0" applyFont="1" applyAlignment="1">
      <alignment horizontal="right" wrapText="1"/>
    </xf>
    <xf numFmtId="0" fontId="60" fillId="0" borderId="0" xfId="0" applyFont="1" applyBorder="1" applyAlignment="1"/>
    <xf numFmtId="0" fontId="19" fillId="0" borderId="0" xfId="0" applyFont="1" applyAlignment="1">
      <alignment wrapText="1"/>
    </xf>
    <xf numFmtId="6" fontId="17" fillId="0" borderId="0" xfId="3" applyNumberFormat="1" applyFont="1" applyAlignment="1">
      <alignment horizontal="right" wrapText="1"/>
    </xf>
    <xf numFmtId="6" fontId="17" fillId="0" borderId="0" xfId="3" applyNumberFormat="1" applyFont="1" applyAlignment="1">
      <alignment horizontal="center" wrapText="1"/>
    </xf>
    <xf numFmtId="164" fontId="22" fillId="0" borderId="0" xfId="9" applyNumberFormat="1" applyFont="1" applyAlignment="1">
      <alignment horizontal="center" wrapText="1"/>
    </xf>
    <xf numFmtId="0" fontId="60" fillId="3" borderId="13" xfId="0" applyFont="1" applyFill="1" applyBorder="1" applyAlignment="1">
      <alignment wrapText="1"/>
    </xf>
    <xf numFmtId="0" fontId="60" fillId="3" borderId="14" xfId="0" applyFont="1" applyFill="1" applyBorder="1" applyAlignment="1">
      <alignment horizontal="center"/>
    </xf>
    <xf numFmtId="166" fontId="72" fillId="3" borderId="0" xfId="3" applyNumberFormat="1" applyFont="1" applyFill="1" applyBorder="1"/>
    <xf numFmtId="0" fontId="17" fillId="3" borderId="13" xfId="0" applyFont="1" applyFill="1" applyBorder="1" applyAlignment="1">
      <alignment wrapText="1"/>
    </xf>
    <xf numFmtId="165" fontId="21" fillId="3" borderId="0" xfId="1" applyNumberFormat="1" applyFont="1" applyFill="1" applyBorder="1" applyAlignment="1">
      <alignment horizontal="center" wrapText="1"/>
    </xf>
    <xf numFmtId="0" fontId="19" fillId="0" borderId="0" xfId="0" applyFont="1" applyBorder="1"/>
    <xf numFmtId="0" fontId="19" fillId="0" borderId="0" xfId="0" applyFont="1" applyFill="1" applyBorder="1"/>
    <xf numFmtId="0" fontId="19" fillId="0" borderId="0" xfId="0" applyFont="1" applyBorder="1" applyAlignment="1"/>
    <xf numFmtId="0" fontId="19" fillId="3" borderId="10" xfId="0" applyFont="1" applyFill="1" applyBorder="1" applyAlignment="1">
      <alignment wrapText="1"/>
    </xf>
    <xf numFmtId="0" fontId="19" fillId="3" borderId="11" xfId="0" applyFont="1" applyFill="1" applyBorder="1" applyAlignment="1">
      <alignment wrapText="1"/>
    </xf>
    <xf numFmtId="0" fontId="19" fillId="3" borderId="11" xfId="0" applyFont="1" applyFill="1" applyBorder="1" applyAlignment="1">
      <alignment horizontal="right" wrapText="1"/>
    </xf>
    <xf numFmtId="0" fontId="19" fillId="3" borderId="15" xfId="0" applyFont="1" applyFill="1" applyBorder="1" applyAlignment="1">
      <alignment wrapText="1"/>
    </xf>
    <xf numFmtId="0" fontId="19" fillId="3" borderId="16" xfId="0" applyFont="1" applyFill="1" applyBorder="1" applyAlignment="1">
      <alignment wrapText="1"/>
    </xf>
    <xf numFmtId="0" fontId="19" fillId="3" borderId="16" xfId="0" applyFont="1" applyFill="1" applyBorder="1" applyAlignment="1">
      <alignment horizontal="right" wrapText="1"/>
    </xf>
    <xf numFmtId="166" fontId="73" fillId="0" borderId="0" xfId="3" applyNumberFormat="1" applyFont="1" applyAlignment="1">
      <alignment horizontal="center"/>
    </xf>
    <xf numFmtId="44" fontId="0" fillId="0" borderId="0" xfId="3" applyFont="1"/>
    <xf numFmtId="164" fontId="52" fillId="0" borderId="0" xfId="9" applyNumberFormat="1" applyFont="1"/>
    <xf numFmtId="0" fontId="24" fillId="4" borderId="10" xfId="0" applyFont="1" applyFill="1" applyBorder="1"/>
    <xf numFmtId="0" fontId="25" fillId="4" borderId="11" xfId="0" applyFont="1" applyFill="1" applyBorder="1"/>
    <xf numFmtId="0" fontId="74" fillId="4" borderId="11" xfId="0" applyFont="1" applyFill="1" applyBorder="1"/>
    <xf numFmtId="0" fontId="74" fillId="4" borderId="12" xfId="0" applyFont="1" applyFill="1" applyBorder="1"/>
    <xf numFmtId="0" fontId="26" fillId="4" borderId="13" xfId="0" applyFont="1" applyFill="1" applyBorder="1"/>
    <xf numFmtId="0" fontId="26" fillId="4" borderId="0" xfId="0" applyFont="1" applyFill="1" applyBorder="1"/>
    <xf numFmtId="0" fontId="27" fillId="4" borderId="0" xfId="0" applyFont="1" applyFill="1" applyBorder="1"/>
    <xf numFmtId="0" fontId="74" fillId="4" borderId="0" xfId="0" applyFont="1" applyFill="1" applyBorder="1"/>
    <xf numFmtId="0" fontId="74" fillId="4" borderId="14" xfId="0" applyFont="1" applyFill="1" applyBorder="1"/>
    <xf numFmtId="15" fontId="26" fillId="4" borderId="13" xfId="0" applyNumberFormat="1" applyFont="1" applyFill="1" applyBorder="1"/>
    <xf numFmtId="15" fontId="26" fillId="4" borderId="0" xfId="0" applyNumberFormat="1" applyFont="1" applyFill="1" applyBorder="1"/>
    <xf numFmtId="0" fontId="74" fillId="4" borderId="13" xfId="0" applyFont="1" applyFill="1" applyBorder="1"/>
    <xf numFmtId="0" fontId="26" fillId="4" borderId="0" xfId="0" applyFont="1" applyFill="1" applyBorder="1" applyAlignment="1">
      <alignment horizontal="center"/>
    </xf>
    <xf numFmtId="0" fontId="29" fillId="4" borderId="0" xfId="0" applyFont="1" applyFill="1" applyBorder="1" applyAlignment="1">
      <alignment horizontal="center"/>
    </xf>
    <xf numFmtId="0" fontId="26" fillId="4" borderId="21" xfId="0" applyFont="1" applyFill="1" applyBorder="1"/>
    <xf numFmtId="0" fontId="74" fillId="4" borderId="0" xfId="0" applyFont="1" applyFill="1" applyBorder="1" applyAlignment="1">
      <alignment horizontal="center"/>
    </xf>
    <xf numFmtId="41" fontId="74" fillId="4" borderId="0" xfId="0" applyNumberFormat="1" applyFont="1" applyFill="1" applyBorder="1"/>
    <xf numFmtId="44" fontId="30" fillId="4" borderId="0" xfId="4" applyFont="1" applyFill="1" applyBorder="1"/>
    <xf numFmtId="166" fontId="74" fillId="4" borderId="0" xfId="4" applyNumberFormat="1" applyFont="1" applyFill="1" applyBorder="1"/>
    <xf numFmtId="0" fontId="25" fillId="4" borderId="13" xfId="0" applyFont="1" applyFill="1" applyBorder="1"/>
    <xf numFmtId="0" fontId="25" fillId="4" borderId="0" xfId="0" applyFont="1" applyFill="1" applyBorder="1"/>
    <xf numFmtId="41" fontId="31" fillId="4" borderId="0" xfId="0" applyNumberFormat="1" applyFont="1" applyFill="1" applyBorder="1"/>
    <xf numFmtId="166" fontId="31" fillId="4" borderId="0" xfId="4" applyNumberFormat="1" applyFont="1" applyFill="1" applyBorder="1"/>
    <xf numFmtId="44" fontId="74" fillId="4" borderId="0" xfId="4" applyFont="1" applyFill="1" applyBorder="1"/>
    <xf numFmtId="166" fontId="75" fillId="4" borderId="0" xfId="4" applyNumberFormat="1" applyFont="1" applyFill="1" applyBorder="1"/>
    <xf numFmtId="44" fontId="25" fillId="4" borderId="0" xfId="4" applyFont="1" applyFill="1" applyBorder="1"/>
    <xf numFmtId="44" fontId="25" fillId="4" borderId="14" xfId="4" applyFont="1" applyFill="1" applyBorder="1"/>
    <xf numFmtId="0" fontId="29" fillId="4" borderId="13" xfId="0" applyFont="1" applyFill="1" applyBorder="1"/>
    <xf numFmtId="166" fontId="25" fillId="4" borderId="0" xfId="4" applyNumberFormat="1" applyFont="1" applyFill="1" applyBorder="1"/>
    <xf numFmtId="41" fontId="75" fillId="4" borderId="0" xfId="0" applyNumberFormat="1" applyFont="1" applyFill="1" applyBorder="1"/>
    <xf numFmtId="44" fontId="31" fillId="4" borderId="14" xfId="4" applyNumberFormat="1" applyFont="1" applyFill="1" applyBorder="1"/>
    <xf numFmtId="44" fontId="26" fillId="4" borderId="14" xfId="4" applyNumberFormat="1" applyFont="1" applyFill="1" applyBorder="1"/>
    <xf numFmtId="9" fontId="0" fillId="0" borderId="0" xfId="10" applyFont="1"/>
    <xf numFmtId="166" fontId="53" fillId="4" borderId="0" xfId="4" applyNumberFormat="1" applyFont="1" applyFill="1" applyBorder="1"/>
    <xf numFmtId="44" fontId="26" fillId="4" borderId="14" xfId="4" applyFont="1" applyFill="1" applyBorder="1"/>
    <xf numFmtId="164" fontId="76" fillId="4" borderId="0" xfId="10" applyNumberFormat="1" applyFont="1" applyFill="1" applyBorder="1"/>
    <xf numFmtId="44" fontId="32" fillId="4" borderId="14" xfId="4" applyNumberFormat="1" applyFont="1" applyFill="1" applyBorder="1"/>
    <xf numFmtId="41" fontId="0" fillId="0" borderId="0" xfId="0" applyNumberFormat="1"/>
    <xf numFmtId="9" fontId="76" fillId="4" borderId="0" xfId="10" applyFont="1" applyFill="1" applyBorder="1"/>
    <xf numFmtId="44" fontId="33" fillId="4" borderId="14" xfId="4" applyNumberFormat="1" applyFont="1" applyFill="1" applyBorder="1"/>
    <xf numFmtId="0" fontId="0" fillId="4" borderId="15" xfId="0" applyFill="1" applyBorder="1"/>
    <xf numFmtId="0" fontId="0" fillId="4" borderId="16" xfId="0" applyFill="1" applyBorder="1"/>
    <xf numFmtId="0" fontId="0" fillId="4" borderId="17" xfId="0" applyFill="1" applyBorder="1"/>
    <xf numFmtId="165" fontId="74" fillId="4" borderId="0" xfId="1" applyNumberFormat="1" applyFont="1" applyFill="1" applyBorder="1"/>
    <xf numFmtId="44" fontId="74" fillId="4" borderId="0" xfId="0" applyNumberFormat="1" applyFont="1" applyFill="1" applyBorder="1"/>
    <xf numFmtId="166" fontId="74" fillId="4" borderId="0" xfId="0" applyNumberFormat="1" applyFont="1" applyFill="1" applyBorder="1"/>
    <xf numFmtId="166" fontId="74" fillId="4"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7" fillId="0" borderId="0" xfId="0" applyNumberFormat="1" applyFont="1"/>
    <xf numFmtId="166" fontId="7" fillId="0" borderId="0" xfId="3" applyNumberFormat="1" applyFont="1"/>
    <xf numFmtId="166" fontId="21" fillId="5" borderId="0" xfId="3" applyNumberFormat="1" applyFont="1" applyFill="1" applyAlignment="1">
      <alignment horizontal="right"/>
    </xf>
    <xf numFmtId="0" fontId="63" fillId="0" borderId="0" xfId="0" applyFont="1" applyAlignment="1">
      <alignment horizontal="center" wrapText="1"/>
    </xf>
    <xf numFmtId="166" fontId="19" fillId="0" borderId="0" xfId="4" applyNumberFormat="1" applyFont="1" applyAlignment="1">
      <alignment horizontal="right"/>
    </xf>
    <xf numFmtId="166" fontId="20" fillId="0" borderId="0" xfId="4" applyNumberFormat="1" applyFont="1" applyAlignment="1">
      <alignment horizontal="right"/>
    </xf>
    <xf numFmtId="0" fontId="19" fillId="0" borderId="0" xfId="7" applyFont="1" applyAlignment="1">
      <alignment wrapText="1"/>
    </xf>
    <xf numFmtId="0" fontId="77" fillId="0" borderId="0" xfId="7" applyFont="1" applyAlignment="1">
      <alignment horizontal="right" wrapText="1"/>
    </xf>
    <xf numFmtId="0" fontId="6" fillId="3" borderId="13" xfId="7" applyFill="1" applyBorder="1" applyAlignment="1">
      <alignment wrapText="1"/>
    </xf>
    <xf numFmtId="165" fontId="47" fillId="3" borderId="0" xfId="2" applyNumberFormat="1" applyFont="1" applyFill="1" applyBorder="1" applyAlignment="1">
      <alignment horizontal="center" vertical="top" wrapText="1"/>
    </xf>
    <xf numFmtId="0" fontId="0" fillId="0" borderId="6" xfId="0" applyBorder="1"/>
    <xf numFmtId="0" fontId="0" fillId="0" borderId="2" xfId="0" applyBorder="1"/>
    <xf numFmtId="0" fontId="4" fillId="0" borderId="8" xfId="0" applyFont="1" applyBorder="1"/>
    <xf numFmtId="164" fontId="6" fillId="0" borderId="0" xfId="9" applyNumberFormat="1" applyFont="1"/>
    <xf numFmtId="164" fontId="78" fillId="0" borderId="0" xfId="9" applyNumberFormat="1" applyFont="1"/>
    <xf numFmtId="164" fontId="9" fillId="0" borderId="0" xfId="9" applyNumberFormat="1" applyFont="1"/>
    <xf numFmtId="0" fontId="58" fillId="0" borderId="0" xfId="0" quotePrefix="1" applyFont="1" applyAlignment="1">
      <alignment horizontal="center"/>
    </xf>
    <xf numFmtId="164" fontId="9" fillId="0" borderId="0" xfId="0" applyNumberFormat="1" applyFont="1"/>
    <xf numFmtId="0" fontId="4" fillId="0" borderId="0" xfId="0" applyFont="1" applyAlignment="1">
      <alignment horizontal="right" indent="1"/>
    </xf>
    <xf numFmtId="0" fontId="6" fillId="0" borderId="0" xfId="0" applyFont="1" applyAlignment="1">
      <alignment horizontal="right" indent="1"/>
    </xf>
    <xf numFmtId="0" fontId="36" fillId="4" borderId="0" xfId="0" applyFont="1" applyFill="1" applyBorder="1" applyAlignment="1">
      <alignment vertical="top" wrapText="1"/>
    </xf>
    <xf numFmtId="166" fontId="74" fillId="4" borderId="20" xfId="4" applyNumberFormat="1" applyFont="1" applyFill="1" applyBorder="1"/>
    <xf numFmtId="166" fontId="25" fillId="4" borderId="0" xfId="0" applyNumberFormat="1" applyFont="1" applyFill="1"/>
    <xf numFmtId="166" fontId="74" fillId="4" borderId="20" xfId="3" applyNumberFormat="1" applyFont="1" applyFill="1" applyBorder="1"/>
    <xf numFmtId="166" fontId="25" fillId="4" borderId="20" xfId="0" applyNumberFormat="1" applyFont="1" applyFill="1" applyBorder="1"/>
    <xf numFmtId="0" fontId="53" fillId="4" borderId="13" xfId="0" applyFont="1" applyFill="1" applyBorder="1"/>
    <xf numFmtId="0" fontId="25" fillId="4" borderId="0" xfId="0" applyFont="1" applyFill="1"/>
    <xf numFmtId="44" fontId="13" fillId="0" borderId="18" xfId="3" applyFont="1" applyFill="1" applyBorder="1" applyProtection="1">
      <protection locked="0"/>
    </xf>
    <xf numFmtId="43" fontId="13" fillId="0" borderId="2" xfId="1" applyFont="1" applyBorder="1" applyAlignment="1" applyProtection="1">
      <alignment horizontal="right"/>
      <protection locked="0"/>
    </xf>
    <xf numFmtId="43" fontId="13" fillId="0" borderId="2" xfId="1" applyFont="1" applyBorder="1" applyProtection="1">
      <protection locked="0"/>
    </xf>
    <xf numFmtId="43" fontId="15" fillId="0" borderId="2" xfId="1" applyFont="1" applyBorder="1" applyProtection="1">
      <protection locked="0"/>
    </xf>
    <xf numFmtId="4" fontId="0" fillId="0" borderId="0" xfId="0" applyNumberFormat="1"/>
    <xf numFmtId="43" fontId="15" fillId="0" borderId="0" xfId="1" applyFont="1" applyBorder="1" applyProtection="1">
      <protection locked="0"/>
    </xf>
    <xf numFmtId="165" fontId="3" fillId="0" borderId="0" xfId="2" applyNumberFormat="1" applyFont="1" applyFill="1"/>
    <xf numFmtId="0" fontId="3" fillId="0" borderId="0" xfId="0" applyFont="1"/>
    <xf numFmtId="44" fontId="3" fillId="0" borderId="18" xfId="3" applyFont="1" applyFill="1" applyBorder="1" applyProtection="1">
      <protection locked="0"/>
    </xf>
    <xf numFmtId="44" fontId="3" fillId="0" borderId="19" xfId="3" applyFont="1" applyFill="1" applyBorder="1" applyProtection="1">
      <protection locked="0"/>
    </xf>
    <xf numFmtId="44" fontId="3" fillId="0" borderId="18" xfId="3" applyFont="1" applyFill="1" applyBorder="1"/>
    <xf numFmtId="44" fontId="3" fillId="0" borderId="18" xfId="5" applyFont="1" applyFill="1" applyBorder="1"/>
    <xf numFmtId="165" fontId="3" fillId="0" borderId="0" xfId="2" applyNumberFormat="1" applyFont="1"/>
    <xf numFmtId="43" fontId="3" fillId="0" borderId="0" xfId="1" applyFont="1" applyFill="1" applyBorder="1" applyAlignment="1" applyProtection="1">
      <alignment horizontal="right"/>
      <protection locked="0"/>
    </xf>
    <xf numFmtId="43" fontId="7" fillId="0" borderId="0" xfId="1" applyFont="1" applyFill="1" applyBorder="1" applyAlignment="1" applyProtection="1">
      <alignment horizontal="right"/>
      <protection locked="0"/>
    </xf>
    <xf numFmtId="43" fontId="3" fillId="0" borderId="0" xfId="1" applyFont="1"/>
    <xf numFmtId="0" fontId="4" fillId="0" borderId="0" xfId="0" applyFont="1" applyAlignment="1">
      <alignment vertical="top" wrapText="1"/>
    </xf>
    <xf numFmtId="43" fontId="13" fillId="0" borderId="0" xfId="1" applyFont="1" applyFill="1" applyBorder="1" applyAlignment="1" applyProtection="1">
      <alignment horizontal="right"/>
      <protection locked="0"/>
    </xf>
    <xf numFmtId="44" fontId="16" fillId="0" borderId="0" xfId="3" applyFont="1"/>
    <xf numFmtId="0" fontId="16" fillId="0" borderId="0" xfId="0" applyFont="1"/>
    <xf numFmtId="0" fontId="16" fillId="0" borderId="0" xfId="0" applyFont="1" applyAlignment="1">
      <alignment vertical="top" wrapText="1"/>
    </xf>
    <xf numFmtId="0" fontId="58" fillId="0" borderId="0" xfId="0" applyFont="1" applyAlignment="1">
      <alignment horizontal="center"/>
    </xf>
    <xf numFmtId="0" fontId="80" fillId="0" borderId="0" xfId="0" applyFont="1" applyAlignment="1">
      <alignment horizontal="center" wrapText="1"/>
    </xf>
    <xf numFmtId="0" fontId="36" fillId="0" borderId="0" xfId="0" applyFont="1" applyAlignment="1">
      <alignment vertical="top" wrapText="1"/>
    </xf>
    <xf numFmtId="167" fontId="0" fillId="0" borderId="0" xfId="0" applyNumberFormat="1"/>
    <xf numFmtId="165" fontId="2" fillId="0" borderId="0" xfId="2" applyNumberFormat="1" applyFont="1"/>
    <xf numFmtId="44" fontId="2" fillId="0" borderId="0" xfId="4" applyFont="1"/>
    <xf numFmtId="167" fontId="84" fillId="6" borderId="10" xfId="0" applyNumberFormat="1" applyFont="1" applyFill="1" applyBorder="1"/>
    <xf numFmtId="167" fontId="84" fillId="6" borderId="11" xfId="0" applyNumberFormat="1" applyFont="1" applyFill="1" applyBorder="1"/>
    <xf numFmtId="167" fontId="84" fillId="6" borderId="12" xfId="0" applyNumberFormat="1" applyFont="1" applyFill="1" applyBorder="1"/>
    <xf numFmtId="167" fontId="84" fillId="0" borderId="0" xfId="0" applyNumberFormat="1" applyFont="1"/>
    <xf numFmtId="165" fontId="84" fillId="0" borderId="0" xfId="2" applyNumberFormat="1" applyFont="1"/>
    <xf numFmtId="167" fontId="84" fillId="6" borderId="27" xfId="0" applyNumberFormat="1" applyFont="1" applyFill="1" applyBorder="1" applyAlignment="1">
      <alignment horizontal="center"/>
    </xf>
    <xf numFmtId="44" fontId="84" fillId="6" borderId="27" xfId="4" applyFont="1" applyFill="1" applyBorder="1" applyAlignment="1">
      <alignment horizontal="center"/>
    </xf>
    <xf numFmtId="167" fontId="84" fillId="6" borderId="17" xfId="0" applyNumberFormat="1" applyFont="1" applyFill="1" applyBorder="1" applyAlignment="1">
      <alignment horizontal="center"/>
    </xf>
    <xf numFmtId="167" fontId="85" fillId="0" borderId="0" xfId="0" applyNumberFormat="1" applyFont="1" applyAlignment="1">
      <alignment horizontal="center"/>
    </xf>
    <xf numFmtId="167" fontId="25" fillId="0" borderId="10" xfId="0" applyNumberFormat="1" applyFont="1" applyBorder="1"/>
    <xf numFmtId="167" fontId="25" fillId="0" borderId="11" xfId="0" applyNumberFormat="1" applyFont="1" applyBorder="1"/>
    <xf numFmtId="167" fontId="25" fillId="0" borderId="12" xfId="0" applyNumberFormat="1" applyFont="1" applyBorder="1"/>
    <xf numFmtId="167" fontId="25" fillId="0" borderId="28" xfId="0" applyNumberFormat="1" applyFont="1" applyBorder="1"/>
    <xf numFmtId="44" fontId="25" fillId="0" borderId="28" xfId="4" applyFont="1" applyBorder="1"/>
    <xf numFmtId="10" fontId="25" fillId="0" borderId="28" xfId="10" applyNumberFormat="1" applyFont="1" applyBorder="1"/>
    <xf numFmtId="167" fontId="25" fillId="0" borderId="0" xfId="0" applyNumberFormat="1" applyFont="1"/>
    <xf numFmtId="165" fontId="25" fillId="0" borderId="0" xfId="2" applyNumberFormat="1" applyFont="1"/>
    <xf numFmtId="167" fontId="84" fillId="0" borderId="13" xfId="0" applyNumberFormat="1" applyFont="1" applyBorder="1"/>
    <xf numFmtId="167" fontId="25" fillId="0" borderId="14" xfId="0" applyNumberFormat="1" applyFont="1" applyBorder="1"/>
    <xf numFmtId="44" fontId="25" fillId="5" borderId="29" xfId="3" applyFont="1" applyFill="1" applyBorder="1"/>
    <xf numFmtId="44" fontId="25" fillId="0" borderId="29" xfId="4" applyFont="1" applyBorder="1"/>
    <xf numFmtId="10" fontId="25" fillId="0" borderId="29" xfId="10" applyNumberFormat="1" applyFont="1" applyBorder="1"/>
    <xf numFmtId="44" fontId="25" fillId="5" borderId="29" xfId="4" applyFont="1" applyFill="1" applyBorder="1"/>
    <xf numFmtId="7" fontId="25" fillId="0" borderId="29" xfId="4" applyNumberFormat="1" applyFont="1" applyBorder="1"/>
    <xf numFmtId="164" fontId="25" fillId="0" borderId="0" xfId="10" applyNumberFormat="1" applyFont="1"/>
    <xf numFmtId="168" fontId="25" fillId="0" borderId="0" xfId="0" applyNumberFormat="1" applyFont="1"/>
    <xf numFmtId="164" fontId="86" fillId="0" borderId="0" xfId="10" applyNumberFormat="1" applyFont="1"/>
    <xf numFmtId="167" fontId="85" fillId="0" borderId="13" xfId="0" applyNumberFormat="1" applyFont="1" applyBorder="1"/>
    <xf numFmtId="167" fontId="25" fillId="0" borderId="29" xfId="0" applyNumberFormat="1" applyFont="1" applyBorder="1"/>
    <xf numFmtId="44" fontId="87" fillId="0" borderId="29" xfId="4" applyFont="1" applyBorder="1"/>
    <xf numFmtId="164" fontId="88" fillId="0" borderId="0" xfId="10" applyNumberFormat="1" applyFont="1"/>
    <xf numFmtId="10" fontId="25" fillId="0" borderId="0" xfId="10" applyNumberFormat="1" applyFont="1"/>
    <xf numFmtId="167" fontId="25" fillId="0" borderId="13" xfId="0" applyNumberFormat="1" applyFont="1" applyBorder="1"/>
    <xf numFmtId="167" fontId="25" fillId="0" borderId="14" xfId="0" applyNumberFormat="1" applyFont="1" applyBorder="1" applyAlignment="1">
      <alignment horizontal="right"/>
    </xf>
    <xf numFmtId="44" fontId="76" fillId="0" borderId="29" xfId="4" applyFont="1" applyBorder="1"/>
    <xf numFmtId="44" fontId="25" fillId="0" borderId="29" xfId="4" applyFont="1" applyFill="1" applyBorder="1"/>
    <xf numFmtId="44" fontId="25" fillId="0" borderId="0" xfId="4" applyFont="1" applyBorder="1"/>
    <xf numFmtId="167" fontId="25" fillId="0" borderId="15" xfId="0" applyNumberFormat="1" applyFont="1" applyBorder="1"/>
    <xf numFmtId="167" fontId="25" fillId="0" borderId="16" xfId="0" applyNumberFormat="1" applyFont="1" applyBorder="1"/>
    <xf numFmtId="167" fontId="25" fillId="0" borderId="17" xfId="0" applyNumberFormat="1" applyFont="1" applyBorder="1"/>
    <xf numFmtId="167" fontId="25" fillId="0" borderId="30" xfId="0" applyNumberFormat="1" applyFont="1" applyBorder="1"/>
    <xf numFmtId="44" fontId="89" fillId="0" borderId="30" xfId="4" applyFont="1" applyBorder="1"/>
    <xf numFmtId="44" fontId="25" fillId="0" borderId="30" xfId="4" applyFont="1" applyBorder="1"/>
    <xf numFmtId="10" fontId="25" fillId="0" borderId="30" xfId="10" applyNumberFormat="1" applyFont="1" applyBorder="1"/>
    <xf numFmtId="44" fontId="25" fillId="0" borderId="0" xfId="4" applyFont="1"/>
    <xf numFmtId="167" fontId="26" fillId="0" borderId="0" xfId="0" applyNumberFormat="1" applyFont="1"/>
    <xf numFmtId="166" fontId="25" fillId="0" borderId="0" xfId="4" applyNumberFormat="1" applyFont="1"/>
    <xf numFmtId="0" fontId="26" fillId="4" borderId="0" xfId="0" applyFont="1" applyFill="1"/>
    <xf numFmtId="0" fontId="27" fillId="4" borderId="0" xfId="0" applyFont="1" applyFill="1"/>
    <xf numFmtId="0" fontId="74" fillId="4" borderId="0" xfId="0" applyFont="1" applyFill="1"/>
    <xf numFmtId="0" fontId="36" fillId="4" borderId="0" xfId="0" applyFont="1" applyFill="1" applyAlignment="1">
      <alignment vertical="top" wrapText="1"/>
    </xf>
    <xf numFmtId="0" fontId="36" fillId="4" borderId="13" xfId="0" applyFont="1" applyFill="1" applyBorder="1" applyAlignment="1">
      <alignment vertical="top" wrapText="1"/>
    </xf>
    <xf numFmtId="0" fontId="26" fillId="4" borderId="0" xfId="0" applyFont="1" applyFill="1" applyAlignment="1">
      <alignment horizontal="center"/>
    </xf>
    <xf numFmtId="0" fontId="29" fillId="4" borderId="0" xfId="0" applyFont="1" applyFill="1" applyAlignment="1">
      <alignment horizontal="center"/>
    </xf>
    <xf numFmtId="0" fontId="74" fillId="4" borderId="0" xfId="0" applyFont="1" applyFill="1" applyAlignment="1">
      <alignment horizontal="center"/>
    </xf>
    <xf numFmtId="41" fontId="74" fillId="4" borderId="0" xfId="0" applyNumberFormat="1" applyFont="1" applyFill="1"/>
    <xf numFmtId="44" fontId="30" fillId="4" borderId="0" xfId="4" applyFont="1" applyFill="1"/>
    <xf numFmtId="166" fontId="74" fillId="4" borderId="0" xfId="4" applyNumberFormat="1" applyFont="1" applyFill="1"/>
    <xf numFmtId="41" fontId="31" fillId="4" borderId="0" xfId="0" applyNumberFormat="1" applyFont="1" applyFill="1"/>
    <xf numFmtId="166" fontId="31" fillId="4" borderId="0" xfId="4" applyNumberFormat="1" applyFont="1" applyFill="1"/>
    <xf numFmtId="166" fontId="74" fillId="4" borderId="0" xfId="3" applyNumberFormat="1" applyFont="1" applyFill="1"/>
    <xf numFmtId="166" fontId="74" fillId="4" borderId="0" xfId="0" applyNumberFormat="1" applyFont="1" applyFill="1"/>
    <xf numFmtId="165" fontId="74" fillId="4" borderId="0" xfId="1" applyNumberFormat="1" applyFont="1" applyFill="1"/>
    <xf numFmtId="44" fontId="74" fillId="4" borderId="0" xfId="0" applyNumberFormat="1" applyFont="1" applyFill="1"/>
    <xf numFmtId="166" fontId="75" fillId="4" borderId="0" xfId="4" applyNumberFormat="1" applyFont="1" applyFill="1"/>
    <xf numFmtId="44" fontId="74" fillId="4" borderId="0" xfId="4" applyFont="1" applyFill="1"/>
    <xf numFmtId="44" fontId="25" fillId="4" borderId="0" xfId="4" applyFont="1" applyFill="1"/>
    <xf numFmtId="166" fontId="25" fillId="4" borderId="0" xfId="4" applyNumberFormat="1" applyFont="1" applyFill="1"/>
    <xf numFmtId="41" fontId="75" fillId="4" borderId="0" xfId="0" applyNumberFormat="1" applyFont="1" applyFill="1"/>
    <xf numFmtId="44" fontId="31" fillId="4" borderId="14" xfId="4" applyFont="1" applyFill="1" applyBorder="1"/>
    <xf numFmtId="44" fontId="33" fillId="4" borderId="14" xfId="4" applyFont="1" applyFill="1" applyBorder="1"/>
    <xf numFmtId="166" fontId="53" fillId="4" borderId="0" xfId="4" applyNumberFormat="1" applyFont="1" applyFill="1"/>
    <xf numFmtId="164" fontId="76" fillId="4" borderId="0" xfId="10" applyNumberFormat="1" applyFont="1" applyFill="1"/>
    <xf numFmtId="44" fontId="32" fillId="4" borderId="14" xfId="4" applyFont="1" applyFill="1" applyBorder="1"/>
    <xf numFmtId="9" fontId="76" fillId="4" borderId="0" xfId="10" applyFont="1" applyFill="1"/>
    <xf numFmtId="0" fontId="0" fillId="0" borderId="13" xfId="0" applyBorder="1"/>
    <xf numFmtId="0" fontId="0" fillId="0" borderId="14" xfId="0" applyBorder="1"/>
    <xf numFmtId="15" fontId="26" fillId="4" borderId="0" xfId="0" applyNumberFormat="1" applyFont="1" applyFill="1"/>
    <xf numFmtId="164" fontId="7" fillId="0" borderId="0" xfId="9" applyNumberFormat="1" applyFont="1"/>
    <xf numFmtId="164" fontId="7" fillId="0" borderId="0" xfId="0" applyNumberFormat="1" applyFont="1"/>
    <xf numFmtId="0" fontId="40" fillId="0" borderId="0" xfId="0" applyFont="1"/>
    <xf numFmtId="0" fontId="63" fillId="0" borderId="0" xfId="0" applyFont="1"/>
    <xf numFmtId="0" fontId="60" fillId="0" borderId="0" xfId="0" applyFont="1" applyAlignment="1">
      <alignment horizontal="center"/>
    </xf>
    <xf numFmtId="0" fontId="60" fillId="0" borderId="0" xfId="0" applyFont="1"/>
    <xf numFmtId="165" fontId="61" fillId="0" borderId="0" xfId="0" applyNumberFormat="1" applyFont="1" applyAlignment="1">
      <alignment horizontal="center"/>
    </xf>
    <xf numFmtId="165" fontId="21" fillId="0" borderId="0" xfId="1" applyNumberFormat="1" applyFont="1"/>
    <xf numFmtId="165" fontId="61" fillId="0" borderId="0" xfId="0" applyNumberFormat="1" applyFont="1"/>
    <xf numFmtId="165" fontId="21" fillId="0" borderId="0" xfId="0" applyNumberFormat="1" applyFont="1"/>
    <xf numFmtId="166" fontId="21" fillId="0" borderId="0" xfId="3" applyNumberFormat="1" applyFont="1"/>
    <xf numFmtId="166" fontId="90" fillId="0" borderId="0" xfId="0" applyNumberFormat="1" applyFont="1"/>
    <xf numFmtId="166" fontId="18" fillId="0" borderId="0" xfId="3" applyNumberFormat="1" applyFont="1"/>
    <xf numFmtId="166" fontId="19" fillId="0" borderId="0" xfId="3" applyNumberFormat="1" applyFont="1" applyAlignment="1">
      <alignment horizontal="right"/>
    </xf>
    <xf numFmtId="166" fontId="20" fillId="0" borderId="0" xfId="3" applyNumberFormat="1" applyFont="1" applyAlignment="1">
      <alignment horizontal="right"/>
    </xf>
    <xf numFmtId="0" fontId="20" fillId="0" borderId="0" xfId="0" applyFont="1"/>
    <xf numFmtId="166" fontId="22" fillId="0" borderId="0" xfId="3" applyNumberFormat="1" applyFont="1" applyAlignment="1">
      <alignment horizontal="right"/>
    </xf>
    <xf numFmtId="0" fontId="43" fillId="0" borderId="0" xfId="0" applyFont="1"/>
    <xf numFmtId="0" fontId="45" fillId="0" borderId="0" xfId="0" applyFont="1"/>
    <xf numFmtId="165" fontId="1" fillId="3" borderId="0" xfId="1" applyNumberFormat="1" applyFont="1" applyFill="1" applyBorder="1" applyAlignment="1">
      <alignment horizontal="center" wrapText="1"/>
    </xf>
    <xf numFmtId="166" fontId="1" fillId="3" borderId="0" xfId="3" applyNumberFormat="1" applyFont="1" applyFill="1" applyBorder="1"/>
    <xf numFmtId="0" fontId="3" fillId="3" borderId="13" xfId="0" applyFont="1" applyFill="1" applyBorder="1" applyAlignment="1">
      <alignment wrapText="1"/>
    </xf>
    <xf numFmtId="0" fontId="91" fillId="0" borderId="0" xfId="0" applyFont="1" applyAlignment="1">
      <alignment horizontal="center"/>
    </xf>
    <xf numFmtId="165" fontId="57" fillId="0" borderId="0" xfId="2" applyNumberFormat="1" applyFont="1"/>
    <xf numFmtId="0" fontId="92" fillId="0" borderId="0" xfId="0" applyFont="1" applyAlignment="1">
      <alignment horizontal="center"/>
    </xf>
    <xf numFmtId="165" fontId="58" fillId="0" borderId="0" xfId="2" quotePrefix="1" applyNumberFormat="1" applyFont="1" applyAlignment="1">
      <alignment horizontal="center"/>
    </xf>
    <xf numFmtId="0" fontId="93" fillId="0" borderId="0" xfId="0" applyFont="1"/>
    <xf numFmtId="0" fontId="94" fillId="0" borderId="0" xfId="0" applyFont="1"/>
    <xf numFmtId="0" fontId="95" fillId="0" borderId="0" xfId="0" applyFont="1"/>
    <xf numFmtId="0" fontId="96" fillId="0" borderId="0" xfId="0" applyFont="1"/>
    <xf numFmtId="165" fontId="3" fillId="0" borderId="0" xfId="0" applyNumberFormat="1" applyFont="1"/>
    <xf numFmtId="3" fontId="3" fillId="0" borderId="0" xfId="0" applyNumberFormat="1" applyFont="1"/>
    <xf numFmtId="165" fontId="97" fillId="0" borderId="0" xfId="0" applyNumberFormat="1" applyFont="1"/>
    <xf numFmtId="0" fontId="98" fillId="0" borderId="0" xfId="0" applyFont="1"/>
    <xf numFmtId="0" fontId="95" fillId="0" borderId="0" xfId="0" applyFont="1" applyAlignment="1">
      <alignment horizontal="left"/>
    </xf>
    <xf numFmtId="3" fontId="91" fillId="0" borderId="0" xfId="0" applyNumberFormat="1" applyFont="1"/>
    <xf numFmtId="3" fontId="58" fillId="0" borderId="0" xfId="0" applyNumberFormat="1" applyFont="1"/>
    <xf numFmtId="165" fontId="11" fillId="0" borderId="0" xfId="0" applyNumberFormat="1" applyFont="1"/>
    <xf numFmtId="43" fontId="3" fillId="0" borderId="0" xfId="0" applyNumberFormat="1" applyFont="1"/>
    <xf numFmtId="0" fontId="99" fillId="0" borderId="0" xfId="0" applyFont="1"/>
    <xf numFmtId="3" fontId="92" fillId="0" borderId="0" xfId="0" applyNumberFormat="1" applyFont="1"/>
    <xf numFmtId="165" fontId="12" fillId="0" borderId="0" xfId="0" applyNumberFormat="1" applyFont="1"/>
    <xf numFmtId="0" fontId="100" fillId="0" borderId="0" xfId="0" applyFont="1" applyAlignment="1">
      <alignment horizontal="left"/>
    </xf>
    <xf numFmtId="0" fontId="101" fillId="0" borderId="0" xfId="0" applyFont="1" applyAlignment="1">
      <alignment horizontal="left"/>
    </xf>
    <xf numFmtId="3" fontId="102" fillId="0" borderId="0" xfId="0" applyNumberFormat="1" applyFont="1"/>
    <xf numFmtId="3" fontId="70" fillId="0" borderId="0" xfId="0" applyNumberFormat="1" applyFont="1"/>
    <xf numFmtId="3" fontId="57" fillId="0" borderId="0" xfId="0" applyNumberFormat="1" applyFont="1"/>
    <xf numFmtId="0" fontId="91" fillId="0" borderId="0" xfId="0" applyFont="1"/>
    <xf numFmtId="164" fontId="102" fillId="0" borderId="0" xfId="10" applyNumberFormat="1" applyFont="1"/>
    <xf numFmtId="164" fontId="70" fillId="0" borderId="0" xfId="10" applyNumberFormat="1" applyFont="1"/>
    <xf numFmtId="164" fontId="50" fillId="0" borderId="0" xfId="10" applyNumberFormat="1" applyFont="1"/>
    <xf numFmtId="0" fontId="103" fillId="0" borderId="0" xfId="0" applyFont="1"/>
    <xf numFmtId="165" fontId="3" fillId="0" borderId="0" xfId="1" applyNumberFormat="1" applyFont="1"/>
    <xf numFmtId="0" fontId="59" fillId="0" borderId="0" xfId="7" applyFont="1" applyAlignment="1">
      <alignment horizontal="right" wrapText="1"/>
    </xf>
    <xf numFmtId="165" fontId="1" fillId="3" borderId="0" xfId="2" applyNumberFormat="1" applyFont="1" applyFill="1" applyBorder="1" applyAlignment="1">
      <alignment horizontal="center" wrapText="1"/>
    </xf>
    <xf numFmtId="166" fontId="1" fillId="3" borderId="0" xfId="4" applyNumberFormat="1" applyFont="1" applyFill="1" applyBorder="1"/>
    <xf numFmtId="166" fontId="1" fillId="3" borderId="0" xfId="4" applyNumberFormat="1" applyFont="1" applyFill="1" applyBorder="1" applyAlignment="1">
      <alignment vertical="top"/>
    </xf>
    <xf numFmtId="166" fontId="77" fillId="0" borderId="0" xfId="4" applyNumberFormat="1" applyFont="1" applyAlignment="1">
      <alignment horizontal="right"/>
    </xf>
    <xf numFmtId="166" fontId="104" fillId="0" borderId="0" xfId="4" applyNumberFormat="1" applyFont="1" applyAlignment="1">
      <alignment horizontal="right"/>
    </xf>
    <xf numFmtId="166" fontId="105" fillId="0" borderId="0" xfId="0" applyNumberFormat="1" applyFont="1"/>
    <xf numFmtId="0" fontId="80" fillId="0" borderId="0" xfId="0" applyFont="1" applyAlignment="1">
      <alignment wrapText="1"/>
    </xf>
    <xf numFmtId="166" fontId="59" fillId="0" borderId="0" xfId="3" applyNumberFormat="1" applyFont="1" applyAlignment="1">
      <alignment horizontal="right"/>
    </xf>
    <xf numFmtId="166" fontId="105" fillId="0" borderId="0" xfId="3" applyNumberFormat="1" applyFont="1" applyAlignment="1">
      <alignment horizontal="right"/>
    </xf>
    <xf numFmtId="166" fontId="106" fillId="0" borderId="0" xfId="3" applyNumberFormat="1" applyFont="1" applyAlignment="1">
      <alignment horizontal="right"/>
    </xf>
    <xf numFmtId="166" fontId="52" fillId="0" borderId="0" xfId="3" applyNumberFormat="1" applyFont="1"/>
    <xf numFmtId="166" fontId="71" fillId="0" borderId="0" xfId="3" applyNumberFormat="1" applyFont="1"/>
    <xf numFmtId="0" fontId="71" fillId="0" borderId="0" xfId="0" applyFont="1" applyFill="1"/>
    <xf numFmtId="0" fontId="0" fillId="4" borderId="14" xfId="0" applyFill="1" applyBorder="1"/>
    <xf numFmtId="41" fontId="74" fillId="7" borderId="0" xfId="0" applyNumberFormat="1" applyFont="1" applyFill="1" applyBorder="1"/>
    <xf numFmtId="166" fontId="25" fillId="4" borderId="0" xfId="0" applyNumberFormat="1" applyFont="1" applyFill="1" applyBorder="1"/>
    <xf numFmtId="0" fontId="11" fillId="0" borderId="0" xfId="0" applyFont="1" applyAlignment="1">
      <alignment horizontal="center"/>
    </xf>
    <xf numFmtId="0" fontId="5" fillId="0" borderId="0" xfId="0" applyFont="1" applyFill="1" applyAlignment="1">
      <alignment horizontal="center"/>
    </xf>
    <xf numFmtId="166" fontId="3" fillId="0" borderId="0" xfId="3" applyNumberFormat="1" applyFont="1"/>
    <xf numFmtId="44" fontId="3" fillId="0" borderId="0" xfId="3" applyFont="1"/>
    <xf numFmtId="43" fontId="3" fillId="0" borderId="0" xfId="0" applyNumberFormat="1" applyFont="1" applyFill="1"/>
    <xf numFmtId="166" fontId="3" fillId="0" borderId="0" xfId="3" applyNumberFormat="1" applyFont="1" applyFill="1"/>
    <xf numFmtId="0" fontId="0" fillId="0" borderId="0" xfId="0" applyAlignment="1">
      <alignment vertical="top" wrapText="1"/>
    </xf>
    <xf numFmtId="0" fontId="11" fillId="0" borderId="0" xfId="0" applyFont="1" applyAlignment="1">
      <alignment horizontal="center"/>
    </xf>
    <xf numFmtId="0" fontId="58" fillId="0" borderId="0" xfId="0" applyFont="1" applyAlignment="1">
      <alignment horizontal="center"/>
    </xf>
    <xf numFmtId="0" fontId="11" fillId="0" borderId="0" xfId="0" applyFont="1" applyAlignment="1"/>
    <xf numFmtId="0" fontId="5" fillId="0" borderId="0" xfId="0" applyFont="1" applyFill="1" applyAlignment="1"/>
    <xf numFmtId="44" fontId="0" fillId="0" borderId="0" xfId="0" applyNumberFormat="1"/>
    <xf numFmtId="0" fontId="108" fillId="0" borderId="0" xfId="0" applyFont="1" applyAlignment="1">
      <alignment vertical="center"/>
    </xf>
    <xf numFmtId="0" fontId="107" fillId="0" borderId="0" xfId="0" applyFont="1" applyAlignment="1">
      <alignment vertical="center"/>
    </xf>
    <xf numFmtId="0" fontId="107" fillId="0" borderId="0" xfId="0" applyFont="1" applyAlignment="1">
      <alignment horizontal="left" vertical="center" indent="4"/>
    </xf>
    <xf numFmtId="0" fontId="107" fillId="0" borderId="0" xfId="0" applyFont="1" applyAlignment="1">
      <alignment horizontal="left" vertical="top" wrapText="1"/>
    </xf>
    <xf numFmtId="164" fontId="4" fillId="0" borderId="0" xfId="9" applyNumberFormat="1" applyFont="1"/>
    <xf numFmtId="0" fontId="11" fillId="0" borderId="0" xfId="0" applyFont="1"/>
    <xf numFmtId="165" fontId="50" fillId="0" borderId="0" xfId="0" applyNumberFormat="1" applyFont="1" applyAlignment="1">
      <alignment horizontal="center"/>
    </xf>
    <xf numFmtId="165" fontId="50" fillId="0" borderId="0" xfId="1" applyNumberFormat="1" applyFont="1" applyAlignment="1">
      <alignment horizontal="center"/>
    </xf>
    <xf numFmtId="165" fontId="58" fillId="0" borderId="0" xfId="1" applyNumberFormat="1" applyFont="1"/>
    <xf numFmtId="165" fontId="57" fillId="0" borderId="0" xfId="1" applyNumberFormat="1" applyFont="1" applyAlignment="1">
      <alignment horizontal="center"/>
    </xf>
    <xf numFmtId="165" fontId="58" fillId="0" borderId="0" xfId="1" applyNumberFormat="1" applyFont="1" applyAlignment="1">
      <alignment horizontal="center"/>
    </xf>
    <xf numFmtId="165" fontId="68" fillId="0" borderId="0" xfId="1" applyNumberFormat="1" applyFont="1" applyAlignment="1">
      <alignment horizontal="center"/>
    </xf>
    <xf numFmtId="164" fontId="57" fillId="0" borderId="0" xfId="9" applyNumberFormat="1" applyFont="1"/>
    <xf numFmtId="164" fontId="58" fillId="0" borderId="0" xfId="9" applyNumberFormat="1" applyFont="1"/>
    <xf numFmtId="165" fontId="4" fillId="0" borderId="0" xfId="0" applyNumberFormat="1" applyFont="1"/>
    <xf numFmtId="165" fontId="7" fillId="0" borderId="0" xfId="2" applyNumberFormat="1" applyFont="1"/>
    <xf numFmtId="44" fontId="7" fillId="0" borderId="0" xfId="3" applyFont="1"/>
    <xf numFmtId="165" fontId="7" fillId="0" borderId="0" xfId="1" applyNumberFormat="1" applyFont="1"/>
    <xf numFmtId="166" fontId="7" fillId="0" borderId="0" xfId="3" applyNumberFormat="1" applyFont="1" applyFill="1"/>
    <xf numFmtId="43" fontId="68" fillId="0" borderId="0" xfId="1" applyFont="1"/>
    <xf numFmtId="0" fontId="5" fillId="0" borderId="0" xfId="0" applyFont="1" applyFill="1" applyAlignment="1">
      <alignment horizontal="center"/>
    </xf>
    <xf numFmtId="0" fontId="60" fillId="3" borderId="0" xfId="0" applyFont="1" applyFill="1" applyBorder="1" applyAlignment="1">
      <alignment horizontal="center" wrapText="1"/>
    </xf>
    <xf numFmtId="0" fontId="60" fillId="3" borderId="0" xfId="0" applyFont="1" applyFill="1" applyBorder="1"/>
    <xf numFmtId="0" fontId="60" fillId="3" borderId="0" xfId="0" applyFont="1" applyFill="1" applyBorder="1" applyAlignment="1">
      <alignment horizontal="center"/>
    </xf>
    <xf numFmtId="166" fontId="47" fillId="3" borderId="0" xfId="4" applyNumberFormat="1" applyFont="1" applyFill="1" applyBorder="1" applyAlignment="1">
      <alignment vertical="top"/>
    </xf>
    <xf numFmtId="166" fontId="61" fillId="3" borderId="0" xfId="3" applyNumberFormat="1" applyFont="1" applyFill="1" applyBorder="1"/>
    <xf numFmtId="0" fontId="19" fillId="3" borderId="0" xfId="0" applyFont="1" applyFill="1" applyBorder="1"/>
    <xf numFmtId="166" fontId="17" fillId="3" borderId="11" xfId="3" applyNumberFormat="1" applyFont="1" applyFill="1" applyBorder="1" applyAlignment="1">
      <alignment horizontal="center"/>
    </xf>
    <xf numFmtId="166" fontId="17" fillId="3" borderId="12" xfId="3" applyNumberFormat="1" applyFont="1" applyFill="1" applyBorder="1" applyAlignment="1">
      <alignment horizontal="center"/>
    </xf>
    <xf numFmtId="166" fontId="19" fillId="3" borderId="14" xfId="0" applyNumberFormat="1" applyFont="1" applyFill="1" applyBorder="1"/>
    <xf numFmtId="166" fontId="20" fillId="3" borderId="14" xfId="0" applyNumberFormat="1" applyFont="1" applyFill="1" applyBorder="1"/>
    <xf numFmtId="166" fontId="21" fillId="3" borderId="14" xfId="0" applyNumberFormat="1" applyFont="1" applyFill="1" applyBorder="1"/>
    <xf numFmtId="0" fontId="19" fillId="3" borderId="16" xfId="0" applyFont="1" applyFill="1" applyBorder="1"/>
    <xf numFmtId="0" fontId="19" fillId="3" borderId="17" xfId="0" applyFont="1" applyFill="1" applyBorder="1"/>
    <xf numFmtId="0" fontId="39" fillId="3" borderId="0" xfId="0" applyFont="1" applyFill="1" applyBorder="1" applyAlignment="1">
      <alignment horizontal="center" wrapText="1"/>
    </xf>
    <xf numFmtId="0" fontId="39" fillId="3" borderId="0" xfId="0" applyFont="1" applyFill="1" applyBorder="1"/>
    <xf numFmtId="0" fontId="39" fillId="3" borderId="0" xfId="0" applyFont="1" applyFill="1" applyBorder="1" applyAlignment="1">
      <alignment horizontal="center"/>
    </xf>
    <xf numFmtId="166" fontId="47" fillId="3" borderId="0" xfId="3" applyNumberFormat="1" applyFont="1" applyFill="1" applyBorder="1"/>
    <xf numFmtId="166" fontId="49" fillId="3" borderId="0" xfId="3" applyNumberFormat="1" applyFont="1" applyFill="1" applyBorder="1"/>
    <xf numFmtId="0" fontId="44" fillId="0" borderId="0" xfId="7" applyFont="1" applyAlignment="1">
      <alignment wrapText="1"/>
    </xf>
    <xf numFmtId="0" fontId="38" fillId="0" borderId="0" xfId="7" applyFont="1" applyAlignment="1">
      <alignment horizontal="right" wrapText="1"/>
    </xf>
    <xf numFmtId="0" fontId="6" fillId="0" borderId="0" xfId="7" applyAlignment="1">
      <alignment horizontal="right" wrapText="1"/>
    </xf>
    <xf numFmtId="0" fontId="44" fillId="0" borderId="0" xfId="7" applyFont="1" applyAlignment="1">
      <alignment horizontal="right" wrapText="1"/>
    </xf>
    <xf numFmtId="0" fontId="46" fillId="0" borderId="0" xfId="7" applyFont="1" applyAlignment="1">
      <alignment horizontal="right" wrapText="1"/>
    </xf>
    <xf numFmtId="0" fontId="42" fillId="0" borderId="0" xfId="7" applyFont="1" applyAlignment="1">
      <alignment horizontal="right" wrapText="1"/>
    </xf>
    <xf numFmtId="0" fontId="28" fillId="4" borderId="13" xfId="0" applyFont="1" applyFill="1" applyBorder="1" applyAlignment="1">
      <alignment horizontal="center"/>
    </xf>
    <xf numFmtId="0" fontId="28" fillId="4" borderId="0" xfId="0" applyFont="1" applyFill="1" applyBorder="1" applyAlignment="1">
      <alignment horizontal="center"/>
    </xf>
    <xf numFmtId="0" fontId="28" fillId="4" borderId="14" xfId="0" applyFont="1" applyFill="1" applyBorder="1" applyAlignment="1">
      <alignment horizontal="center"/>
    </xf>
    <xf numFmtId="0" fontId="36" fillId="4" borderId="19" xfId="0" applyFont="1" applyFill="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167" fontId="85" fillId="0" borderId="0" xfId="0" applyNumberFormat="1" applyFont="1" applyAlignment="1">
      <alignment horizontal="center"/>
    </xf>
    <xf numFmtId="167" fontId="84" fillId="6" borderId="15" xfId="0" applyNumberFormat="1" applyFont="1" applyFill="1" applyBorder="1" applyAlignment="1">
      <alignment horizontal="center"/>
    </xf>
    <xf numFmtId="167" fontId="84" fillId="6" borderId="16" xfId="0" applyNumberFormat="1" applyFont="1" applyFill="1" applyBorder="1" applyAlignment="1">
      <alignment horizontal="center"/>
    </xf>
    <xf numFmtId="167" fontId="84" fillId="6" borderId="17" xfId="0" applyNumberFormat="1" applyFont="1" applyFill="1" applyBorder="1" applyAlignment="1">
      <alignment horizontal="center"/>
    </xf>
    <xf numFmtId="167" fontId="26" fillId="0" borderId="0" xfId="0" applyNumberFormat="1" applyFont="1" applyAlignment="1">
      <alignment vertical="top" wrapText="1"/>
    </xf>
    <xf numFmtId="0" fontId="37" fillId="0" borderId="0" xfId="0" applyFont="1" applyAlignment="1">
      <alignment vertical="top" wrapText="1"/>
    </xf>
    <xf numFmtId="167" fontId="83" fillId="0" borderId="0" xfId="0" applyNumberFormat="1" applyFont="1" applyAlignment="1">
      <alignment horizontal="center"/>
    </xf>
    <xf numFmtId="167" fontId="84" fillId="6" borderId="24" xfId="0" applyNumberFormat="1" applyFont="1" applyFill="1" applyBorder="1" applyAlignment="1">
      <alignment horizontal="center"/>
    </xf>
    <xf numFmtId="167" fontId="84" fillId="6" borderId="25" xfId="0" applyNumberFormat="1" applyFont="1" applyFill="1" applyBorder="1" applyAlignment="1">
      <alignment horizontal="center"/>
    </xf>
    <xf numFmtId="167" fontId="84" fillId="6" borderId="26" xfId="0" applyNumberFormat="1" applyFont="1" applyFill="1" applyBorder="1" applyAlignment="1">
      <alignment horizontal="center"/>
    </xf>
    <xf numFmtId="0" fontId="111" fillId="0" borderId="0" xfId="0" applyFont="1" applyAlignment="1">
      <alignment horizontal="justify" vertical="top" wrapText="1"/>
    </xf>
    <xf numFmtId="0" fontId="96" fillId="0" borderId="0" xfId="0" applyFont="1" applyAlignment="1">
      <alignment vertical="top" wrapText="1"/>
    </xf>
    <xf numFmtId="0" fontId="28" fillId="4" borderId="0" xfId="0" applyFont="1" applyFill="1" applyAlignment="1">
      <alignment horizontal="center"/>
    </xf>
    <xf numFmtId="0" fontId="36" fillId="4" borderId="0" xfId="0" applyFont="1" applyFill="1" applyAlignment="1">
      <alignment vertical="top" wrapText="1"/>
    </xf>
    <xf numFmtId="0" fontId="3" fillId="0" borderId="0" xfId="0" applyFont="1" applyAlignment="1">
      <alignment vertical="top" wrapText="1"/>
    </xf>
    <xf numFmtId="0" fontId="36" fillId="4" borderId="13" xfId="0" applyFont="1" applyFill="1" applyBorder="1" applyAlignment="1">
      <alignment vertical="top" wrapText="1"/>
    </xf>
    <xf numFmtId="0" fontId="3" fillId="0" borderId="0" xfId="0" applyFont="1" applyBorder="1" applyAlignment="1">
      <alignment vertical="top" wrapText="1"/>
    </xf>
    <xf numFmtId="0" fontId="36" fillId="4" borderId="31" xfId="0" applyFont="1" applyFill="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79" fillId="0" borderId="0" xfId="0" applyFont="1" applyAlignment="1">
      <alignment horizontal="center"/>
    </xf>
    <xf numFmtId="0" fontId="11" fillId="0" borderId="0" xfId="0" applyFont="1" applyAlignment="1">
      <alignment horizontal="center"/>
    </xf>
    <xf numFmtId="0" fontId="58" fillId="0" borderId="0" xfId="0" applyFont="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23" fillId="0" borderId="0" xfId="0" applyFont="1" applyAlignment="1">
      <alignment horizontal="center"/>
    </xf>
    <xf numFmtId="0" fontId="4" fillId="2" borderId="19"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80" fillId="0" borderId="0" xfId="0" applyFont="1" applyAlignment="1">
      <alignment horizontal="center" wrapText="1"/>
    </xf>
    <xf numFmtId="0" fontId="36" fillId="0" borderId="0" xfId="0" applyFont="1" applyAlignment="1">
      <alignment vertical="top" wrapText="1"/>
    </xf>
    <xf numFmtId="0" fontId="107" fillId="0" borderId="0" xfId="0" applyFont="1" applyAlignment="1">
      <alignment horizontal="left" vertical="top" wrapText="1"/>
    </xf>
    <xf numFmtId="0" fontId="0" fillId="0" borderId="0" xfId="0" applyAlignment="1">
      <alignment vertical="top" wrapText="1"/>
    </xf>
    <xf numFmtId="3" fontId="58" fillId="0" borderId="0" xfId="0" applyNumberFormat="1" applyFont="1" applyAlignment="1">
      <alignment horizontal="center"/>
    </xf>
    <xf numFmtId="165" fontId="58" fillId="0" borderId="0" xfId="1" applyNumberFormat="1" applyFont="1" applyAlignment="1">
      <alignment horizontal="center"/>
    </xf>
    <xf numFmtId="0" fontId="107" fillId="0" borderId="0" xfId="0" applyFont="1" applyAlignment="1">
      <alignment vertical="top" wrapText="1"/>
    </xf>
    <xf numFmtId="0" fontId="107" fillId="0" borderId="0" xfId="0" applyFont="1" applyAlignment="1">
      <alignment horizontal="left" vertical="center" wrapText="1"/>
    </xf>
    <xf numFmtId="0" fontId="0" fillId="0" borderId="0" xfId="0" applyAlignment="1">
      <alignment wrapText="1"/>
    </xf>
  </cellXfs>
  <cellStyles count="11">
    <cellStyle name="Comma" xfId="1" builtinId="3"/>
    <cellStyle name="Comma 2" xfId="2" xr:uid="{00000000-0005-0000-0000-000001000000}"/>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Percent" xfId="9" builtinId="5"/>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41" t="s">
        <v>120</v>
      </c>
      <c r="B1" s="242"/>
      <c r="C1" s="243"/>
      <c r="D1" s="243"/>
      <c r="E1" s="243"/>
      <c r="F1" s="243"/>
      <c r="G1" s="244"/>
      <c r="I1" s="241" t="s">
        <v>120</v>
      </c>
      <c r="J1" s="242"/>
      <c r="K1" s="243"/>
      <c r="L1" s="243"/>
      <c r="M1" s="243"/>
      <c r="N1" s="243"/>
      <c r="O1" s="244"/>
    </row>
    <row r="2" spans="1:21" ht="15.75">
      <c r="A2" s="245" t="s">
        <v>140</v>
      </c>
      <c r="B2" s="246"/>
      <c r="C2" s="247"/>
      <c r="D2" s="247"/>
      <c r="E2" s="248"/>
      <c r="F2" s="248"/>
      <c r="G2" s="249"/>
      <c r="I2" s="245" t="s">
        <v>121</v>
      </c>
      <c r="J2" s="246"/>
      <c r="K2" s="247"/>
      <c r="L2" s="247"/>
      <c r="M2" s="248"/>
      <c r="N2" s="248"/>
      <c r="O2" s="249"/>
    </row>
    <row r="3" spans="1:21" ht="15.75">
      <c r="A3" s="245"/>
      <c r="B3" s="246"/>
      <c r="C3" s="247"/>
      <c r="D3" s="247"/>
      <c r="E3" s="248"/>
      <c r="F3" s="248"/>
      <c r="G3" s="249"/>
      <c r="I3" s="245" t="s">
        <v>167</v>
      </c>
      <c r="J3" s="246"/>
      <c r="K3" s="247"/>
      <c r="L3" s="247"/>
      <c r="M3" s="248"/>
      <c r="N3" s="248"/>
      <c r="O3" s="249"/>
    </row>
    <row r="4" spans="1:21" ht="42.75" customHeight="1">
      <c r="A4" s="553" t="s">
        <v>165</v>
      </c>
      <c r="B4" s="554"/>
      <c r="C4" s="555"/>
      <c r="D4" s="247"/>
      <c r="E4" s="248"/>
      <c r="F4" s="248"/>
      <c r="G4" s="249"/>
      <c r="I4" s="245"/>
      <c r="J4" s="246"/>
      <c r="K4" s="247"/>
      <c r="L4" s="247"/>
      <c r="M4" s="248"/>
      <c r="N4" s="248"/>
      <c r="O4" s="249"/>
    </row>
    <row r="5" spans="1:21" ht="15.75">
      <c r="A5" s="311"/>
      <c r="B5" s="247"/>
      <c r="C5" s="247"/>
      <c r="D5" s="247"/>
      <c r="E5" s="248"/>
      <c r="F5" s="248"/>
      <c r="G5" s="249"/>
      <c r="I5" s="245"/>
      <c r="J5" s="246"/>
      <c r="K5" s="247"/>
      <c r="L5" s="247"/>
      <c r="M5" s="248"/>
      <c r="N5" s="248"/>
      <c r="O5" s="249"/>
    </row>
    <row r="6" spans="1:21" ht="15">
      <c r="A6" s="550" t="s">
        <v>19</v>
      </c>
      <c r="B6" s="551"/>
      <c r="C6" s="551"/>
      <c r="D6" s="551"/>
      <c r="E6" s="551"/>
      <c r="F6" s="551"/>
      <c r="G6" s="552"/>
      <c r="I6" s="550" t="s">
        <v>19</v>
      </c>
      <c r="J6" s="551"/>
      <c r="K6" s="551"/>
      <c r="L6" s="551"/>
      <c r="M6" s="551"/>
      <c r="N6" s="551"/>
      <c r="O6" s="552"/>
    </row>
    <row r="7" spans="1:21" ht="15">
      <c r="A7" s="252"/>
      <c r="B7" s="248"/>
      <c r="C7" s="248"/>
      <c r="D7" s="248"/>
      <c r="E7" s="248"/>
      <c r="F7" s="248"/>
      <c r="G7" s="249"/>
      <c r="I7" s="252"/>
      <c r="J7" s="248"/>
      <c r="K7" s="248"/>
      <c r="L7" s="248"/>
      <c r="M7" s="248"/>
      <c r="N7" s="248"/>
      <c r="O7" s="249"/>
    </row>
    <row r="8" spans="1:21" ht="15.75">
      <c r="A8" s="252"/>
      <c r="B8" s="248"/>
      <c r="C8" s="253"/>
      <c r="D8" s="253"/>
      <c r="E8" s="253" t="s">
        <v>122</v>
      </c>
      <c r="F8" s="253" t="s">
        <v>80</v>
      </c>
      <c r="G8" s="249"/>
      <c r="I8" s="252"/>
      <c r="J8" s="248"/>
      <c r="K8" s="253"/>
      <c r="L8" s="253"/>
      <c r="M8" s="253" t="s">
        <v>122</v>
      </c>
      <c r="N8" s="253" t="s">
        <v>80</v>
      </c>
      <c r="O8" s="249"/>
    </row>
    <row r="9" spans="1:21" ht="15.75">
      <c r="A9" s="252"/>
      <c r="B9" s="248"/>
      <c r="C9" s="254" t="s">
        <v>96</v>
      </c>
      <c r="D9" s="254"/>
      <c r="E9" s="254" t="s">
        <v>123</v>
      </c>
      <c r="F9" s="254" t="s">
        <v>124</v>
      </c>
      <c r="G9" s="249"/>
      <c r="I9" s="252"/>
      <c r="J9" s="248"/>
      <c r="K9" s="254" t="s">
        <v>96</v>
      </c>
      <c r="L9" s="254"/>
      <c r="M9" s="254" t="s">
        <v>123</v>
      </c>
      <c r="N9" s="254" t="s">
        <v>124</v>
      </c>
      <c r="O9" s="249"/>
    </row>
    <row r="10" spans="1:21" ht="15.75">
      <c r="A10" s="255" t="s">
        <v>139</v>
      </c>
      <c r="B10" s="246"/>
      <c r="C10" s="256"/>
      <c r="D10" s="256"/>
      <c r="E10" s="256"/>
      <c r="F10" s="256"/>
      <c r="G10" s="249"/>
      <c r="I10" s="255" t="s">
        <v>125</v>
      </c>
      <c r="J10" s="246"/>
      <c r="K10" s="256"/>
      <c r="L10" s="256"/>
      <c r="M10" s="256"/>
      <c r="N10" s="256"/>
      <c r="O10" s="249"/>
    </row>
    <row r="11" spans="1:21" ht="15.75">
      <c r="A11" s="252" t="s">
        <v>126</v>
      </c>
      <c r="B11" s="248"/>
      <c r="C11" s="257">
        <v>299451</v>
      </c>
      <c r="D11" s="257"/>
      <c r="E11" s="258">
        <f>+M12</f>
        <v>2.4500000000000002</v>
      </c>
      <c r="F11" s="259">
        <f>C11*E11</f>
        <v>733654.95000000007</v>
      </c>
      <c r="G11" s="249"/>
      <c r="I11" s="252" t="s">
        <v>126</v>
      </c>
      <c r="J11" s="248"/>
      <c r="K11" s="257">
        <v>291373</v>
      </c>
      <c r="L11" s="257"/>
      <c r="M11" s="258">
        <v>1.79</v>
      </c>
      <c r="N11" s="259">
        <f>K11*M11</f>
        <v>521557.67</v>
      </c>
      <c r="O11" s="249"/>
      <c r="R11" s="278"/>
      <c r="S11" s="239"/>
      <c r="T11" s="289"/>
    </row>
    <row r="12" spans="1:21" ht="17.25">
      <c r="A12" s="260" t="s">
        <v>127</v>
      </c>
      <c r="B12" s="261"/>
      <c r="C12" s="262">
        <v>706622</v>
      </c>
      <c r="D12" s="262"/>
      <c r="E12" s="258">
        <f>+O31</f>
        <v>0.73</v>
      </c>
      <c r="F12" s="263">
        <f>C12*E12</f>
        <v>515834.06</v>
      </c>
      <c r="G12" s="249"/>
      <c r="I12" s="260" t="s">
        <v>127</v>
      </c>
      <c r="J12" s="261"/>
      <c r="K12" s="262">
        <v>885244</v>
      </c>
      <c r="L12" s="262"/>
      <c r="M12" s="258">
        <v>2.4500000000000002</v>
      </c>
      <c r="N12" s="263">
        <f>K12*M12</f>
        <v>2168847.8000000003</v>
      </c>
      <c r="O12" s="249"/>
    </row>
    <row r="13" spans="1:21" ht="17.25">
      <c r="A13" s="252" t="s">
        <v>80</v>
      </c>
      <c r="B13" s="248"/>
      <c r="C13" s="257">
        <f>SUM(C11:C12)</f>
        <v>1006073</v>
      </c>
      <c r="D13" s="262"/>
      <c r="E13" s="248"/>
      <c r="F13" s="259">
        <f>SUM(F11:F12)</f>
        <v>1249489.01</v>
      </c>
      <c r="G13" s="249"/>
      <c r="I13" s="252" t="s">
        <v>80</v>
      </c>
      <c r="J13" s="248"/>
      <c r="K13" s="257">
        <f>SUM(K11:K12)</f>
        <v>1176617</v>
      </c>
      <c r="L13" s="262"/>
      <c r="M13" s="248"/>
      <c r="N13" s="259">
        <f>SUM(N11:N12)</f>
        <v>2690405.47</v>
      </c>
      <c r="O13" s="249"/>
      <c r="T13" s="291"/>
    </row>
    <row r="14" spans="1:21" ht="15">
      <c r="A14" s="252"/>
      <c r="B14" s="248"/>
      <c r="C14" s="248"/>
      <c r="D14" s="248"/>
      <c r="E14" s="248"/>
      <c r="F14" s="248"/>
      <c r="G14" s="249"/>
      <c r="I14" s="252"/>
      <c r="J14" s="248"/>
      <c r="K14" s="248"/>
      <c r="L14" s="248"/>
      <c r="M14" s="248"/>
      <c r="N14" s="248"/>
      <c r="O14" s="249"/>
      <c r="T14" s="290"/>
      <c r="U14" s="11"/>
    </row>
    <row r="15" spans="1:21" ht="15.75">
      <c r="A15" s="245"/>
      <c r="B15" s="248"/>
      <c r="C15" s="248"/>
      <c r="D15" s="248"/>
      <c r="E15" s="248"/>
      <c r="F15" s="287"/>
      <c r="G15" s="249"/>
      <c r="I15" s="252"/>
      <c r="J15" s="248"/>
      <c r="K15" s="248"/>
      <c r="L15" s="248"/>
      <c r="M15" s="248"/>
      <c r="N15" s="248"/>
      <c r="O15" s="249"/>
      <c r="T15" s="290"/>
      <c r="U15" s="11"/>
    </row>
    <row r="16" spans="1:21" ht="15.75">
      <c r="A16" s="245" t="s">
        <v>141</v>
      </c>
      <c r="B16" s="248"/>
      <c r="C16" s="248"/>
      <c r="D16" s="248"/>
      <c r="E16" s="248"/>
      <c r="F16" s="259">
        <v>528491.43671045091</v>
      </c>
      <c r="G16" s="249"/>
      <c r="I16" s="252"/>
      <c r="J16" s="248"/>
      <c r="K16" s="248"/>
      <c r="L16" s="248"/>
      <c r="M16" s="248"/>
      <c r="N16" s="248"/>
      <c r="O16" s="249"/>
      <c r="T16" s="290"/>
      <c r="U16" s="11"/>
    </row>
    <row r="17" spans="1:21" ht="15.75">
      <c r="A17" s="245" t="s">
        <v>168</v>
      </c>
      <c r="B17" s="248"/>
      <c r="C17" s="248"/>
      <c r="D17" s="248"/>
      <c r="E17" s="248"/>
      <c r="F17" s="312">
        <f>-F16*50%</f>
        <v>-264245.71835522546</v>
      </c>
      <c r="G17" s="249"/>
      <c r="I17" s="245"/>
      <c r="J17" s="248"/>
      <c r="K17" s="248"/>
      <c r="L17" s="248"/>
      <c r="M17" s="248"/>
      <c r="N17" s="259"/>
      <c r="O17" s="249"/>
    </row>
    <row r="18" spans="1:21" ht="15.75">
      <c r="A18" s="316" t="s">
        <v>171</v>
      </c>
      <c r="B18" s="248"/>
      <c r="C18" s="248"/>
      <c r="D18" s="248"/>
      <c r="E18" s="248"/>
      <c r="F18" s="286">
        <f>SUM(F16:F17)</f>
        <v>264245.71835522546</v>
      </c>
      <c r="G18" s="249"/>
      <c r="I18" s="252"/>
      <c r="J18" s="248"/>
      <c r="K18" s="248"/>
      <c r="L18" s="248"/>
      <c r="M18" s="248"/>
      <c r="N18" s="248"/>
      <c r="O18" s="249"/>
      <c r="T18" s="290"/>
      <c r="U18" s="11"/>
    </row>
    <row r="19" spans="1:21" ht="17.25">
      <c r="A19" s="317"/>
      <c r="B19" s="317"/>
      <c r="C19" s="317"/>
      <c r="D19" s="317"/>
      <c r="E19" s="317"/>
      <c r="F19" s="317"/>
      <c r="G19" s="249"/>
      <c r="I19" s="252"/>
      <c r="J19" s="248"/>
      <c r="K19" s="248"/>
      <c r="L19" s="248"/>
      <c r="M19" s="248"/>
      <c r="N19" s="248"/>
      <c r="O19" s="249"/>
      <c r="T19" s="292"/>
      <c r="U19" s="11"/>
    </row>
    <row r="20" spans="1:21" ht="15.75">
      <c r="A20" s="252" t="s">
        <v>129</v>
      </c>
      <c r="B20" s="248"/>
      <c r="C20" s="248"/>
      <c r="D20" s="248"/>
      <c r="E20" s="248"/>
      <c r="F20" s="287">
        <f>F18-F13</f>
        <v>-985243.29164477461</v>
      </c>
      <c r="G20" s="249"/>
      <c r="I20" s="245" t="s">
        <v>128</v>
      </c>
      <c r="J20" s="248"/>
      <c r="K20" s="248"/>
      <c r="L20" s="248"/>
      <c r="M20" s="248"/>
      <c r="N20" s="259">
        <v>1226082</v>
      </c>
      <c r="O20" s="249"/>
      <c r="Q20" s="289"/>
      <c r="T20" s="290"/>
    </row>
    <row r="21" spans="1:21" ht="17.25">
      <c r="A21" s="245" t="s">
        <v>169</v>
      </c>
      <c r="B21" s="248"/>
      <c r="C21" s="284">
        <v>199583</v>
      </c>
      <c r="D21" s="248"/>
      <c r="E21" s="285">
        <f>(O26*M36)+(O31*M36)+O34</f>
        <v>-0.29675000000000007</v>
      </c>
      <c r="F21" s="265">
        <f>E21*C21</f>
        <v>-59226.255250000017</v>
      </c>
      <c r="G21" s="249"/>
      <c r="I21" s="245"/>
      <c r="J21" s="248"/>
      <c r="K21" s="248"/>
      <c r="L21" s="248"/>
      <c r="M21" s="248"/>
      <c r="N21" s="259"/>
      <c r="O21" s="249"/>
    </row>
    <row r="22" spans="1:21" ht="15">
      <c r="A22" s="317" t="s">
        <v>172</v>
      </c>
      <c r="B22" s="317"/>
      <c r="C22" s="317"/>
      <c r="D22" s="317"/>
      <c r="E22" s="317"/>
      <c r="F22" s="313">
        <f>SUM(F20:F21)</f>
        <v>-1044469.5468947747</v>
      </c>
      <c r="G22" s="249"/>
      <c r="I22" s="252" t="s">
        <v>129</v>
      </c>
      <c r="J22" s="248"/>
      <c r="K22" s="248"/>
      <c r="L22" s="248"/>
      <c r="M22" s="248"/>
      <c r="N22" s="257">
        <f>N20-N13</f>
        <v>-1464323.4700000002</v>
      </c>
      <c r="O22" s="249"/>
      <c r="T22" s="290"/>
      <c r="U22" s="11"/>
    </row>
    <row r="23" spans="1:21" ht="17.25">
      <c r="A23" s="317"/>
      <c r="B23" s="317"/>
      <c r="C23" s="317"/>
      <c r="D23" s="317"/>
      <c r="E23" s="317"/>
      <c r="F23" s="317"/>
      <c r="G23" s="249"/>
      <c r="I23" s="252"/>
      <c r="J23" s="248"/>
      <c r="K23" s="264"/>
      <c r="L23" s="248"/>
      <c r="M23" s="248"/>
      <c r="N23" s="265"/>
      <c r="O23" s="249"/>
    </row>
    <row r="24" spans="1:21" ht="17.25">
      <c r="A24" s="252" t="s">
        <v>130</v>
      </c>
      <c r="B24" s="248"/>
      <c r="C24" s="248"/>
      <c r="D24" s="248"/>
      <c r="E24" s="248"/>
      <c r="F24" s="257">
        <v>1205656</v>
      </c>
      <c r="G24" s="249"/>
      <c r="I24" s="252" t="s">
        <v>130</v>
      </c>
      <c r="J24" s="248"/>
      <c r="K24" s="248"/>
      <c r="L24" s="248"/>
      <c r="M24" s="248"/>
      <c r="N24" s="257">
        <f>+K13</f>
        <v>1176617</v>
      </c>
      <c r="O24" s="249"/>
      <c r="T24" s="291"/>
    </row>
    <row r="25" spans="1:21" ht="15">
      <c r="A25" s="252"/>
      <c r="B25" s="248"/>
      <c r="C25" s="248"/>
      <c r="D25" s="248"/>
      <c r="E25" s="248"/>
      <c r="F25" s="248"/>
      <c r="G25" s="249"/>
      <c r="I25" s="252"/>
      <c r="J25" s="248"/>
      <c r="K25" s="248"/>
      <c r="L25" s="248"/>
      <c r="M25" s="248"/>
      <c r="N25" s="248"/>
      <c r="O25" s="249"/>
    </row>
    <row r="26" spans="1:21" ht="15">
      <c r="A26" s="252" t="s">
        <v>131</v>
      </c>
      <c r="B26" s="248"/>
      <c r="C26" s="248"/>
      <c r="D26" s="248"/>
      <c r="E26" s="248"/>
      <c r="F26" s="266"/>
      <c r="G26" s="267">
        <f>F22/F24</f>
        <v>-0.86630809028012523</v>
      </c>
      <c r="I26" s="252" t="s">
        <v>131</v>
      </c>
      <c r="J26" s="248"/>
      <c r="K26" s="248"/>
      <c r="L26" s="248"/>
      <c r="M26" s="248"/>
      <c r="N26" s="266"/>
      <c r="O26" s="267">
        <f>ROUND(N22/N24,2)</f>
        <v>-1.24</v>
      </c>
    </row>
    <row r="27" spans="1:21" ht="15">
      <c r="A27" s="252"/>
      <c r="B27" s="248"/>
      <c r="C27" s="248"/>
      <c r="D27" s="248"/>
      <c r="E27" s="248"/>
      <c r="F27" s="248"/>
      <c r="G27" s="267"/>
      <c r="I27" s="252"/>
      <c r="J27" s="248"/>
      <c r="K27" s="248"/>
      <c r="L27" s="248"/>
      <c r="M27" s="248"/>
      <c r="N27" s="248"/>
      <c r="O27" s="267"/>
    </row>
    <row r="28" spans="1:21" ht="15">
      <c r="A28" s="252"/>
      <c r="B28" s="248"/>
      <c r="C28" s="248"/>
      <c r="D28" s="248"/>
      <c r="E28" s="248"/>
      <c r="F28" s="248"/>
      <c r="G28" s="267"/>
      <c r="I28" s="252"/>
      <c r="J28" s="248"/>
      <c r="K28" s="248"/>
      <c r="L28" s="248"/>
      <c r="M28" s="248"/>
      <c r="N28" s="248"/>
      <c r="O28" s="267"/>
    </row>
    <row r="29" spans="1:21" ht="15.75">
      <c r="A29" s="268" t="s">
        <v>142</v>
      </c>
      <c r="B29" s="246"/>
      <c r="C29" s="248"/>
      <c r="D29" s="248"/>
      <c r="E29" s="248"/>
      <c r="F29" s="269">
        <f>F16</f>
        <v>528491.43671045091</v>
      </c>
      <c r="G29" s="267"/>
      <c r="I29" s="268" t="s">
        <v>132</v>
      </c>
      <c r="J29" s="246"/>
      <c r="K29" s="248"/>
      <c r="L29" s="248"/>
      <c r="M29" s="248"/>
      <c r="N29" s="269">
        <f>431654*2</f>
        <v>863308</v>
      </c>
      <c r="O29" s="267"/>
    </row>
    <row r="30" spans="1:21" ht="17.25">
      <c r="A30" s="245" t="s">
        <v>168</v>
      </c>
      <c r="B30" s="317"/>
      <c r="C30" s="317"/>
      <c r="D30" s="317"/>
      <c r="E30" s="317"/>
      <c r="F30" s="315">
        <f>F29*50%</f>
        <v>264245.71835522546</v>
      </c>
      <c r="G30" s="267"/>
      <c r="I30" s="252" t="s">
        <v>130</v>
      </c>
      <c r="J30" s="248"/>
      <c r="K30" s="248"/>
      <c r="L30" s="248"/>
      <c r="M30" s="248"/>
      <c r="N30" s="270">
        <f>+K13</f>
        <v>1176617</v>
      </c>
      <c r="O30" s="267"/>
    </row>
    <row r="31" spans="1:21" ht="17.25">
      <c r="A31" s="317" t="s">
        <v>170</v>
      </c>
      <c r="B31" s="317"/>
      <c r="C31" s="317"/>
      <c r="D31" s="317"/>
      <c r="E31" s="317"/>
      <c r="F31" s="313">
        <f>F29-F30</f>
        <v>264245.71835522546</v>
      </c>
      <c r="G31" s="267"/>
      <c r="I31" s="252" t="s">
        <v>133</v>
      </c>
      <c r="J31" s="248"/>
      <c r="K31" s="248"/>
      <c r="L31" s="248"/>
      <c r="M31" s="248"/>
      <c r="N31" s="248"/>
      <c r="O31" s="271">
        <f>ROUND(+N29/N30,2)</f>
        <v>0.73</v>
      </c>
    </row>
    <row r="32" spans="1:21" ht="17.25">
      <c r="A32" s="252" t="s">
        <v>130</v>
      </c>
      <c r="B32" s="248"/>
      <c r="C32" s="248"/>
      <c r="D32" s="248"/>
      <c r="E32" s="248"/>
      <c r="F32" s="270">
        <f>F24</f>
        <v>1205656</v>
      </c>
      <c r="G32" s="267"/>
      <c r="I32" s="245" t="s">
        <v>134</v>
      </c>
      <c r="J32" s="246"/>
      <c r="K32" s="248"/>
      <c r="L32" s="248"/>
      <c r="M32" s="248"/>
      <c r="N32" s="248"/>
      <c r="O32" s="272">
        <f>SUM(O26:O31)</f>
        <v>-0.51</v>
      </c>
      <c r="P32" s="273"/>
    </row>
    <row r="33" spans="1:16" ht="17.25">
      <c r="A33" s="252" t="s">
        <v>133</v>
      </c>
      <c r="B33" s="248"/>
      <c r="C33" s="248"/>
      <c r="D33" s="248"/>
      <c r="E33" s="248"/>
      <c r="F33" s="248"/>
      <c r="G33" s="271">
        <f>ROUND(+F29/F32,2)</f>
        <v>0.44</v>
      </c>
      <c r="I33" s="245"/>
      <c r="J33" s="246"/>
      <c r="K33" s="248"/>
      <c r="L33" s="248"/>
      <c r="M33" s="248"/>
      <c r="N33" s="248"/>
      <c r="O33" s="272"/>
      <c r="P33" s="273"/>
    </row>
    <row r="34" spans="1:16" ht="15.75">
      <c r="A34" s="245" t="s">
        <v>134</v>
      </c>
      <c r="B34" s="246"/>
      <c r="C34" s="248"/>
      <c r="D34" s="248"/>
      <c r="E34" s="248"/>
      <c r="F34" s="248"/>
      <c r="G34" s="272">
        <f>SUM(G26:G33)</f>
        <v>-0.42630809028012523</v>
      </c>
      <c r="I34" s="260" t="s">
        <v>135</v>
      </c>
      <c r="J34" s="246"/>
      <c r="K34" s="248"/>
      <c r="L34" s="248"/>
      <c r="M34" s="274">
        <f>+K13/12*0.5</f>
        <v>49025.708333333336</v>
      </c>
      <c r="N34" s="248"/>
      <c r="O34" s="275">
        <f>ROUND(-M34/K13*2,2)</f>
        <v>-0.08</v>
      </c>
    </row>
    <row r="35" spans="1:16" ht="15.75">
      <c r="A35" s="260"/>
      <c r="B35" s="246"/>
      <c r="C35" s="248"/>
      <c r="D35" s="248"/>
      <c r="E35" s="248"/>
      <c r="F35" s="248"/>
      <c r="G35" s="272"/>
      <c r="I35" s="260"/>
      <c r="J35" s="246"/>
      <c r="K35" s="248"/>
      <c r="L35" s="248"/>
      <c r="M35" s="248"/>
      <c r="N35" s="248"/>
      <c r="O35" s="272"/>
    </row>
    <row r="36" spans="1:16" ht="20.25">
      <c r="A36" s="260"/>
      <c r="B36" s="248"/>
      <c r="C36" s="248"/>
      <c r="D36" s="248"/>
      <c r="E36" s="276"/>
      <c r="F36" s="248"/>
      <c r="G36" s="277"/>
      <c r="I36" s="260" t="s">
        <v>136</v>
      </c>
      <c r="J36" s="248"/>
      <c r="K36" s="248"/>
      <c r="L36" s="248"/>
      <c r="M36" s="276">
        <v>0.42499999999999999</v>
      </c>
      <c r="N36" s="248"/>
      <c r="O36" s="277">
        <f>-M36*O31</f>
        <v>-0.31024999999999997</v>
      </c>
      <c r="P36" s="278"/>
    </row>
    <row r="37" spans="1:16" ht="20.25">
      <c r="A37" s="260"/>
      <c r="B37" s="248"/>
      <c r="C37" s="248"/>
      <c r="D37" s="248"/>
      <c r="E37" s="279"/>
      <c r="F37" s="248"/>
      <c r="G37" s="277"/>
      <c r="I37" s="260"/>
      <c r="J37" s="248"/>
      <c r="K37" s="248"/>
      <c r="L37" s="248"/>
      <c r="M37" s="279"/>
      <c r="N37" s="248"/>
      <c r="O37" s="277"/>
      <c r="P37" s="278"/>
    </row>
    <row r="38" spans="1:16" ht="18">
      <c r="A38" s="245"/>
      <c r="B38" s="248"/>
      <c r="C38" s="248"/>
      <c r="D38" s="248"/>
      <c r="E38" s="279"/>
      <c r="F38" s="248"/>
      <c r="G38" s="280"/>
      <c r="I38" s="245" t="s">
        <v>162</v>
      </c>
      <c r="J38" s="248"/>
      <c r="K38" s="248"/>
      <c r="L38" s="248"/>
      <c r="M38" s="279"/>
      <c r="N38" s="248"/>
      <c r="O38" s="280">
        <f>+O32+O36+O34</f>
        <v>-0.90024999999999988</v>
      </c>
      <c r="P38" s="273"/>
    </row>
    <row r="39" spans="1:16" ht="18">
      <c r="A39" s="245"/>
      <c r="B39" s="248"/>
      <c r="C39" s="248"/>
      <c r="D39" s="248"/>
      <c r="E39" s="279"/>
      <c r="F39" s="248"/>
      <c r="G39" s="280"/>
      <c r="I39" s="245"/>
      <c r="J39" s="248"/>
      <c r="K39" s="248"/>
      <c r="L39" s="248"/>
      <c r="M39" s="279"/>
      <c r="N39" s="248"/>
      <c r="O39" s="280"/>
      <c r="P39" s="273"/>
    </row>
    <row r="40" spans="1:16" ht="18">
      <c r="A40" s="245"/>
      <c r="B40" s="248"/>
      <c r="C40" s="248"/>
      <c r="D40" s="248"/>
      <c r="E40" s="279"/>
      <c r="F40" s="248"/>
      <c r="G40" s="280"/>
      <c r="I40" s="245" t="s">
        <v>163</v>
      </c>
      <c r="J40" s="248"/>
      <c r="K40" s="248"/>
      <c r="L40" s="248"/>
      <c r="M40" s="279"/>
      <c r="N40" s="248"/>
      <c r="O40" s="280">
        <f>+O32+O34</f>
        <v>-0.59</v>
      </c>
      <c r="P40" s="273"/>
    </row>
    <row r="41" spans="1:16" ht="13.5" thickBot="1">
      <c r="A41" s="281"/>
      <c r="B41" s="282"/>
      <c r="C41" s="282"/>
      <c r="D41" s="282"/>
      <c r="E41" s="282"/>
      <c r="F41" s="282"/>
      <c r="G41" s="283"/>
      <c r="I41" s="281"/>
      <c r="J41" s="282"/>
      <c r="K41" s="282"/>
      <c r="L41" s="282"/>
      <c r="M41" s="282"/>
      <c r="N41" s="282"/>
      <c r="O41" s="283"/>
    </row>
    <row r="44" spans="1:16" ht="13.5" thickBot="1"/>
    <row r="45" spans="1:16" ht="23.25">
      <c r="A45" s="241" t="s">
        <v>137</v>
      </c>
      <c r="B45" s="242"/>
      <c r="C45" s="243"/>
      <c r="D45" s="243"/>
      <c r="E45" s="243"/>
      <c r="F45" s="243"/>
      <c r="G45" s="244"/>
      <c r="I45" s="241" t="s">
        <v>137</v>
      </c>
      <c r="J45" s="242"/>
      <c r="K45" s="243"/>
      <c r="L45" s="243"/>
      <c r="M45" s="243"/>
      <c r="N45" s="243"/>
      <c r="O45" s="244"/>
    </row>
    <row r="46" spans="1:16" ht="15.75">
      <c r="A46" s="245" t="s">
        <v>140</v>
      </c>
      <c r="B46" s="246"/>
      <c r="C46" s="247"/>
      <c r="D46" s="247"/>
      <c r="E46" s="248"/>
      <c r="F46" s="248"/>
      <c r="G46" s="249"/>
      <c r="I46" s="245" t="s">
        <v>121</v>
      </c>
      <c r="J46" s="246"/>
      <c r="K46" s="247"/>
      <c r="L46" s="247"/>
      <c r="M46" s="248"/>
      <c r="N46" s="248"/>
      <c r="O46" s="249"/>
    </row>
    <row r="47" spans="1:16" ht="15.75">
      <c r="A47" s="250"/>
      <c r="B47" s="251"/>
      <c r="C47" s="248"/>
      <c r="D47" s="248"/>
      <c r="E47" s="248"/>
      <c r="F47" s="248"/>
      <c r="G47" s="249"/>
      <c r="I47" s="250"/>
      <c r="J47" s="251"/>
      <c r="K47" s="248"/>
      <c r="L47" s="248"/>
      <c r="M47" s="248"/>
      <c r="N47" s="248"/>
      <c r="O47" s="249"/>
    </row>
    <row r="48" spans="1:16" ht="15">
      <c r="A48" s="550" t="s">
        <v>19</v>
      </c>
      <c r="B48" s="551"/>
      <c r="C48" s="551"/>
      <c r="D48" s="551"/>
      <c r="E48" s="551"/>
      <c r="F48" s="551"/>
      <c r="G48" s="552"/>
      <c r="I48" s="550" t="s">
        <v>19</v>
      </c>
      <c r="J48" s="551"/>
      <c r="K48" s="551"/>
      <c r="L48" s="551"/>
      <c r="M48" s="551"/>
      <c r="N48" s="551"/>
      <c r="O48" s="552"/>
    </row>
    <row r="49" spans="1:17" ht="15">
      <c r="A49" s="252"/>
      <c r="B49" s="248"/>
      <c r="C49" s="248"/>
      <c r="D49" s="248"/>
      <c r="E49" s="248"/>
      <c r="F49" s="248"/>
      <c r="G49" s="249"/>
      <c r="I49" s="252"/>
      <c r="J49" s="248"/>
      <c r="K49" s="248"/>
      <c r="L49" s="248"/>
      <c r="M49" s="248"/>
      <c r="N49" s="248"/>
      <c r="O49" s="249"/>
    </row>
    <row r="50" spans="1:17" ht="15.75">
      <c r="A50" s="252"/>
      <c r="B50" s="248"/>
      <c r="C50" s="253"/>
      <c r="D50" s="253"/>
      <c r="E50" s="253" t="s">
        <v>122</v>
      </c>
      <c r="F50" s="253" t="s">
        <v>80</v>
      </c>
      <c r="G50" s="249"/>
      <c r="I50" s="252"/>
      <c r="J50" s="248"/>
      <c r="K50" s="253"/>
      <c r="L50" s="253"/>
      <c r="M50" s="253" t="s">
        <v>122</v>
      </c>
      <c r="N50" s="253" t="s">
        <v>80</v>
      </c>
      <c r="O50" s="249"/>
    </row>
    <row r="51" spans="1:17" ht="15.75">
      <c r="A51" s="252"/>
      <c r="B51" s="248"/>
      <c r="C51" s="254" t="s">
        <v>96</v>
      </c>
      <c r="D51" s="254"/>
      <c r="E51" s="254" t="s">
        <v>123</v>
      </c>
      <c r="F51" s="254" t="s">
        <v>124</v>
      </c>
      <c r="G51" s="249"/>
      <c r="I51" s="252"/>
      <c r="J51" s="248"/>
      <c r="K51" s="254" t="s">
        <v>96</v>
      </c>
      <c r="L51" s="254"/>
      <c r="M51" s="254" t="s">
        <v>123</v>
      </c>
      <c r="N51" s="254" t="s">
        <v>124</v>
      </c>
      <c r="O51" s="249"/>
    </row>
    <row r="52" spans="1:17" ht="15.75">
      <c r="A52" s="255" t="s">
        <v>139</v>
      </c>
      <c r="B52" s="246"/>
      <c r="C52" s="256"/>
      <c r="D52" s="256"/>
      <c r="E52" s="256"/>
      <c r="F52" s="256"/>
      <c r="G52" s="249"/>
      <c r="I52" s="255" t="s">
        <v>125</v>
      </c>
      <c r="J52" s="246"/>
      <c r="K52" s="256"/>
      <c r="L52" s="256"/>
      <c r="M52" s="256"/>
      <c r="N52" s="256"/>
      <c r="O52" s="249"/>
    </row>
    <row r="53" spans="1:17" ht="15.75">
      <c r="A53" s="252" t="s">
        <v>126</v>
      </c>
      <c r="B53" s="248"/>
      <c r="C53" s="257">
        <v>63231</v>
      </c>
      <c r="D53" s="257"/>
      <c r="E53" s="258">
        <f>+M54</f>
        <v>2.7</v>
      </c>
      <c r="F53" s="259">
        <f>C53*E53</f>
        <v>170723.7</v>
      </c>
      <c r="G53" s="249"/>
      <c r="I53" s="252" t="s">
        <v>126</v>
      </c>
      <c r="J53" s="248"/>
      <c r="K53" s="257">
        <v>62533</v>
      </c>
      <c r="L53" s="257"/>
      <c r="M53" s="258">
        <v>1.94</v>
      </c>
      <c r="N53" s="259">
        <f>K53*M53</f>
        <v>121314.01999999999</v>
      </c>
      <c r="O53" s="249"/>
    </row>
    <row r="54" spans="1:17" ht="17.25">
      <c r="A54" s="260" t="s">
        <v>127</v>
      </c>
      <c r="B54" s="261"/>
      <c r="C54" s="262">
        <v>148568</v>
      </c>
      <c r="D54" s="262"/>
      <c r="E54" s="258">
        <f>+O73</f>
        <v>0.72</v>
      </c>
      <c r="F54" s="263">
        <f>C54*E54</f>
        <v>106968.95999999999</v>
      </c>
      <c r="G54" s="249"/>
      <c r="I54" s="260" t="s">
        <v>127</v>
      </c>
      <c r="J54" s="261"/>
      <c r="K54" s="262">
        <v>188839</v>
      </c>
      <c r="L54" s="262"/>
      <c r="M54" s="258">
        <v>2.7</v>
      </c>
      <c r="N54" s="263">
        <f>K54*M54</f>
        <v>509865.30000000005</v>
      </c>
      <c r="O54" s="249"/>
    </row>
    <row r="55" spans="1:17" ht="17.25">
      <c r="A55" s="252" t="s">
        <v>80</v>
      </c>
      <c r="B55" s="248"/>
      <c r="C55" s="257">
        <f>SUM(C53:C54)</f>
        <v>211799</v>
      </c>
      <c r="D55" s="262"/>
      <c r="E55" s="248"/>
      <c r="F55" s="259">
        <f>SUM(F53:F54)</f>
        <v>277692.66000000003</v>
      </c>
      <c r="G55" s="249"/>
      <c r="I55" s="252" t="s">
        <v>80</v>
      </c>
      <c r="J55" s="248"/>
      <c r="K55" s="257">
        <f>SUM(K53:K54)</f>
        <v>251372</v>
      </c>
      <c r="L55" s="262"/>
      <c r="M55" s="248"/>
      <c r="N55" s="259">
        <f>SUM(N53:N54)</f>
        <v>631179.32000000007</v>
      </c>
      <c r="O55" s="249"/>
    </row>
    <row r="56" spans="1:17" ht="15">
      <c r="A56" s="252"/>
      <c r="B56" s="248"/>
      <c r="C56" s="248"/>
      <c r="D56" s="248"/>
      <c r="E56" s="248"/>
      <c r="F56" s="248"/>
      <c r="G56" s="249"/>
      <c r="I56" s="252"/>
      <c r="J56" s="248"/>
      <c r="K56" s="248"/>
      <c r="L56" s="248"/>
      <c r="M56" s="248"/>
      <c r="N56" s="248"/>
      <c r="O56" s="249"/>
    </row>
    <row r="57" spans="1:17" ht="15.75">
      <c r="A57" s="245" t="s">
        <v>141</v>
      </c>
      <c r="B57" s="248"/>
      <c r="C57" s="248"/>
      <c r="D57" s="248"/>
      <c r="E57" s="248"/>
      <c r="F57" s="259">
        <v>153774.15208976623</v>
      </c>
      <c r="G57" s="249"/>
      <c r="I57" s="252"/>
      <c r="J57" s="248"/>
      <c r="K57" s="248"/>
      <c r="L57" s="248"/>
      <c r="M57" s="248"/>
      <c r="N57" s="248"/>
      <c r="O57" s="249"/>
    </row>
    <row r="58" spans="1:17" ht="15.75">
      <c r="A58" s="245" t="s">
        <v>168</v>
      </c>
      <c r="B58" s="248"/>
      <c r="C58" s="248"/>
      <c r="D58" s="248"/>
      <c r="E58" s="248"/>
      <c r="F58" s="312">
        <f>-F57*50%</f>
        <v>-76887.076044883113</v>
      </c>
      <c r="G58" s="249"/>
      <c r="I58" s="252"/>
      <c r="J58" s="248"/>
      <c r="K58" s="248"/>
      <c r="L58" s="248"/>
      <c r="M58" s="248"/>
      <c r="N58" s="248"/>
      <c r="O58" s="249"/>
    </row>
    <row r="59" spans="1:17" ht="15.75">
      <c r="A59" s="316" t="s">
        <v>171</v>
      </c>
      <c r="B59" s="317"/>
      <c r="C59" s="317"/>
      <c r="D59" s="317"/>
      <c r="E59" s="317"/>
      <c r="F59" s="313">
        <f>SUM(F57:F58)</f>
        <v>76887.076044883113</v>
      </c>
      <c r="G59" s="249"/>
      <c r="I59" s="252"/>
      <c r="J59" s="248"/>
      <c r="K59" s="248"/>
      <c r="L59" s="248"/>
      <c r="M59" s="248"/>
      <c r="N59" s="248"/>
      <c r="O59" s="249"/>
    </row>
    <row r="60" spans="1:17" ht="15">
      <c r="A60" s="317"/>
      <c r="B60" s="317"/>
      <c r="C60" s="317"/>
      <c r="D60" s="317"/>
      <c r="E60" s="317"/>
      <c r="F60" s="317"/>
      <c r="G60" s="249"/>
      <c r="I60" s="252"/>
      <c r="J60" s="248"/>
      <c r="K60" s="248"/>
      <c r="L60" s="248"/>
      <c r="M60" s="248"/>
      <c r="N60" s="248"/>
      <c r="O60" s="249"/>
    </row>
    <row r="61" spans="1:17" ht="15">
      <c r="A61" s="252" t="s">
        <v>129</v>
      </c>
      <c r="B61" s="248"/>
      <c r="C61" s="248"/>
      <c r="D61" s="248"/>
      <c r="E61" s="248"/>
      <c r="F61" s="287">
        <f>F59-F55</f>
        <v>-200805.58395511692</v>
      </c>
      <c r="G61" s="249"/>
      <c r="I61" s="252"/>
      <c r="J61" s="248"/>
      <c r="K61" s="248"/>
      <c r="L61" s="248"/>
      <c r="M61" s="248"/>
      <c r="N61" s="248"/>
      <c r="O61" s="249"/>
    </row>
    <row r="62" spans="1:17" ht="15.75">
      <c r="A62" s="245" t="s">
        <v>169</v>
      </c>
      <c r="B62" s="248"/>
      <c r="C62" s="284">
        <v>42056</v>
      </c>
      <c r="D62" s="248"/>
      <c r="E62" s="285">
        <f>+O80</f>
        <v>-1.1600000000000001</v>
      </c>
      <c r="F62" s="259">
        <f>E62*C62</f>
        <v>-48784.960000000006</v>
      </c>
      <c r="G62" s="249"/>
      <c r="I62" s="245" t="s">
        <v>128</v>
      </c>
      <c r="J62" s="248"/>
      <c r="K62" s="248"/>
      <c r="L62" s="248"/>
      <c r="M62" s="248"/>
      <c r="N62" s="259">
        <v>269162</v>
      </c>
      <c r="O62" s="249"/>
      <c r="Q62" s="289"/>
    </row>
    <row r="63" spans="1:17" ht="15.75">
      <c r="A63" s="245" t="s">
        <v>166</v>
      </c>
      <c r="B63" s="317"/>
      <c r="C63" s="317"/>
      <c r="D63" s="317"/>
      <c r="E63" s="317"/>
      <c r="F63" s="314">
        <v>4957.7399619857606</v>
      </c>
      <c r="G63" s="249"/>
      <c r="I63" s="252"/>
      <c r="J63" s="248"/>
      <c r="K63" s="248"/>
      <c r="L63" s="248"/>
      <c r="M63" s="248"/>
      <c r="N63" s="259"/>
      <c r="O63" s="249"/>
    </row>
    <row r="64" spans="1:17" ht="15">
      <c r="A64" s="317" t="s">
        <v>172</v>
      </c>
      <c r="B64" s="317"/>
      <c r="C64" s="317"/>
      <c r="D64" s="317"/>
      <c r="E64" s="317"/>
      <c r="F64" s="313">
        <f>SUM(F61:F63)</f>
        <v>-244632.80399313118</v>
      </c>
      <c r="G64" s="249"/>
      <c r="I64" s="252" t="s">
        <v>129</v>
      </c>
      <c r="J64" s="248"/>
      <c r="K64" s="248"/>
      <c r="L64" s="248"/>
      <c r="M64" s="248"/>
      <c r="N64" s="257">
        <f>N62-N55</f>
        <v>-362017.32000000007</v>
      </c>
      <c r="O64" s="249"/>
    </row>
    <row r="65" spans="1:15" ht="17.25">
      <c r="A65" s="317"/>
      <c r="B65" s="317"/>
      <c r="C65" s="317"/>
      <c r="D65" s="317"/>
      <c r="E65" s="317"/>
      <c r="F65" s="317"/>
      <c r="G65" s="249"/>
      <c r="I65" s="252"/>
      <c r="J65" s="248"/>
      <c r="K65" s="264"/>
      <c r="L65" s="248"/>
      <c r="M65" s="248"/>
      <c r="N65" s="265"/>
      <c r="O65" s="249"/>
    </row>
    <row r="66" spans="1:15" ht="15">
      <c r="A66" s="252" t="s">
        <v>130</v>
      </c>
      <c r="B66" s="248"/>
      <c r="C66" s="248"/>
      <c r="D66" s="248"/>
      <c r="E66" s="248"/>
      <c r="F66" s="257">
        <v>253855</v>
      </c>
      <c r="G66" s="249"/>
      <c r="I66" s="252" t="s">
        <v>130</v>
      </c>
      <c r="J66" s="248"/>
      <c r="K66" s="248"/>
      <c r="L66" s="248"/>
      <c r="M66" s="248"/>
      <c r="N66" s="257">
        <f>+K55</f>
        <v>251372</v>
      </c>
      <c r="O66" s="249"/>
    </row>
    <row r="67" spans="1:15" ht="15">
      <c r="A67" s="252"/>
      <c r="B67" s="248"/>
      <c r="C67" s="248"/>
      <c r="D67" s="248"/>
      <c r="E67" s="248"/>
      <c r="F67" s="248"/>
      <c r="G67" s="249"/>
      <c r="I67" s="252"/>
      <c r="J67" s="248"/>
      <c r="K67" s="248"/>
      <c r="L67" s="248"/>
      <c r="M67" s="248"/>
      <c r="N67" s="248"/>
      <c r="O67" s="249"/>
    </row>
    <row r="68" spans="1:15" ht="15">
      <c r="A68" s="252" t="s">
        <v>131</v>
      </c>
      <c r="B68" s="248"/>
      <c r="C68" s="248"/>
      <c r="D68" s="248"/>
      <c r="E68" s="248"/>
      <c r="F68" s="266"/>
      <c r="G68" s="267">
        <f>F64/F66</f>
        <v>-0.96367140293920217</v>
      </c>
      <c r="I68" s="252" t="s">
        <v>131</v>
      </c>
      <c r="J68" s="248"/>
      <c r="K68" s="248"/>
      <c r="L68" s="248"/>
      <c r="M68" s="248"/>
      <c r="N68" s="266"/>
      <c r="O68" s="267">
        <f>ROUND(N64/N66,2)</f>
        <v>-1.44</v>
      </c>
    </row>
    <row r="69" spans="1:15" ht="15">
      <c r="A69" s="252"/>
      <c r="B69" s="248"/>
      <c r="C69" s="248"/>
      <c r="D69" s="248"/>
      <c r="E69" s="248"/>
      <c r="F69" s="248"/>
      <c r="G69" s="267"/>
      <c r="I69" s="252"/>
      <c r="J69" s="248"/>
      <c r="K69" s="248"/>
      <c r="L69" s="248"/>
      <c r="M69" s="248"/>
      <c r="N69" s="248"/>
      <c r="O69" s="267"/>
    </row>
    <row r="70" spans="1:15" ht="15">
      <c r="A70" s="252"/>
      <c r="B70" s="248"/>
      <c r="C70" s="248"/>
      <c r="D70" s="248"/>
      <c r="E70" s="248"/>
      <c r="F70" s="248"/>
      <c r="G70" s="267"/>
      <c r="I70" s="252"/>
      <c r="J70" s="248"/>
      <c r="K70" s="248"/>
      <c r="L70" s="248"/>
      <c r="M70" s="248"/>
      <c r="N70" s="248"/>
      <c r="O70" s="267"/>
    </row>
    <row r="71" spans="1:15" ht="15.75">
      <c r="A71" s="268" t="s">
        <v>142</v>
      </c>
      <c r="B71" s="246"/>
      <c r="C71" s="248"/>
      <c r="D71" s="248"/>
      <c r="E71" s="248"/>
      <c r="F71" s="269">
        <f>F57</f>
        <v>153774.15208976623</v>
      </c>
      <c r="G71" s="267"/>
      <c r="I71" s="268" t="s">
        <v>132</v>
      </c>
      <c r="J71" s="246"/>
      <c r="K71" s="248"/>
      <c r="L71" s="248"/>
      <c r="M71" s="248"/>
      <c r="N71" s="269">
        <v>91522</v>
      </c>
      <c r="O71" s="267"/>
    </row>
    <row r="72" spans="1:15" ht="17.25">
      <c r="A72" s="245" t="s">
        <v>168</v>
      </c>
      <c r="B72" s="317"/>
      <c r="C72" s="317"/>
      <c r="D72" s="317"/>
      <c r="E72" s="317"/>
      <c r="F72" s="315">
        <f>F71*50%</f>
        <v>76887.076044883113</v>
      </c>
      <c r="G72" s="267"/>
      <c r="I72" s="252" t="s">
        <v>130</v>
      </c>
      <c r="J72" s="248"/>
      <c r="K72" s="248"/>
      <c r="L72" s="248"/>
      <c r="M72" s="248"/>
      <c r="N72" s="270">
        <v>126406</v>
      </c>
      <c r="O72" s="267"/>
    </row>
    <row r="73" spans="1:15" ht="17.25">
      <c r="A73" s="317" t="s">
        <v>170</v>
      </c>
      <c r="B73" s="317"/>
      <c r="C73" s="317"/>
      <c r="D73" s="317"/>
      <c r="E73" s="317"/>
      <c r="F73" s="313">
        <f>F71-F72</f>
        <v>76887.076044883113</v>
      </c>
      <c r="G73" s="267"/>
      <c r="I73" s="252" t="s">
        <v>133</v>
      </c>
      <c r="J73" s="248"/>
      <c r="K73" s="248"/>
      <c r="L73" s="248"/>
      <c r="M73" s="248"/>
      <c r="N73" s="248"/>
      <c r="O73" s="271">
        <f>ROUND(+N71/N72,2)</f>
        <v>0.72</v>
      </c>
    </row>
    <row r="74" spans="1:15" ht="17.25">
      <c r="A74" s="252" t="s">
        <v>130</v>
      </c>
      <c r="B74" s="248"/>
      <c r="C74" s="248"/>
      <c r="D74" s="248"/>
      <c r="E74" s="248"/>
      <c r="F74" s="270">
        <f>+F66</f>
        <v>253855</v>
      </c>
      <c r="G74" s="267"/>
      <c r="I74" s="245" t="s">
        <v>134</v>
      </c>
      <c r="J74" s="246"/>
      <c r="K74" s="248"/>
      <c r="L74" s="248"/>
      <c r="M74" s="248"/>
      <c r="N74" s="248"/>
      <c r="O74" s="272">
        <f>SUM(O68:O73)</f>
        <v>-0.72</v>
      </c>
    </row>
    <row r="75" spans="1:15" ht="17.25">
      <c r="A75" s="252" t="s">
        <v>133</v>
      </c>
      <c r="B75" s="248"/>
      <c r="C75" s="248"/>
      <c r="D75" s="248"/>
      <c r="E75" s="248"/>
      <c r="F75" s="248"/>
      <c r="G75" s="271">
        <f>ROUND(+F71/F74,2)</f>
        <v>0.61</v>
      </c>
      <c r="I75" s="245"/>
      <c r="J75" s="246"/>
      <c r="K75" s="248"/>
      <c r="L75" s="248"/>
      <c r="M75" s="248"/>
      <c r="N75" s="248"/>
      <c r="O75" s="272"/>
    </row>
    <row r="76" spans="1:15" ht="15.75">
      <c r="A76" s="245" t="s">
        <v>134</v>
      </c>
      <c r="B76" s="246"/>
      <c r="C76" s="248"/>
      <c r="D76" s="248"/>
      <c r="E76" s="248"/>
      <c r="F76" s="248"/>
      <c r="G76" s="272">
        <f>SUM(G68:G75)</f>
        <v>-0.35367140293920218</v>
      </c>
      <c r="I76" s="260" t="s">
        <v>135</v>
      </c>
      <c r="J76" s="246"/>
      <c r="K76" s="248"/>
      <c r="L76" s="248"/>
      <c r="M76" s="274">
        <f>+K55/12*0.5</f>
        <v>10473.833333333334</v>
      </c>
      <c r="N76" s="248"/>
      <c r="O76" s="275">
        <f>ROUND(-M76/K55*2,2)</f>
        <v>-0.08</v>
      </c>
    </row>
    <row r="77" spans="1:15" ht="15.75">
      <c r="A77" s="245"/>
      <c r="B77" s="246"/>
      <c r="C77" s="248"/>
      <c r="D77" s="248"/>
      <c r="E77" s="248"/>
      <c r="F77" s="248"/>
      <c r="G77" s="272"/>
      <c r="I77" s="245"/>
      <c r="J77" s="246"/>
      <c r="K77" s="248"/>
      <c r="L77" s="248"/>
      <c r="M77" s="248"/>
      <c r="N77" s="248"/>
      <c r="O77" s="272"/>
    </row>
    <row r="78" spans="1:15" ht="20.25">
      <c r="A78" s="260"/>
      <c r="B78" s="248"/>
      <c r="C78" s="248"/>
      <c r="D78" s="248"/>
      <c r="E78" s="276"/>
      <c r="F78" s="248"/>
      <c r="G78" s="277"/>
      <c r="I78" s="260" t="s">
        <v>136</v>
      </c>
      <c r="J78" s="248"/>
      <c r="K78" s="248"/>
      <c r="L78" s="248"/>
      <c r="M78" s="276">
        <v>0.5</v>
      </c>
      <c r="N78" s="248"/>
      <c r="O78" s="277">
        <f>-M78*O73</f>
        <v>-0.36</v>
      </c>
    </row>
    <row r="79" spans="1:15" ht="20.25">
      <c r="A79" s="260"/>
      <c r="B79" s="248"/>
      <c r="C79" s="248"/>
      <c r="D79" s="248"/>
      <c r="E79" s="279"/>
      <c r="F79" s="248"/>
      <c r="G79" s="277"/>
      <c r="I79" s="260"/>
      <c r="J79" s="248"/>
      <c r="K79" s="248"/>
      <c r="L79" s="248"/>
      <c r="M79" s="279"/>
      <c r="N79" s="248"/>
      <c r="O79" s="277"/>
    </row>
    <row r="80" spans="1:15" ht="18">
      <c r="A80" s="245"/>
      <c r="B80" s="248"/>
      <c r="C80" s="248"/>
      <c r="D80" s="248"/>
      <c r="E80" s="279"/>
      <c r="F80" s="248"/>
      <c r="G80" s="280"/>
      <c r="I80" s="245" t="s">
        <v>164</v>
      </c>
      <c r="J80" s="248"/>
      <c r="K80" s="248"/>
      <c r="L80" s="248"/>
      <c r="M80" s="279"/>
      <c r="N80" s="248"/>
      <c r="O80" s="280">
        <f>+O74+O78+O76</f>
        <v>-1.1600000000000001</v>
      </c>
    </row>
    <row r="81" spans="1:15" ht="13.5" thickBot="1">
      <c r="A81" s="281"/>
      <c r="B81" s="282"/>
      <c r="C81" s="282"/>
      <c r="D81" s="282"/>
      <c r="E81" s="282"/>
      <c r="F81" s="282"/>
      <c r="G81" s="283"/>
      <c r="I81" s="281"/>
      <c r="J81" s="282"/>
      <c r="K81" s="282"/>
      <c r="L81" s="282"/>
      <c r="M81" s="282"/>
      <c r="N81" s="282"/>
      <c r="O81" s="283"/>
    </row>
    <row r="83" spans="1:15" ht="13.5" thickBot="1"/>
    <row r="84" spans="1:15" ht="23.25">
      <c r="A84" s="241" t="s">
        <v>138</v>
      </c>
      <c r="B84" s="242"/>
      <c r="C84" s="243"/>
      <c r="D84" s="243"/>
      <c r="E84" s="243"/>
      <c r="F84" s="243"/>
      <c r="G84" s="244"/>
      <c r="I84" s="241" t="s">
        <v>138</v>
      </c>
      <c r="J84" s="242"/>
      <c r="K84" s="243"/>
      <c r="L84" s="243"/>
      <c r="M84" s="243"/>
      <c r="N84" s="243"/>
      <c r="O84" s="244"/>
    </row>
    <row r="85" spans="1:15" ht="15.75">
      <c r="A85" s="245" t="s">
        <v>121</v>
      </c>
      <c r="B85" s="246"/>
      <c r="C85" s="247"/>
      <c r="D85" s="247"/>
      <c r="E85" s="248"/>
      <c r="F85" s="248"/>
      <c r="G85" s="249"/>
      <c r="I85" s="245" t="s">
        <v>121</v>
      </c>
      <c r="J85" s="246"/>
      <c r="K85" s="247"/>
      <c r="L85" s="247"/>
      <c r="M85" s="248"/>
      <c r="N85" s="248"/>
      <c r="O85" s="249"/>
    </row>
    <row r="86" spans="1:15" ht="15.75">
      <c r="A86" s="250"/>
      <c r="B86" s="251"/>
      <c r="C86" s="248"/>
      <c r="D86" s="248"/>
      <c r="E86" s="248"/>
      <c r="F86" s="248"/>
      <c r="G86" s="249"/>
      <c r="I86" s="250"/>
      <c r="J86" s="251"/>
      <c r="K86" s="248"/>
      <c r="L86" s="248"/>
      <c r="M86" s="248"/>
      <c r="N86" s="248"/>
      <c r="O86" s="249"/>
    </row>
    <row r="87" spans="1:15" ht="15">
      <c r="A87" s="550" t="s">
        <v>19</v>
      </c>
      <c r="B87" s="551"/>
      <c r="C87" s="551"/>
      <c r="D87" s="551"/>
      <c r="E87" s="551"/>
      <c r="F87" s="551"/>
      <c r="G87" s="552"/>
      <c r="I87" s="550" t="s">
        <v>19</v>
      </c>
      <c r="J87" s="551"/>
      <c r="K87" s="551"/>
      <c r="L87" s="551"/>
      <c r="M87" s="551"/>
      <c r="N87" s="551"/>
      <c r="O87" s="552"/>
    </row>
    <row r="88" spans="1:15" ht="15">
      <c r="A88" s="252"/>
      <c r="B88" s="248"/>
      <c r="C88" s="248"/>
      <c r="D88" s="248"/>
      <c r="E88" s="248"/>
      <c r="F88" s="248"/>
      <c r="G88" s="249"/>
      <c r="I88" s="252"/>
      <c r="J88" s="248"/>
      <c r="K88" s="248"/>
      <c r="L88" s="248"/>
      <c r="M88" s="248"/>
      <c r="N88" s="248"/>
      <c r="O88" s="249"/>
    </row>
    <row r="89" spans="1:15" ht="15.75">
      <c r="A89" s="252"/>
      <c r="B89" s="248"/>
      <c r="C89" s="253"/>
      <c r="D89" s="253"/>
      <c r="E89" s="253" t="s">
        <v>122</v>
      </c>
      <c r="F89" s="253" t="s">
        <v>80</v>
      </c>
      <c r="G89" s="249"/>
      <c r="I89" s="252"/>
      <c r="J89" s="248"/>
      <c r="K89" s="253"/>
      <c r="L89" s="253"/>
      <c r="M89" s="253" t="s">
        <v>122</v>
      </c>
      <c r="N89" s="253" t="s">
        <v>80</v>
      </c>
      <c r="O89" s="249"/>
    </row>
    <row r="90" spans="1:15" ht="15.75">
      <c r="A90" s="252"/>
      <c r="B90" s="248"/>
      <c r="C90" s="254" t="s">
        <v>96</v>
      </c>
      <c r="D90" s="254"/>
      <c r="E90" s="254" t="s">
        <v>123</v>
      </c>
      <c r="F90" s="254" t="s">
        <v>124</v>
      </c>
      <c r="G90" s="249"/>
      <c r="I90" s="252"/>
      <c r="J90" s="248"/>
      <c r="K90" s="254" t="s">
        <v>96</v>
      </c>
      <c r="L90" s="254"/>
      <c r="M90" s="254" t="s">
        <v>123</v>
      </c>
      <c r="N90" s="254" t="s">
        <v>124</v>
      </c>
      <c r="O90" s="249"/>
    </row>
    <row r="91" spans="1:15" ht="15.75">
      <c r="A91" s="255" t="s">
        <v>139</v>
      </c>
      <c r="B91" s="246"/>
      <c r="C91" s="256"/>
      <c r="D91" s="256"/>
      <c r="E91" s="256"/>
      <c r="F91" s="256"/>
      <c r="G91" s="249"/>
      <c r="I91" s="255" t="s">
        <v>125</v>
      </c>
      <c r="J91" s="246"/>
      <c r="K91" s="256"/>
      <c r="L91" s="256"/>
      <c r="M91" s="256"/>
      <c r="N91" s="256"/>
      <c r="O91" s="249"/>
    </row>
    <row r="92" spans="1:15" ht="15.75">
      <c r="A92" s="252" t="s">
        <v>126</v>
      </c>
      <c r="B92" s="248"/>
      <c r="C92" s="257">
        <v>52930</v>
      </c>
      <c r="D92" s="257"/>
      <c r="E92" s="258">
        <f>+M93</f>
        <v>2.33</v>
      </c>
      <c r="F92" s="259">
        <f>C92*E92</f>
        <v>123326.90000000001</v>
      </c>
      <c r="G92" s="249"/>
      <c r="I92" s="252" t="s">
        <v>126</v>
      </c>
      <c r="J92" s="248"/>
      <c r="K92" s="257">
        <v>51847</v>
      </c>
      <c r="L92" s="257"/>
      <c r="M92" s="258">
        <v>1.67</v>
      </c>
      <c r="N92" s="259">
        <f>K92*M92</f>
        <v>86584.489999999991</v>
      </c>
      <c r="O92" s="249"/>
    </row>
    <row r="93" spans="1:15" ht="17.25">
      <c r="A93" s="260" t="s">
        <v>127</v>
      </c>
      <c r="B93" s="261"/>
      <c r="C93" s="262">
        <v>124468</v>
      </c>
      <c r="D93" s="262"/>
      <c r="E93" s="258">
        <f>+O112</f>
        <v>0.81</v>
      </c>
      <c r="F93" s="263">
        <f>C93*E93</f>
        <v>100819.08</v>
      </c>
      <c r="G93" s="249"/>
      <c r="I93" s="260" t="s">
        <v>127</v>
      </c>
      <c r="J93" s="261"/>
      <c r="K93" s="262">
        <v>157300</v>
      </c>
      <c r="L93" s="262"/>
      <c r="M93" s="258">
        <v>2.33</v>
      </c>
      <c r="N93" s="263">
        <f>K93*M93</f>
        <v>366509</v>
      </c>
      <c r="O93" s="249"/>
    </row>
    <row r="94" spans="1:15" ht="17.25">
      <c r="A94" s="252" t="s">
        <v>80</v>
      </c>
      <c r="B94" s="248"/>
      <c r="C94" s="257">
        <f>SUM(C92:C93)</f>
        <v>177398</v>
      </c>
      <c r="D94" s="262"/>
      <c r="E94" s="248"/>
      <c r="F94" s="259">
        <f>SUM(F92:F93)</f>
        <v>224145.98</v>
      </c>
      <c r="G94" s="249"/>
      <c r="I94" s="252" t="s">
        <v>80</v>
      </c>
      <c r="J94" s="248"/>
      <c r="K94" s="257">
        <f>SUM(K92:K93)</f>
        <v>209147</v>
      </c>
      <c r="L94" s="262"/>
      <c r="M94" s="248"/>
      <c r="N94" s="259">
        <f>SUM(N92:N93)</f>
        <v>453093.49</v>
      </c>
      <c r="O94" s="249"/>
    </row>
    <row r="95" spans="1:15" ht="15">
      <c r="A95" s="252"/>
      <c r="B95" s="248"/>
      <c r="C95" s="248"/>
      <c r="D95" s="248"/>
      <c r="E95" s="248"/>
      <c r="F95" s="248"/>
      <c r="G95" s="249"/>
      <c r="I95" s="252"/>
      <c r="J95" s="248"/>
      <c r="K95" s="248"/>
      <c r="L95" s="248"/>
      <c r="M95" s="248"/>
      <c r="N95" s="248"/>
      <c r="O95" s="249"/>
    </row>
    <row r="96" spans="1:15" ht="15.75">
      <c r="A96" s="245" t="s">
        <v>141</v>
      </c>
      <c r="B96" s="248"/>
      <c r="C96" s="248"/>
      <c r="D96" s="248"/>
      <c r="E96" s="248"/>
      <c r="F96" s="259">
        <v>145945.7483506508</v>
      </c>
      <c r="G96" s="249"/>
      <c r="I96" s="252"/>
      <c r="J96" s="248"/>
      <c r="K96" s="248"/>
      <c r="L96" s="248"/>
      <c r="M96" s="248"/>
      <c r="N96" s="248"/>
      <c r="O96" s="249"/>
    </row>
    <row r="97" spans="1:17" ht="15.75">
      <c r="A97" s="245" t="s">
        <v>168</v>
      </c>
      <c r="B97" s="248"/>
      <c r="C97" s="248"/>
      <c r="D97" s="248"/>
      <c r="E97" s="248"/>
      <c r="F97" s="312">
        <f>-F96*50%</f>
        <v>-72972.8741753254</v>
      </c>
      <c r="G97" s="249"/>
      <c r="I97" s="252"/>
      <c r="J97" s="248"/>
      <c r="K97" s="248"/>
      <c r="L97" s="248"/>
      <c r="M97" s="248"/>
      <c r="N97" s="248"/>
      <c r="O97" s="249"/>
    </row>
    <row r="98" spans="1:17" ht="15.75">
      <c r="A98" s="316" t="s">
        <v>171</v>
      </c>
      <c r="B98" s="317"/>
      <c r="C98" s="317"/>
      <c r="D98" s="317"/>
      <c r="E98" s="317"/>
      <c r="F98" s="313">
        <f>SUM(F96:F97)</f>
        <v>72972.8741753254</v>
      </c>
      <c r="G98" s="249"/>
      <c r="I98" s="252"/>
      <c r="J98" s="248"/>
      <c r="K98" s="248"/>
      <c r="L98" s="248"/>
      <c r="M98" s="248"/>
      <c r="N98" s="248"/>
      <c r="O98" s="249"/>
    </row>
    <row r="99" spans="1:17" ht="15">
      <c r="A99" s="317"/>
      <c r="B99" s="317"/>
      <c r="C99" s="317"/>
      <c r="D99" s="317"/>
      <c r="E99" s="317"/>
      <c r="F99" s="317"/>
      <c r="G99" s="249"/>
      <c r="I99" s="252"/>
      <c r="J99" s="248"/>
      <c r="K99" s="248"/>
      <c r="L99" s="248"/>
      <c r="M99" s="248"/>
      <c r="N99" s="248"/>
      <c r="O99" s="249"/>
    </row>
    <row r="100" spans="1:17" ht="15">
      <c r="A100" s="252" t="s">
        <v>129</v>
      </c>
      <c r="B100" s="248"/>
      <c r="C100" s="248"/>
      <c r="D100" s="248"/>
      <c r="E100" s="248"/>
      <c r="F100" s="287">
        <f>F98-F94</f>
        <v>-151173.1058246746</v>
      </c>
      <c r="G100" s="249"/>
      <c r="I100" s="252"/>
      <c r="J100" s="248"/>
      <c r="K100" s="248"/>
      <c r="L100" s="248"/>
      <c r="M100" s="248"/>
      <c r="N100" s="248"/>
      <c r="O100" s="249"/>
    </row>
    <row r="101" spans="1:17" ht="15.75">
      <c r="A101" s="245" t="s">
        <v>169</v>
      </c>
      <c r="B101" s="248"/>
      <c r="C101" s="284">
        <v>35317</v>
      </c>
      <c r="D101" s="248"/>
      <c r="E101" s="285">
        <f>+O119</f>
        <v>-0.77500000000000002</v>
      </c>
      <c r="F101" s="259">
        <f>E101*C101</f>
        <v>-27370.674999999999</v>
      </c>
      <c r="G101" s="249"/>
      <c r="I101" s="245" t="s">
        <v>128</v>
      </c>
      <c r="J101" s="248"/>
      <c r="K101" s="248"/>
      <c r="L101" s="248"/>
      <c r="M101" s="248"/>
      <c r="N101" s="259">
        <v>223798</v>
      </c>
      <c r="O101" s="249"/>
      <c r="Q101" s="288"/>
    </row>
    <row r="102" spans="1:17" ht="15.75">
      <c r="A102" s="245" t="s">
        <v>166</v>
      </c>
      <c r="B102" s="248"/>
      <c r="C102" s="248"/>
      <c r="D102" s="248"/>
      <c r="E102" s="248"/>
      <c r="F102" s="314">
        <v>4826.2600380142394</v>
      </c>
      <c r="G102" s="249"/>
      <c r="I102" s="252"/>
      <c r="J102" s="248"/>
      <c r="K102" s="248"/>
      <c r="L102" s="248"/>
      <c r="M102" s="248"/>
      <c r="N102" s="259"/>
      <c r="O102" s="249"/>
    </row>
    <row r="103" spans="1:17" ht="15">
      <c r="A103" s="317" t="s">
        <v>172</v>
      </c>
      <c r="B103" s="317"/>
      <c r="C103" s="317"/>
      <c r="D103" s="317"/>
      <c r="E103" s="317"/>
      <c r="F103" s="313">
        <f>SUM(F100:F102)</f>
        <v>-173717.52078666035</v>
      </c>
      <c r="G103" s="249"/>
      <c r="I103" s="252" t="s">
        <v>129</v>
      </c>
      <c r="J103" s="248"/>
      <c r="K103" s="248"/>
      <c r="L103" s="248"/>
      <c r="M103" s="248"/>
      <c r="N103" s="257">
        <f>N101-N94</f>
        <v>-229295.49</v>
      </c>
      <c r="O103" s="249"/>
    </row>
    <row r="104" spans="1:17" ht="17.25">
      <c r="A104" s="317"/>
      <c r="B104" s="317"/>
      <c r="C104" s="317"/>
      <c r="D104" s="317"/>
      <c r="E104" s="317"/>
      <c r="F104" s="317"/>
      <c r="G104" s="249"/>
      <c r="I104" s="252"/>
      <c r="J104" s="248"/>
      <c r="K104" s="264"/>
      <c r="L104" s="248"/>
      <c r="M104" s="248"/>
      <c r="N104" s="265"/>
      <c r="O104" s="249"/>
    </row>
    <row r="105" spans="1:17" ht="15">
      <c r="A105" s="252" t="s">
        <v>130</v>
      </c>
      <c r="B105" s="248"/>
      <c r="C105" s="248"/>
      <c r="D105" s="248"/>
      <c r="E105" s="248"/>
      <c r="F105" s="257">
        <v>212715</v>
      </c>
      <c r="G105" s="249"/>
      <c r="I105" s="252" t="s">
        <v>130</v>
      </c>
      <c r="J105" s="248"/>
      <c r="K105" s="248"/>
      <c r="L105" s="248"/>
      <c r="M105" s="248"/>
      <c r="N105" s="257">
        <f>+K94</f>
        <v>209147</v>
      </c>
      <c r="O105" s="249"/>
    </row>
    <row r="106" spans="1:17" ht="15">
      <c r="A106" s="252"/>
      <c r="B106" s="248"/>
      <c r="C106" s="248"/>
      <c r="D106" s="248"/>
      <c r="E106" s="248"/>
      <c r="F106" s="248"/>
      <c r="G106" s="249"/>
      <c r="I106" s="252"/>
      <c r="J106" s="248"/>
      <c r="K106" s="248"/>
      <c r="L106" s="248"/>
      <c r="M106" s="248"/>
      <c r="N106" s="248"/>
      <c r="O106" s="249"/>
    </row>
    <row r="107" spans="1:17" ht="15">
      <c r="A107" s="252" t="s">
        <v>131</v>
      </c>
      <c r="B107" s="248"/>
      <c r="C107" s="248"/>
      <c r="D107" s="248"/>
      <c r="E107" s="248"/>
      <c r="F107" s="266"/>
      <c r="G107" s="267">
        <f>F103/F105</f>
        <v>-0.81666793966885431</v>
      </c>
      <c r="I107" s="252" t="s">
        <v>131</v>
      </c>
      <c r="J107" s="248"/>
      <c r="K107" s="248"/>
      <c r="L107" s="248"/>
      <c r="M107" s="248"/>
      <c r="N107" s="266"/>
      <c r="O107" s="267">
        <f>ROUND(N103/N105,2)</f>
        <v>-1.1000000000000001</v>
      </c>
    </row>
    <row r="108" spans="1:17" ht="15">
      <c r="A108" s="252"/>
      <c r="B108" s="248"/>
      <c r="C108" s="248"/>
      <c r="D108" s="248"/>
      <c r="E108" s="248"/>
      <c r="F108" s="248"/>
      <c r="G108" s="267"/>
      <c r="I108" s="252"/>
      <c r="J108" s="248"/>
      <c r="K108" s="248"/>
      <c r="L108" s="248"/>
      <c r="M108" s="248"/>
      <c r="N108" s="248"/>
      <c r="O108" s="267"/>
    </row>
    <row r="109" spans="1:17" ht="15">
      <c r="A109" s="252"/>
      <c r="B109" s="248"/>
      <c r="C109" s="248"/>
      <c r="D109" s="248"/>
      <c r="E109" s="248"/>
      <c r="F109" s="248"/>
      <c r="G109" s="267"/>
      <c r="I109" s="252"/>
      <c r="J109" s="248"/>
      <c r="K109" s="248"/>
      <c r="L109" s="248"/>
      <c r="M109" s="248"/>
      <c r="N109" s="248"/>
      <c r="O109" s="267"/>
    </row>
    <row r="110" spans="1:17" ht="15.75">
      <c r="A110" s="268" t="s">
        <v>142</v>
      </c>
      <c r="B110" s="246"/>
      <c r="C110" s="248"/>
      <c r="D110" s="248"/>
      <c r="E110" s="248"/>
      <c r="F110" s="269">
        <f>F96</f>
        <v>145945.7483506508</v>
      </c>
      <c r="G110" s="267"/>
      <c r="I110" s="268" t="s">
        <v>132</v>
      </c>
      <c r="J110" s="246"/>
      <c r="K110" s="248"/>
      <c r="L110" s="248"/>
      <c r="M110" s="248"/>
      <c r="N110" s="269">
        <v>85285</v>
      </c>
      <c r="O110" s="267"/>
    </row>
    <row r="111" spans="1:17" ht="17.25">
      <c r="A111" s="245" t="s">
        <v>168</v>
      </c>
      <c r="B111" s="317"/>
      <c r="C111" s="317"/>
      <c r="D111" s="317"/>
      <c r="E111" s="317"/>
      <c r="F111" s="315">
        <f>F110*50%</f>
        <v>72972.8741753254</v>
      </c>
      <c r="G111" s="267"/>
      <c r="I111" s="252" t="s">
        <v>130</v>
      </c>
      <c r="J111" s="248"/>
      <c r="K111" s="248"/>
      <c r="L111" s="248"/>
      <c r="M111" s="248"/>
      <c r="N111" s="270">
        <v>105335</v>
      </c>
      <c r="O111" s="267"/>
    </row>
    <row r="112" spans="1:17" ht="17.25">
      <c r="A112" s="317" t="s">
        <v>170</v>
      </c>
      <c r="B112" s="317"/>
      <c r="C112" s="317"/>
      <c r="D112" s="317"/>
      <c r="E112" s="317"/>
      <c r="F112" s="313">
        <f>F110-F111</f>
        <v>72972.8741753254</v>
      </c>
      <c r="G112" s="267"/>
      <c r="I112" s="252" t="s">
        <v>133</v>
      </c>
      <c r="J112" s="248"/>
      <c r="K112" s="248"/>
      <c r="L112" s="248"/>
      <c r="M112" s="248"/>
      <c r="N112" s="248"/>
      <c r="O112" s="271">
        <f>ROUND(+N110/N111,2)</f>
        <v>0.81</v>
      </c>
    </row>
    <row r="113" spans="1:15" ht="17.25">
      <c r="A113" s="252" t="s">
        <v>130</v>
      </c>
      <c r="B113" s="248"/>
      <c r="C113" s="248"/>
      <c r="D113" s="248"/>
      <c r="E113" s="248"/>
      <c r="F113" s="270">
        <f>+F105</f>
        <v>212715</v>
      </c>
      <c r="G113" s="267"/>
      <c r="I113" s="245" t="s">
        <v>134</v>
      </c>
      <c r="J113" s="246"/>
      <c r="K113" s="248"/>
      <c r="L113" s="248"/>
      <c r="M113" s="248"/>
      <c r="N113" s="248"/>
      <c r="O113" s="272">
        <f>SUM(O107:O112)</f>
        <v>-0.29000000000000004</v>
      </c>
    </row>
    <row r="114" spans="1:15" ht="17.25">
      <c r="A114" s="252" t="s">
        <v>133</v>
      </c>
      <c r="B114" s="248"/>
      <c r="C114" s="248"/>
      <c r="D114" s="248"/>
      <c r="E114" s="248"/>
      <c r="F114" s="248"/>
      <c r="G114" s="271">
        <f>ROUND(+F110/F113,2)</f>
        <v>0.69</v>
      </c>
      <c r="I114" s="245"/>
      <c r="J114" s="246"/>
      <c r="K114" s="248"/>
      <c r="L114" s="248"/>
      <c r="M114" s="248"/>
      <c r="N114" s="248"/>
      <c r="O114" s="272"/>
    </row>
    <row r="115" spans="1:15" ht="15.75">
      <c r="A115" s="245" t="s">
        <v>134</v>
      </c>
      <c r="B115" s="246"/>
      <c r="C115" s="248"/>
      <c r="D115" s="248"/>
      <c r="E115" s="248"/>
      <c r="F115" s="248"/>
      <c r="G115" s="272">
        <f>SUM(G107:G114)</f>
        <v>-0.12666793966885437</v>
      </c>
      <c r="I115" s="260" t="s">
        <v>135</v>
      </c>
      <c r="J115" s="246"/>
      <c r="K115" s="248"/>
      <c r="L115" s="248"/>
      <c r="M115" s="274">
        <f>+K94/12*0.5</f>
        <v>8714.4583333333339</v>
      </c>
      <c r="N115" s="248"/>
      <c r="O115" s="275">
        <f>ROUND(-M115/K94*2,2)</f>
        <v>-0.08</v>
      </c>
    </row>
    <row r="116" spans="1:15" ht="15.75">
      <c r="A116" s="245"/>
      <c r="B116" s="246"/>
      <c r="C116" s="248"/>
      <c r="D116" s="248"/>
      <c r="E116" s="248"/>
      <c r="F116" s="248"/>
      <c r="G116" s="272"/>
      <c r="I116" s="245"/>
      <c r="J116" s="246"/>
      <c r="K116" s="248"/>
      <c r="L116" s="248"/>
      <c r="M116" s="248"/>
      <c r="N116" s="248"/>
      <c r="O116" s="272"/>
    </row>
    <row r="117" spans="1:15" ht="20.25">
      <c r="A117" s="260"/>
      <c r="B117" s="248"/>
      <c r="C117" s="248"/>
      <c r="D117" s="248"/>
      <c r="E117" s="276"/>
      <c r="F117" s="248"/>
      <c r="G117" s="277"/>
      <c r="I117" s="260" t="s">
        <v>136</v>
      </c>
      <c r="J117" s="248"/>
      <c r="K117" s="248"/>
      <c r="L117" s="248"/>
      <c r="M117" s="276">
        <v>0.5</v>
      </c>
      <c r="N117" s="248"/>
      <c r="O117" s="277">
        <f>-M117*O112</f>
        <v>-0.40500000000000003</v>
      </c>
    </row>
    <row r="118" spans="1:15" ht="20.25">
      <c r="A118" s="260"/>
      <c r="B118" s="248"/>
      <c r="C118" s="248"/>
      <c r="D118" s="248"/>
      <c r="E118" s="279"/>
      <c r="F118" s="248"/>
      <c r="G118" s="277"/>
      <c r="I118" s="260"/>
      <c r="J118" s="248"/>
      <c r="K118" s="248"/>
      <c r="L118" s="248"/>
      <c r="M118" s="279"/>
      <c r="N118" s="248"/>
      <c r="O118" s="277"/>
    </row>
    <row r="119" spans="1:15" ht="18">
      <c r="A119" s="245"/>
      <c r="B119" s="248"/>
      <c r="C119" s="248"/>
      <c r="D119" s="248"/>
      <c r="E119" s="279"/>
      <c r="F119" s="248"/>
      <c r="G119" s="280"/>
      <c r="I119" s="245" t="s">
        <v>164</v>
      </c>
      <c r="J119" s="248"/>
      <c r="K119" s="248"/>
      <c r="L119" s="248"/>
      <c r="M119" s="279"/>
      <c r="N119" s="248"/>
      <c r="O119" s="280">
        <f>+O113+O117+O115</f>
        <v>-0.77500000000000002</v>
      </c>
    </row>
    <row r="120" spans="1:15" ht="13.5" thickBot="1">
      <c r="A120" s="281"/>
      <c r="B120" s="282"/>
      <c r="C120" s="282"/>
      <c r="D120" s="282"/>
      <c r="E120" s="282"/>
      <c r="F120" s="282"/>
      <c r="G120" s="283"/>
      <c r="I120" s="281"/>
      <c r="J120" s="282"/>
      <c r="K120" s="282"/>
      <c r="L120" s="282"/>
      <c r="M120" s="282"/>
      <c r="N120" s="282"/>
      <c r="O120" s="283"/>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workbookViewId="0">
      <selection activeCell="K6" sqref="K6"/>
    </sheetView>
  </sheetViews>
  <sheetFormatPr defaultRowHeight="15"/>
  <cols>
    <col min="1" max="1" width="4.5703125" style="342" customWidth="1"/>
    <col min="2" max="2" width="27.28515625" style="342" customWidth="1"/>
    <col min="3" max="3" width="8.28515625" style="342" bestFit="1" customWidth="1"/>
    <col min="4" max="4" width="11.7109375" style="342" bestFit="1" customWidth="1"/>
    <col min="5" max="5" width="11.140625" style="344" bestFit="1" customWidth="1"/>
    <col min="6" max="6" width="12.7109375" style="342" bestFit="1" customWidth="1"/>
    <col min="7" max="7" width="11" style="342" bestFit="1" customWidth="1"/>
    <col min="8" max="8" width="10" style="342" bestFit="1" customWidth="1"/>
    <col min="9" max="9" width="12.7109375" style="342" bestFit="1" customWidth="1"/>
    <col min="10" max="10" width="10.7109375" style="342" bestFit="1" customWidth="1"/>
    <col min="11" max="11" width="9.5703125" style="342" bestFit="1" customWidth="1"/>
    <col min="12" max="12" width="12.7109375" style="342" bestFit="1" customWidth="1"/>
    <col min="13" max="13" width="7.7109375" style="342" customWidth="1"/>
    <col min="14" max="14" width="10.28515625" style="342" customWidth="1"/>
    <col min="15" max="15" width="9.85546875" style="342" customWidth="1"/>
    <col min="16" max="16" width="9.7109375" style="342" customWidth="1"/>
    <col min="17" max="17" width="8.85546875" style="342" customWidth="1"/>
    <col min="18" max="18" width="11" style="343" bestFit="1" customWidth="1"/>
    <col min="19" max="19" width="9.140625" style="342"/>
    <col min="20" max="20" width="14.140625" style="342" bestFit="1" customWidth="1"/>
    <col min="21" max="21" width="9.140625" style="342"/>
    <col min="22" max="22" width="12.7109375" style="342" bestFit="1" customWidth="1"/>
    <col min="23" max="23" width="9.7109375" style="342" bestFit="1" customWidth="1"/>
    <col min="24" max="16384" width="9.140625" style="342"/>
  </cols>
  <sheetData>
    <row r="1" spans="1:255" ht="23.25">
      <c r="A1" s="562" t="s">
        <v>235</v>
      </c>
      <c r="B1" s="562"/>
      <c r="C1" s="562"/>
      <c r="D1" s="562"/>
      <c r="E1" s="562"/>
      <c r="F1" s="562"/>
      <c r="G1" s="562"/>
      <c r="H1" s="562"/>
      <c r="I1" s="562"/>
      <c r="J1" s="562"/>
      <c r="K1" s="562"/>
      <c r="L1" s="562"/>
    </row>
    <row r="2" spans="1:255" ht="15.75" thickBot="1"/>
    <row r="3" spans="1:255" ht="16.5" thickBot="1">
      <c r="A3" s="345"/>
      <c r="B3" s="346"/>
      <c r="C3" s="347"/>
      <c r="D3" s="563" t="s">
        <v>236</v>
      </c>
      <c r="E3" s="564"/>
      <c r="F3" s="565"/>
      <c r="G3" s="563" t="s">
        <v>237</v>
      </c>
      <c r="H3" s="564"/>
      <c r="I3" s="565"/>
      <c r="J3" s="563" t="s">
        <v>238</v>
      </c>
      <c r="K3" s="564"/>
      <c r="L3" s="565"/>
      <c r="M3" s="348"/>
      <c r="N3" s="556"/>
      <c r="O3" s="556"/>
      <c r="P3" s="556"/>
      <c r="Q3" s="348"/>
      <c r="R3" s="349"/>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row>
    <row r="4" spans="1:255" ht="16.5" thickBot="1">
      <c r="A4" s="557" t="s">
        <v>239</v>
      </c>
      <c r="B4" s="558"/>
      <c r="C4" s="559"/>
      <c r="D4" s="350" t="s">
        <v>240</v>
      </c>
      <c r="E4" s="351" t="s">
        <v>241</v>
      </c>
      <c r="F4" s="350" t="s">
        <v>242</v>
      </c>
      <c r="G4" s="350" t="s">
        <v>240</v>
      </c>
      <c r="H4" s="350" t="s">
        <v>241</v>
      </c>
      <c r="I4" s="350" t="s">
        <v>242</v>
      </c>
      <c r="J4" s="350" t="s">
        <v>240</v>
      </c>
      <c r="K4" s="350" t="s">
        <v>241</v>
      </c>
      <c r="L4" s="352" t="s">
        <v>242</v>
      </c>
      <c r="M4" s="348"/>
      <c r="N4" s="353"/>
      <c r="O4" s="353"/>
      <c r="P4" s="353"/>
      <c r="Q4" s="348"/>
      <c r="R4" s="349"/>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c r="GF4" s="348"/>
      <c r="GG4" s="348"/>
      <c r="GH4" s="348"/>
      <c r="GI4" s="348"/>
      <c r="GJ4" s="348"/>
      <c r="GK4" s="348"/>
      <c r="GL4" s="348"/>
      <c r="GM4" s="348"/>
      <c r="GN4" s="348"/>
      <c r="GO4" s="348"/>
      <c r="GP4" s="348"/>
      <c r="GQ4" s="348"/>
      <c r="GR4" s="348"/>
      <c r="GS4" s="348"/>
      <c r="GT4" s="348"/>
      <c r="GU4" s="348"/>
      <c r="GV4" s="348"/>
      <c r="GW4" s="348"/>
      <c r="GX4" s="348"/>
      <c r="GY4" s="348"/>
      <c r="GZ4" s="348"/>
      <c r="HA4" s="348"/>
      <c r="HB4" s="348"/>
      <c r="HC4" s="348"/>
      <c r="HD4" s="348"/>
      <c r="HE4" s="348"/>
      <c r="HF4" s="348"/>
      <c r="HG4" s="348"/>
      <c r="HH4" s="348"/>
      <c r="HI4" s="348"/>
      <c r="HJ4" s="348"/>
      <c r="HK4" s="348"/>
      <c r="HL4" s="348"/>
      <c r="HM4" s="348"/>
      <c r="HN4" s="348"/>
      <c r="HO4" s="348"/>
      <c r="HP4" s="348"/>
      <c r="HQ4" s="348"/>
      <c r="HR4" s="348"/>
      <c r="HS4" s="348"/>
      <c r="HT4" s="348"/>
      <c r="HU4" s="348"/>
      <c r="HV4" s="348"/>
      <c r="HW4" s="348"/>
      <c r="HX4" s="348"/>
      <c r="HY4" s="348"/>
      <c r="HZ4" s="348"/>
      <c r="IA4" s="348"/>
      <c r="IB4" s="348"/>
      <c r="IC4" s="348"/>
      <c r="ID4" s="348"/>
      <c r="IE4" s="348"/>
      <c r="IF4" s="348"/>
      <c r="IG4" s="348"/>
      <c r="IH4" s="348"/>
      <c r="II4" s="348"/>
      <c r="IJ4" s="348"/>
      <c r="IK4" s="348"/>
      <c r="IL4" s="348"/>
      <c r="IM4" s="348"/>
      <c r="IN4" s="348"/>
      <c r="IO4" s="348"/>
      <c r="IP4" s="348"/>
      <c r="IQ4" s="348"/>
      <c r="IR4" s="348"/>
      <c r="IS4" s="348"/>
      <c r="IT4" s="348"/>
      <c r="IU4" s="348"/>
    </row>
    <row r="5" spans="1:255">
      <c r="A5" s="354"/>
      <c r="B5" s="355"/>
      <c r="C5" s="356"/>
      <c r="D5" s="357"/>
      <c r="E5" s="358"/>
      <c r="F5" s="357"/>
      <c r="G5" s="357"/>
      <c r="H5" s="357"/>
      <c r="I5" s="357"/>
      <c r="J5" s="357"/>
      <c r="K5" s="357"/>
      <c r="L5" s="359"/>
      <c r="M5" s="360"/>
      <c r="N5" s="360"/>
      <c r="O5" s="360"/>
      <c r="P5" s="360"/>
      <c r="Q5" s="360"/>
      <c r="R5" s="361"/>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0"/>
      <c r="EM5" s="360"/>
      <c r="EN5" s="360"/>
      <c r="EO5" s="360"/>
      <c r="EP5" s="360"/>
      <c r="EQ5" s="360"/>
      <c r="ER5" s="360"/>
      <c r="ES5" s="360"/>
      <c r="ET5" s="360"/>
      <c r="EU5" s="360"/>
      <c r="EV5" s="360"/>
      <c r="EW5" s="360"/>
      <c r="EX5" s="360"/>
      <c r="EY5" s="360"/>
      <c r="EZ5" s="360"/>
      <c r="FA5" s="360"/>
      <c r="FB5" s="360"/>
      <c r="FC5" s="360"/>
      <c r="FD5" s="360"/>
      <c r="FE5" s="360"/>
      <c r="FF5" s="360"/>
      <c r="FG5" s="360"/>
      <c r="FH5" s="360"/>
      <c r="FI5" s="360"/>
      <c r="FJ5" s="360"/>
      <c r="FK5" s="360"/>
      <c r="FL5" s="360"/>
      <c r="FM5" s="360"/>
      <c r="FN5" s="360"/>
      <c r="FO5" s="360"/>
      <c r="FP5" s="360"/>
      <c r="FQ5" s="360"/>
      <c r="FR5" s="360"/>
      <c r="FS5" s="360"/>
      <c r="FT5" s="360"/>
      <c r="FU5" s="360"/>
      <c r="FV5" s="360"/>
      <c r="FW5" s="360"/>
      <c r="FX5" s="360"/>
      <c r="FY5" s="360"/>
      <c r="FZ5" s="360"/>
      <c r="GA5" s="360"/>
      <c r="GB5" s="360"/>
      <c r="GC5" s="360"/>
      <c r="GD5" s="360"/>
      <c r="GE5" s="360"/>
      <c r="GF5" s="360"/>
      <c r="GG5" s="360"/>
      <c r="GH5" s="360"/>
      <c r="GI5" s="360"/>
      <c r="GJ5" s="360"/>
      <c r="GK5" s="360"/>
      <c r="GL5" s="360"/>
      <c r="GM5" s="360"/>
      <c r="GN5" s="360"/>
      <c r="GO5" s="360"/>
      <c r="GP5" s="360"/>
      <c r="GQ5" s="360"/>
      <c r="GR5" s="360"/>
      <c r="GS5" s="360"/>
      <c r="GT5" s="360"/>
      <c r="GU5" s="360"/>
      <c r="GV5" s="360"/>
      <c r="GW5" s="360"/>
      <c r="GX5" s="360"/>
      <c r="GY5" s="360"/>
      <c r="GZ5" s="360"/>
      <c r="HA5" s="360"/>
      <c r="HB5" s="360"/>
      <c r="HC5" s="360"/>
      <c r="HD5" s="360"/>
      <c r="HE5" s="360"/>
      <c r="HF5" s="360"/>
      <c r="HG5" s="360"/>
      <c r="HH5" s="360"/>
      <c r="HI5" s="360"/>
      <c r="HJ5" s="360"/>
      <c r="HK5" s="360"/>
      <c r="HL5" s="360"/>
      <c r="HM5" s="360"/>
      <c r="HN5" s="360"/>
      <c r="HO5" s="360"/>
      <c r="HP5" s="360"/>
      <c r="HQ5" s="360"/>
      <c r="HR5" s="360"/>
      <c r="HS5" s="360"/>
      <c r="HT5" s="360"/>
      <c r="HU5" s="360"/>
      <c r="HV5" s="360"/>
      <c r="HW5" s="360"/>
      <c r="HX5" s="360"/>
      <c r="HY5" s="360"/>
      <c r="HZ5" s="360"/>
      <c r="IA5" s="360"/>
      <c r="IB5" s="360"/>
      <c r="IC5" s="360"/>
      <c r="ID5" s="360"/>
      <c r="IE5" s="360"/>
      <c r="IF5" s="360"/>
      <c r="IG5" s="360"/>
      <c r="IH5" s="360"/>
      <c r="II5" s="360"/>
      <c r="IJ5" s="360"/>
      <c r="IK5" s="360"/>
      <c r="IL5" s="360"/>
      <c r="IM5" s="360"/>
      <c r="IN5" s="360"/>
      <c r="IO5" s="360"/>
      <c r="IP5" s="360"/>
      <c r="IQ5" s="360"/>
      <c r="IR5" s="360"/>
      <c r="IS5" s="360"/>
      <c r="IT5" s="360"/>
      <c r="IU5" s="360"/>
    </row>
    <row r="6" spans="1:255" ht="15.75">
      <c r="A6" s="362" t="s">
        <v>243</v>
      </c>
      <c r="B6" s="360"/>
      <c r="C6" s="363"/>
      <c r="D6" s="364">
        <f>+'Rebate (charge) Calculation'!G34</f>
        <v>1.9070333159667767</v>
      </c>
      <c r="E6" s="365">
        <v>-0.17</v>
      </c>
      <c r="F6" s="366">
        <f>1+D6/E6</f>
        <v>-10.217843035098685</v>
      </c>
      <c r="G6" s="367">
        <f>+'Rebate (charge) Calculation'!G76</f>
        <v>1.814525642395852</v>
      </c>
      <c r="H6" s="365">
        <v>-0.25</v>
      </c>
      <c r="I6" s="366">
        <f>1+G6/H6</f>
        <v>-6.258102569583408</v>
      </c>
      <c r="J6" s="367">
        <f>+'Rebate (charge) Calculation'!G115</f>
        <v>2.1548686741891037</v>
      </c>
      <c r="K6" s="368">
        <v>-0.27</v>
      </c>
      <c r="L6" s="366">
        <f>1+J6/K6</f>
        <v>-6.9809950895892721</v>
      </c>
      <c r="M6" s="360"/>
      <c r="N6" s="369"/>
      <c r="O6" s="369"/>
      <c r="P6" s="369"/>
      <c r="Q6" s="360"/>
      <c r="R6" s="361"/>
      <c r="S6" s="360"/>
      <c r="T6" s="370"/>
      <c r="U6" s="360"/>
      <c r="V6" s="37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c r="HX6" s="360"/>
      <c r="HY6" s="360"/>
      <c r="HZ6" s="360"/>
      <c r="IA6" s="360"/>
      <c r="IB6" s="360"/>
      <c r="IC6" s="360"/>
      <c r="ID6" s="360"/>
      <c r="IE6" s="360"/>
      <c r="IF6" s="360"/>
      <c r="IG6" s="360"/>
      <c r="IH6" s="360"/>
      <c r="II6" s="360"/>
      <c r="IJ6" s="360"/>
      <c r="IK6" s="360"/>
      <c r="IL6" s="360"/>
      <c r="IM6" s="360"/>
      <c r="IN6" s="360"/>
      <c r="IO6" s="360"/>
      <c r="IP6" s="360"/>
      <c r="IQ6" s="360"/>
      <c r="IR6" s="360"/>
      <c r="IS6" s="360"/>
      <c r="IT6" s="360"/>
      <c r="IU6" s="360"/>
    </row>
    <row r="7" spans="1:255" ht="15.75">
      <c r="A7" s="362"/>
      <c r="B7" s="360"/>
      <c r="C7" s="363" t="s">
        <v>83</v>
      </c>
      <c r="D7" s="364">
        <f>+'Rebate (charge) Calculation'!G39</f>
        <v>2.6370333159667769</v>
      </c>
      <c r="E7" s="365">
        <v>-0.05</v>
      </c>
      <c r="F7" s="366"/>
      <c r="G7" s="365"/>
      <c r="H7" s="365"/>
      <c r="I7" s="366"/>
      <c r="J7" s="365"/>
      <c r="K7" s="365"/>
      <c r="L7" s="366"/>
      <c r="M7" s="360"/>
      <c r="N7" s="371"/>
      <c r="O7" s="371"/>
      <c r="P7" s="369"/>
      <c r="Q7" s="360"/>
      <c r="R7" s="361"/>
      <c r="S7" s="360"/>
      <c r="T7" s="370"/>
      <c r="U7" s="360"/>
      <c r="V7" s="37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c r="II7" s="360"/>
      <c r="IJ7" s="360"/>
      <c r="IK7" s="360"/>
      <c r="IL7" s="360"/>
      <c r="IM7" s="360"/>
      <c r="IN7" s="360"/>
      <c r="IO7" s="360"/>
      <c r="IP7" s="360"/>
      <c r="IQ7" s="360"/>
      <c r="IR7" s="360"/>
      <c r="IS7" s="360"/>
      <c r="IT7" s="360"/>
      <c r="IU7" s="360"/>
    </row>
    <row r="8" spans="1:255" ht="15.75">
      <c r="A8" s="372" t="s">
        <v>244</v>
      </c>
      <c r="B8" s="360"/>
      <c r="C8" s="363"/>
      <c r="D8" s="373"/>
      <c r="E8" s="374"/>
      <c r="F8" s="373"/>
      <c r="G8" s="365"/>
      <c r="H8" s="365"/>
      <c r="I8" s="366"/>
      <c r="J8" s="365"/>
      <c r="K8" s="365"/>
      <c r="L8" s="366"/>
      <c r="M8" s="360"/>
      <c r="N8" s="375"/>
      <c r="O8" s="375"/>
      <c r="P8" s="375"/>
      <c r="Q8" s="360"/>
      <c r="R8" s="361"/>
      <c r="S8" s="360"/>
      <c r="T8" s="370"/>
      <c r="U8" s="360"/>
      <c r="V8" s="37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c r="HX8" s="360"/>
      <c r="HY8" s="360"/>
      <c r="HZ8" s="360"/>
      <c r="IA8" s="360"/>
      <c r="IB8" s="360"/>
      <c r="IC8" s="360"/>
      <c r="ID8" s="360"/>
      <c r="IE8" s="360"/>
      <c r="IF8" s="360"/>
      <c r="IG8" s="360"/>
      <c r="IH8" s="360"/>
      <c r="II8" s="360"/>
      <c r="IJ8" s="360"/>
      <c r="IK8" s="360"/>
      <c r="IL8" s="360"/>
      <c r="IM8" s="360"/>
      <c r="IN8" s="360"/>
      <c r="IO8" s="360"/>
      <c r="IP8" s="360"/>
      <c r="IQ8" s="360"/>
      <c r="IR8" s="360"/>
      <c r="IS8" s="360"/>
      <c r="IT8" s="360"/>
      <c r="IU8" s="360"/>
    </row>
    <row r="9" spans="1:255" ht="15.75">
      <c r="A9" s="372"/>
      <c r="B9" s="360" t="s">
        <v>245</v>
      </c>
      <c r="C9" s="363"/>
      <c r="D9" s="365">
        <f>0.625*D10</f>
        <v>5.7499999999999996E-2</v>
      </c>
      <c r="E9" s="374">
        <v>-0.01</v>
      </c>
      <c r="F9" s="366">
        <f>-1+D9/E9</f>
        <v>-6.7499999999999991</v>
      </c>
      <c r="G9" s="365"/>
      <c r="H9" s="365"/>
      <c r="I9" s="366"/>
      <c r="J9" s="365"/>
      <c r="K9" s="365"/>
      <c r="L9" s="366"/>
      <c r="M9" s="360"/>
      <c r="N9" s="360"/>
      <c r="O9" s="360"/>
      <c r="P9" s="360"/>
      <c r="Q9" s="360"/>
      <c r="R9" s="361"/>
      <c r="S9" s="360"/>
      <c r="T9" s="370"/>
      <c r="U9" s="360"/>
      <c r="V9" s="370"/>
      <c r="W9" s="376"/>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0"/>
      <c r="FP9" s="360"/>
      <c r="FQ9" s="360"/>
      <c r="FR9" s="360"/>
      <c r="FS9" s="360"/>
      <c r="FT9" s="360"/>
      <c r="FU9" s="360"/>
      <c r="FV9" s="360"/>
      <c r="FW9" s="360"/>
      <c r="FX9" s="360"/>
      <c r="FY9" s="360"/>
      <c r="FZ9" s="360"/>
      <c r="GA9" s="360"/>
      <c r="GB9" s="360"/>
      <c r="GC9" s="360"/>
      <c r="GD9" s="360"/>
      <c r="GE9" s="360"/>
      <c r="GF9" s="360"/>
      <c r="GG9" s="360"/>
      <c r="GH9" s="360"/>
      <c r="GI9" s="360"/>
      <c r="GJ9" s="360"/>
      <c r="GK9" s="360"/>
      <c r="GL9" s="360"/>
      <c r="GM9" s="360"/>
      <c r="GN9" s="360"/>
      <c r="GO9" s="360"/>
      <c r="GP9" s="360"/>
      <c r="GQ9" s="360"/>
      <c r="GR9" s="360"/>
      <c r="GS9" s="360"/>
      <c r="GT9" s="360"/>
      <c r="GU9" s="360"/>
      <c r="GV9" s="360"/>
      <c r="GW9" s="360"/>
      <c r="GX9" s="360"/>
      <c r="GY9" s="360"/>
      <c r="GZ9" s="360"/>
      <c r="HA9" s="360"/>
      <c r="HB9" s="360"/>
      <c r="HC9" s="360"/>
      <c r="HD9" s="360"/>
      <c r="HE9" s="360"/>
      <c r="HF9" s="360"/>
      <c r="HG9" s="360"/>
      <c r="HH9" s="360"/>
      <c r="HI9" s="360"/>
      <c r="HJ9" s="360"/>
      <c r="HK9" s="360"/>
      <c r="HL9" s="360"/>
      <c r="HM9" s="360"/>
      <c r="HN9" s="360"/>
      <c r="HO9" s="360"/>
      <c r="HP9" s="360"/>
      <c r="HQ9" s="360"/>
      <c r="HR9" s="360"/>
      <c r="HS9" s="360"/>
      <c r="HT9" s="360"/>
      <c r="HU9" s="360"/>
      <c r="HV9" s="360"/>
      <c r="HW9" s="360"/>
      <c r="HX9" s="360"/>
      <c r="HY9" s="360"/>
      <c r="HZ9" s="360"/>
      <c r="IA9" s="360"/>
      <c r="IB9" s="360"/>
      <c r="IC9" s="360"/>
      <c r="ID9" s="360"/>
      <c r="IE9" s="360"/>
      <c r="IF9" s="360"/>
      <c r="IG9" s="360"/>
      <c r="IH9" s="360"/>
      <c r="II9" s="360"/>
      <c r="IJ9" s="360"/>
      <c r="IK9" s="360"/>
      <c r="IL9" s="360"/>
      <c r="IM9" s="360"/>
      <c r="IN9" s="360"/>
      <c r="IO9" s="360"/>
      <c r="IP9" s="360"/>
      <c r="IQ9" s="360"/>
      <c r="IR9" s="360"/>
      <c r="IS9" s="360"/>
      <c r="IT9" s="360"/>
      <c r="IU9" s="360"/>
    </row>
    <row r="10" spans="1:255">
      <c r="A10" s="377"/>
      <c r="B10" s="360" t="s">
        <v>246</v>
      </c>
      <c r="C10" s="378"/>
      <c r="D10" s="365">
        <f t="shared" ref="D10:D14" si="0">+ROUND(E10*(1+$F$6),3)</f>
        <v>9.1999999999999998E-2</v>
      </c>
      <c r="E10" s="374">
        <v>-0.01</v>
      </c>
      <c r="F10" s="366">
        <f>-1+D10/E10</f>
        <v>-10.199999999999999</v>
      </c>
      <c r="G10" s="365">
        <f t="shared" ref="G10:G15" si="1">ROUND(+H10*(1+$I$6),2)</f>
        <v>0.05</v>
      </c>
      <c r="H10" s="365">
        <v>-0.01</v>
      </c>
      <c r="I10" s="366">
        <f>-1+G10/H10</f>
        <v>-6</v>
      </c>
      <c r="J10" s="365">
        <f t="shared" ref="J10" si="2">ROUND(+K10*(1+$I$6),2)</f>
        <v>0.05</v>
      </c>
      <c r="K10" s="365">
        <f>+K12</f>
        <v>-0.01</v>
      </c>
      <c r="L10" s="366">
        <f t="shared" ref="L10:L11" si="3">-1+J10/K10</f>
        <v>-6</v>
      </c>
      <c r="M10" s="360"/>
      <c r="N10" s="360"/>
      <c r="O10" s="360"/>
      <c r="P10" s="360"/>
      <c r="Q10" s="360"/>
      <c r="R10" s="361"/>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c r="HX10" s="360"/>
      <c r="HY10" s="360"/>
      <c r="HZ10" s="360"/>
      <c r="IA10" s="360"/>
      <c r="IB10" s="360"/>
      <c r="IC10" s="360"/>
      <c r="ID10" s="360"/>
      <c r="IE10" s="360"/>
      <c r="IF10" s="360"/>
      <c r="IG10" s="360"/>
      <c r="IH10" s="360"/>
      <c r="II10" s="360"/>
      <c r="IJ10" s="360"/>
      <c r="IK10" s="360"/>
      <c r="IL10" s="360"/>
      <c r="IM10" s="360"/>
      <c r="IN10" s="360"/>
      <c r="IO10" s="360"/>
      <c r="IP10" s="360"/>
      <c r="IQ10" s="360"/>
      <c r="IR10" s="360"/>
      <c r="IS10" s="360"/>
      <c r="IT10" s="360"/>
      <c r="IU10" s="360"/>
    </row>
    <row r="11" spans="1:255">
      <c r="A11" s="377"/>
      <c r="B11" s="360" t="s">
        <v>247</v>
      </c>
      <c r="C11" s="378"/>
      <c r="D11" s="365">
        <f t="shared" si="0"/>
        <v>9.1999999999999998E-2</v>
      </c>
      <c r="E11" s="374">
        <v>-0.01</v>
      </c>
      <c r="F11" s="366">
        <f t="shared" ref="F11:F20" si="4">-1+D11/E11</f>
        <v>-10.199999999999999</v>
      </c>
      <c r="G11" s="365">
        <f t="shared" si="1"/>
        <v>0.05</v>
      </c>
      <c r="H11" s="365">
        <v>-0.01</v>
      </c>
      <c r="I11" s="366">
        <f>-1+G11/H11</f>
        <v>-6</v>
      </c>
      <c r="J11" s="365">
        <f>+J10</f>
        <v>0.05</v>
      </c>
      <c r="K11" s="365">
        <f>+K12</f>
        <v>-0.01</v>
      </c>
      <c r="L11" s="366">
        <f t="shared" si="3"/>
        <v>-6</v>
      </c>
      <c r="M11" s="360"/>
      <c r="N11" s="360"/>
      <c r="O11" s="360"/>
      <c r="P11" s="360"/>
      <c r="Q11" s="360"/>
      <c r="R11" s="361"/>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0"/>
      <c r="EK11" s="360"/>
      <c r="EL11" s="360"/>
      <c r="EM11" s="360"/>
      <c r="EN11" s="360"/>
      <c r="EO11" s="360"/>
      <c r="EP11" s="360"/>
      <c r="EQ11" s="360"/>
      <c r="ER11" s="360"/>
      <c r="ES11" s="360"/>
      <c r="ET11" s="360"/>
      <c r="EU11" s="360"/>
      <c r="EV11" s="360"/>
      <c r="EW11" s="360"/>
      <c r="EX11" s="360"/>
      <c r="EY11" s="360"/>
      <c r="EZ11" s="360"/>
      <c r="FA11" s="360"/>
      <c r="FB11" s="360"/>
      <c r="FC11" s="360"/>
      <c r="FD11" s="360"/>
      <c r="FE11" s="360"/>
      <c r="FF11" s="360"/>
      <c r="FG11" s="360"/>
      <c r="FH11" s="360"/>
      <c r="FI11" s="360"/>
      <c r="FJ11" s="360"/>
      <c r="FK11" s="360"/>
      <c r="FL11" s="360"/>
      <c r="FM11" s="360"/>
      <c r="FN11" s="360"/>
      <c r="FO11" s="360"/>
      <c r="FP11" s="360"/>
      <c r="FQ11" s="360"/>
      <c r="FR11" s="360"/>
      <c r="FS11" s="360"/>
      <c r="FT11" s="360"/>
      <c r="FU11" s="360"/>
      <c r="FV11" s="360"/>
      <c r="FW11" s="360"/>
      <c r="FX11" s="360"/>
      <c r="FY11" s="360"/>
      <c r="FZ11" s="360"/>
      <c r="GA11" s="360"/>
      <c r="GB11" s="360"/>
      <c r="GC11" s="360"/>
      <c r="GD11" s="360"/>
      <c r="GE11" s="360"/>
      <c r="GF11" s="360"/>
      <c r="GG11" s="360"/>
      <c r="GH11" s="360"/>
      <c r="GI11" s="360"/>
      <c r="GJ11" s="360"/>
      <c r="GK11" s="360"/>
      <c r="GL11" s="360"/>
      <c r="GM11" s="360"/>
      <c r="GN11" s="360"/>
      <c r="GO11" s="360"/>
      <c r="GP11" s="360"/>
      <c r="GQ11" s="360"/>
      <c r="GR11" s="360"/>
      <c r="GS11" s="360"/>
      <c r="GT11" s="360"/>
      <c r="GU11" s="360"/>
      <c r="GV11" s="360"/>
      <c r="GW11" s="360"/>
      <c r="GX11" s="360"/>
      <c r="GY11" s="360"/>
      <c r="GZ11" s="360"/>
      <c r="HA11" s="360"/>
      <c r="HB11" s="360"/>
      <c r="HC11" s="360"/>
      <c r="HD11" s="360"/>
      <c r="HE11" s="360"/>
      <c r="HF11" s="360"/>
      <c r="HG11" s="360"/>
      <c r="HH11" s="360"/>
      <c r="HI11" s="360"/>
      <c r="HJ11" s="360"/>
      <c r="HK11" s="360"/>
      <c r="HL11" s="360"/>
      <c r="HM11" s="360"/>
      <c r="HN11" s="360"/>
      <c r="HO11" s="360"/>
      <c r="HP11" s="360"/>
      <c r="HQ11" s="360"/>
      <c r="HR11" s="360"/>
      <c r="HS11" s="360"/>
      <c r="HT11" s="360"/>
      <c r="HU11" s="360"/>
      <c r="HV11" s="360"/>
      <c r="HW11" s="360"/>
      <c r="HX11" s="360"/>
      <c r="HY11" s="360"/>
      <c r="HZ11" s="360"/>
      <c r="IA11" s="360"/>
      <c r="IB11" s="360"/>
      <c r="IC11" s="360"/>
      <c r="ID11" s="360"/>
      <c r="IE11" s="360"/>
      <c r="IF11" s="360"/>
      <c r="IG11" s="360"/>
      <c r="IH11" s="360"/>
      <c r="II11" s="360"/>
      <c r="IJ11" s="360"/>
      <c r="IK11" s="360"/>
      <c r="IL11" s="360"/>
      <c r="IM11" s="360"/>
      <c r="IN11" s="360"/>
      <c r="IO11" s="360"/>
      <c r="IP11" s="360"/>
      <c r="IQ11" s="360"/>
      <c r="IR11" s="360"/>
      <c r="IS11" s="360"/>
      <c r="IT11" s="360"/>
      <c r="IU11" s="360"/>
    </row>
    <row r="12" spans="1:255">
      <c r="A12" s="377"/>
      <c r="B12" s="360" t="s">
        <v>248</v>
      </c>
      <c r="C12" s="378"/>
      <c r="D12" s="365">
        <f>+D13/3*2</f>
        <v>0.12266666666666666</v>
      </c>
      <c r="E12" s="374">
        <v>-0.01</v>
      </c>
      <c r="F12" s="366">
        <f t="shared" si="4"/>
        <v>-13.266666666666666</v>
      </c>
      <c r="G12" s="365">
        <f>+G13/3*2</f>
        <v>0.10138613861386132</v>
      </c>
      <c r="H12" s="365">
        <v>-0.01</v>
      </c>
      <c r="I12" s="366">
        <f>-1+G12/H12</f>
        <v>-11.138613861386132</v>
      </c>
      <c r="J12" s="365">
        <f>+J13/3*2</f>
        <v>0.11405940594059399</v>
      </c>
      <c r="K12" s="365">
        <v>-0.01</v>
      </c>
      <c r="L12" s="366">
        <f>-1+J12/K12</f>
        <v>-12.405940594059398</v>
      </c>
      <c r="M12" s="360"/>
      <c r="N12" s="360"/>
      <c r="O12" s="360"/>
      <c r="P12" s="360"/>
      <c r="Q12" s="360"/>
      <c r="R12" s="361"/>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0"/>
      <c r="EK12" s="360"/>
      <c r="EL12" s="360"/>
      <c r="EM12" s="360"/>
      <c r="EN12" s="360"/>
      <c r="EO12" s="360"/>
      <c r="EP12" s="360"/>
      <c r="EQ12" s="360"/>
      <c r="ER12" s="360"/>
      <c r="ES12" s="360"/>
      <c r="ET12" s="360"/>
      <c r="EU12" s="360"/>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60"/>
      <c r="FU12" s="360"/>
      <c r="FV12" s="360"/>
      <c r="FW12" s="360"/>
      <c r="FX12" s="360"/>
      <c r="FY12" s="360"/>
      <c r="FZ12" s="360"/>
      <c r="GA12" s="360"/>
      <c r="GB12" s="360"/>
      <c r="GC12" s="360"/>
      <c r="GD12" s="360"/>
      <c r="GE12" s="360"/>
      <c r="GF12" s="360"/>
      <c r="GG12" s="360"/>
      <c r="GH12" s="360"/>
      <c r="GI12" s="360"/>
      <c r="GJ12" s="360"/>
      <c r="GK12" s="360"/>
      <c r="GL12" s="360"/>
      <c r="GM12" s="360"/>
      <c r="GN12" s="360"/>
      <c r="GO12" s="360"/>
      <c r="GP12" s="360"/>
      <c r="GQ12" s="360"/>
      <c r="GR12" s="360"/>
      <c r="GS12" s="360"/>
      <c r="GT12" s="360"/>
      <c r="GU12" s="360"/>
      <c r="GV12" s="360"/>
      <c r="GW12" s="360"/>
      <c r="GX12" s="360"/>
      <c r="GY12" s="360"/>
      <c r="GZ12" s="360"/>
      <c r="HA12" s="360"/>
      <c r="HB12" s="360"/>
      <c r="HC12" s="360"/>
      <c r="HD12" s="360"/>
      <c r="HE12" s="360"/>
      <c r="HF12" s="360"/>
      <c r="HG12" s="360"/>
      <c r="HH12" s="360"/>
      <c r="HI12" s="360"/>
      <c r="HJ12" s="360"/>
      <c r="HK12" s="360"/>
      <c r="HL12" s="360"/>
      <c r="HM12" s="360"/>
      <c r="HN12" s="360"/>
      <c r="HO12" s="360"/>
      <c r="HP12" s="360"/>
      <c r="HQ12" s="360"/>
      <c r="HR12" s="360"/>
      <c r="HS12" s="360"/>
      <c r="HT12" s="360"/>
      <c r="HU12" s="360"/>
      <c r="HV12" s="360"/>
      <c r="HW12" s="360"/>
      <c r="HX12" s="360"/>
      <c r="HY12" s="360"/>
      <c r="HZ12" s="360"/>
      <c r="IA12" s="360"/>
      <c r="IB12" s="360"/>
      <c r="IC12" s="360"/>
      <c r="ID12" s="360"/>
      <c r="IE12" s="360"/>
      <c r="IF12" s="360"/>
      <c r="IG12" s="360"/>
      <c r="IH12" s="360"/>
      <c r="II12" s="360"/>
      <c r="IJ12" s="360"/>
      <c r="IK12" s="360"/>
      <c r="IL12" s="360"/>
      <c r="IM12" s="360"/>
      <c r="IN12" s="360"/>
      <c r="IO12" s="360"/>
      <c r="IP12" s="360"/>
      <c r="IQ12" s="360"/>
      <c r="IR12" s="360"/>
      <c r="IS12" s="360"/>
      <c r="IT12" s="360"/>
      <c r="IU12" s="360"/>
    </row>
    <row r="13" spans="1:255">
      <c r="A13" s="377"/>
      <c r="B13" s="360" t="s">
        <v>249</v>
      </c>
      <c r="C13" s="363"/>
      <c r="D13" s="365">
        <f t="shared" si="0"/>
        <v>0.184</v>
      </c>
      <c r="E13" s="374">
        <v>-0.02</v>
      </c>
      <c r="F13" s="366">
        <f t="shared" si="4"/>
        <v>-10.199999999999999</v>
      </c>
      <c r="G13" s="365">
        <f>0.475247524752475*G14</f>
        <v>0.15207920792079199</v>
      </c>
      <c r="H13" s="365">
        <v>-0.02</v>
      </c>
      <c r="I13" s="366">
        <f>-1+G13/H13</f>
        <v>-8.6039603960396001</v>
      </c>
      <c r="J13" s="365">
        <f>0.475247524752475*J14</f>
        <v>0.17108910891089099</v>
      </c>
      <c r="K13" s="365">
        <v>-0.01</v>
      </c>
      <c r="L13" s="366">
        <f>-1+J13/K13</f>
        <v>-18.108910891089099</v>
      </c>
      <c r="M13" s="360"/>
      <c r="N13" s="360"/>
      <c r="O13" s="360"/>
      <c r="P13" s="360"/>
      <c r="Q13" s="360"/>
      <c r="R13" s="361"/>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0"/>
      <c r="FF13" s="360"/>
      <c r="FG13" s="360"/>
      <c r="FH13" s="360"/>
      <c r="FI13" s="360"/>
      <c r="FJ13" s="360"/>
      <c r="FK13" s="360"/>
      <c r="FL13" s="360"/>
      <c r="FM13" s="360"/>
      <c r="FN13" s="360"/>
      <c r="FO13" s="360"/>
      <c r="FP13" s="360"/>
      <c r="FQ13" s="360"/>
      <c r="FR13" s="360"/>
      <c r="FS13" s="360"/>
      <c r="FT13" s="360"/>
      <c r="FU13" s="360"/>
      <c r="FV13" s="360"/>
      <c r="FW13" s="360"/>
      <c r="FX13" s="360"/>
      <c r="FY13" s="360"/>
      <c r="FZ13" s="360"/>
      <c r="GA13" s="360"/>
      <c r="GB13" s="360"/>
      <c r="GC13" s="360"/>
      <c r="GD13" s="360"/>
      <c r="GE13" s="360"/>
      <c r="GF13" s="360"/>
      <c r="GG13" s="360"/>
      <c r="GH13" s="360"/>
      <c r="GI13" s="360"/>
      <c r="GJ13" s="360"/>
      <c r="GK13" s="360"/>
      <c r="GL13" s="360"/>
      <c r="GM13" s="360"/>
      <c r="GN13" s="360"/>
      <c r="GO13" s="360"/>
      <c r="GP13" s="360"/>
      <c r="GQ13" s="360"/>
      <c r="GR13" s="360"/>
      <c r="GS13" s="360"/>
      <c r="GT13" s="360"/>
      <c r="GU13" s="360"/>
      <c r="GV13" s="360"/>
      <c r="GW13" s="360"/>
      <c r="GX13" s="360"/>
      <c r="GY13" s="360"/>
      <c r="GZ13" s="360"/>
      <c r="HA13" s="360"/>
      <c r="HB13" s="360"/>
      <c r="HC13" s="360"/>
      <c r="HD13" s="360"/>
      <c r="HE13" s="360"/>
      <c r="HF13" s="360"/>
      <c r="HG13" s="360"/>
      <c r="HH13" s="360"/>
      <c r="HI13" s="360"/>
      <c r="HJ13" s="360"/>
      <c r="HK13" s="360"/>
      <c r="HL13" s="360"/>
      <c r="HM13" s="360"/>
      <c r="HN13" s="360"/>
      <c r="HO13" s="360"/>
      <c r="HP13" s="360"/>
      <c r="HQ13" s="360"/>
      <c r="HR13" s="360"/>
      <c r="HS13" s="360"/>
      <c r="HT13" s="360"/>
      <c r="HU13" s="360"/>
      <c r="HV13" s="360"/>
      <c r="HW13" s="360"/>
      <c r="HX13" s="360"/>
      <c r="HY13" s="360"/>
      <c r="HZ13" s="360"/>
      <c r="IA13" s="360"/>
      <c r="IB13" s="360"/>
      <c r="IC13" s="360"/>
      <c r="ID13" s="360"/>
      <c r="IE13" s="360"/>
      <c r="IF13" s="360"/>
      <c r="IG13" s="360"/>
      <c r="IH13" s="360"/>
      <c r="II13" s="360"/>
      <c r="IJ13" s="360"/>
      <c r="IK13" s="360"/>
      <c r="IL13" s="360"/>
      <c r="IM13" s="360"/>
      <c r="IN13" s="360"/>
      <c r="IO13" s="360"/>
      <c r="IP13" s="360"/>
      <c r="IQ13" s="360"/>
      <c r="IR13" s="360"/>
      <c r="IS13" s="360"/>
      <c r="IT13" s="360"/>
      <c r="IU13" s="360"/>
    </row>
    <row r="14" spans="1:255">
      <c r="A14" s="377"/>
      <c r="B14" s="360" t="s">
        <v>250</v>
      </c>
      <c r="C14" s="363"/>
      <c r="D14" s="365">
        <f t="shared" si="0"/>
        <v>0.36899999999999999</v>
      </c>
      <c r="E14" s="374">
        <v>-0.04</v>
      </c>
      <c r="F14" s="366">
        <f t="shared" si="4"/>
        <v>-10.225</v>
      </c>
      <c r="G14" s="365">
        <f t="shared" si="1"/>
        <v>0.32</v>
      </c>
      <c r="H14" s="379">
        <v>-0.06</v>
      </c>
      <c r="I14" s="366">
        <f t="shared" ref="I14:I20" si="5">-1+G14/H14</f>
        <v>-6.3333333333333339</v>
      </c>
      <c r="J14" s="365">
        <f t="shared" ref="J14:J15" si="6">ROUND(+K14*(1+$L$6),2)</f>
        <v>0.36</v>
      </c>
      <c r="K14" s="379">
        <v>-0.06</v>
      </c>
      <c r="L14" s="366">
        <f t="shared" ref="L14:L20" si="7">-1+J14/K14</f>
        <v>-7</v>
      </c>
      <c r="M14" s="360"/>
      <c r="N14" s="360"/>
      <c r="O14" s="360"/>
      <c r="P14" s="360"/>
      <c r="Q14" s="360"/>
      <c r="R14" s="361"/>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0"/>
      <c r="FV14" s="360"/>
      <c r="FW14" s="360"/>
      <c r="FX14" s="360"/>
      <c r="FY14" s="360"/>
      <c r="FZ14" s="360"/>
      <c r="GA14" s="360"/>
      <c r="GB14" s="360"/>
      <c r="GC14" s="360"/>
      <c r="GD14" s="360"/>
      <c r="GE14" s="360"/>
      <c r="GF14" s="360"/>
      <c r="GG14" s="360"/>
      <c r="GH14" s="360"/>
      <c r="GI14" s="360"/>
      <c r="GJ14" s="360"/>
      <c r="GK14" s="360"/>
      <c r="GL14" s="360"/>
      <c r="GM14" s="360"/>
      <c r="GN14" s="360"/>
      <c r="GO14" s="360"/>
      <c r="GP14" s="360"/>
      <c r="GQ14" s="360"/>
      <c r="GR14" s="360"/>
      <c r="GS14" s="360"/>
      <c r="GT14" s="360"/>
      <c r="GU14" s="360"/>
      <c r="GV14" s="360"/>
      <c r="GW14" s="360"/>
      <c r="GX14" s="360"/>
      <c r="GY14" s="360"/>
      <c r="GZ14" s="360"/>
      <c r="HA14" s="360"/>
      <c r="HB14" s="360"/>
      <c r="HC14" s="360"/>
      <c r="HD14" s="360"/>
      <c r="HE14" s="360"/>
      <c r="HF14" s="360"/>
      <c r="HG14" s="360"/>
      <c r="HH14" s="360"/>
      <c r="HI14" s="360"/>
      <c r="HJ14" s="360"/>
      <c r="HK14" s="360"/>
      <c r="HL14" s="360"/>
      <c r="HM14" s="360"/>
      <c r="HN14" s="360"/>
      <c r="HO14" s="360"/>
      <c r="HP14" s="360"/>
      <c r="HQ14" s="360"/>
      <c r="HR14" s="360"/>
      <c r="HS14" s="360"/>
      <c r="HT14" s="360"/>
      <c r="HU14" s="360"/>
      <c r="HV14" s="360"/>
      <c r="HW14" s="360"/>
      <c r="HX14" s="360"/>
      <c r="HY14" s="360"/>
      <c r="HZ14" s="360"/>
      <c r="IA14" s="360"/>
      <c r="IB14" s="360"/>
      <c r="IC14" s="360"/>
      <c r="ID14" s="360"/>
      <c r="IE14" s="360"/>
      <c r="IF14" s="360"/>
      <c r="IG14" s="360"/>
      <c r="IH14" s="360"/>
      <c r="II14" s="360"/>
      <c r="IJ14" s="360"/>
      <c r="IK14" s="360"/>
      <c r="IL14" s="360"/>
      <c r="IM14" s="360"/>
      <c r="IN14" s="360"/>
      <c r="IO14" s="360"/>
      <c r="IP14" s="360"/>
      <c r="IQ14" s="360"/>
      <c r="IR14" s="360"/>
      <c r="IS14" s="360"/>
      <c r="IT14" s="360"/>
      <c r="IU14" s="360"/>
    </row>
    <row r="15" spans="1:255">
      <c r="A15" s="377"/>
      <c r="B15" s="360" t="s">
        <v>251</v>
      </c>
      <c r="C15" s="363"/>
      <c r="D15" s="374">
        <f>+D14*1.5</f>
        <v>0.55349999999999999</v>
      </c>
      <c r="E15" s="374">
        <v>-0.06</v>
      </c>
      <c r="F15" s="366">
        <f t="shared" si="4"/>
        <v>-10.225</v>
      </c>
      <c r="G15" s="365">
        <f t="shared" si="1"/>
        <v>0.42</v>
      </c>
      <c r="H15" s="365">
        <v>-0.08</v>
      </c>
      <c r="I15" s="366">
        <f t="shared" si="5"/>
        <v>-6.25</v>
      </c>
      <c r="J15" s="365">
        <f t="shared" si="6"/>
        <v>0.54</v>
      </c>
      <c r="K15" s="365">
        <f>+K14*1.5</f>
        <v>-0.09</v>
      </c>
      <c r="L15" s="366">
        <f t="shared" si="7"/>
        <v>-7.0000000000000009</v>
      </c>
      <c r="M15" s="360"/>
      <c r="N15" s="360"/>
      <c r="O15" s="360"/>
      <c r="P15" s="360"/>
      <c r="Q15" s="360"/>
      <c r="R15" s="361"/>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0"/>
      <c r="FF15" s="360"/>
      <c r="FG15" s="360"/>
      <c r="FH15" s="360"/>
      <c r="FI15" s="360"/>
      <c r="FJ15" s="360"/>
      <c r="FK15" s="360"/>
      <c r="FL15" s="360"/>
      <c r="FM15" s="360"/>
      <c r="FN15" s="360"/>
      <c r="FO15" s="360"/>
      <c r="FP15" s="360"/>
      <c r="FQ15" s="360"/>
      <c r="FR15" s="360"/>
      <c r="FS15" s="360"/>
      <c r="FT15" s="360"/>
      <c r="FU15" s="360"/>
      <c r="FV15" s="360"/>
      <c r="FW15" s="360"/>
      <c r="FX15" s="360"/>
      <c r="FY15" s="360"/>
      <c r="FZ15" s="360"/>
      <c r="GA15" s="360"/>
      <c r="GB15" s="360"/>
      <c r="GC15" s="360"/>
      <c r="GD15" s="360"/>
      <c r="GE15" s="360"/>
      <c r="GF15" s="360"/>
      <c r="GG15" s="360"/>
      <c r="GH15" s="360"/>
      <c r="GI15" s="360"/>
      <c r="GJ15" s="360"/>
      <c r="GK15" s="360"/>
      <c r="GL15" s="360"/>
      <c r="GM15" s="360"/>
      <c r="GN15" s="360"/>
      <c r="GO15" s="360"/>
      <c r="GP15" s="360"/>
      <c r="GQ15" s="360"/>
      <c r="GR15" s="360"/>
      <c r="GS15" s="360"/>
      <c r="GT15" s="360"/>
      <c r="GU15" s="360"/>
      <c r="GV15" s="360"/>
      <c r="GW15" s="360"/>
      <c r="GX15" s="360"/>
      <c r="GY15" s="360"/>
      <c r="GZ15" s="360"/>
      <c r="HA15" s="360"/>
      <c r="HB15" s="360"/>
      <c r="HC15" s="360"/>
      <c r="HD15" s="360"/>
      <c r="HE15" s="360"/>
      <c r="HF15" s="360"/>
      <c r="HG15" s="360"/>
      <c r="HH15" s="360"/>
      <c r="HI15" s="360"/>
      <c r="HJ15" s="360"/>
      <c r="HK15" s="360"/>
      <c r="HL15" s="360"/>
      <c r="HM15" s="360"/>
      <c r="HN15" s="360"/>
      <c r="HO15" s="360"/>
      <c r="HP15" s="360"/>
      <c r="HQ15" s="360"/>
      <c r="HR15" s="360"/>
      <c r="HS15" s="360"/>
      <c r="HT15" s="360"/>
      <c r="HU15" s="360"/>
      <c r="HV15" s="360"/>
      <c r="HW15" s="360"/>
      <c r="HX15" s="360"/>
      <c r="HY15" s="360"/>
      <c r="HZ15" s="360"/>
      <c r="IA15" s="360"/>
      <c r="IB15" s="360"/>
      <c r="IC15" s="360"/>
      <c r="ID15" s="360"/>
      <c r="IE15" s="360"/>
      <c r="IF15" s="360"/>
      <c r="IG15" s="360"/>
      <c r="IH15" s="360"/>
      <c r="II15" s="360"/>
      <c r="IJ15" s="360"/>
      <c r="IK15" s="360"/>
      <c r="IL15" s="360"/>
      <c r="IM15" s="360"/>
      <c r="IN15" s="360"/>
      <c r="IO15" s="360"/>
      <c r="IP15" s="360"/>
      <c r="IQ15" s="360"/>
      <c r="IR15" s="360"/>
      <c r="IS15" s="360"/>
      <c r="IT15" s="360"/>
      <c r="IU15" s="360"/>
    </row>
    <row r="16" spans="1:255">
      <c r="A16" s="377"/>
      <c r="B16" s="360" t="s">
        <v>252</v>
      </c>
      <c r="C16" s="363"/>
      <c r="D16" s="374">
        <f>+D14*2</f>
        <v>0.73799999999999999</v>
      </c>
      <c r="E16" s="374">
        <v>-0.08</v>
      </c>
      <c r="F16" s="366">
        <f t="shared" si="4"/>
        <v>-10.225</v>
      </c>
      <c r="G16" s="365">
        <f>+G14*2</f>
        <v>0.64</v>
      </c>
      <c r="H16" s="365">
        <v>-0.12</v>
      </c>
      <c r="I16" s="366">
        <f t="shared" si="5"/>
        <v>-6.3333333333333339</v>
      </c>
      <c r="J16" s="365">
        <f>+J14*2</f>
        <v>0.72</v>
      </c>
      <c r="K16" s="365">
        <f>+K14*2</f>
        <v>-0.12</v>
      </c>
      <c r="L16" s="366">
        <f t="shared" si="7"/>
        <v>-7</v>
      </c>
      <c r="M16" s="360"/>
      <c r="N16" s="360"/>
      <c r="O16" s="360"/>
      <c r="P16" s="360"/>
      <c r="Q16" s="360"/>
      <c r="R16" s="361"/>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c r="IB16" s="360"/>
      <c r="IC16" s="360"/>
      <c r="ID16" s="360"/>
      <c r="IE16" s="360"/>
      <c r="IF16" s="360"/>
      <c r="IG16" s="360"/>
      <c r="IH16" s="360"/>
      <c r="II16" s="360"/>
      <c r="IJ16" s="360"/>
      <c r="IK16" s="360"/>
      <c r="IL16" s="360"/>
      <c r="IM16" s="360"/>
      <c r="IN16" s="360"/>
      <c r="IO16" s="360"/>
      <c r="IP16" s="360"/>
      <c r="IQ16" s="360"/>
      <c r="IR16" s="360"/>
      <c r="IS16" s="360"/>
      <c r="IT16" s="360"/>
      <c r="IU16" s="360"/>
    </row>
    <row r="17" spans="1:255">
      <c r="A17" s="377"/>
      <c r="B17" s="360" t="s">
        <v>253</v>
      </c>
      <c r="C17" s="363"/>
      <c r="D17" s="374">
        <f>+D14*3</f>
        <v>1.107</v>
      </c>
      <c r="E17" s="374">
        <v>-0.13</v>
      </c>
      <c r="F17" s="366">
        <f t="shared" si="4"/>
        <v>-9.5153846153846153</v>
      </c>
      <c r="G17" s="365">
        <f>+G14*3</f>
        <v>0.96</v>
      </c>
      <c r="H17" s="365">
        <v>-0.18</v>
      </c>
      <c r="I17" s="366">
        <f t="shared" si="5"/>
        <v>-6.333333333333333</v>
      </c>
      <c r="J17" s="365">
        <f>+J14*3</f>
        <v>1.08</v>
      </c>
      <c r="K17" s="365">
        <f>+K14*3</f>
        <v>-0.18</v>
      </c>
      <c r="L17" s="366">
        <f t="shared" si="7"/>
        <v>-7.0000000000000009</v>
      </c>
      <c r="M17" s="360"/>
      <c r="N17" s="360"/>
      <c r="O17" s="360"/>
      <c r="P17" s="360"/>
      <c r="Q17" s="360"/>
      <c r="R17" s="361"/>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0"/>
      <c r="FU17" s="360"/>
      <c r="FV17" s="360"/>
      <c r="FW17" s="360"/>
      <c r="FX17" s="360"/>
      <c r="FY17" s="360"/>
      <c r="FZ17" s="360"/>
      <c r="GA17" s="360"/>
      <c r="GB17" s="360"/>
      <c r="GC17" s="360"/>
      <c r="GD17" s="360"/>
      <c r="GE17" s="360"/>
      <c r="GF17" s="360"/>
      <c r="GG17" s="360"/>
      <c r="GH17" s="360"/>
      <c r="GI17" s="360"/>
      <c r="GJ17" s="360"/>
      <c r="GK17" s="360"/>
      <c r="GL17" s="360"/>
      <c r="GM17" s="360"/>
      <c r="GN17" s="360"/>
      <c r="GO17" s="360"/>
      <c r="GP17" s="360"/>
      <c r="GQ17" s="360"/>
      <c r="GR17" s="360"/>
      <c r="GS17" s="360"/>
      <c r="GT17" s="360"/>
      <c r="GU17" s="360"/>
      <c r="GV17" s="360"/>
      <c r="GW17" s="360"/>
      <c r="GX17" s="360"/>
      <c r="GY17" s="360"/>
      <c r="GZ17" s="360"/>
      <c r="HA17" s="360"/>
      <c r="HB17" s="360"/>
      <c r="HC17" s="360"/>
      <c r="HD17" s="360"/>
      <c r="HE17" s="360"/>
      <c r="HF17" s="360"/>
      <c r="HG17" s="360"/>
      <c r="HH17" s="360"/>
      <c r="HI17" s="360"/>
      <c r="HJ17" s="360"/>
      <c r="HK17" s="360"/>
      <c r="HL17" s="360"/>
      <c r="HM17" s="360"/>
      <c r="HN17" s="360"/>
      <c r="HO17" s="360"/>
      <c r="HP17" s="360"/>
      <c r="HQ17" s="360"/>
      <c r="HR17" s="360"/>
      <c r="HS17" s="360"/>
      <c r="HT17" s="360"/>
      <c r="HU17" s="360"/>
      <c r="HV17" s="360"/>
      <c r="HW17" s="360"/>
      <c r="HX17" s="360"/>
      <c r="HY17" s="360"/>
      <c r="HZ17" s="360"/>
      <c r="IA17" s="360"/>
      <c r="IB17" s="360"/>
      <c r="IC17" s="360"/>
      <c r="ID17" s="360"/>
      <c r="IE17" s="360"/>
      <c r="IF17" s="360"/>
      <c r="IG17" s="360"/>
      <c r="IH17" s="360"/>
      <c r="II17" s="360"/>
      <c r="IJ17" s="360"/>
      <c r="IK17" s="360"/>
      <c r="IL17" s="360"/>
      <c r="IM17" s="360"/>
      <c r="IN17" s="360"/>
      <c r="IO17" s="360"/>
      <c r="IP17" s="360"/>
      <c r="IQ17" s="360"/>
      <c r="IR17" s="360"/>
      <c r="IS17" s="360"/>
      <c r="IT17" s="360"/>
      <c r="IU17" s="360"/>
    </row>
    <row r="18" spans="1:255">
      <c r="A18" s="377"/>
      <c r="B18" s="360" t="s">
        <v>254</v>
      </c>
      <c r="C18" s="363"/>
      <c r="D18" s="374">
        <f>+D14*4</f>
        <v>1.476</v>
      </c>
      <c r="E18" s="374">
        <v>-0.17</v>
      </c>
      <c r="F18" s="366">
        <f t="shared" si="4"/>
        <v>-9.6823529411764699</v>
      </c>
      <c r="G18" s="365">
        <f>+G14*4</f>
        <v>1.28</v>
      </c>
      <c r="H18" s="365">
        <v>-0.24</v>
      </c>
      <c r="I18" s="366">
        <f t="shared" si="5"/>
        <v>-6.3333333333333339</v>
      </c>
      <c r="J18" s="365">
        <f>+J14*4</f>
        <v>1.44</v>
      </c>
      <c r="K18" s="365">
        <f>+K14*4</f>
        <v>-0.24</v>
      </c>
      <c r="L18" s="366">
        <f t="shared" si="7"/>
        <v>-7</v>
      </c>
      <c r="M18" s="360"/>
      <c r="N18" s="360"/>
      <c r="O18" s="360"/>
      <c r="P18" s="360"/>
      <c r="Q18" s="360"/>
      <c r="R18" s="361"/>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0"/>
      <c r="GF18" s="360"/>
      <c r="GG18" s="360"/>
      <c r="GH18" s="360"/>
      <c r="GI18" s="360"/>
      <c r="GJ18" s="360"/>
      <c r="GK18" s="360"/>
      <c r="GL18" s="360"/>
      <c r="GM18" s="360"/>
      <c r="GN18" s="360"/>
      <c r="GO18" s="360"/>
      <c r="GP18" s="360"/>
      <c r="GQ18" s="360"/>
      <c r="GR18" s="360"/>
      <c r="GS18" s="360"/>
      <c r="GT18" s="360"/>
      <c r="GU18" s="360"/>
      <c r="GV18" s="360"/>
      <c r="GW18" s="360"/>
      <c r="GX18" s="360"/>
      <c r="GY18" s="360"/>
      <c r="GZ18" s="360"/>
      <c r="HA18" s="360"/>
      <c r="HB18" s="360"/>
      <c r="HC18" s="360"/>
      <c r="HD18" s="360"/>
      <c r="HE18" s="360"/>
      <c r="HF18" s="360"/>
      <c r="HG18" s="360"/>
      <c r="HH18" s="360"/>
      <c r="HI18" s="360"/>
      <c r="HJ18" s="360"/>
      <c r="HK18" s="360"/>
      <c r="HL18" s="360"/>
      <c r="HM18" s="360"/>
      <c r="HN18" s="360"/>
      <c r="HO18" s="360"/>
      <c r="HP18" s="360"/>
      <c r="HQ18" s="360"/>
      <c r="HR18" s="360"/>
      <c r="HS18" s="360"/>
      <c r="HT18" s="360"/>
      <c r="HU18" s="360"/>
      <c r="HV18" s="360"/>
      <c r="HW18" s="360"/>
      <c r="HX18" s="360"/>
      <c r="HY18" s="360"/>
      <c r="HZ18" s="360"/>
      <c r="IA18" s="360"/>
      <c r="IB18" s="360"/>
      <c r="IC18" s="360"/>
      <c r="ID18" s="360"/>
      <c r="IE18" s="360"/>
      <c r="IF18" s="360"/>
      <c r="IG18" s="360"/>
      <c r="IH18" s="360"/>
      <c r="II18" s="360"/>
      <c r="IJ18" s="360"/>
      <c r="IK18" s="360"/>
      <c r="IL18" s="360"/>
      <c r="IM18" s="360"/>
      <c r="IN18" s="360"/>
      <c r="IO18" s="360"/>
      <c r="IP18" s="360"/>
      <c r="IQ18" s="360"/>
      <c r="IR18" s="360"/>
      <c r="IS18" s="360"/>
      <c r="IT18" s="360"/>
      <c r="IU18" s="360"/>
    </row>
    <row r="19" spans="1:255">
      <c r="A19" s="377"/>
      <c r="B19" s="360" t="s">
        <v>255</v>
      </c>
      <c r="C19" s="363"/>
      <c r="D19" s="374">
        <f>+D14*6</f>
        <v>2.214</v>
      </c>
      <c r="E19" s="374">
        <v>-0.25</v>
      </c>
      <c r="F19" s="366">
        <f t="shared" si="4"/>
        <v>-9.8559999999999999</v>
      </c>
      <c r="G19" s="365">
        <f>+G14*6</f>
        <v>1.92</v>
      </c>
      <c r="H19" s="365">
        <v>-0.36</v>
      </c>
      <c r="I19" s="366">
        <f t="shared" si="5"/>
        <v>-6.333333333333333</v>
      </c>
      <c r="J19" s="365">
        <f>+J14*6</f>
        <v>2.16</v>
      </c>
      <c r="K19" s="365">
        <f>+K14*6</f>
        <v>-0.36</v>
      </c>
      <c r="L19" s="366">
        <f t="shared" si="7"/>
        <v>-7.0000000000000009</v>
      </c>
      <c r="M19" s="360"/>
      <c r="N19" s="360"/>
      <c r="O19" s="360"/>
      <c r="P19" s="360"/>
      <c r="Q19" s="360"/>
      <c r="R19" s="361"/>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0"/>
      <c r="GF19" s="360"/>
      <c r="GG19" s="360"/>
      <c r="GH19" s="360"/>
      <c r="GI19" s="360"/>
      <c r="GJ19" s="360"/>
      <c r="GK19" s="360"/>
      <c r="GL19" s="360"/>
      <c r="GM19" s="360"/>
      <c r="GN19" s="360"/>
      <c r="GO19" s="360"/>
      <c r="GP19" s="360"/>
      <c r="GQ19" s="360"/>
      <c r="GR19" s="360"/>
      <c r="GS19" s="360"/>
      <c r="GT19" s="360"/>
      <c r="GU19" s="360"/>
      <c r="GV19" s="360"/>
      <c r="GW19" s="360"/>
      <c r="GX19" s="360"/>
      <c r="GY19" s="360"/>
      <c r="GZ19" s="360"/>
      <c r="HA19" s="360"/>
      <c r="HB19" s="360"/>
      <c r="HC19" s="360"/>
      <c r="HD19" s="360"/>
      <c r="HE19" s="360"/>
      <c r="HF19" s="360"/>
      <c r="HG19" s="360"/>
      <c r="HH19" s="360"/>
      <c r="HI19" s="360"/>
      <c r="HJ19" s="360"/>
      <c r="HK19" s="360"/>
      <c r="HL19" s="360"/>
      <c r="HM19" s="360"/>
      <c r="HN19" s="360"/>
      <c r="HO19" s="360"/>
      <c r="HP19" s="360"/>
      <c r="HQ19" s="360"/>
      <c r="HR19" s="360"/>
      <c r="HS19" s="360"/>
      <c r="HT19" s="360"/>
      <c r="HU19" s="360"/>
      <c r="HV19" s="360"/>
      <c r="HW19" s="360"/>
      <c r="HX19" s="360"/>
      <c r="HY19" s="360"/>
      <c r="HZ19" s="360"/>
      <c r="IA19" s="360"/>
      <c r="IB19" s="360"/>
      <c r="IC19" s="360"/>
      <c r="ID19" s="360"/>
      <c r="IE19" s="360"/>
      <c r="IF19" s="360"/>
      <c r="IG19" s="360"/>
      <c r="IH19" s="360"/>
      <c r="II19" s="360"/>
      <c r="IJ19" s="360"/>
      <c r="IK19" s="360"/>
      <c r="IL19" s="360"/>
      <c r="IM19" s="360"/>
      <c r="IN19" s="360"/>
      <c r="IO19" s="360"/>
      <c r="IP19" s="360"/>
      <c r="IQ19" s="360"/>
      <c r="IR19" s="360"/>
      <c r="IS19" s="360"/>
      <c r="IT19" s="360"/>
      <c r="IU19" s="360"/>
    </row>
    <row r="20" spans="1:255">
      <c r="A20" s="377"/>
      <c r="B20" s="360" t="s">
        <v>256</v>
      </c>
      <c r="C20" s="363"/>
      <c r="D20" s="374">
        <f>+D14*8</f>
        <v>2.952</v>
      </c>
      <c r="E20" s="374">
        <v>-0.34</v>
      </c>
      <c r="F20" s="366">
        <f t="shared" si="4"/>
        <v>-9.6823529411764699</v>
      </c>
      <c r="G20" s="365">
        <f>+G14*8</f>
        <v>2.56</v>
      </c>
      <c r="H20" s="365">
        <v>-0.48</v>
      </c>
      <c r="I20" s="366">
        <f t="shared" si="5"/>
        <v>-6.3333333333333339</v>
      </c>
      <c r="J20" s="365">
        <f>+J14*8</f>
        <v>2.88</v>
      </c>
      <c r="K20" s="365">
        <f>+K14*8</f>
        <v>-0.48</v>
      </c>
      <c r="L20" s="366">
        <f t="shared" si="7"/>
        <v>-7</v>
      </c>
      <c r="M20" s="360"/>
      <c r="N20" s="360"/>
      <c r="O20" s="360"/>
      <c r="P20" s="360"/>
      <c r="Q20" s="360"/>
      <c r="R20" s="361"/>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60"/>
      <c r="GW20" s="360"/>
      <c r="GX20" s="360"/>
      <c r="GY20" s="360"/>
      <c r="GZ20" s="360"/>
      <c r="HA20" s="360"/>
      <c r="HB20" s="360"/>
      <c r="HC20" s="360"/>
      <c r="HD20" s="360"/>
      <c r="HE20" s="360"/>
      <c r="HF20" s="360"/>
      <c r="HG20" s="360"/>
      <c r="HH20" s="360"/>
      <c r="HI20" s="360"/>
      <c r="HJ20" s="360"/>
      <c r="HK20" s="360"/>
      <c r="HL20" s="360"/>
      <c r="HM20" s="360"/>
      <c r="HN20" s="360"/>
      <c r="HO20" s="360"/>
      <c r="HP20" s="360"/>
      <c r="HQ20" s="360"/>
      <c r="HR20" s="360"/>
      <c r="HS20" s="360"/>
      <c r="HT20" s="360"/>
      <c r="HU20" s="360"/>
      <c r="HV20" s="360"/>
      <c r="HW20" s="360"/>
      <c r="HX20" s="360"/>
      <c r="HY20" s="360"/>
      <c r="HZ20" s="360"/>
      <c r="IA20" s="360"/>
      <c r="IB20" s="360"/>
      <c r="IC20" s="360"/>
      <c r="ID20" s="360"/>
      <c r="IE20" s="360"/>
      <c r="IF20" s="360"/>
      <c r="IG20" s="360"/>
      <c r="IH20" s="360"/>
      <c r="II20" s="360"/>
      <c r="IJ20" s="360"/>
      <c r="IK20" s="360"/>
      <c r="IL20" s="360"/>
      <c r="IM20" s="360"/>
      <c r="IN20" s="360"/>
      <c r="IO20" s="360"/>
      <c r="IP20" s="360"/>
      <c r="IQ20" s="360"/>
      <c r="IR20" s="360"/>
      <c r="IS20" s="360"/>
      <c r="IT20" s="360"/>
      <c r="IU20" s="360"/>
    </row>
    <row r="21" spans="1:255">
      <c r="A21" s="377"/>
      <c r="B21" s="360"/>
      <c r="C21" s="363"/>
      <c r="D21" s="373"/>
      <c r="E21" s="365"/>
      <c r="F21" s="373"/>
      <c r="G21" s="365"/>
      <c r="H21" s="365"/>
      <c r="I21" s="366"/>
      <c r="J21" s="365"/>
      <c r="K21" s="365"/>
      <c r="L21" s="366"/>
      <c r="M21" s="360"/>
      <c r="N21" s="360"/>
      <c r="O21" s="360"/>
      <c r="P21" s="360"/>
      <c r="Q21" s="360"/>
      <c r="R21" s="361"/>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0"/>
      <c r="GE21" s="360"/>
      <c r="GF21" s="360"/>
      <c r="GG21" s="360"/>
      <c r="GH21" s="360"/>
      <c r="GI21" s="360"/>
      <c r="GJ21" s="360"/>
      <c r="GK21" s="360"/>
      <c r="GL21" s="360"/>
      <c r="GM21" s="360"/>
      <c r="GN21" s="360"/>
      <c r="GO21" s="360"/>
      <c r="GP21" s="360"/>
      <c r="GQ21" s="360"/>
      <c r="GR21" s="360"/>
      <c r="GS21" s="360"/>
      <c r="GT21" s="360"/>
      <c r="GU21" s="360"/>
      <c r="GV21" s="360"/>
      <c r="GW21" s="360"/>
      <c r="GX21" s="360"/>
      <c r="GY21" s="360"/>
      <c r="GZ21" s="360"/>
      <c r="HA21" s="360"/>
      <c r="HB21" s="360"/>
      <c r="HC21" s="360"/>
      <c r="HD21" s="360"/>
      <c r="HE21" s="360"/>
      <c r="HF21" s="360"/>
      <c r="HG21" s="360"/>
      <c r="HH21" s="360"/>
      <c r="HI21" s="360"/>
      <c r="HJ21" s="360"/>
      <c r="HK21" s="360"/>
      <c r="HL21" s="360"/>
      <c r="HM21" s="360"/>
      <c r="HN21" s="360"/>
      <c r="HO21" s="360"/>
      <c r="HP21" s="360"/>
      <c r="HQ21" s="360"/>
      <c r="HR21" s="360"/>
      <c r="HS21" s="360"/>
      <c r="HT21" s="360"/>
      <c r="HU21" s="360"/>
      <c r="HV21" s="360"/>
      <c r="HW21" s="360"/>
      <c r="HX21" s="360"/>
      <c r="HY21" s="360"/>
      <c r="HZ21" s="360"/>
      <c r="IA21" s="360"/>
      <c r="IB21" s="360"/>
      <c r="IC21" s="360"/>
      <c r="ID21" s="360"/>
      <c r="IE21" s="360"/>
      <c r="IF21" s="360"/>
      <c r="IG21" s="360"/>
      <c r="IH21" s="360"/>
      <c r="II21" s="360"/>
      <c r="IJ21" s="360"/>
      <c r="IK21" s="360"/>
      <c r="IL21" s="360"/>
      <c r="IM21" s="360"/>
      <c r="IN21" s="360"/>
      <c r="IO21" s="360"/>
      <c r="IP21" s="360"/>
      <c r="IQ21" s="360"/>
      <c r="IR21" s="360"/>
      <c r="IS21" s="360"/>
      <c r="IT21" s="360"/>
      <c r="IU21" s="360"/>
    </row>
    <row r="22" spans="1:255">
      <c r="A22" s="377"/>
      <c r="B22" s="360"/>
      <c r="C22" s="363"/>
      <c r="D22" s="373"/>
      <c r="E22" s="365"/>
      <c r="F22" s="373"/>
      <c r="G22" s="365"/>
      <c r="H22" s="365"/>
      <c r="I22" s="366"/>
      <c r="J22" s="365"/>
      <c r="K22" s="365"/>
      <c r="L22" s="366"/>
      <c r="M22" s="360"/>
      <c r="N22" s="360"/>
      <c r="O22" s="360"/>
      <c r="P22" s="360"/>
      <c r="Q22" s="360"/>
      <c r="R22" s="361"/>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0"/>
      <c r="FU22" s="360"/>
      <c r="FV22" s="360"/>
      <c r="FW22" s="360"/>
      <c r="FX22" s="360"/>
      <c r="FY22" s="360"/>
      <c r="FZ22" s="360"/>
      <c r="GA22" s="360"/>
      <c r="GB22" s="360"/>
      <c r="GC22" s="360"/>
      <c r="GD22" s="360"/>
      <c r="GE22" s="360"/>
      <c r="GF22" s="360"/>
      <c r="GG22" s="360"/>
      <c r="GH22" s="360"/>
      <c r="GI22" s="360"/>
      <c r="GJ22" s="360"/>
      <c r="GK22" s="360"/>
      <c r="GL22" s="360"/>
      <c r="GM22" s="360"/>
      <c r="GN22" s="360"/>
      <c r="GO22" s="360"/>
      <c r="GP22" s="360"/>
      <c r="GQ22" s="360"/>
      <c r="GR22" s="360"/>
      <c r="GS22" s="360"/>
      <c r="GT22" s="360"/>
      <c r="GU22" s="360"/>
      <c r="GV22" s="360"/>
      <c r="GW22" s="360"/>
      <c r="GX22" s="360"/>
      <c r="GY22" s="360"/>
      <c r="GZ22" s="360"/>
      <c r="HA22" s="360"/>
      <c r="HB22" s="360"/>
      <c r="HC22" s="360"/>
      <c r="HD22" s="360"/>
      <c r="HE22" s="360"/>
      <c r="HF22" s="360"/>
      <c r="HG22" s="360"/>
      <c r="HH22" s="360"/>
      <c r="HI22" s="360"/>
      <c r="HJ22" s="360"/>
      <c r="HK22" s="360"/>
      <c r="HL22" s="360"/>
      <c r="HM22" s="360"/>
      <c r="HN22" s="360"/>
      <c r="HO22" s="360"/>
      <c r="HP22" s="360"/>
      <c r="HQ22" s="360"/>
      <c r="HR22" s="360"/>
      <c r="HS22" s="360"/>
      <c r="HT22" s="360"/>
      <c r="HU22" s="360"/>
      <c r="HV22" s="360"/>
      <c r="HW22" s="360"/>
      <c r="HX22" s="360"/>
      <c r="HY22" s="360"/>
      <c r="HZ22" s="360"/>
      <c r="IA22" s="360"/>
      <c r="IB22" s="360"/>
      <c r="IC22" s="360"/>
      <c r="ID22" s="360"/>
      <c r="IE22" s="360"/>
      <c r="IF22" s="360"/>
      <c r="IG22" s="360"/>
      <c r="IH22" s="360"/>
      <c r="II22" s="360"/>
      <c r="IJ22" s="360"/>
      <c r="IK22" s="360"/>
      <c r="IL22" s="360"/>
      <c r="IM22" s="360"/>
      <c r="IN22" s="360"/>
      <c r="IO22" s="360"/>
      <c r="IP22" s="360"/>
      <c r="IQ22" s="360"/>
      <c r="IR22" s="360"/>
      <c r="IS22" s="360"/>
      <c r="IT22" s="360"/>
      <c r="IU22" s="360"/>
    </row>
    <row r="23" spans="1:255" ht="15.75">
      <c r="A23" s="372" t="s">
        <v>257</v>
      </c>
      <c r="B23" s="360"/>
      <c r="C23" s="363"/>
      <c r="D23" s="373"/>
      <c r="E23" s="365"/>
      <c r="F23" s="373"/>
      <c r="G23" s="365"/>
      <c r="H23" s="365"/>
      <c r="I23" s="366"/>
      <c r="J23" s="365"/>
      <c r="K23" s="365"/>
      <c r="L23" s="366"/>
      <c r="M23" s="360"/>
      <c r="N23" s="360"/>
      <c r="O23" s="360"/>
      <c r="P23" s="360"/>
      <c r="Q23" s="360"/>
      <c r="R23" s="361"/>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c r="DU23" s="360"/>
      <c r="DV23" s="360"/>
      <c r="DW23" s="360"/>
      <c r="DX23" s="360"/>
      <c r="DY23" s="360"/>
      <c r="DZ23" s="360"/>
      <c r="EA23" s="360"/>
      <c r="EB23" s="360"/>
      <c r="EC23" s="360"/>
      <c r="ED23" s="360"/>
      <c r="EE23" s="360"/>
      <c r="EF23" s="360"/>
      <c r="EG23" s="360"/>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0"/>
      <c r="FF23" s="360"/>
      <c r="FG23" s="360"/>
      <c r="FH23" s="360"/>
      <c r="FI23" s="360"/>
      <c r="FJ23" s="360"/>
      <c r="FK23" s="360"/>
      <c r="FL23" s="360"/>
      <c r="FM23" s="360"/>
      <c r="FN23" s="360"/>
      <c r="FO23" s="360"/>
      <c r="FP23" s="360"/>
      <c r="FQ23" s="360"/>
      <c r="FR23" s="360"/>
      <c r="FS23" s="360"/>
      <c r="FT23" s="360"/>
      <c r="FU23" s="360"/>
      <c r="FV23" s="360"/>
      <c r="FW23" s="360"/>
      <c r="FX23" s="360"/>
      <c r="FY23" s="360"/>
      <c r="FZ23" s="360"/>
      <c r="GA23" s="360"/>
      <c r="GB23" s="360"/>
      <c r="GC23" s="360"/>
      <c r="GD23" s="360"/>
      <c r="GE23" s="360"/>
      <c r="GF23" s="360"/>
      <c r="GG23" s="360"/>
      <c r="GH23" s="360"/>
      <c r="GI23" s="360"/>
      <c r="GJ23" s="360"/>
      <c r="GK23" s="360"/>
      <c r="GL23" s="360"/>
      <c r="GM23" s="360"/>
      <c r="GN23" s="360"/>
      <c r="GO23" s="360"/>
      <c r="GP23" s="360"/>
      <c r="GQ23" s="360"/>
      <c r="GR23" s="360"/>
      <c r="GS23" s="360"/>
      <c r="GT23" s="360"/>
      <c r="GU23" s="360"/>
      <c r="GV23" s="360"/>
      <c r="GW23" s="360"/>
      <c r="GX23" s="360"/>
      <c r="GY23" s="360"/>
      <c r="GZ23" s="360"/>
      <c r="HA23" s="360"/>
      <c r="HB23" s="360"/>
      <c r="HC23" s="360"/>
      <c r="HD23" s="360"/>
      <c r="HE23" s="360"/>
      <c r="HF23" s="360"/>
      <c r="HG23" s="360"/>
      <c r="HH23" s="360"/>
      <c r="HI23" s="360"/>
      <c r="HJ23" s="360"/>
      <c r="HK23" s="360"/>
      <c r="HL23" s="360"/>
      <c r="HM23" s="360"/>
      <c r="HN23" s="360"/>
      <c r="HO23" s="360"/>
      <c r="HP23" s="360"/>
      <c r="HQ23" s="360"/>
      <c r="HR23" s="360"/>
      <c r="HS23" s="360"/>
      <c r="HT23" s="360"/>
      <c r="HU23" s="360"/>
      <c r="HV23" s="360"/>
      <c r="HW23" s="360"/>
      <c r="HX23" s="360"/>
      <c r="HY23" s="360"/>
      <c r="HZ23" s="360"/>
      <c r="IA23" s="360"/>
      <c r="IB23" s="360"/>
      <c r="IC23" s="360"/>
      <c r="ID23" s="360"/>
      <c r="IE23" s="360"/>
      <c r="IF23" s="360"/>
      <c r="IG23" s="360"/>
      <c r="IH23" s="360"/>
      <c r="II23" s="360"/>
      <c r="IJ23" s="360"/>
      <c r="IK23" s="360"/>
      <c r="IL23" s="360"/>
      <c r="IM23" s="360"/>
      <c r="IN23" s="360"/>
      <c r="IO23" s="360"/>
      <c r="IP23" s="360"/>
      <c r="IQ23" s="360"/>
      <c r="IR23" s="360"/>
      <c r="IS23" s="360"/>
      <c r="IT23" s="360"/>
      <c r="IU23" s="360"/>
    </row>
    <row r="24" spans="1:255" ht="15.75">
      <c r="A24" s="372"/>
      <c r="B24" s="360" t="s">
        <v>245</v>
      </c>
      <c r="C24" s="363"/>
      <c r="D24" s="380">
        <f>+D$7/D$6*D9</f>
        <v>7.9510627527354244E-2</v>
      </c>
      <c r="E24" s="365">
        <v>0</v>
      </c>
      <c r="F24" s="366"/>
      <c r="G24" s="365"/>
      <c r="H24" s="365"/>
      <c r="I24" s="366"/>
      <c r="J24" s="365"/>
      <c r="K24" s="365"/>
      <c r="L24" s="366"/>
      <c r="M24" s="360"/>
      <c r="N24" s="360"/>
      <c r="O24" s="360"/>
      <c r="P24" s="360"/>
      <c r="Q24" s="360"/>
      <c r="R24" s="361"/>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360"/>
      <c r="DC24" s="360"/>
      <c r="DD24" s="360"/>
      <c r="DE24" s="360"/>
      <c r="DF24" s="360"/>
      <c r="DG24" s="360"/>
      <c r="DH24" s="360"/>
      <c r="DI24" s="360"/>
      <c r="DJ24" s="360"/>
      <c r="DK24" s="360"/>
      <c r="DL24" s="360"/>
      <c r="DM24" s="360"/>
      <c r="DN24" s="360"/>
      <c r="DO24" s="360"/>
      <c r="DP24" s="360"/>
      <c r="DQ24" s="360"/>
      <c r="DR24" s="360"/>
      <c r="DS24" s="360"/>
      <c r="DT24" s="360"/>
      <c r="DU24" s="360"/>
      <c r="DV24" s="360"/>
      <c r="DW24" s="360"/>
      <c r="DX24" s="360"/>
      <c r="DY24" s="360"/>
      <c r="DZ24" s="360"/>
      <c r="EA24" s="360"/>
      <c r="EB24" s="360"/>
      <c r="EC24" s="360"/>
      <c r="ED24" s="360"/>
      <c r="EE24" s="360"/>
      <c r="EF24" s="360"/>
      <c r="EG24" s="360"/>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0"/>
      <c r="FF24" s="360"/>
      <c r="FG24" s="360"/>
      <c r="FH24" s="360"/>
      <c r="FI24" s="360"/>
      <c r="FJ24" s="360"/>
      <c r="FK24" s="360"/>
      <c r="FL24" s="360"/>
      <c r="FM24" s="360"/>
      <c r="FN24" s="360"/>
      <c r="FO24" s="360"/>
      <c r="FP24" s="360"/>
      <c r="FQ24" s="360"/>
      <c r="FR24" s="360"/>
      <c r="FS24" s="360"/>
      <c r="FT24" s="360"/>
      <c r="FU24" s="360"/>
      <c r="FV24" s="360"/>
      <c r="FW24" s="360"/>
      <c r="FX24" s="360"/>
      <c r="FY24" s="360"/>
      <c r="FZ24" s="360"/>
      <c r="GA24" s="360"/>
      <c r="GB24" s="360"/>
      <c r="GC24" s="360"/>
      <c r="GD24" s="360"/>
      <c r="GE24" s="360"/>
      <c r="GF24" s="360"/>
      <c r="GG24" s="360"/>
      <c r="GH24" s="360"/>
      <c r="GI24" s="360"/>
      <c r="GJ24" s="360"/>
      <c r="GK24" s="360"/>
      <c r="GL24" s="360"/>
      <c r="GM24" s="360"/>
      <c r="GN24" s="360"/>
      <c r="GO24" s="360"/>
      <c r="GP24" s="360"/>
      <c r="GQ24" s="360"/>
      <c r="GR24" s="360"/>
      <c r="GS24" s="360"/>
      <c r="GT24" s="360"/>
      <c r="GU24" s="360"/>
      <c r="GV24" s="360"/>
      <c r="GW24" s="360"/>
      <c r="GX24" s="360"/>
      <c r="GY24" s="360"/>
      <c r="GZ24" s="360"/>
      <c r="HA24" s="360"/>
      <c r="HB24" s="360"/>
      <c r="HC24" s="360"/>
      <c r="HD24" s="360"/>
      <c r="HE24" s="360"/>
      <c r="HF24" s="360"/>
      <c r="HG24" s="360"/>
      <c r="HH24" s="360"/>
      <c r="HI24" s="360"/>
      <c r="HJ24" s="360"/>
      <c r="HK24" s="360"/>
      <c r="HL24" s="360"/>
      <c r="HM24" s="360"/>
      <c r="HN24" s="360"/>
      <c r="HO24" s="360"/>
      <c r="HP24" s="360"/>
      <c r="HQ24" s="360"/>
      <c r="HR24" s="360"/>
      <c r="HS24" s="360"/>
      <c r="HT24" s="360"/>
      <c r="HU24" s="360"/>
      <c r="HV24" s="360"/>
      <c r="HW24" s="360"/>
      <c r="HX24" s="360"/>
      <c r="HY24" s="360"/>
      <c r="HZ24" s="360"/>
      <c r="IA24" s="360"/>
      <c r="IB24" s="360"/>
      <c r="IC24" s="360"/>
      <c r="ID24" s="360"/>
      <c r="IE24" s="360"/>
      <c r="IF24" s="360"/>
      <c r="IG24" s="360"/>
      <c r="IH24" s="360"/>
      <c r="II24" s="360"/>
      <c r="IJ24" s="360"/>
      <c r="IK24" s="360"/>
      <c r="IL24" s="360"/>
      <c r="IM24" s="360"/>
      <c r="IN24" s="360"/>
      <c r="IO24" s="360"/>
      <c r="IP24" s="360"/>
      <c r="IQ24" s="360"/>
      <c r="IR24" s="360"/>
      <c r="IS24" s="360"/>
      <c r="IT24" s="360"/>
      <c r="IU24" s="360"/>
    </row>
    <row r="25" spans="1:255">
      <c r="A25" s="377"/>
      <c r="B25" s="360" t="s">
        <v>246</v>
      </c>
      <c r="C25" s="378"/>
      <c r="D25" s="380">
        <f t="shared" ref="D25:D35" si="8">+D$7/D$6*D10</f>
        <v>0.12721700404376682</v>
      </c>
      <c r="E25" s="365">
        <v>0</v>
      </c>
      <c r="F25" s="366"/>
      <c r="G25" s="365"/>
      <c r="H25" s="365"/>
      <c r="I25" s="366"/>
      <c r="J25" s="365"/>
      <c r="K25" s="365"/>
      <c r="L25" s="366"/>
      <c r="M25" s="360"/>
      <c r="N25" s="360"/>
      <c r="O25" s="360"/>
      <c r="P25" s="360"/>
      <c r="Q25" s="360"/>
      <c r="R25" s="361"/>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60"/>
      <c r="FG25" s="360"/>
      <c r="FH25" s="360"/>
      <c r="FI25" s="360"/>
      <c r="FJ25" s="360"/>
      <c r="FK25" s="360"/>
      <c r="FL25" s="360"/>
      <c r="FM25" s="360"/>
      <c r="FN25" s="360"/>
      <c r="FO25" s="360"/>
      <c r="FP25" s="360"/>
      <c r="FQ25" s="360"/>
      <c r="FR25" s="360"/>
      <c r="FS25" s="360"/>
      <c r="FT25" s="360"/>
      <c r="FU25" s="360"/>
      <c r="FV25" s="360"/>
      <c r="FW25" s="360"/>
      <c r="FX25" s="360"/>
      <c r="FY25" s="360"/>
      <c r="FZ25" s="360"/>
      <c r="GA25" s="360"/>
      <c r="GB25" s="360"/>
      <c r="GC25" s="360"/>
      <c r="GD25" s="360"/>
      <c r="GE25" s="360"/>
      <c r="GF25" s="360"/>
      <c r="GG25" s="360"/>
      <c r="GH25" s="360"/>
      <c r="GI25" s="360"/>
      <c r="GJ25" s="360"/>
      <c r="GK25" s="360"/>
      <c r="GL25" s="360"/>
      <c r="GM25" s="360"/>
      <c r="GN25" s="360"/>
      <c r="GO25" s="360"/>
      <c r="GP25" s="360"/>
      <c r="GQ25" s="360"/>
      <c r="GR25" s="360"/>
      <c r="GS25" s="360"/>
      <c r="GT25" s="360"/>
      <c r="GU25" s="360"/>
      <c r="GV25" s="360"/>
      <c r="GW25" s="360"/>
      <c r="GX25" s="360"/>
      <c r="GY25" s="360"/>
      <c r="GZ25" s="360"/>
      <c r="HA25" s="360"/>
      <c r="HB25" s="360"/>
      <c r="HC25" s="360"/>
      <c r="HD25" s="360"/>
      <c r="HE25" s="360"/>
      <c r="HF25" s="360"/>
      <c r="HG25" s="360"/>
      <c r="HH25" s="360"/>
      <c r="HI25" s="360"/>
      <c r="HJ25" s="360"/>
      <c r="HK25" s="360"/>
      <c r="HL25" s="360"/>
      <c r="HM25" s="360"/>
      <c r="HN25" s="360"/>
      <c r="HO25" s="360"/>
      <c r="HP25" s="360"/>
      <c r="HQ25" s="360"/>
      <c r="HR25" s="360"/>
      <c r="HS25" s="360"/>
      <c r="HT25" s="360"/>
      <c r="HU25" s="360"/>
      <c r="HV25" s="360"/>
      <c r="HW25" s="360"/>
      <c r="HX25" s="360"/>
      <c r="HY25" s="360"/>
      <c r="HZ25" s="360"/>
      <c r="IA25" s="360"/>
      <c r="IB25" s="360"/>
      <c r="IC25" s="360"/>
      <c r="ID25" s="360"/>
      <c r="IE25" s="360"/>
      <c r="IF25" s="360"/>
      <c r="IG25" s="360"/>
      <c r="IH25" s="360"/>
      <c r="II25" s="360"/>
      <c r="IJ25" s="360"/>
      <c r="IK25" s="360"/>
      <c r="IL25" s="360"/>
      <c r="IM25" s="360"/>
      <c r="IN25" s="360"/>
      <c r="IO25" s="360"/>
      <c r="IP25" s="360"/>
      <c r="IQ25" s="360"/>
      <c r="IR25" s="360"/>
      <c r="IS25" s="360"/>
      <c r="IT25" s="360"/>
      <c r="IU25" s="360"/>
    </row>
    <row r="26" spans="1:255">
      <c r="A26" s="377"/>
      <c r="B26" s="360" t="s">
        <v>247</v>
      </c>
      <c r="C26" s="378"/>
      <c r="D26" s="380">
        <f t="shared" si="8"/>
        <v>0.12721700404376682</v>
      </c>
      <c r="E26" s="365">
        <v>0</v>
      </c>
      <c r="F26" s="366"/>
      <c r="G26" s="365"/>
      <c r="H26" s="365"/>
      <c r="I26" s="366"/>
      <c r="J26" s="365"/>
      <c r="K26" s="365"/>
      <c r="L26" s="366"/>
      <c r="M26" s="360"/>
      <c r="N26" s="360"/>
      <c r="O26" s="360"/>
      <c r="P26" s="360"/>
      <c r="Q26" s="360"/>
      <c r="R26" s="361"/>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360"/>
      <c r="FG26" s="360"/>
      <c r="FH26" s="360"/>
      <c r="FI26" s="360"/>
      <c r="FJ26" s="360"/>
      <c r="FK26" s="360"/>
      <c r="FL26" s="360"/>
      <c r="FM26" s="360"/>
      <c r="FN26" s="360"/>
      <c r="FO26" s="360"/>
      <c r="FP26" s="360"/>
      <c r="FQ26" s="360"/>
      <c r="FR26" s="360"/>
      <c r="FS26" s="360"/>
      <c r="FT26" s="360"/>
      <c r="FU26" s="360"/>
      <c r="FV26" s="360"/>
      <c r="FW26" s="360"/>
      <c r="FX26" s="360"/>
      <c r="FY26" s="360"/>
      <c r="FZ26" s="360"/>
      <c r="GA26" s="360"/>
      <c r="GB26" s="360"/>
      <c r="GC26" s="360"/>
      <c r="GD26" s="360"/>
      <c r="GE26" s="360"/>
      <c r="GF26" s="360"/>
      <c r="GG26" s="360"/>
      <c r="GH26" s="360"/>
      <c r="GI26" s="360"/>
      <c r="GJ26" s="360"/>
      <c r="GK26" s="360"/>
      <c r="GL26" s="360"/>
      <c r="GM26" s="360"/>
      <c r="GN26" s="360"/>
      <c r="GO26" s="360"/>
      <c r="GP26" s="360"/>
      <c r="GQ26" s="360"/>
      <c r="GR26" s="360"/>
      <c r="GS26" s="360"/>
      <c r="GT26" s="360"/>
      <c r="GU26" s="360"/>
      <c r="GV26" s="360"/>
      <c r="GW26" s="360"/>
      <c r="GX26" s="360"/>
      <c r="GY26" s="360"/>
      <c r="GZ26" s="360"/>
      <c r="HA26" s="360"/>
      <c r="HB26" s="360"/>
      <c r="HC26" s="360"/>
      <c r="HD26" s="360"/>
      <c r="HE26" s="360"/>
      <c r="HF26" s="360"/>
      <c r="HG26" s="360"/>
      <c r="HH26" s="360"/>
      <c r="HI26" s="360"/>
      <c r="HJ26" s="360"/>
      <c r="HK26" s="360"/>
      <c r="HL26" s="360"/>
      <c r="HM26" s="360"/>
      <c r="HN26" s="360"/>
      <c r="HO26" s="360"/>
      <c r="HP26" s="360"/>
      <c r="HQ26" s="360"/>
      <c r="HR26" s="360"/>
      <c r="HS26" s="360"/>
      <c r="HT26" s="360"/>
      <c r="HU26" s="360"/>
      <c r="HV26" s="360"/>
      <c r="HW26" s="360"/>
      <c r="HX26" s="360"/>
      <c r="HY26" s="360"/>
      <c r="HZ26" s="360"/>
      <c r="IA26" s="360"/>
      <c r="IB26" s="360"/>
      <c r="IC26" s="360"/>
      <c r="ID26" s="360"/>
      <c r="IE26" s="360"/>
      <c r="IF26" s="360"/>
      <c r="IG26" s="360"/>
      <c r="IH26" s="360"/>
      <c r="II26" s="360"/>
      <c r="IJ26" s="360"/>
      <c r="IK26" s="360"/>
      <c r="IL26" s="360"/>
      <c r="IM26" s="360"/>
      <c r="IN26" s="360"/>
      <c r="IO26" s="360"/>
      <c r="IP26" s="360"/>
      <c r="IQ26" s="360"/>
      <c r="IR26" s="360"/>
      <c r="IS26" s="360"/>
      <c r="IT26" s="360"/>
      <c r="IU26" s="360"/>
    </row>
    <row r="27" spans="1:255">
      <c r="A27" s="377"/>
      <c r="B27" s="360" t="s">
        <v>248</v>
      </c>
      <c r="C27" s="378"/>
      <c r="D27" s="380">
        <f t="shared" si="8"/>
        <v>0.16962267205835574</v>
      </c>
      <c r="E27" s="365">
        <v>-0.01</v>
      </c>
      <c r="F27" s="366"/>
      <c r="G27" s="365"/>
      <c r="H27" s="365"/>
      <c r="I27" s="366"/>
      <c r="J27" s="365"/>
      <c r="K27" s="365"/>
      <c r="L27" s="366"/>
      <c r="M27" s="360"/>
      <c r="N27" s="360"/>
      <c r="O27" s="360"/>
      <c r="P27" s="360"/>
      <c r="Q27" s="360"/>
      <c r="R27" s="361"/>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c r="FK27" s="360"/>
      <c r="FL27" s="360"/>
      <c r="FM27" s="360"/>
      <c r="FN27" s="360"/>
      <c r="FO27" s="360"/>
      <c r="FP27" s="360"/>
      <c r="FQ27" s="360"/>
      <c r="FR27" s="360"/>
      <c r="FS27" s="360"/>
      <c r="FT27" s="360"/>
      <c r="FU27" s="360"/>
      <c r="FV27" s="360"/>
      <c r="FW27" s="360"/>
      <c r="FX27" s="360"/>
      <c r="FY27" s="360"/>
      <c r="FZ27" s="360"/>
      <c r="GA27" s="360"/>
      <c r="GB27" s="360"/>
      <c r="GC27" s="360"/>
      <c r="GD27" s="360"/>
      <c r="GE27" s="360"/>
      <c r="GF27" s="360"/>
      <c r="GG27" s="360"/>
      <c r="GH27" s="360"/>
      <c r="GI27" s="360"/>
      <c r="GJ27" s="360"/>
      <c r="GK27" s="360"/>
      <c r="GL27" s="360"/>
      <c r="GM27" s="360"/>
      <c r="GN27" s="360"/>
      <c r="GO27" s="360"/>
      <c r="GP27" s="360"/>
      <c r="GQ27" s="360"/>
      <c r="GR27" s="360"/>
      <c r="GS27" s="360"/>
      <c r="GT27" s="360"/>
      <c r="GU27" s="360"/>
      <c r="GV27" s="360"/>
      <c r="GW27" s="360"/>
      <c r="GX27" s="360"/>
      <c r="GY27" s="360"/>
      <c r="GZ27" s="360"/>
      <c r="HA27" s="360"/>
      <c r="HB27" s="360"/>
      <c r="HC27" s="360"/>
      <c r="HD27" s="360"/>
      <c r="HE27" s="360"/>
      <c r="HF27" s="360"/>
      <c r="HG27" s="360"/>
      <c r="HH27" s="360"/>
      <c r="HI27" s="360"/>
      <c r="HJ27" s="360"/>
      <c r="HK27" s="360"/>
      <c r="HL27" s="360"/>
      <c r="HM27" s="360"/>
      <c r="HN27" s="360"/>
      <c r="HO27" s="360"/>
      <c r="HP27" s="360"/>
      <c r="HQ27" s="360"/>
      <c r="HR27" s="360"/>
      <c r="HS27" s="360"/>
      <c r="HT27" s="360"/>
      <c r="HU27" s="360"/>
      <c r="HV27" s="360"/>
      <c r="HW27" s="360"/>
      <c r="HX27" s="360"/>
      <c r="HY27" s="360"/>
      <c r="HZ27" s="360"/>
      <c r="IA27" s="360"/>
      <c r="IB27" s="360"/>
      <c r="IC27" s="360"/>
      <c r="ID27" s="360"/>
      <c r="IE27" s="360"/>
      <c r="IF27" s="360"/>
      <c r="IG27" s="360"/>
      <c r="IH27" s="360"/>
      <c r="II27" s="360"/>
      <c r="IJ27" s="360"/>
      <c r="IK27" s="360"/>
      <c r="IL27" s="360"/>
      <c r="IM27" s="360"/>
      <c r="IN27" s="360"/>
      <c r="IO27" s="360"/>
      <c r="IP27" s="360"/>
      <c r="IQ27" s="360"/>
      <c r="IR27" s="360"/>
      <c r="IS27" s="360"/>
      <c r="IT27" s="360"/>
      <c r="IU27" s="360"/>
    </row>
    <row r="28" spans="1:255">
      <c r="A28" s="377"/>
      <c r="B28" s="360" t="s">
        <v>249</v>
      </c>
      <c r="C28" s="363"/>
      <c r="D28" s="380">
        <f t="shared" si="8"/>
        <v>0.25443400808753364</v>
      </c>
      <c r="E28" s="365">
        <f>+E27</f>
        <v>-0.01</v>
      </c>
      <c r="F28" s="366"/>
      <c r="G28" s="365"/>
      <c r="H28" s="365"/>
      <c r="I28" s="366"/>
      <c r="J28" s="365"/>
      <c r="K28" s="365"/>
      <c r="L28" s="366"/>
      <c r="M28" s="360"/>
      <c r="N28" s="360"/>
      <c r="O28" s="360"/>
      <c r="P28" s="360"/>
      <c r="Q28" s="360"/>
      <c r="R28" s="361"/>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c r="HD28" s="360"/>
      <c r="HE28" s="360"/>
      <c r="HF28" s="360"/>
      <c r="HG28" s="360"/>
      <c r="HH28" s="360"/>
      <c r="HI28" s="360"/>
      <c r="HJ28" s="360"/>
      <c r="HK28" s="360"/>
      <c r="HL28" s="360"/>
      <c r="HM28" s="360"/>
      <c r="HN28" s="360"/>
      <c r="HO28" s="360"/>
      <c r="HP28" s="360"/>
      <c r="HQ28" s="360"/>
      <c r="HR28" s="360"/>
      <c r="HS28" s="360"/>
      <c r="HT28" s="360"/>
      <c r="HU28" s="360"/>
      <c r="HV28" s="360"/>
      <c r="HW28" s="360"/>
      <c r="HX28" s="360"/>
      <c r="HY28" s="360"/>
      <c r="HZ28" s="360"/>
      <c r="IA28" s="360"/>
      <c r="IB28" s="360"/>
      <c r="IC28" s="360"/>
      <c r="ID28" s="360"/>
      <c r="IE28" s="360"/>
      <c r="IF28" s="360"/>
      <c r="IG28" s="360"/>
      <c r="IH28" s="360"/>
      <c r="II28" s="360"/>
      <c r="IJ28" s="360"/>
      <c r="IK28" s="360"/>
      <c r="IL28" s="360"/>
      <c r="IM28" s="360"/>
      <c r="IN28" s="360"/>
      <c r="IO28" s="360"/>
      <c r="IP28" s="360"/>
      <c r="IQ28" s="360"/>
      <c r="IR28" s="360"/>
      <c r="IS28" s="360"/>
      <c r="IT28" s="360"/>
      <c r="IU28" s="360"/>
    </row>
    <row r="29" spans="1:255">
      <c r="A29" s="377"/>
      <c r="B29" s="360" t="s">
        <v>250</v>
      </c>
      <c r="C29" s="363"/>
      <c r="D29" s="380">
        <f t="shared" si="8"/>
        <v>0.51025080969728209</v>
      </c>
      <c r="E29" s="374">
        <v>-0.01</v>
      </c>
      <c r="F29" s="366"/>
      <c r="G29" s="365"/>
      <c r="H29" s="365"/>
      <c r="I29" s="366"/>
      <c r="J29" s="365"/>
      <c r="K29" s="365"/>
      <c r="L29" s="366"/>
      <c r="M29" s="360"/>
      <c r="N29" s="360"/>
      <c r="O29" s="360"/>
      <c r="P29" s="360"/>
      <c r="Q29" s="360"/>
      <c r="R29" s="361"/>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c r="DU29" s="360"/>
      <c r="DV29" s="360"/>
      <c r="DW29" s="360"/>
      <c r="DX29" s="360"/>
      <c r="DY29" s="360"/>
      <c r="DZ29" s="360"/>
      <c r="EA29" s="360"/>
      <c r="EB29" s="360"/>
      <c r="EC29" s="360"/>
      <c r="ED29" s="360"/>
      <c r="EE29" s="360"/>
      <c r="EF29" s="360"/>
      <c r="EG29" s="360"/>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0"/>
      <c r="FF29" s="360"/>
      <c r="FG29" s="360"/>
      <c r="FH29" s="360"/>
      <c r="FI29" s="360"/>
      <c r="FJ29" s="360"/>
      <c r="FK29" s="360"/>
      <c r="FL29" s="360"/>
      <c r="FM29" s="360"/>
      <c r="FN29" s="360"/>
      <c r="FO29" s="360"/>
      <c r="FP29" s="360"/>
      <c r="FQ29" s="360"/>
      <c r="FR29" s="360"/>
      <c r="FS29" s="360"/>
      <c r="FT29" s="360"/>
      <c r="FU29" s="360"/>
      <c r="FV29" s="360"/>
      <c r="FW29" s="360"/>
      <c r="FX29" s="360"/>
      <c r="FY29" s="360"/>
      <c r="FZ29" s="360"/>
      <c r="GA29" s="360"/>
      <c r="GB29" s="360"/>
      <c r="GC29" s="360"/>
      <c r="GD29" s="360"/>
      <c r="GE29" s="360"/>
      <c r="GF29" s="360"/>
      <c r="GG29" s="360"/>
      <c r="GH29" s="360"/>
      <c r="GI29" s="360"/>
      <c r="GJ29" s="360"/>
      <c r="GK29" s="360"/>
      <c r="GL29" s="360"/>
      <c r="GM29" s="360"/>
      <c r="GN29" s="360"/>
      <c r="GO29" s="360"/>
      <c r="GP29" s="360"/>
      <c r="GQ29" s="360"/>
      <c r="GR29" s="360"/>
      <c r="GS29" s="360"/>
      <c r="GT29" s="360"/>
      <c r="GU29" s="360"/>
      <c r="GV29" s="360"/>
      <c r="GW29" s="360"/>
      <c r="GX29" s="360"/>
      <c r="GY29" s="360"/>
      <c r="GZ29" s="360"/>
      <c r="HA29" s="360"/>
      <c r="HB29" s="360"/>
      <c r="HC29" s="360"/>
      <c r="HD29" s="360"/>
      <c r="HE29" s="360"/>
      <c r="HF29" s="360"/>
      <c r="HG29" s="360"/>
      <c r="HH29" s="360"/>
      <c r="HI29" s="360"/>
      <c r="HJ29" s="360"/>
      <c r="HK29" s="360"/>
      <c r="HL29" s="360"/>
      <c r="HM29" s="360"/>
      <c r="HN29" s="360"/>
      <c r="HO29" s="360"/>
      <c r="HP29" s="360"/>
      <c r="HQ29" s="360"/>
      <c r="HR29" s="360"/>
      <c r="HS29" s="360"/>
      <c r="HT29" s="360"/>
      <c r="HU29" s="360"/>
      <c r="HV29" s="360"/>
      <c r="HW29" s="360"/>
      <c r="HX29" s="360"/>
      <c r="HY29" s="360"/>
      <c r="HZ29" s="360"/>
      <c r="IA29" s="360"/>
      <c r="IB29" s="360"/>
      <c r="IC29" s="360"/>
      <c r="ID29" s="360"/>
      <c r="IE29" s="360"/>
      <c r="IF29" s="360"/>
      <c r="IG29" s="360"/>
      <c r="IH29" s="360"/>
      <c r="II29" s="360"/>
      <c r="IJ29" s="360"/>
      <c r="IK29" s="360"/>
      <c r="IL29" s="360"/>
      <c r="IM29" s="360"/>
      <c r="IN29" s="360"/>
      <c r="IO29" s="360"/>
      <c r="IP29" s="360"/>
      <c r="IQ29" s="360"/>
      <c r="IR29" s="360"/>
      <c r="IS29" s="360"/>
      <c r="IT29" s="360"/>
      <c r="IU29" s="360"/>
    </row>
    <row r="30" spans="1:255">
      <c r="A30" s="377"/>
      <c r="B30" s="360" t="s">
        <v>251</v>
      </c>
      <c r="C30" s="363"/>
      <c r="D30" s="380">
        <f t="shared" si="8"/>
        <v>0.76537621454592308</v>
      </c>
      <c r="E30" s="374">
        <v>-0.02</v>
      </c>
      <c r="F30" s="366"/>
      <c r="G30" s="365"/>
      <c r="H30" s="365"/>
      <c r="I30" s="366"/>
      <c r="J30" s="365"/>
      <c r="K30" s="365"/>
      <c r="L30" s="366"/>
      <c r="M30" s="360"/>
      <c r="N30" s="360"/>
      <c r="O30" s="360"/>
      <c r="P30" s="360"/>
      <c r="Q30" s="360"/>
      <c r="R30" s="361"/>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c r="DU30" s="360"/>
      <c r="DV30" s="360"/>
      <c r="DW30" s="360"/>
      <c r="DX30" s="360"/>
      <c r="DY30" s="360"/>
      <c r="DZ30" s="360"/>
      <c r="EA30" s="360"/>
      <c r="EB30" s="360"/>
      <c r="EC30" s="360"/>
      <c r="ED30" s="360"/>
      <c r="EE30" s="360"/>
      <c r="EF30" s="360"/>
      <c r="EG30" s="360"/>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0"/>
      <c r="FF30" s="360"/>
      <c r="FG30" s="360"/>
      <c r="FH30" s="360"/>
      <c r="FI30" s="360"/>
      <c r="FJ30" s="360"/>
      <c r="FK30" s="360"/>
      <c r="FL30" s="360"/>
      <c r="FM30" s="360"/>
      <c r="FN30" s="360"/>
      <c r="FO30" s="360"/>
      <c r="FP30" s="360"/>
      <c r="FQ30" s="360"/>
      <c r="FR30" s="360"/>
      <c r="FS30" s="360"/>
      <c r="FT30" s="360"/>
      <c r="FU30" s="360"/>
      <c r="FV30" s="360"/>
      <c r="FW30" s="360"/>
      <c r="FX30" s="360"/>
      <c r="FY30" s="360"/>
      <c r="FZ30" s="360"/>
      <c r="GA30" s="360"/>
      <c r="GB30" s="360"/>
      <c r="GC30" s="360"/>
      <c r="GD30" s="360"/>
      <c r="GE30" s="360"/>
      <c r="GF30" s="360"/>
      <c r="GG30" s="360"/>
      <c r="GH30" s="360"/>
      <c r="GI30" s="360"/>
      <c r="GJ30" s="360"/>
      <c r="GK30" s="360"/>
      <c r="GL30" s="360"/>
      <c r="GM30" s="360"/>
      <c r="GN30" s="360"/>
      <c r="GO30" s="360"/>
      <c r="GP30" s="360"/>
      <c r="GQ30" s="360"/>
      <c r="GR30" s="360"/>
      <c r="GS30" s="360"/>
      <c r="GT30" s="360"/>
      <c r="GU30" s="360"/>
      <c r="GV30" s="360"/>
      <c r="GW30" s="360"/>
      <c r="GX30" s="360"/>
      <c r="GY30" s="360"/>
      <c r="GZ30" s="360"/>
      <c r="HA30" s="360"/>
      <c r="HB30" s="360"/>
      <c r="HC30" s="360"/>
      <c r="HD30" s="360"/>
      <c r="HE30" s="360"/>
      <c r="HF30" s="360"/>
      <c r="HG30" s="360"/>
      <c r="HH30" s="360"/>
      <c r="HI30" s="360"/>
      <c r="HJ30" s="360"/>
      <c r="HK30" s="360"/>
      <c r="HL30" s="360"/>
      <c r="HM30" s="360"/>
      <c r="HN30" s="360"/>
      <c r="HO30" s="360"/>
      <c r="HP30" s="360"/>
      <c r="HQ30" s="360"/>
      <c r="HR30" s="360"/>
      <c r="HS30" s="360"/>
      <c r="HT30" s="360"/>
      <c r="HU30" s="360"/>
      <c r="HV30" s="360"/>
      <c r="HW30" s="360"/>
      <c r="HX30" s="360"/>
      <c r="HY30" s="360"/>
      <c r="HZ30" s="360"/>
      <c r="IA30" s="360"/>
      <c r="IB30" s="360"/>
      <c r="IC30" s="360"/>
      <c r="ID30" s="360"/>
      <c r="IE30" s="360"/>
      <c r="IF30" s="360"/>
      <c r="IG30" s="360"/>
      <c r="IH30" s="360"/>
      <c r="II30" s="360"/>
      <c r="IJ30" s="360"/>
      <c r="IK30" s="360"/>
      <c r="IL30" s="360"/>
      <c r="IM30" s="360"/>
      <c r="IN30" s="360"/>
      <c r="IO30" s="360"/>
      <c r="IP30" s="360"/>
      <c r="IQ30" s="360"/>
      <c r="IR30" s="360"/>
      <c r="IS30" s="360"/>
      <c r="IT30" s="360"/>
      <c r="IU30" s="360"/>
    </row>
    <row r="31" spans="1:255">
      <c r="A31" s="377"/>
      <c r="B31" s="360" t="s">
        <v>252</v>
      </c>
      <c r="C31" s="363"/>
      <c r="D31" s="380">
        <f t="shared" si="8"/>
        <v>1.0205016193945642</v>
      </c>
      <c r="E31" s="374">
        <v>-0.02</v>
      </c>
      <c r="F31" s="366"/>
      <c r="G31" s="365"/>
      <c r="H31" s="365"/>
      <c r="I31" s="366"/>
      <c r="J31" s="365"/>
      <c r="K31" s="365"/>
      <c r="L31" s="366"/>
      <c r="M31" s="360"/>
      <c r="N31" s="360"/>
      <c r="O31" s="360"/>
      <c r="P31" s="360"/>
      <c r="Q31" s="360"/>
      <c r="R31" s="361"/>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0"/>
      <c r="EC31" s="360"/>
      <c r="ED31" s="360"/>
      <c r="EE31" s="360"/>
      <c r="EF31" s="360"/>
      <c r="EG31" s="360"/>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0"/>
      <c r="FF31" s="360"/>
      <c r="FG31" s="360"/>
      <c r="FH31" s="360"/>
      <c r="FI31" s="360"/>
      <c r="FJ31" s="360"/>
      <c r="FK31" s="360"/>
      <c r="FL31" s="360"/>
      <c r="FM31" s="360"/>
      <c r="FN31" s="360"/>
      <c r="FO31" s="360"/>
      <c r="FP31" s="360"/>
      <c r="FQ31" s="360"/>
      <c r="FR31" s="360"/>
      <c r="FS31" s="360"/>
      <c r="FT31" s="360"/>
      <c r="FU31" s="360"/>
      <c r="FV31" s="360"/>
      <c r="FW31" s="360"/>
      <c r="FX31" s="360"/>
      <c r="FY31" s="360"/>
      <c r="FZ31" s="360"/>
      <c r="GA31" s="360"/>
      <c r="GB31" s="360"/>
      <c r="GC31" s="360"/>
      <c r="GD31" s="360"/>
      <c r="GE31" s="360"/>
      <c r="GF31" s="360"/>
      <c r="GG31" s="360"/>
      <c r="GH31" s="360"/>
      <c r="GI31" s="360"/>
      <c r="GJ31" s="360"/>
      <c r="GK31" s="360"/>
      <c r="GL31" s="360"/>
      <c r="GM31" s="360"/>
      <c r="GN31" s="360"/>
      <c r="GO31" s="360"/>
      <c r="GP31" s="360"/>
      <c r="GQ31" s="360"/>
      <c r="GR31" s="360"/>
      <c r="GS31" s="360"/>
      <c r="GT31" s="360"/>
      <c r="GU31" s="360"/>
      <c r="GV31" s="360"/>
      <c r="GW31" s="360"/>
      <c r="GX31" s="360"/>
      <c r="GY31" s="360"/>
      <c r="GZ31" s="360"/>
      <c r="HA31" s="360"/>
      <c r="HB31" s="360"/>
      <c r="HC31" s="360"/>
      <c r="HD31" s="360"/>
      <c r="HE31" s="360"/>
      <c r="HF31" s="360"/>
      <c r="HG31" s="360"/>
      <c r="HH31" s="360"/>
      <c r="HI31" s="360"/>
      <c r="HJ31" s="360"/>
      <c r="HK31" s="360"/>
      <c r="HL31" s="360"/>
      <c r="HM31" s="360"/>
      <c r="HN31" s="360"/>
      <c r="HO31" s="360"/>
      <c r="HP31" s="360"/>
      <c r="HQ31" s="360"/>
      <c r="HR31" s="360"/>
      <c r="HS31" s="360"/>
      <c r="HT31" s="360"/>
      <c r="HU31" s="360"/>
      <c r="HV31" s="360"/>
      <c r="HW31" s="360"/>
      <c r="HX31" s="360"/>
      <c r="HY31" s="360"/>
      <c r="HZ31" s="360"/>
      <c r="IA31" s="360"/>
      <c r="IB31" s="360"/>
      <c r="IC31" s="360"/>
      <c r="ID31" s="360"/>
      <c r="IE31" s="360"/>
      <c r="IF31" s="360"/>
      <c r="IG31" s="360"/>
      <c r="IH31" s="360"/>
      <c r="II31" s="360"/>
      <c r="IJ31" s="360"/>
      <c r="IK31" s="360"/>
      <c r="IL31" s="360"/>
      <c r="IM31" s="360"/>
      <c r="IN31" s="360"/>
      <c r="IO31" s="360"/>
      <c r="IP31" s="360"/>
      <c r="IQ31" s="360"/>
      <c r="IR31" s="360"/>
      <c r="IS31" s="360"/>
      <c r="IT31" s="360"/>
      <c r="IU31" s="360"/>
    </row>
    <row r="32" spans="1:255">
      <c r="A32" s="377"/>
      <c r="B32" s="360" t="s">
        <v>253</v>
      </c>
      <c r="C32" s="363"/>
      <c r="D32" s="380">
        <f t="shared" si="8"/>
        <v>1.5307524290918462</v>
      </c>
      <c r="E32" s="374">
        <v>-0.04</v>
      </c>
      <c r="F32" s="366"/>
      <c r="G32" s="365"/>
      <c r="H32" s="365"/>
      <c r="I32" s="366"/>
      <c r="J32" s="365"/>
      <c r="K32" s="365"/>
      <c r="L32" s="366"/>
      <c r="M32" s="360"/>
      <c r="N32" s="360"/>
      <c r="O32" s="360"/>
      <c r="P32" s="360"/>
      <c r="Q32" s="360"/>
      <c r="R32" s="361"/>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0"/>
      <c r="EA32" s="360"/>
      <c r="EB32" s="360"/>
      <c r="EC32" s="360"/>
      <c r="ED32" s="360"/>
      <c r="EE32" s="360"/>
      <c r="EF32" s="360"/>
      <c r="EG32" s="360"/>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0"/>
      <c r="FF32" s="360"/>
      <c r="FG32" s="360"/>
      <c r="FH32" s="360"/>
      <c r="FI32" s="360"/>
      <c r="FJ32" s="360"/>
      <c r="FK32" s="360"/>
      <c r="FL32" s="360"/>
      <c r="FM32" s="360"/>
      <c r="FN32" s="360"/>
      <c r="FO32" s="360"/>
      <c r="FP32" s="360"/>
      <c r="FQ32" s="360"/>
      <c r="FR32" s="360"/>
      <c r="FS32" s="360"/>
      <c r="FT32" s="360"/>
      <c r="FU32" s="360"/>
      <c r="FV32" s="360"/>
      <c r="FW32" s="360"/>
      <c r="FX32" s="360"/>
      <c r="FY32" s="360"/>
      <c r="FZ32" s="360"/>
      <c r="GA32" s="360"/>
      <c r="GB32" s="360"/>
      <c r="GC32" s="360"/>
      <c r="GD32" s="360"/>
      <c r="GE32" s="360"/>
      <c r="GF32" s="360"/>
      <c r="GG32" s="360"/>
      <c r="GH32" s="360"/>
      <c r="GI32" s="360"/>
      <c r="GJ32" s="360"/>
      <c r="GK32" s="360"/>
      <c r="GL32" s="360"/>
      <c r="GM32" s="360"/>
      <c r="GN32" s="360"/>
      <c r="GO32" s="360"/>
      <c r="GP32" s="360"/>
      <c r="GQ32" s="360"/>
      <c r="GR32" s="360"/>
      <c r="GS32" s="360"/>
      <c r="GT32" s="360"/>
      <c r="GU32" s="360"/>
      <c r="GV32" s="360"/>
      <c r="GW32" s="360"/>
      <c r="GX32" s="360"/>
      <c r="GY32" s="360"/>
      <c r="GZ32" s="360"/>
      <c r="HA32" s="360"/>
      <c r="HB32" s="360"/>
      <c r="HC32" s="360"/>
      <c r="HD32" s="360"/>
      <c r="HE32" s="360"/>
      <c r="HF32" s="360"/>
      <c r="HG32" s="360"/>
      <c r="HH32" s="360"/>
      <c r="HI32" s="360"/>
      <c r="HJ32" s="360"/>
      <c r="HK32" s="360"/>
      <c r="HL32" s="360"/>
      <c r="HM32" s="360"/>
      <c r="HN32" s="360"/>
      <c r="HO32" s="360"/>
      <c r="HP32" s="360"/>
      <c r="HQ32" s="360"/>
      <c r="HR32" s="360"/>
      <c r="HS32" s="360"/>
      <c r="HT32" s="360"/>
      <c r="HU32" s="360"/>
      <c r="HV32" s="360"/>
      <c r="HW32" s="360"/>
      <c r="HX32" s="360"/>
      <c r="HY32" s="360"/>
      <c r="HZ32" s="360"/>
      <c r="IA32" s="360"/>
      <c r="IB32" s="360"/>
      <c r="IC32" s="360"/>
      <c r="ID32" s="360"/>
      <c r="IE32" s="360"/>
      <c r="IF32" s="360"/>
      <c r="IG32" s="360"/>
      <c r="IH32" s="360"/>
      <c r="II32" s="360"/>
      <c r="IJ32" s="360"/>
      <c r="IK32" s="360"/>
      <c r="IL32" s="360"/>
      <c r="IM32" s="360"/>
      <c r="IN32" s="360"/>
      <c r="IO32" s="360"/>
      <c r="IP32" s="360"/>
      <c r="IQ32" s="360"/>
      <c r="IR32" s="360"/>
      <c r="IS32" s="360"/>
      <c r="IT32" s="360"/>
      <c r="IU32" s="360"/>
    </row>
    <row r="33" spans="1:255">
      <c r="A33" s="377"/>
      <c r="B33" s="360" t="s">
        <v>254</v>
      </c>
      <c r="C33" s="363"/>
      <c r="D33" s="380">
        <f t="shared" si="8"/>
        <v>2.0410032387891284</v>
      </c>
      <c r="E33" s="374">
        <v>-0.05</v>
      </c>
      <c r="F33" s="366"/>
      <c r="G33" s="365"/>
      <c r="H33" s="365"/>
      <c r="I33" s="366"/>
      <c r="J33" s="365"/>
      <c r="K33" s="365"/>
      <c r="L33" s="366"/>
      <c r="M33" s="360"/>
      <c r="N33" s="360"/>
      <c r="O33" s="360"/>
      <c r="P33" s="360"/>
      <c r="Q33" s="360"/>
      <c r="R33" s="361"/>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0"/>
      <c r="EA33" s="360"/>
      <c r="EB33" s="360"/>
      <c r="EC33" s="360"/>
      <c r="ED33" s="360"/>
      <c r="EE33" s="360"/>
      <c r="EF33" s="360"/>
      <c r="EG33" s="360"/>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0"/>
      <c r="FF33" s="360"/>
      <c r="FG33" s="360"/>
      <c r="FH33" s="360"/>
      <c r="FI33" s="360"/>
      <c r="FJ33" s="360"/>
      <c r="FK33" s="360"/>
      <c r="FL33" s="360"/>
      <c r="FM33" s="360"/>
      <c r="FN33" s="360"/>
      <c r="FO33" s="360"/>
      <c r="FP33" s="360"/>
      <c r="FQ33" s="360"/>
      <c r="FR33" s="360"/>
      <c r="FS33" s="360"/>
      <c r="FT33" s="360"/>
      <c r="FU33" s="360"/>
      <c r="FV33" s="360"/>
      <c r="FW33" s="360"/>
      <c r="FX33" s="360"/>
      <c r="FY33" s="360"/>
      <c r="FZ33" s="360"/>
      <c r="GA33" s="360"/>
      <c r="GB33" s="360"/>
      <c r="GC33" s="360"/>
      <c r="GD33" s="360"/>
      <c r="GE33" s="360"/>
      <c r="GF33" s="360"/>
      <c r="GG33" s="360"/>
      <c r="GH33" s="360"/>
      <c r="GI33" s="360"/>
      <c r="GJ33" s="360"/>
      <c r="GK33" s="360"/>
      <c r="GL33" s="360"/>
      <c r="GM33" s="360"/>
      <c r="GN33" s="360"/>
      <c r="GO33" s="360"/>
      <c r="GP33" s="360"/>
      <c r="GQ33" s="360"/>
      <c r="GR33" s="360"/>
      <c r="GS33" s="360"/>
      <c r="GT33" s="360"/>
      <c r="GU33" s="360"/>
      <c r="GV33" s="360"/>
      <c r="GW33" s="360"/>
      <c r="GX33" s="360"/>
      <c r="GY33" s="360"/>
      <c r="GZ33" s="360"/>
      <c r="HA33" s="360"/>
      <c r="HB33" s="360"/>
      <c r="HC33" s="360"/>
      <c r="HD33" s="360"/>
      <c r="HE33" s="360"/>
      <c r="HF33" s="360"/>
      <c r="HG33" s="360"/>
      <c r="HH33" s="360"/>
      <c r="HI33" s="360"/>
      <c r="HJ33" s="360"/>
      <c r="HK33" s="360"/>
      <c r="HL33" s="360"/>
      <c r="HM33" s="360"/>
      <c r="HN33" s="360"/>
      <c r="HO33" s="360"/>
      <c r="HP33" s="360"/>
      <c r="HQ33" s="360"/>
      <c r="HR33" s="360"/>
      <c r="HS33" s="360"/>
      <c r="HT33" s="360"/>
      <c r="HU33" s="360"/>
      <c r="HV33" s="360"/>
      <c r="HW33" s="360"/>
      <c r="HX33" s="360"/>
      <c r="HY33" s="360"/>
      <c r="HZ33" s="360"/>
      <c r="IA33" s="360"/>
      <c r="IB33" s="360"/>
      <c r="IC33" s="360"/>
      <c r="ID33" s="360"/>
      <c r="IE33" s="360"/>
      <c r="IF33" s="360"/>
      <c r="IG33" s="360"/>
      <c r="IH33" s="360"/>
      <c r="II33" s="360"/>
      <c r="IJ33" s="360"/>
      <c r="IK33" s="360"/>
      <c r="IL33" s="360"/>
      <c r="IM33" s="360"/>
      <c r="IN33" s="360"/>
      <c r="IO33" s="360"/>
      <c r="IP33" s="360"/>
      <c r="IQ33" s="360"/>
      <c r="IR33" s="360"/>
      <c r="IS33" s="360"/>
      <c r="IT33" s="360"/>
      <c r="IU33" s="360"/>
    </row>
    <row r="34" spans="1:255">
      <c r="A34" s="377"/>
      <c r="B34" s="360" t="s">
        <v>255</v>
      </c>
      <c r="C34" s="363"/>
      <c r="D34" s="380">
        <f t="shared" si="8"/>
        <v>3.0615048581836923</v>
      </c>
      <c r="E34" s="374">
        <v>-7.0000000000000007E-2</v>
      </c>
      <c r="F34" s="366"/>
      <c r="G34" s="365"/>
      <c r="H34" s="365"/>
      <c r="I34" s="366"/>
      <c r="J34" s="365"/>
      <c r="K34" s="365"/>
      <c r="L34" s="366"/>
      <c r="M34" s="360"/>
      <c r="N34" s="360"/>
      <c r="O34" s="360"/>
      <c r="P34" s="360"/>
      <c r="Q34" s="360"/>
      <c r="R34" s="361"/>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360"/>
      <c r="DS34" s="360"/>
      <c r="DT34" s="360"/>
      <c r="DU34" s="360"/>
      <c r="DV34" s="360"/>
      <c r="DW34" s="360"/>
      <c r="DX34" s="360"/>
      <c r="DY34" s="360"/>
      <c r="DZ34" s="360"/>
      <c r="EA34" s="360"/>
      <c r="EB34" s="360"/>
      <c r="EC34" s="360"/>
      <c r="ED34" s="360"/>
      <c r="EE34" s="360"/>
      <c r="EF34" s="360"/>
      <c r="EG34" s="360"/>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0"/>
      <c r="FF34" s="360"/>
      <c r="FG34" s="360"/>
      <c r="FH34" s="360"/>
      <c r="FI34" s="360"/>
      <c r="FJ34" s="360"/>
      <c r="FK34" s="360"/>
      <c r="FL34" s="360"/>
      <c r="FM34" s="360"/>
      <c r="FN34" s="360"/>
      <c r="FO34" s="360"/>
      <c r="FP34" s="360"/>
      <c r="FQ34" s="360"/>
      <c r="FR34" s="360"/>
      <c r="FS34" s="360"/>
      <c r="FT34" s="360"/>
      <c r="FU34" s="360"/>
      <c r="FV34" s="360"/>
      <c r="FW34" s="360"/>
      <c r="FX34" s="360"/>
      <c r="FY34" s="360"/>
      <c r="FZ34" s="360"/>
      <c r="GA34" s="360"/>
      <c r="GB34" s="360"/>
      <c r="GC34" s="360"/>
      <c r="GD34" s="360"/>
      <c r="GE34" s="360"/>
      <c r="GF34" s="360"/>
      <c r="GG34" s="360"/>
      <c r="GH34" s="360"/>
      <c r="GI34" s="360"/>
      <c r="GJ34" s="360"/>
      <c r="GK34" s="360"/>
      <c r="GL34" s="360"/>
      <c r="GM34" s="360"/>
      <c r="GN34" s="360"/>
      <c r="GO34" s="360"/>
      <c r="GP34" s="360"/>
      <c r="GQ34" s="360"/>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0"/>
      <c r="HO34" s="360"/>
      <c r="HP34" s="360"/>
      <c r="HQ34" s="360"/>
      <c r="HR34" s="360"/>
      <c r="HS34" s="360"/>
      <c r="HT34" s="360"/>
      <c r="HU34" s="360"/>
      <c r="HV34" s="360"/>
      <c r="HW34" s="360"/>
      <c r="HX34" s="360"/>
      <c r="HY34" s="360"/>
      <c r="HZ34" s="360"/>
      <c r="IA34" s="360"/>
      <c r="IB34" s="360"/>
      <c r="IC34" s="360"/>
      <c r="ID34" s="360"/>
      <c r="IE34" s="360"/>
      <c r="IF34" s="360"/>
      <c r="IG34" s="360"/>
      <c r="IH34" s="360"/>
      <c r="II34" s="360"/>
      <c r="IJ34" s="360"/>
      <c r="IK34" s="360"/>
      <c r="IL34" s="360"/>
      <c r="IM34" s="360"/>
      <c r="IN34" s="360"/>
      <c r="IO34" s="360"/>
      <c r="IP34" s="360"/>
      <c r="IQ34" s="360"/>
      <c r="IR34" s="360"/>
      <c r="IS34" s="360"/>
      <c r="IT34" s="360"/>
      <c r="IU34" s="360"/>
    </row>
    <row r="35" spans="1:255">
      <c r="A35" s="377"/>
      <c r="B35" s="360" t="s">
        <v>256</v>
      </c>
      <c r="C35" s="363"/>
      <c r="D35" s="380">
        <f t="shared" si="8"/>
        <v>4.0820064775782567</v>
      </c>
      <c r="E35" s="374">
        <v>-0.09</v>
      </c>
      <c r="F35" s="366"/>
      <c r="G35" s="365"/>
      <c r="H35" s="365"/>
      <c r="I35" s="366"/>
      <c r="J35" s="365"/>
      <c r="K35" s="365"/>
      <c r="L35" s="366"/>
      <c r="M35" s="360"/>
      <c r="N35" s="360"/>
      <c r="O35" s="360"/>
      <c r="P35" s="360"/>
      <c r="Q35" s="360"/>
      <c r="R35" s="361"/>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c r="DU35" s="360"/>
      <c r="DV35" s="360"/>
      <c r="DW35" s="360"/>
      <c r="DX35" s="360"/>
      <c r="DY35" s="360"/>
      <c r="DZ35" s="360"/>
      <c r="EA35" s="360"/>
      <c r="EB35" s="360"/>
      <c r="EC35" s="360"/>
      <c r="ED35" s="360"/>
      <c r="EE35" s="360"/>
      <c r="EF35" s="360"/>
      <c r="EG35" s="360"/>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0"/>
      <c r="FF35" s="360"/>
      <c r="FG35" s="360"/>
      <c r="FH35" s="360"/>
      <c r="FI35" s="360"/>
      <c r="FJ35" s="360"/>
      <c r="FK35" s="360"/>
      <c r="FL35" s="360"/>
      <c r="FM35" s="360"/>
      <c r="FN35" s="360"/>
      <c r="FO35" s="360"/>
      <c r="FP35" s="360"/>
      <c r="FQ35" s="360"/>
      <c r="FR35" s="360"/>
      <c r="FS35" s="360"/>
      <c r="FT35" s="360"/>
      <c r="FU35" s="360"/>
      <c r="FV35" s="360"/>
      <c r="FW35" s="360"/>
      <c r="FX35" s="360"/>
      <c r="FY35" s="360"/>
      <c r="FZ35" s="360"/>
      <c r="GA35" s="360"/>
      <c r="GB35" s="360"/>
      <c r="GC35" s="360"/>
      <c r="GD35" s="360"/>
      <c r="GE35" s="360"/>
      <c r="GF35" s="360"/>
      <c r="GG35" s="360"/>
      <c r="GH35" s="360"/>
      <c r="GI35" s="360"/>
      <c r="GJ35" s="360"/>
      <c r="GK35" s="360"/>
      <c r="GL35" s="360"/>
      <c r="GM35" s="360"/>
      <c r="GN35" s="360"/>
      <c r="GO35" s="360"/>
      <c r="GP35" s="360"/>
      <c r="GQ35" s="360"/>
      <c r="GR35" s="360"/>
      <c r="GS35" s="360"/>
      <c r="GT35" s="360"/>
      <c r="GU35" s="360"/>
      <c r="GV35" s="360"/>
      <c r="GW35" s="360"/>
      <c r="GX35" s="360"/>
      <c r="GY35" s="360"/>
      <c r="GZ35" s="360"/>
      <c r="HA35" s="360"/>
      <c r="HB35" s="360"/>
      <c r="HC35" s="360"/>
      <c r="HD35" s="360"/>
      <c r="HE35" s="360"/>
      <c r="HF35" s="360"/>
      <c r="HG35" s="360"/>
      <c r="HH35" s="360"/>
      <c r="HI35" s="360"/>
      <c r="HJ35" s="360"/>
      <c r="HK35" s="360"/>
      <c r="HL35" s="360"/>
      <c r="HM35" s="360"/>
      <c r="HN35" s="360"/>
      <c r="HO35" s="360"/>
      <c r="HP35" s="360"/>
      <c r="HQ35" s="360"/>
      <c r="HR35" s="360"/>
      <c r="HS35" s="360"/>
      <c r="HT35" s="360"/>
      <c r="HU35" s="360"/>
      <c r="HV35" s="360"/>
      <c r="HW35" s="360"/>
      <c r="HX35" s="360"/>
      <c r="HY35" s="360"/>
      <c r="HZ35" s="360"/>
      <c r="IA35" s="360"/>
      <c r="IB35" s="360"/>
      <c r="IC35" s="360"/>
      <c r="ID35" s="360"/>
      <c r="IE35" s="360"/>
      <c r="IF35" s="360"/>
      <c r="IG35" s="360"/>
      <c r="IH35" s="360"/>
      <c r="II35" s="360"/>
      <c r="IJ35" s="360"/>
      <c r="IK35" s="360"/>
      <c r="IL35" s="360"/>
      <c r="IM35" s="360"/>
      <c r="IN35" s="360"/>
      <c r="IO35" s="360"/>
      <c r="IP35" s="360"/>
      <c r="IQ35" s="360"/>
      <c r="IR35" s="360"/>
      <c r="IS35" s="360"/>
      <c r="IT35" s="360"/>
      <c r="IU35" s="360"/>
    </row>
    <row r="36" spans="1:255">
      <c r="A36" s="377"/>
      <c r="B36" s="360"/>
      <c r="C36" s="363"/>
      <c r="D36" s="373"/>
      <c r="E36" s="365"/>
      <c r="F36" s="373"/>
      <c r="G36" s="365"/>
      <c r="H36" s="374"/>
      <c r="I36" s="366"/>
      <c r="J36" s="365"/>
      <c r="K36" s="374"/>
      <c r="L36" s="366"/>
      <c r="M36" s="360"/>
      <c r="N36" s="360"/>
      <c r="O36" s="360"/>
      <c r="P36" s="360"/>
      <c r="Q36" s="360"/>
      <c r="R36" s="361"/>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c r="IT36" s="360"/>
      <c r="IU36" s="360"/>
    </row>
    <row r="37" spans="1:255" ht="15.75">
      <c r="A37" s="372" t="s">
        <v>258</v>
      </c>
      <c r="B37" s="360"/>
      <c r="C37" s="363"/>
      <c r="D37" s="373"/>
      <c r="E37" s="365"/>
      <c r="F37" s="373"/>
      <c r="G37" s="365"/>
      <c r="H37" s="374"/>
      <c r="I37" s="366"/>
      <c r="J37" s="365"/>
      <c r="K37" s="374"/>
      <c r="L37" s="366"/>
      <c r="M37" s="360"/>
      <c r="N37" s="360"/>
      <c r="O37" s="360"/>
      <c r="P37" s="360"/>
      <c r="Q37" s="360"/>
      <c r="R37" s="361"/>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c r="IT37" s="360"/>
      <c r="IU37" s="360"/>
    </row>
    <row r="38" spans="1:255">
      <c r="A38" s="377"/>
      <c r="B38" s="360" t="s">
        <v>259</v>
      </c>
      <c r="C38" s="363"/>
      <c r="D38" s="373"/>
      <c r="E38" s="365"/>
      <c r="F38" s="373"/>
      <c r="G38" s="367">
        <f>+G10</f>
        <v>0.05</v>
      </c>
      <c r="H38" s="374">
        <v>-0.01</v>
      </c>
      <c r="I38" s="366">
        <f>-1+G38/H38</f>
        <v>-6</v>
      </c>
      <c r="J38" s="367">
        <f>+J10</f>
        <v>0.05</v>
      </c>
      <c r="K38" s="365">
        <v>-0.01</v>
      </c>
      <c r="L38" s="366">
        <f>-1+J38/K38</f>
        <v>-6</v>
      </c>
      <c r="M38" s="360"/>
      <c r="N38" s="360"/>
      <c r="O38" s="360"/>
      <c r="P38" s="360"/>
      <c r="Q38" s="360"/>
      <c r="R38" s="361"/>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c r="DA38" s="360"/>
      <c r="DB38" s="360"/>
      <c r="DC38" s="360"/>
      <c r="DD38" s="360"/>
      <c r="DE38" s="360"/>
      <c r="DF38" s="360"/>
      <c r="DG38" s="360"/>
      <c r="DH38" s="360"/>
      <c r="DI38" s="360"/>
      <c r="DJ38" s="360"/>
      <c r="DK38" s="360"/>
      <c r="DL38" s="360"/>
      <c r="DM38" s="360"/>
      <c r="DN38" s="360"/>
      <c r="DO38" s="360"/>
      <c r="DP38" s="360"/>
      <c r="DQ38" s="360"/>
      <c r="DR38" s="360"/>
      <c r="DS38" s="360"/>
      <c r="DT38" s="360"/>
      <c r="DU38" s="360"/>
      <c r="DV38" s="360"/>
      <c r="DW38" s="360"/>
      <c r="DX38" s="360"/>
      <c r="DY38" s="360"/>
      <c r="DZ38" s="360"/>
      <c r="EA38" s="360"/>
      <c r="EB38" s="360"/>
      <c r="EC38" s="360"/>
      <c r="ED38" s="360"/>
      <c r="EE38" s="360"/>
      <c r="EF38" s="360"/>
      <c r="EG38" s="360"/>
      <c r="EH38" s="360"/>
      <c r="EI38" s="360"/>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0"/>
      <c r="FF38" s="360"/>
      <c r="FG38" s="360"/>
      <c r="FH38" s="360"/>
      <c r="FI38" s="360"/>
      <c r="FJ38" s="360"/>
      <c r="FK38" s="360"/>
      <c r="FL38" s="360"/>
      <c r="FM38" s="360"/>
      <c r="FN38" s="360"/>
      <c r="FO38" s="360"/>
      <c r="FP38" s="360"/>
      <c r="FQ38" s="360"/>
      <c r="FR38" s="360"/>
      <c r="FS38" s="360"/>
      <c r="FT38" s="360"/>
      <c r="FU38" s="360"/>
      <c r="FV38" s="360"/>
      <c r="FW38" s="360"/>
      <c r="FX38" s="360"/>
      <c r="FY38" s="360"/>
      <c r="FZ38" s="360"/>
      <c r="GA38" s="360"/>
      <c r="GB38" s="360"/>
      <c r="GC38" s="360"/>
      <c r="GD38" s="360"/>
      <c r="GE38" s="360"/>
      <c r="GF38" s="360"/>
      <c r="GG38" s="360"/>
      <c r="GH38" s="360"/>
      <c r="GI38" s="360"/>
      <c r="GJ38" s="360"/>
      <c r="GK38" s="360"/>
      <c r="GL38" s="360"/>
      <c r="GM38" s="360"/>
      <c r="GN38" s="360"/>
      <c r="GO38" s="360"/>
      <c r="GP38" s="360"/>
      <c r="GQ38" s="360"/>
      <c r="GR38" s="360"/>
      <c r="GS38" s="360"/>
      <c r="GT38" s="360"/>
      <c r="GU38" s="360"/>
      <c r="GV38" s="360"/>
      <c r="GW38" s="360"/>
      <c r="GX38" s="360"/>
      <c r="GY38" s="360"/>
      <c r="GZ38" s="360"/>
      <c r="HA38" s="360"/>
      <c r="HB38" s="360"/>
      <c r="HC38" s="360"/>
      <c r="HD38" s="360"/>
      <c r="HE38" s="360"/>
      <c r="HF38" s="360"/>
      <c r="HG38" s="360"/>
      <c r="HH38" s="360"/>
      <c r="HI38" s="360"/>
      <c r="HJ38" s="360"/>
      <c r="HK38" s="360"/>
      <c r="HL38" s="360"/>
      <c r="HM38" s="360"/>
      <c r="HN38" s="360"/>
      <c r="HO38" s="360"/>
      <c r="HP38" s="360"/>
      <c r="HQ38" s="360"/>
      <c r="HR38" s="360"/>
      <c r="HS38" s="360"/>
      <c r="HT38" s="360"/>
      <c r="HU38" s="360"/>
      <c r="HV38" s="360"/>
      <c r="HW38" s="360"/>
      <c r="HX38" s="360"/>
      <c r="HY38" s="360"/>
      <c r="HZ38" s="360"/>
      <c r="IA38" s="360"/>
      <c r="IB38" s="360"/>
      <c r="IC38" s="360"/>
      <c r="ID38" s="360"/>
      <c r="IE38" s="360"/>
      <c r="IF38" s="360"/>
      <c r="IG38" s="360"/>
      <c r="IH38" s="360"/>
      <c r="II38" s="360"/>
      <c r="IJ38" s="360"/>
      <c r="IK38" s="360"/>
      <c r="IL38" s="360"/>
      <c r="IM38" s="360"/>
      <c r="IN38" s="360"/>
      <c r="IO38" s="360"/>
      <c r="IP38" s="360"/>
      <c r="IQ38" s="360"/>
      <c r="IR38" s="360"/>
      <c r="IS38" s="360"/>
      <c r="IT38" s="360"/>
      <c r="IU38" s="360"/>
    </row>
    <row r="39" spans="1:255">
      <c r="A39" s="377"/>
      <c r="B39" s="360" t="s">
        <v>260</v>
      </c>
      <c r="C39" s="363"/>
      <c r="D39" s="373"/>
      <c r="E39" s="365"/>
      <c r="F39" s="373"/>
      <c r="G39" s="367">
        <f>+G38</f>
        <v>0.05</v>
      </c>
      <c r="H39" s="374">
        <v>-0.01</v>
      </c>
      <c r="I39" s="366">
        <f>-1+G39/H39</f>
        <v>-6</v>
      </c>
      <c r="J39" s="367">
        <f>+J38</f>
        <v>0.05</v>
      </c>
      <c r="K39" s="365">
        <v>-0.01</v>
      </c>
      <c r="L39" s="366">
        <f>-1+J39/K39</f>
        <v>-6</v>
      </c>
      <c r="M39" s="360"/>
      <c r="N39" s="360"/>
      <c r="O39" s="360"/>
      <c r="P39" s="360"/>
      <c r="Q39" s="360"/>
      <c r="R39" s="361"/>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c r="CI39" s="360"/>
      <c r="CJ39" s="360"/>
      <c r="CK39" s="360"/>
      <c r="CL39" s="360"/>
      <c r="CM39" s="360"/>
      <c r="CN39" s="360"/>
      <c r="CO39" s="360"/>
      <c r="CP39" s="360"/>
      <c r="CQ39" s="360"/>
      <c r="CR39" s="360"/>
      <c r="CS39" s="360"/>
      <c r="CT39" s="360"/>
      <c r="CU39" s="360"/>
      <c r="CV39" s="360"/>
      <c r="CW39" s="360"/>
      <c r="CX39" s="360"/>
      <c r="CY39" s="360"/>
      <c r="CZ39" s="360"/>
      <c r="DA39" s="360"/>
      <c r="DB39" s="360"/>
      <c r="DC39" s="360"/>
      <c r="DD39" s="360"/>
      <c r="DE39" s="360"/>
      <c r="DF39" s="360"/>
      <c r="DG39" s="360"/>
      <c r="DH39" s="360"/>
      <c r="DI39" s="360"/>
      <c r="DJ39" s="360"/>
      <c r="DK39" s="360"/>
      <c r="DL39" s="360"/>
      <c r="DM39" s="360"/>
      <c r="DN39" s="360"/>
      <c r="DO39" s="360"/>
      <c r="DP39" s="360"/>
      <c r="DQ39" s="360"/>
      <c r="DR39" s="360"/>
      <c r="DS39" s="360"/>
      <c r="DT39" s="360"/>
      <c r="DU39" s="360"/>
      <c r="DV39" s="360"/>
      <c r="DW39" s="360"/>
      <c r="DX39" s="360"/>
      <c r="DY39" s="360"/>
      <c r="DZ39" s="360"/>
      <c r="EA39" s="360"/>
      <c r="EB39" s="360"/>
      <c r="EC39" s="360"/>
      <c r="ED39" s="360"/>
      <c r="EE39" s="360"/>
      <c r="EF39" s="360"/>
      <c r="EG39" s="360"/>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0"/>
      <c r="FF39" s="360"/>
      <c r="FG39" s="360"/>
      <c r="FH39" s="360"/>
      <c r="FI39" s="360"/>
      <c r="FJ39" s="360"/>
      <c r="FK39" s="360"/>
      <c r="FL39" s="360"/>
      <c r="FM39" s="360"/>
      <c r="FN39" s="360"/>
      <c r="FO39" s="360"/>
      <c r="FP39" s="360"/>
      <c r="FQ39" s="360"/>
      <c r="FR39" s="360"/>
      <c r="FS39" s="360"/>
      <c r="FT39" s="360"/>
      <c r="FU39" s="360"/>
      <c r="FV39" s="360"/>
      <c r="FW39" s="360"/>
      <c r="FX39" s="360"/>
      <c r="FY39" s="360"/>
      <c r="FZ39" s="360"/>
      <c r="GA39" s="360"/>
      <c r="GB39" s="360"/>
      <c r="GC39" s="360"/>
      <c r="GD39" s="360"/>
      <c r="GE39" s="360"/>
      <c r="GF39" s="360"/>
      <c r="GG39" s="360"/>
      <c r="GH39" s="360"/>
      <c r="GI39" s="360"/>
      <c r="GJ39" s="360"/>
      <c r="GK39" s="360"/>
      <c r="GL39" s="360"/>
      <c r="GM39" s="360"/>
      <c r="GN39" s="360"/>
      <c r="GO39" s="360"/>
      <c r="GP39" s="360"/>
      <c r="GQ39" s="360"/>
      <c r="GR39" s="360"/>
      <c r="GS39" s="360"/>
      <c r="GT39" s="360"/>
      <c r="GU39" s="360"/>
      <c r="GV39" s="360"/>
      <c r="GW39" s="360"/>
      <c r="GX39" s="360"/>
      <c r="GY39" s="360"/>
      <c r="GZ39" s="360"/>
      <c r="HA39" s="360"/>
      <c r="HB39" s="360"/>
      <c r="HC39" s="360"/>
      <c r="HD39" s="360"/>
      <c r="HE39" s="360"/>
      <c r="HF39" s="360"/>
      <c r="HG39" s="360"/>
      <c r="HH39" s="360"/>
      <c r="HI39" s="360"/>
      <c r="HJ39" s="360"/>
      <c r="HK39" s="360"/>
      <c r="HL39" s="360"/>
      <c r="HM39" s="360"/>
      <c r="HN39" s="360"/>
      <c r="HO39" s="360"/>
      <c r="HP39" s="360"/>
      <c r="HQ39" s="360"/>
      <c r="HR39" s="360"/>
      <c r="HS39" s="360"/>
      <c r="HT39" s="360"/>
      <c r="HU39" s="360"/>
      <c r="HV39" s="360"/>
      <c r="HW39" s="360"/>
      <c r="HX39" s="360"/>
      <c r="HY39" s="360"/>
      <c r="HZ39" s="360"/>
      <c r="IA39" s="360"/>
      <c r="IB39" s="360"/>
      <c r="IC39" s="360"/>
      <c r="ID39" s="360"/>
      <c r="IE39" s="360"/>
      <c r="IF39" s="360"/>
      <c r="IG39" s="360"/>
      <c r="IH39" s="360"/>
      <c r="II39" s="360"/>
      <c r="IJ39" s="360"/>
      <c r="IK39" s="360"/>
      <c r="IL39" s="360"/>
      <c r="IM39" s="360"/>
      <c r="IN39" s="360"/>
      <c r="IO39" s="360"/>
      <c r="IP39" s="360"/>
      <c r="IQ39" s="360"/>
      <c r="IR39" s="360"/>
      <c r="IS39" s="360"/>
      <c r="IT39" s="360"/>
      <c r="IU39" s="360"/>
    </row>
    <row r="40" spans="1:255">
      <c r="A40" s="377"/>
      <c r="B40" s="360"/>
      <c r="C40" s="363"/>
      <c r="D40" s="373"/>
      <c r="E40" s="365"/>
      <c r="F40" s="373"/>
      <c r="G40" s="365"/>
      <c r="H40" s="365"/>
      <c r="I40" s="366"/>
      <c r="J40" s="365"/>
      <c r="K40" s="381"/>
      <c r="L40" s="366"/>
      <c r="M40" s="360"/>
      <c r="N40" s="360"/>
      <c r="O40" s="360"/>
      <c r="P40" s="360"/>
      <c r="Q40" s="360"/>
      <c r="R40" s="361"/>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60"/>
      <c r="DK40" s="360"/>
      <c r="DL40" s="360"/>
      <c r="DM40" s="360"/>
      <c r="DN40" s="360"/>
      <c r="DO40" s="360"/>
      <c r="DP40" s="360"/>
      <c r="DQ40" s="360"/>
      <c r="DR40" s="360"/>
      <c r="DS40" s="360"/>
      <c r="DT40" s="360"/>
      <c r="DU40" s="360"/>
      <c r="DV40" s="360"/>
      <c r="DW40" s="360"/>
      <c r="DX40" s="360"/>
      <c r="DY40" s="360"/>
      <c r="DZ40" s="360"/>
      <c r="EA40" s="360"/>
      <c r="EB40" s="360"/>
      <c r="EC40" s="360"/>
      <c r="ED40" s="360"/>
      <c r="EE40" s="360"/>
      <c r="EF40" s="360"/>
      <c r="EG40" s="360"/>
      <c r="EH40" s="360"/>
      <c r="EI40" s="360"/>
      <c r="EJ40" s="360"/>
      <c r="EK40" s="360"/>
      <c r="EL40" s="360"/>
      <c r="EM40" s="360"/>
      <c r="EN40" s="360"/>
      <c r="EO40" s="360"/>
      <c r="EP40" s="360"/>
      <c r="EQ40" s="360"/>
      <c r="ER40" s="360"/>
      <c r="ES40" s="360"/>
      <c r="ET40" s="360"/>
      <c r="EU40" s="360"/>
      <c r="EV40" s="360"/>
      <c r="EW40" s="360"/>
      <c r="EX40" s="360"/>
      <c r="EY40" s="360"/>
      <c r="EZ40" s="360"/>
      <c r="FA40" s="360"/>
      <c r="FB40" s="360"/>
      <c r="FC40" s="360"/>
      <c r="FD40" s="360"/>
      <c r="FE40" s="360"/>
      <c r="FF40" s="360"/>
      <c r="FG40" s="360"/>
      <c r="FH40" s="360"/>
      <c r="FI40" s="360"/>
      <c r="FJ40" s="360"/>
      <c r="FK40" s="360"/>
      <c r="FL40" s="360"/>
      <c r="FM40" s="360"/>
      <c r="FN40" s="360"/>
      <c r="FO40" s="360"/>
      <c r="FP40" s="360"/>
      <c r="FQ40" s="360"/>
      <c r="FR40" s="360"/>
      <c r="FS40" s="360"/>
      <c r="FT40" s="360"/>
      <c r="FU40" s="360"/>
      <c r="FV40" s="360"/>
      <c r="FW40" s="360"/>
      <c r="FX40" s="360"/>
      <c r="FY40" s="360"/>
      <c r="FZ40" s="360"/>
      <c r="GA40" s="360"/>
      <c r="GB40" s="360"/>
      <c r="GC40" s="360"/>
      <c r="GD40" s="360"/>
      <c r="GE40" s="360"/>
      <c r="GF40" s="360"/>
      <c r="GG40" s="360"/>
      <c r="GH40" s="360"/>
      <c r="GI40" s="360"/>
      <c r="GJ40" s="360"/>
      <c r="GK40" s="360"/>
      <c r="GL40" s="360"/>
      <c r="GM40" s="360"/>
      <c r="GN40" s="360"/>
      <c r="GO40" s="360"/>
      <c r="GP40" s="360"/>
      <c r="GQ40" s="360"/>
      <c r="GR40" s="360"/>
      <c r="GS40" s="360"/>
      <c r="GT40" s="360"/>
      <c r="GU40" s="360"/>
      <c r="GV40" s="360"/>
      <c r="GW40" s="360"/>
      <c r="GX40" s="360"/>
      <c r="GY40" s="360"/>
      <c r="GZ40" s="360"/>
      <c r="HA40" s="360"/>
      <c r="HB40" s="360"/>
      <c r="HC40" s="360"/>
      <c r="HD40" s="360"/>
      <c r="HE40" s="360"/>
      <c r="HF40" s="360"/>
      <c r="HG40" s="360"/>
      <c r="HH40" s="360"/>
      <c r="HI40" s="360"/>
      <c r="HJ40" s="360"/>
      <c r="HK40" s="360"/>
      <c r="HL40" s="360"/>
      <c r="HM40" s="360"/>
      <c r="HN40" s="360"/>
      <c r="HO40" s="360"/>
      <c r="HP40" s="360"/>
      <c r="HQ40" s="360"/>
      <c r="HR40" s="360"/>
      <c r="HS40" s="360"/>
      <c r="HT40" s="360"/>
      <c r="HU40" s="360"/>
      <c r="HV40" s="360"/>
      <c r="HW40" s="360"/>
      <c r="HX40" s="360"/>
      <c r="HY40" s="360"/>
      <c r="HZ40" s="360"/>
      <c r="IA40" s="360"/>
      <c r="IB40" s="360"/>
      <c r="IC40" s="360"/>
      <c r="ID40" s="360"/>
      <c r="IE40" s="360"/>
      <c r="IF40" s="360"/>
      <c r="IG40" s="360"/>
      <c r="IH40" s="360"/>
      <c r="II40" s="360"/>
      <c r="IJ40" s="360"/>
      <c r="IK40" s="360"/>
      <c r="IL40" s="360"/>
      <c r="IM40" s="360"/>
      <c r="IN40" s="360"/>
      <c r="IO40" s="360"/>
      <c r="IP40" s="360"/>
      <c r="IQ40" s="360"/>
      <c r="IR40" s="360"/>
      <c r="IS40" s="360"/>
      <c r="IT40" s="360"/>
      <c r="IU40" s="360"/>
    </row>
    <row r="41" spans="1:255">
      <c r="A41" s="377"/>
      <c r="B41" s="360" t="s">
        <v>248</v>
      </c>
      <c r="C41" s="363"/>
      <c r="D41" s="380">
        <f>ROUND(+E41+E41*F$6,3)</f>
        <v>0.184</v>
      </c>
      <c r="E41" s="374">
        <v>-0.02</v>
      </c>
      <c r="F41" s="366">
        <f>1+D41/E41</f>
        <v>-8.1999999999999993</v>
      </c>
      <c r="G41" s="365"/>
      <c r="H41" s="365"/>
      <c r="I41" s="366"/>
      <c r="J41" s="365"/>
      <c r="K41" s="381"/>
      <c r="L41" s="366"/>
      <c r="M41" s="360"/>
      <c r="N41" s="360"/>
      <c r="O41" s="360"/>
      <c r="P41" s="360"/>
      <c r="Q41" s="360"/>
      <c r="R41" s="361"/>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0"/>
      <c r="CY41" s="360"/>
      <c r="CZ41" s="360"/>
      <c r="DA41" s="360"/>
      <c r="DB41" s="360"/>
      <c r="DC41" s="360"/>
      <c r="DD41" s="360"/>
      <c r="DE41" s="360"/>
      <c r="DF41" s="360"/>
      <c r="DG41" s="360"/>
      <c r="DH41" s="360"/>
      <c r="DI41" s="360"/>
      <c r="DJ41" s="360"/>
      <c r="DK41" s="360"/>
      <c r="DL41" s="360"/>
      <c r="DM41" s="360"/>
      <c r="DN41" s="360"/>
      <c r="DO41" s="360"/>
      <c r="DP41" s="360"/>
      <c r="DQ41" s="360"/>
      <c r="DR41" s="360"/>
      <c r="DS41" s="360"/>
      <c r="DT41" s="360"/>
      <c r="DU41" s="360"/>
      <c r="DV41" s="360"/>
      <c r="DW41" s="360"/>
      <c r="DX41" s="360"/>
      <c r="DY41" s="360"/>
      <c r="DZ41" s="360"/>
      <c r="EA41" s="360"/>
      <c r="EB41" s="360"/>
      <c r="EC41" s="360"/>
      <c r="ED41" s="360"/>
      <c r="EE41" s="360"/>
      <c r="EF41" s="360"/>
      <c r="EG41" s="360"/>
      <c r="EH41" s="360"/>
      <c r="EI41" s="360"/>
      <c r="EJ41" s="360"/>
      <c r="EK41" s="360"/>
      <c r="EL41" s="360"/>
      <c r="EM41" s="360"/>
      <c r="EN41" s="360"/>
      <c r="EO41" s="360"/>
      <c r="EP41" s="360"/>
      <c r="EQ41" s="360"/>
      <c r="ER41" s="360"/>
      <c r="ES41" s="360"/>
      <c r="ET41" s="360"/>
      <c r="EU41" s="360"/>
      <c r="EV41" s="360"/>
      <c r="EW41" s="360"/>
      <c r="EX41" s="360"/>
      <c r="EY41" s="360"/>
      <c r="EZ41" s="360"/>
      <c r="FA41" s="360"/>
      <c r="FB41" s="360"/>
      <c r="FC41" s="360"/>
      <c r="FD41" s="360"/>
      <c r="FE41" s="360"/>
      <c r="FF41" s="360"/>
      <c r="FG41" s="360"/>
      <c r="FH41" s="360"/>
      <c r="FI41" s="360"/>
      <c r="FJ41" s="360"/>
      <c r="FK41" s="360"/>
      <c r="FL41" s="360"/>
      <c r="FM41" s="360"/>
      <c r="FN41" s="360"/>
      <c r="FO41" s="360"/>
      <c r="FP41" s="360"/>
      <c r="FQ41" s="360"/>
      <c r="FR41" s="360"/>
      <c r="FS41" s="360"/>
      <c r="FT41" s="360"/>
      <c r="FU41" s="360"/>
      <c r="FV41" s="360"/>
      <c r="FW41" s="360"/>
      <c r="FX41" s="360"/>
      <c r="FY41" s="360"/>
      <c r="FZ41" s="360"/>
      <c r="GA41" s="360"/>
      <c r="GB41" s="360"/>
      <c r="GC41" s="360"/>
      <c r="GD41" s="360"/>
      <c r="GE41" s="360"/>
      <c r="GF41" s="360"/>
      <c r="GG41" s="360"/>
      <c r="GH41" s="360"/>
      <c r="GI41" s="360"/>
      <c r="GJ41" s="360"/>
      <c r="GK41" s="360"/>
      <c r="GL41" s="360"/>
      <c r="GM41" s="360"/>
      <c r="GN41" s="360"/>
      <c r="GO41" s="360"/>
      <c r="GP41" s="360"/>
      <c r="GQ41" s="360"/>
      <c r="GR41" s="360"/>
      <c r="GS41" s="360"/>
      <c r="GT41" s="360"/>
      <c r="GU41" s="360"/>
      <c r="GV41" s="360"/>
      <c r="GW41" s="360"/>
      <c r="GX41" s="360"/>
      <c r="GY41" s="360"/>
      <c r="GZ41" s="360"/>
      <c r="HA41" s="360"/>
      <c r="HB41" s="360"/>
      <c r="HC41" s="360"/>
      <c r="HD41" s="360"/>
      <c r="HE41" s="360"/>
      <c r="HF41" s="360"/>
      <c r="HG41" s="360"/>
      <c r="HH41" s="360"/>
      <c r="HI41" s="360"/>
      <c r="HJ41" s="360"/>
      <c r="HK41" s="360"/>
      <c r="HL41" s="360"/>
      <c r="HM41" s="360"/>
      <c r="HN41" s="360"/>
      <c r="HO41" s="360"/>
      <c r="HP41" s="360"/>
      <c r="HQ41" s="360"/>
      <c r="HR41" s="360"/>
      <c r="HS41" s="360"/>
      <c r="HT41" s="360"/>
      <c r="HU41" s="360"/>
      <c r="HV41" s="360"/>
      <c r="HW41" s="360"/>
      <c r="HX41" s="360"/>
      <c r="HY41" s="360"/>
      <c r="HZ41" s="360"/>
      <c r="IA41" s="360"/>
      <c r="IB41" s="360"/>
      <c r="IC41" s="360"/>
      <c r="ID41" s="360"/>
      <c r="IE41" s="360"/>
      <c r="IF41" s="360"/>
      <c r="IG41" s="360"/>
      <c r="IH41" s="360"/>
      <c r="II41" s="360"/>
      <c r="IJ41" s="360"/>
      <c r="IK41" s="360"/>
      <c r="IL41" s="360"/>
      <c r="IM41" s="360"/>
      <c r="IN41" s="360"/>
      <c r="IO41" s="360"/>
      <c r="IP41" s="360"/>
      <c r="IQ41" s="360"/>
      <c r="IR41" s="360"/>
      <c r="IS41" s="360"/>
      <c r="IT41" s="360"/>
      <c r="IU41" s="360"/>
    </row>
    <row r="42" spans="1:255">
      <c r="A42" s="377"/>
      <c r="B42" s="360" t="s">
        <v>249</v>
      </c>
      <c r="C42" s="363"/>
      <c r="D42" s="380">
        <f t="shared" ref="D42:D49" si="9">ROUND(+E42+E42*F$6,3)</f>
        <v>0.27700000000000002</v>
      </c>
      <c r="E42" s="374">
        <v>-0.03</v>
      </c>
      <c r="F42" s="366">
        <f t="shared" ref="F42:F49" si="10">1+D42/E42</f>
        <v>-8.2333333333333343</v>
      </c>
      <c r="G42" s="365"/>
      <c r="H42" s="365"/>
      <c r="I42" s="366"/>
      <c r="J42" s="365"/>
      <c r="K42" s="381"/>
      <c r="L42" s="366"/>
      <c r="M42" s="360"/>
      <c r="N42" s="360"/>
      <c r="O42" s="360"/>
      <c r="P42" s="360"/>
      <c r="Q42" s="360"/>
      <c r="R42" s="361"/>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c r="CU42" s="360"/>
      <c r="CV42" s="360"/>
      <c r="CW42" s="360"/>
      <c r="CX42" s="360"/>
      <c r="CY42" s="360"/>
      <c r="CZ42" s="360"/>
      <c r="DA42" s="360"/>
      <c r="DB42" s="360"/>
      <c r="DC42" s="360"/>
      <c r="DD42" s="360"/>
      <c r="DE42" s="360"/>
      <c r="DF42" s="360"/>
      <c r="DG42" s="360"/>
      <c r="DH42" s="360"/>
      <c r="DI42" s="360"/>
      <c r="DJ42" s="360"/>
      <c r="DK42" s="360"/>
      <c r="DL42" s="360"/>
      <c r="DM42" s="360"/>
      <c r="DN42" s="360"/>
      <c r="DO42" s="360"/>
      <c r="DP42" s="360"/>
      <c r="DQ42" s="360"/>
      <c r="DR42" s="360"/>
      <c r="DS42" s="360"/>
      <c r="DT42" s="360"/>
      <c r="DU42" s="360"/>
      <c r="DV42" s="360"/>
      <c r="DW42" s="360"/>
      <c r="DX42" s="360"/>
      <c r="DY42" s="360"/>
      <c r="DZ42" s="360"/>
      <c r="EA42" s="360"/>
      <c r="EB42" s="360"/>
      <c r="EC42" s="360"/>
      <c r="ED42" s="360"/>
      <c r="EE42" s="360"/>
      <c r="EF42" s="360"/>
      <c r="EG42" s="360"/>
      <c r="EH42" s="360"/>
      <c r="EI42" s="360"/>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0"/>
      <c r="FF42" s="360"/>
      <c r="FG42" s="360"/>
      <c r="FH42" s="360"/>
      <c r="FI42" s="360"/>
      <c r="FJ42" s="360"/>
      <c r="FK42" s="360"/>
      <c r="FL42" s="360"/>
      <c r="FM42" s="360"/>
      <c r="FN42" s="360"/>
      <c r="FO42" s="360"/>
      <c r="FP42" s="360"/>
      <c r="FQ42" s="360"/>
      <c r="FR42" s="360"/>
      <c r="FS42" s="360"/>
      <c r="FT42" s="360"/>
      <c r="FU42" s="360"/>
      <c r="FV42" s="360"/>
      <c r="FW42" s="360"/>
      <c r="FX42" s="360"/>
      <c r="FY42" s="360"/>
      <c r="FZ42" s="360"/>
      <c r="GA42" s="360"/>
      <c r="GB42" s="360"/>
      <c r="GC42" s="360"/>
      <c r="GD42" s="360"/>
      <c r="GE42" s="360"/>
      <c r="GF42" s="360"/>
      <c r="GG42" s="360"/>
      <c r="GH42" s="360"/>
      <c r="GI42" s="360"/>
      <c r="GJ42" s="360"/>
      <c r="GK42" s="360"/>
      <c r="GL42" s="360"/>
      <c r="GM42" s="360"/>
      <c r="GN42" s="360"/>
      <c r="GO42" s="360"/>
      <c r="GP42" s="360"/>
      <c r="GQ42" s="360"/>
      <c r="GR42" s="360"/>
      <c r="GS42" s="360"/>
      <c r="GT42" s="360"/>
      <c r="GU42" s="360"/>
      <c r="GV42" s="360"/>
      <c r="GW42" s="360"/>
      <c r="GX42" s="360"/>
      <c r="GY42" s="360"/>
      <c r="GZ42" s="360"/>
      <c r="HA42" s="360"/>
      <c r="HB42" s="360"/>
      <c r="HC42" s="360"/>
      <c r="HD42" s="360"/>
      <c r="HE42" s="360"/>
      <c r="HF42" s="360"/>
      <c r="HG42" s="360"/>
      <c r="HH42" s="360"/>
      <c r="HI42" s="360"/>
      <c r="HJ42" s="360"/>
      <c r="HK42" s="360"/>
      <c r="HL42" s="360"/>
      <c r="HM42" s="360"/>
      <c r="HN42" s="360"/>
      <c r="HO42" s="360"/>
      <c r="HP42" s="360"/>
      <c r="HQ42" s="360"/>
      <c r="HR42" s="360"/>
      <c r="HS42" s="360"/>
      <c r="HT42" s="360"/>
      <c r="HU42" s="360"/>
      <c r="HV42" s="360"/>
      <c r="HW42" s="360"/>
      <c r="HX42" s="360"/>
      <c r="HY42" s="360"/>
      <c r="HZ42" s="360"/>
      <c r="IA42" s="360"/>
      <c r="IB42" s="360"/>
      <c r="IC42" s="360"/>
      <c r="ID42" s="360"/>
      <c r="IE42" s="360"/>
      <c r="IF42" s="360"/>
      <c r="IG42" s="360"/>
      <c r="IH42" s="360"/>
      <c r="II42" s="360"/>
      <c r="IJ42" s="360"/>
      <c r="IK42" s="360"/>
      <c r="IL42" s="360"/>
      <c r="IM42" s="360"/>
      <c r="IN42" s="360"/>
      <c r="IO42" s="360"/>
      <c r="IP42" s="360"/>
      <c r="IQ42" s="360"/>
      <c r="IR42" s="360"/>
      <c r="IS42" s="360"/>
      <c r="IT42" s="360"/>
      <c r="IU42" s="360"/>
    </row>
    <row r="43" spans="1:255">
      <c r="A43" s="377"/>
      <c r="B43" s="360" t="s">
        <v>250</v>
      </c>
      <c r="C43" s="363"/>
      <c r="D43" s="380">
        <f t="shared" si="9"/>
        <v>0.55300000000000005</v>
      </c>
      <c r="E43" s="374">
        <v>-0.06</v>
      </c>
      <c r="F43" s="366">
        <f t="shared" si="10"/>
        <v>-8.2166666666666686</v>
      </c>
      <c r="G43" s="365"/>
      <c r="H43" s="365"/>
      <c r="I43" s="366"/>
      <c r="J43" s="365"/>
      <c r="K43" s="365"/>
      <c r="L43" s="366"/>
      <c r="M43" s="360"/>
      <c r="N43" s="360"/>
      <c r="O43" s="360"/>
      <c r="P43" s="360"/>
      <c r="Q43" s="360"/>
      <c r="R43" s="361"/>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0"/>
      <c r="CN43" s="360"/>
      <c r="CO43" s="360"/>
      <c r="CP43" s="360"/>
      <c r="CQ43" s="360"/>
      <c r="CR43" s="360"/>
      <c r="CS43" s="360"/>
      <c r="CT43" s="360"/>
      <c r="CU43" s="360"/>
      <c r="CV43" s="360"/>
      <c r="CW43" s="360"/>
      <c r="CX43" s="360"/>
      <c r="CY43" s="360"/>
      <c r="CZ43" s="360"/>
      <c r="DA43" s="360"/>
      <c r="DB43" s="360"/>
      <c r="DC43" s="360"/>
      <c r="DD43" s="360"/>
      <c r="DE43" s="360"/>
      <c r="DF43" s="360"/>
      <c r="DG43" s="360"/>
      <c r="DH43" s="360"/>
      <c r="DI43" s="360"/>
      <c r="DJ43" s="360"/>
      <c r="DK43" s="360"/>
      <c r="DL43" s="360"/>
      <c r="DM43" s="360"/>
      <c r="DN43" s="360"/>
      <c r="DO43" s="360"/>
      <c r="DP43" s="360"/>
      <c r="DQ43" s="360"/>
      <c r="DR43" s="360"/>
      <c r="DS43" s="360"/>
      <c r="DT43" s="360"/>
      <c r="DU43" s="360"/>
      <c r="DV43" s="360"/>
      <c r="DW43" s="360"/>
      <c r="DX43" s="360"/>
      <c r="DY43" s="360"/>
      <c r="DZ43" s="360"/>
      <c r="EA43" s="360"/>
      <c r="EB43" s="360"/>
      <c r="EC43" s="360"/>
      <c r="ED43" s="360"/>
      <c r="EE43" s="360"/>
      <c r="EF43" s="360"/>
      <c r="EG43" s="360"/>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0"/>
      <c r="GB43" s="360"/>
      <c r="GC43" s="360"/>
      <c r="GD43" s="360"/>
      <c r="GE43" s="360"/>
      <c r="GF43" s="360"/>
      <c r="GG43" s="360"/>
      <c r="GH43" s="360"/>
      <c r="GI43" s="360"/>
      <c r="GJ43" s="360"/>
      <c r="GK43" s="360"/>
      <c r="GL43" s="360"/>
      <c r="GM43" s="360"/>
      <c r="GN43" s="360"/>
      <c r="GO43" s="360"/>
      <c r="GP43" s="360"/>
      <c r="GQ43" s="360"/>
      <c r="GR43" s="360"/>
      <c r="GS43" s="360"/>
      <c r="GT43" s="360"/>
      <c r="GU43" s="360"/>
      <c r="GV43" s="360"/>
      <c r="GW43" s="360"/>
      <c r="GX43" s="360"/>
      <c r="GY43" s="360"/>
      <c r="GZ43" s="360"/>
      <c r="HA43" s="360"/>
      <c r="HB43" s="360"/>
      <c r="HC43" s="360"/>
      <c r="HD43" s="360"/>
      <c r="HE43" s="360"/>
      <c r="HF43" s="360"/>
      <c r="HG43" s="360"/>
      <c r="HH43" s="360"/>
      <c r="HI43" s="360"/>
      <c r="HJ43" s="360"/>
      <c r="HK43" s="360"/>
      <c r="HL43" s="360"/>
      <c r="HM43" s="360"/>
      <c r="HN43" s="360"/>
      <c r="HO43" s="360"/>
      <c r="HP43" s="360"/>
      <c r="HQ43" s="360"/>
      <c r="HR43" s="360"/>
      <c r="HS43" s="360"/>
      <c r="HT43" s="360"/>
      <c r="HU43" s="360"/>
      <c r="HV43" s="360"/>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0"/>
    </row>
    <row r="44" spans="1:255">
      <c r="A44" s="377"/>
      <c r="B44" s="360" t="s">
        <v>251</v>
      </c>
      <c r="C44" s="363"/>
      <c r="D44" s="380">
        <f t="shared" si="9"/>
        <v>0.64500000000000002</v>
      </c>
      <c r="E44" s="374">
        <v>-7.0000000000000007E-2</v>
      </c>
      <c r="F44" s="366">
        <f t="shared" si="10"/>
        <v>-8.2142857142857135</v>
      </c>
      <c r="G44" s="365"/>
      <c r="H44" s="365"/>
      <c r="I44" s="366"/>
      <c r="J44" s="365"/>
      <c r="K44" s="365"/>
      <c r="L44" s="366"/>
      <c r="M44" s="360"/>
      <c r="N44" s="360"/>
      <c r="O44" s="360"/>
      <c r="P44" s="360"/>
      <c r="Q44" s="360"/>
      <c r="R44" s="361"/>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c r="DJ44" s="360"/>
      <c r="DK44" s="360"/>
      <c r="DL44" s="360"/>
      <c r="DM44" s="360"/>
      <c r="DN44" s="360"/>
      <c r="DO44" s="360"/>
      <c r="DP44" s="360"/>
      <c r="DQ44" s="360"/>
      <c r="DR44" s="360"/>
      <c r="DS44" s="360"/>
      <c r="DT44" s="360"/>
      <c r="DU44" s="360"/>
      <c r="DV44" s="360"/>
      <c r="DW44" s="360"/>
      <c r="DX44" s="360"/>
      <c r="DY44" s="360"/>
      <c r="DZ44" s="360"/>
      <c r="EA44" s="360"/>
      <c r="EB44" s="360"/>
      <c r="EC44" s="360"/>
      <c r="ED44" s="360"/>
      <c r="EE44" s="360"/>
      <c r="EF44" s="360"/>
      <c r="EG44" s="360"/>
      <c r="EH44" s="360"/>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0"/>
      <c r="GB44" s="360"/>
      <c r="GC44" s="360"/>
      <c r="GD44" s="360"/>
      <c r="GE44" s="360"/>
      <c r="GF44" s="360"/>
      <c r="GG44" s="360"/>
      <c r="GH44" s="360"/>
      <c r="GI44" s="360"/>
      <c r="GJ44" s="360"/>
      <c r="GK44" s="360"/>
      <c r="GL44" s="360"/>
      <c r="GM44" s="360"/>
      <c r="GN44" s="360"/>
      <c r="GO44" s="360"/>
      <c r="GP44" s="360"/>
      <c r="GQ44" s="360"/>
      <c r="GR44" s="360"/>
      <c r="GS44" s="360"/>
      <c r="GT44" s="360"/>
      <c r="GU44" s="360"/>
      <c r="GV44" s="360"/>
      <c r="GW44" s="360"/>
      <c r="GX44" s="360"/>
      <c r="GY44" s="360"/>
      <c r="GZ44" s="360"/>
      <c r="HA44" s="360"/>
      <c r="HB44" s="360"/>
      <c r="HC44" s="360"/>
      <c r="HD44" s="360"/>
      <c r="HE44" s="360"/>
      <c r="HF44" s="360"/>
      <c r="HG44" s="360"/>
      <c r="HH44" s="360"/>
      <c r="HI44" s="360"/>
      <c r="HJ44" s="360"/>
      <c r="HK44" s="360"/>
      <c r="HL44" s="360"/>
      <c r="HM44" s="360"/>
      <c r="HN44" s="360"/>
      <c r="HO44" s="360"/>
      <c r="HP44" s="360"/>
      <c r="HQ44" s="360"/>
      <c r="HR44" s="360"/>
      <c r="HS44" s="360"/>
      <c r="HT44" s="360"/>
      <c r="HU44" s="360"/>
      <c r="HV44" s="360"/>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0"/>
    </row>
    <row r="45" spans="1:255">
      <c r="A45" s="377"/>
      <c r="B45" s="360" t="s">
        <v>252</v>
      </c>
      <c r="C45" s="363"/>
      <c r="D45" s="380">
        <f t="shared" si="9"/>
        <v>0.83</v>
      </c>
      <c r="E45" s="374">
        <v>-0.09</v>
      </c>
      <c r="F45" s="366">
        <f t="shared" si="10"/>
        <v>-8.2222222222222214</v>
      </c>
      <c r="G45" s="365"/>
      <c r="H45" s="381"/>
      <c r="I45" s="366"/>
      <c r="J45" s="365"/>
      <c r="K45" s="365"/>
      <c r="L45" s="366"/>
      <c r="M45" s="360"/>
      <c r="N45" s="360"/>
      <c r="O45" s="360"/>
      <c r="P45" s="360"/>
      <c r="Q45" s="360"/>
      <c r="R45" s="361"/>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0"/>
      <c r="EA45" s="360"/>
      <c r="EB45" s="360"/>
      <c r="EC45" s="360"/>
      <c r="ED45" s="360"/>
      <c r="EE45" s="360"/>
      <c r="EF45" s="360"/>
      <c r="EG45" s="360"/>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0"/>
      <c r="FF45" s="360"/>
      <c r="FG45" s="360"/>
      <c r="FH45" s="360"/>
      <c r="FI45" s="360"/>
      <c r="FJ45" s="360"/>
      <c r="FK45" s="360"/>
      <c r="FL45" s="360"/>
      <c r="FM45" s="360"/>
      <c r="FN45" s="360"/>
      <c r="FO45" s="360"/>
      <c r="FP45" s="360"/>
      <c r="FQ45" s="360"/>
      <c r="FR45" s="360"/>
      <c r="FS45" s="360"/>
      <c r="FT45" s="360"/>
      <c r="FU45" s="360"/>
      <c r="FV45" s="360"/>
      <c r="FW45" s="360"/>
      <c r="FX45" s="360"/>
      <c r="FY45" s="360"/>
      <c r="FZ45" s="360"/>
      <c r="GA45" s="360"/>
      <c r="GB45" s="360"/>
      <c r="GC45" s="360"/>
      <c r="GD45" s="360"/>
      <c r="GE45" s="360"/>
      <c r="GF45" s="360"/>
      <c r="GG45" s="360"/>
      <c r="GH45" s="360"/>
      <c r="GI45" s="360"/>
      <c r="GJ45" s="360"/>
      <c r="GK45" s="360"/>
      <c r="GL45" s="360"/>
      <c r="GM45" s="360"/>
      <c r="GN45" s="360"/>
      <c r="GO45" s="360"/>
      <c r="GP45" s="360"/>
      <c r="GQ45" s="360"/>
      <c r="GR45" s="360"/>
      <c r="GS45" s="360"/>
      <c r="GT45" s="360"/>
      <c r="GU45" s="360"/>
      <c r="GV45" s="360"/>
      <c r="GW45" s="360"/>
      <c r="GX45" s="360"/>
      <c r="GY45" s="360"/>
      <c r="GZ45" s="360"/>
      <c r="HA45" s="360"/>
      <c r="HB45" s="360"/>
      <c r="HC45" s="360"/>
      <c r="HD45" s="360"/>
      <c r="HE45" s="360"/>
      <c r="HF45" s="360"/>
      <c r="HG45" s="360"/>
      <c r="HH45" s="360"/>
      <c r="HI45" s="360"/>
      <c r="HJ45" s="360"/>
      <c r="HK45" s="360"/>
      <c r="HL45" s="360"/>
      <c r="HM45" s="360"/>
      <c r="HN45" s="360"/>
      <c r="HO45" s="360"/>
      <c r="HP45" s="360"/>
      <c r="HQ45" s="360"/>
      <c r="HR45" s="360"/>
      <c r="HS45" s="360"/>
      <c r="HT45" s="360"/>
      <c r="HU45" s="360"/>
      <c r="HV45" s="360"/>
      <c r="HW45" s="360"/>
      <c r="HX45" s="360"/>
      <c r="HY45" s="360"/>
      <c r="HZ45" s="360"/>
      <c r="IA45" s="360"/>
      <c r="IB45" s="360"/>
      <c r="IC45" s="360"/>
      <c r="ID45" s="360"/>
      <c r="IE45" s="360"/>
      <c r="IF45" s="360"/>
      <c r="IG45" s="360"/>
      <c r="IH45" s="360"/>
      <c r="II45" s="360"/>
      <c r="IJ45" s="360"/>
      <c r="IK45" s="360"/>
      <c r="IL45" s="360"/>
      <c r="IM45" s="360"/>
      <c r="IN45" s="360"/>
      <c r="IO45" s="360"/>
      <c r="IP45" s="360"/>
      <c r="IQ45" s="360"/>
      <c r="IR45" s="360"/>
      <c r="IS45" s="360"/>
      <c r="IT45" s="360"/>
      <c r="IU45" s="360"/>
    </row>
    <row r="46" spans="1:255">
      <c r="A46" s="377"/>
      <c r="B46" s="360" t="s">
        <v>253</v>
      </c>
      <c r="C46" s="363"/>
      <c r="D46" s="380">
        <f t="shared" si="9"/>
        <v>1.198</v>
      </c>
      <c r="E46" s="374">
        <v>-0.13</v>
      </c>
      <c r="F46" s="366">
        <f t="shared" si="10"/>
        <v>-8.2153846153846146</v>
      </c>
      <c r="G46" s="365"/>
      <c r="H46" s="381"/>
      <c r="I46" s="366"/>
      <c r="J46" s="365"/>
      <c r="K46" s="365"/>
      <c r="L46" s="366"/>
      <c r="M46" s="360"/>
      <c r="N46" s="360"/>
      <c r="O46" s="360"/>
      <c r="P46" s="360"/>
      <c r="Q46" s="360"/>
      <c r="R46" s="361"/>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c r="DJ46" s="360"/>
      <c r="DK46" s="360"/>
      <c r="DL46" s="360"/>
      <c r="DM46" s="360"/>
      <c r="DN46" s="360"/>
      <c r="DO46" s="360"/>
      <c r="DP46" s="360"/>
      <c r="DQ46" s="360"/>
      <c r="DR46" s="360"/>
      <c r="DS46" s="360"/>
      <c r="DT46" s="360"/>
      <c r="DU46" s="360"/>
      <c r="DV46" s="360"/>
      <c r="DW46" s="360"/>
      <c r="DX46" s="360"/>
      <c r="DY46" s="360"/>
      <c r="DZ46" s="360"/>
      <c r="EA46" s="360"/>
      <c r="EB46" s="360"/>
      <c r="EC46" s="360"/>
      <c r="ED46" s="360"/>
      <c r="EE46" s="360"/>
      <c r="EF46" s="360"/>
      <c r="EG46" s="360"/>
      <c r="EH46" s="360"/>
      <c r="EI46" s="360"/>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0"/>
      <c r="FF46" s="360"/>
      <c r="FG46" s="360"/>
      <c r="FH46" s="360"/>
      <c r="FI46" s="360"/>
      <c r="FJ46" s="360"/>
      <c r="FK46" s="360"/>
      <c r="FL46" s="360"/>
      <c r="FM46" s="360"/>
      <c r="FN46" s="360"/>
      <c r="FO46" s="360"/>
      <c r="FP46" s="360"/>
      <c r="FQ46" s="360"/>
      <c r="FR46" s="360"/>
      <c r="FS46" s="360"/>
      <c r="FT46" s="360"/>
      <c r="FU46" s="360"/>
      <c r="FV46" s="360"/>
      <c r="FW46" s="360"/>
      <c r="FX46" s="360"/>
      <c r="FY46" s="360"/>
      <c r="FZ46" s="360"/>
      <c r="GA46" s="360"/>
      <c r="GB46" s="360"/>
      <c r="GC46" s="360"/>
      <c r="GD46" s="360"/>
      <c r="GE46" s="360"/>
      <c r="GF46" s="360"/>
      <c r="GG46" s="360"/>
      <c r="GH46" s="360"/>
      <c r="GI46" s="360"/>
      <c r="GJ46" s="360"/>
      <c r="GK46" s="360"/>
      <c r="GL46" s="360"/>
      <c r="GM46" s="360"/>
      <c r="GN46" s="360"/>
      <c r="GO46" s="360"/>
      <c r="GP46" s="360"/>
      <c r="GQ46" s="360"/>
      <c r="GR46" s="360"/>
      <c r="GS46" s="360"/>
      <c r="GT46" s="360"/>
      <c r="GU46" s="360"/>
      <c r="GV46" s="360"/>
      <c r="GW46" s="360"/>
      <c r="GX46" s="360"/>
      <c r="GY46" s="360"/>
      <c r="GZ46" s="360"/>
      <c r="HA46" s="360"/>
      <c r="HB46" s="360"/>
      <c r="HC46" s="360"/>
      <c r="HD46" s="360"/>
      <c r="HE46" s="360"/>
      <c r="HF46" s="360"/>
      <c r="HG46" s="360"/>
      <c r="HH46" s="360"/>
      <c r="HI46" s="360"/>
      <c r="HJ46" s="360"/>
      <c r="HK46" s="360"/>
      <c r="HL46" s="360"/>
      <c r="HM46" s="360"/>
      <c r="HN46" s="360"/>
      <c r="HO46" s="360"/>
      <c r="HP46" s="360"/>
      <c r="HQ46" s="360"/>
      <c r="HR46" s="360"/>
      <c r="HS46" s="360"/>
      <c r="HT46" s="360"/>
      <c r="HU46" s="360"/>
      <c r="HV46" s="360"/>
      <c r="HW46" s="360"/>
      <c r="HX46" s="360"/>
      <c r="HY46" s="360"/>
      <c r="HZ46" s="360"/>
      <c r="IA46" s="360"/>
      <c r="IB46" s="360"/>
      <c r="IC46" s="360"/>
      <c r="ID46" s="360"/>
      <c r="IE46" s="360"/>
      <c r="IF46" s="360"/>
      <c r="IG46" s="360"/>
      <c r="IH46" s="360"/>
      <c r="II46" s="360"/>
      <c r="IJ46" s="360"/>
      <c r="IK46" s="360"/>
      <c r="IL46" s="360"/>
      <c r="IM46" s="360"/>
      <c r="IN46" s="360"/>
      <c r="IO46" s="360"/>
      <c r="IP46" s="360"/>
      <c r="IQ46" s="360"/>
      <c r="IR46" s="360"/>
      <c r="IS46" s="360"/>
      <c r="IT46" s="360"/>
      <c r="IU46" s="360"/>
    </row>
    <row r="47" spans="1:255">
      <c r="A47" s="377"/>
      <c r="B47" s="360" t="s">
        <v>254</v>
      </c>
      <c r="C47" s="363"/>
      <c r="D47" s="380">
        <f t="shared" si="9"/>
        <v>1.383</v>
      </c>
      <c r="E47" s="374">
        <v>-0.15</v>
      </c>
      <c r="F47" s="366">
        <f t="shared" si="10"/>
        <v>-8.2200000000000006</v>
      </c>
      <c r="G47" s="365"/>
      <c r="H47" s="365"/>
      <c r="I47" s="366"/>
      <c r="J47" s="365"/>
      <c r="K47" s="365"/>
      <c r="L47" s="366"/>
      <c r="M47" s="360"/>
      <c r="N47" s="360"/>
      <c r="O47" s="360"/>
      <c r="P47" s="360"/>
      <c r="Q47" s="360"/>
      <c r="R47" s="361"/>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c r="DJ47" s="360"/>
      <c r="DK47" s="360"/>
      <c r="DL47" s="360"/>
      <c r="DM47" s="360"/>
      <c r="DN47" s="360"/>
      <c r="DO47" s="360"/>
      <c r="DP47" s="360"/>
      <c r="DQ47" s="360"/>
      <c r="DR47" s="360"/>
      <c r="DS47" s="360"/>
      <c r="DT47" s="360"/>
      <c r="DU47" s="360"/>
      <c r="DV47" s="360"/>
      <c r="DW47" s="360"/>
      <c r="DX47" s="360"/>
      <c r="DY47" s="360"/>
      <c r="DZ47" s="360"/>
      <c r="EA47" s="360"/>
      <c r="EB47" s="360"/>
      <c r="EC47" s="360"/>
      <c r="ED47" s="360"/>
      <c r="EE47" s="360"/>
      <c r="EF47" s="360"/>
      <c r="EG47" s="360"/>
      <c r="EH47" s="360"/>
      <c r="EI47" s="360"/>
      <c r="EJ47" s="360"/>
      <c r="EK47" s="360"/>
      <c r="EL47" s="360"/>
      <c r="EM47" s="360"/>
      <c r="EN47" s="360"/>
      <c r="EO47" s="360"/>
      <c r="EP47" s="360"/>
      <c r="EQ47" s="360"/>
      <c r="ER47" s="360"/>
      <c r="ES47" s="360"/>
      <c r="ET47" s="360"/>
      <c r="EU47" s="360"/>
      <c r="EV47" s="360"/>
      <c r="EW47" s="360"/>
      <c r="EX47" s="360"/>
      <c r="EY47" s="360"/>
      <c r="EZ47" s="360"/>
      <c r="FA47" s="360"/>
      <c r="FB47" s="360"/>
      <c r="FC47" s="360"/>
      <c r="FD47" s="360"/>
      <c r="FE47" s="360"/>
      <c r="FF47" s="360"/>
      <c r="FG47" s="360"/>
      <c r="FH47" s="360"/>
      <c r="FI47" s="360"/>
      <c r="FJ47" s="360"/>
      <c r="FK47" s="360"/>
      <c r="FL47" s="360"/>
      <c r="FM47" s="360"/>
      <c r="FN47" s="360"/>
      <c r="FO47" s="360"/>
      <c r="FP47" s="360"/>
      <c r="FQ47" s="360"/>
      <c r="FR47" s="360"/>
      <c r="FS47" s="360"/>
      <c r="FT47" s="360"/>
      <c r="FU47" s="360"/>
      <c r="FV47" s="360"/>
      <c r="FW47" s="360"/>
      <c r="FX47" s="360"/>
      <c r="FY47" s="360"/>
      <c r="FZ47" s="360"/>
      <c r="GA47" s="360"/>
      <c r="GB47" s="360"/>
      <c r="GC47" s="360"/>
      <c r="GD47" s="360"/>
      <c r="GE47" s="360"/>
      <c r="GF47" s="360"/>
      <c r="GG47" s="360"/>
      <c r="GH47" s="360"/>
      <c r="GI47" s="360"/>
      <c r="GJ47" s="360"/>
      <c r="GK47" s="360"/>
      <c r="GL47" s="360"/>
      <c r="GM47" s="360"/>
      <c r="GN47" s="360"/>
      <c r="GO47" s="360"/>
      <c r="GP47" s="360"/>
      <c r="GQ47" s="360"/>
      <c r="GR47" s="360"/>
      <c r="GS47" s="360"/>
      <c r="GT47" s="360"/>
      <c r="GU47" s="360"/>
      <c r="GV47" s="360"/>
      <c r="GW47" s="360"/>
      <c r="GX47" s="360"/>
      <c r="GY47" s="360"/>
      <c r="GZ47" s="360"/>
      <c r="HA47" s="360"/>
      <c r="HB47" s="360"/>
      <c r="HC47" s="360"/>
      <c r="HD47" s="360"/>
      <c r="HE47" s="360"/>
      <c r="HF47" s="360"/>
      <c r="HG47" s="360"/>
      <c r="HH47" s="360"/>
      <c r="HI47" s="360"/>
      <c r="HJ47" s="360"/>
      <c r="HK47" s="360"/>
      <c r="HL47" s="360"/>
      <c r="HM47" s="360"/>
      <c r="HN47" s="360"/>
      <c r="HO47" s="360"/>
      <c r="HP47" s="360"/>
      <c r="HQ47" s="360"/>
      <c r="HR47" s="360"/>
      <c r="HS47" s="360"/>
      <c r="HT47" s="360"/>
      <c r="HU47" s="360"/>
      <c r="HV47" s="360"/>
      <c r="HW47" s="360"/>
      <c r="HX47" s="360"/>
      <c r="HY47" s="360"/>
      <c r="HZ47" s="360"/>
      <c r="IA47" s="360"/>
      <c r="IB47" s="360"/>
      <c r="IC47" s="360"/>
      <c r="ID47" s="360"/>
      <c r="IE47" s="360"/>
      <c r="IF47" s="360"/>
      <c r="IG47" s="360"/>
      <c r="IH47" s="360"/>
      <c r="II47" s="360"/>
      <c r="IJ47" s="360"/>
      <c r="IK47" s="360"/>
      <c r="IL47" s="360"/>
      <c r="IM47" s="360"/>
      <c r="IN47" s="360"/>
      <c r="IO47" s="360"/>
      <c r="IP47" s="360"/>
      <c r="IQ47" s="360"/>
      <c r="IR47" s="360"/>
      <c r="IS47" s="360"/>
      <c r="IT47" s="360"/>
      <c r="IU47" s="360"/>
    </row>
    <row r="48" spans="1:255">
      <c r="A48" s="377"/>
      <c r="B48" s="360" t="s">
        <v>255</v>
      </c>
      <c r="C48" s="363"/>
      <c r="D48" s="380">
        <f t="shared" si="9"/>
        <v>1.5669999999999999</v>
      </c>
      <c r="E48" s="374">
        <v>-0.17</v>
      </c>
      <c r="F48" s="366">
        <f t="shared" si="10"/>
        <v>-8.2176470588235286</v>
      </c>
      <c r="G48" s="365"/>
      <c r="H48" s="365"/>
      <c r="I48" s="366"/>
      <c r="J48" s="365"/>
      <c r="K48" s="365"/>
      <c r="L48" s="366"/>
      <c r="M48" s="360"/>
      <c r="N48" s="360"/>
      <c r="O48" s="360"/>
      <c r="P48" s="360"/>
      <c r="Q48" s="360"/>
      <c r="R48" s="361"/>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0"/>
      <c r="DX48" s="360"/>
      <c r="DY48" s="360"/>
      <c r="DZ48" s="360"/>
      <c r="EA48" s="360"/>
      <c r="EB48" s="360"/>
      <c r="EC48" s="360"/>
      <c r="ED48" s="360"/>
      <c r="EE48" s="360"/>
      <c r="EF48" s="360"/>
      <c r="EG48" s="360"/>
      <c r="EH48" s="360"/>
      <c r="EI48" s="360"/>
      <c r="EJ48" s="360"/>
      <c r="EK48" s="360"/>
      <c r="EL48" s="360"/>
      <c r="EM48" s="360"/>
      <c r="EN48" s="360"/>
      <c r="EO48" s="360"/>
      <c r="EP48" s="360"/>
      <c r="EQ48" s="360"/>
      <c r="ER48" s="360"/>
      <c r="ES48" s="360"/>
      <c r="ET48" s="360"/>
      <c r="EU48" s="360"/>
      <c r="EV48" s="360"/>
      <c r="EW48" s="360"/>
      <c r="EX48" s="360"/>
      <c r="EY48" s="360"/>
      <c r="EZ48" s="360"/>
      <c r="FA48" s="360"/>
      <c r="FB48" s="360"/>
      <c r="FC48" s="360"/>
      <c r="FD48" s="360"/>
      <c r="FE48" s="360"/>
      <c r="FF48" s="360"/>
      <c r="FG48" s="360"/>
      <c r="FH48" s="360"/>
      <c r="FI48" s="360"/>
      <c r="FJ48" s="360"/>
      <c r="FK48" s="360"/>
      <c r="FL48" s="360"/>
      <c r="FM48" s="360"/>
      <c r="FN48" s="360"/>
      <c r="FO48" s="360"/>
      <c r="FP48" s="360"/>
      <c r="FQ48" s="360"/>
      <c r="FR48" s="360"/>
      <c r="FS48" s="360"/>
      <c r="FT48" s="360"/>
      <c r="FU48" s="360"/>
      <c r="FV48" s="360"/>
      <c r="FW48" s="360"/>
      <c r="FX48" s="360"/>
      <c r="FY48" s="360"/>
      <c r="FZ48" s="360"/>
      <c r="GA48" s="360"/>
      <c r="GB48" s="360"/>
      <c r="GC48" s="360"/>
      <c r="GD48" s="360"/>
      <c r="GE48" s="360"/>
      <c r="GF48" s="360"/>
      <c r="GG48" s="360"/>
      <c r="GH48" s="360"/>
      <c r="GI48" s="360"/>
      <c r="GJ48" s="360"/>
      <c r="GK48" s="360"/>
      <c r="GL48" s="360"/>
      <c r="GM48" s="360"/>
      <c r="GN48" s="360"/>
      <c r="GO48" s="360"/>
      <c r="GP48" s="360"/>
      <c r="GQ48" s="360"/>
      <c r="GR48" s="360"/>
      <c r="GS48" s="360"/>
      <c r="GT48" s="360"/>
      <c r="GU48" s="360"/>
      <c r="GV48" s="360"/>
      <c r="GW48" s="360"/>
      <c r="GX48" s="360"/>
      <c r="GY48" s="360"/>
      <c r="GZ48" s="360"/>
      <c r="HA48" s="360"/>
      <c r="HB48" s="360"/>
      <c r="HC48" s="360"/>
      <c r="HD48" s="360"/>
      <c r="HE48" s="360"/>
      <c r="HF48" s="360"/>
      <c r="HG48" s="360"/>
      <c r="HH48" s="360"/>
      <c r="HI48" s="360"/>
      <c r="HJ48" s="360"/>
      <c r="HK48" s="360"/>
      <c r="HL48" s="360"/>
      <c r="HM48" s="360"/>
      <c r="HN48" s="360"/>
      <c r="HO48" s="360"/>
      <c r="HP48" s="360"/>
      <c r="HQ48" s="360"/>
      <c r="HR48" s="360"/>
      <c r="HS48" s="360"/>
      <c r="HT48" s="360"/>
      <c r="HU48" s="360"/>
      <c r="HV48" s="360"/>
      <c r="HW48" s="360"/>
      <c r="HX48" s="360"/>
      <c r="HY48" s="360"/>
      <c r="HZ48" s="360"/>
      <c r="IA48" s="360"/>
      <c r="IB48" s="360"/>
      <c r="IC48" s="360"/>
      <c r="ID48" s="360"/>
      <c r="IE48" s="360"/>
      <c r="IF48" s="360"/>
      <c r="IG48" s="360"/>
      <c r="IH48" s="360"/>
      <c r="II48" s="360"/>
      <c r="IJ48" s="360"/>
      <c r="IK48" s="360"/>
      <c r="IL48" s="360"/>
      <c r="IM48" s="360"/>
      <c r="IN48" s="360"/>
      <c r="IO48" s="360"/>
      <c r="IP48" s="360"/>
      <c r="IQ48" s="360"/>
      <c r="IR48" s="360"/>
      <c r="IS48" s="360"/>
      <c r="IT48" s="360"/>
      <c r="IU48" s="360"/>
    </row>
    <row r="49" spans="1:255">
      <c r="A49" s="377"/>
      <c r="B49" s="360" t="s">
        <v>256</v>
      </c>
      <c r="C49" s="363"/>
      <c r="D49" s="380">
        <f t="shared" si="9"/>
        <v>1.7509999999999999</v>
      </c>
      <c r="E49" s="374">
        <v>-0.19</v>
      </c>
      <c r="F49" s="366">
        <f t="shared" si="10"/>
        <v>-8.2157894736842092</v>
      </c>
      <c r="G49" s="365"/>
      <c r="H49" s="365"/>
      <c r="I49" s="366"/>
      <c r="J49" s="365"/>
      <c r="K49" s="365"/>
      <c r="L49" s="366"/>
      <c r="M49" s="360"/>
      <c r="N49" s="360"/>
      <c r="O49" s="360"/>
      <c r="P49" s="360"/>
      <c r="Q49" s="360"/>
      <c r="R49" s="361"/>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c r="DJ49" s="360"/>
      <c r="DK49" s="360"/>
      <c r="DL49" s="360"/>
      <c r="DM49" s="360"/>
      <c r="DN49" s="360"/>
      <c r="DO49" s="360"/>
      <c r="DP49" s="360"/>
      <c r="DQ49" s="360"/>
      <c r="DR49" s="360"/>
      <c r="DS49" s="360"/>
      <c r="DT49" s="360"/>
      <c r="DU49" s="360"/>
      <c r="DV49" s="360"/>
      <c r="DW49" s="360"/>
      <c r="DX49" s="360"/>
      <c r="DY49" s="360"/>
      <c r="DZ49" s="360"/>
      <c r="EA49" s="360"/>
      <c r="EB49" s="360"/>
      <c r="EC49" s="360"/>
      <c r="ED49" s="360"/>
      <c r="EE49" s="360"/>
      <c r="EF49" s="360"/>
      <c r="EG49" s="360"/>
      <c r="EH49" s="360"/>
      <c r="EI49" s="360"/>
      <c r="EJ49" s="360"/>
      <c r="EK49" s="360"/>
      <c r="EL49" s="360"/>
      <c r="EM49" s="360"/>
      <c r="EN49" s="360"/>
      <c r="EO49" s="360"/>
      <c r="EP49" s="360"/>
      <c r="EQ49" s="360"/>
      <c r="ER49" s="360"/>
      <c r="ES49" s="360"/>
      <c r="ET49" s="360"/>
      <c r="EU49" s="360"/>
      <c r="EV49" s="360"/>
      <c r="EW49" s="360"/>
      <c r="EX49" s="360"/>
      <c r="EY49" s="360"/>
      <c r="EZ49" s="360"/>
      <c r="FA49" s="360"/>
      <c r="FB49" s="360"/>
      <c r="FC49" s="360"/>
      <c r="FD49" s="360"/>
      <c r="FE49" s="360"/>
      <c r="FF49" s="360"/>
      <c r="FG49" s="360"/>
      <c r="FH49" s="360"/>
      <c r="FI49" s="360"/>
      <c r="FJ49" s="360"/>
      <c r="FK49" s="360"/>
      <c r="FL49" s="360"/>
      <c r="FM49" s="360"/>
      <c r="FN49" s="360"/>
      <c r="FO49" s="360"/>
      <c r="FP49" s="360"/>
      <c r="FQ49" s="360"/>
      <c r="FR49" s="360"/>
      <c r="FS49" s="360"/>
      <c r="FT49" s="360"/>
      <c r="FU49" s="360"/>
      <c r="FV49" s="360"/>
      <c r="FW49" s="360"/>
      <c r="FX49" s="360"/>
      <c r="FY49" s="360"/>
      <c r="FZ49" s="360"/>
      <c r="GA49" s="360"/>
      <c r="GB49" s="360"/>
      <c r="GC49" s="360"/>
      <c r="GD49" s="360"/>
      <c r="GE49" s="360"/>
      <c r="GF49" s="360"/>
      <c r="GG49" s="360"/>
      <c r="GH49" s="360"/>
      <c r="GI49" s="360"/>
      <c r="GJ49" s="360"/>
      <c r="GK49" s="360"/>
      <c r="GL49" s="360"/>
      <c r="GM49" s="360"/>
      <c r="GN49" s="360"/>
      <c r="GO49" s="360"/>
      <c r="GP49" s="360"/>
      <c r="GQ49" s="360"/>
      <c r="GR49" s="360"/>
      <c r="GS49" s="360"/>
      <c r="GT49" s="360"/>
      <c r="GU49" s="360"/>
      <c r="GV49" s="360"/>
      <c r="GW49" s="360"/>
      <c r="GX49" s="360"/>
      <c r="GY49" s="360"/>
      <c r="GZ49" s="360"/>
      <c r="HA49" s="360"/>
      <c r="HB49" s="360"/>
      <c r="HC49" s="360"/>
      <c r="HD49" s="360"/>
      <c r="HE49" s="360"/>
      <c r="HF49" s="360"/>
      <c r="HG49" s="360"/>
      <c r="HH49" s="360"/>
      <c r="HI49" s="360"/>
      <c r="HJ49" s="360"/>
      <c r="HK49" s="360"/>
      <c r="HL49" s="360"/>
      <c r="HM49" s="360"/>
      <c r="HN49" s="360"/>
      <c r="HO49" s="360"/>
      <c r="HP49" s="360"/>
      <c r="HQ49" s="360"/>
      <c r="HR49" s="360"/>
      <c r="HS49" s="360"/>
      <c r="HT49" s="360"/>
      <c r="HU49" s="360"/>
      <c r="HV49" s="360"/>
      <c r="HW49" s="360"/>
      <c r="HX49" s="360"/>
      <c r="HY49" s="360"/>
      <c r="HZ49" s="360"/>
      <c r="IA49" s="360"/>
      <c r="IB49" s="360"/>
      <c r="IC49" s="360"/>
      <c r="ID49" s="360"/>
      <c r="IE49" s="360"/>
      <c r="IF49" s="360"/>
      <c r="IG49" s="360"/>
      <c r="IH49" s="360"/>
      <c r="II49" s="360"/>
      <c r="IJ49" s="360"/>
      <c r="IK49" s="360"/>
      <c r="IL49" s="360"/>
      <c r="IM49" s="360"/>
      <c r="IN49" s="360"/>
      <c r="IO49" s="360"/>
      <c r="IP49" s="360"/>
      <c r="IQ49" s="360"/>
      <c r="IR49" s="360"/>
      <c r="IS49" s="360"/>
      <c r="IT49" s="360"/>
      <c r="IU49" s="360"/>
    </row>
    <row r="50" spans="1:255">
      <c r="A50" s="377"/>
      <c r="B50" s="360"/>
      <c r="C50" s="363"/>
      <c r="D50" s="365"/>
      <c r="E50" s="374"/>
      <c r="F50" s="366"/>
      <c r="G50" s="365"/>
      <c r="H50" s="365"/>
      <c r="I50" s="366"/>
      <c r="J50" s="365"/>
      <c r="K50" s="365"/>
      <c r="L50" s="366"/>
      <c r="M50" s="360"/>
      <c r="N50" s="360"/>
      <c r="O50" s="360"/>
      <c r="P50" s="360"/>
      <c r="Q50" s="360"/>
      <c r="R50" s="361"/>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360"/>
      <c r="DS50" s="360"/>
      <c r="DT50" s="360"/>
      <c r="DU50" s="360"/>
      <c r="DV50" s="360"/>
      <c r="DW50" s="360"/>
      <c r="DX50" s="360"/>
      <c r="DY50" s="360"/>
      <c r="DZ50" s="360"/>
      <c r="EA50" s="360"/>
      <c r="EB50" s="360"/>
      <c r="EC50" s="360"/>
      <c r="ED50" s="360"/>
      <c r="EE50" s="360"/>
      <c r="EF50" s="360"/>
      <c r="EG50" s="360"/>
      <c r="EH50" s="360"/>
      <c r="EI50" s="360"/>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0"/>
      <c r="FF50" s="360"/>
      <c r="FG50" s="360"/>
      <c r="FH50" s="360"/>
      <c r="FI50" s="360"/>
      <c r="FJ50" s="360"/>
      <c r="FK50" s="360"/>
      <c r="FL50" s="360"/>
      <c r="FM50" s="360"/>
      <c r="FN50" s="360"/>
      <c r="FO50" s="360"/>
      <c r="FP50" s="360"/>
      <c r="FQ50" s="360"/>
      <c r="FR50" s="360"/>
      <c r="FS50" s="360"/>
      <c r="FT50" s="360"/>
      <c r="FU50" s="360"/>
      <c r="FV50" s="360"/>
      <c r="FW50" s="360"/>
      <c r="FX50" s="360"/>
      <c r="FY50" s="360"/>
      <c r="FZ50" s="360"/>
      <c r="GA50" s="360"/>
      <c r="GB50" s="360"/>
      <c r="GC50" s="360"/>
      <c r="GD50" s="360"/>
      <c r="GE50" s="360"/>
      <c r="GF50" s="360"/>
      <c r="GG50" s="360"/>
      <c r="GH50" s="360"/>
      <c r="GI50" s="360"/>
      <c r="GJ50" s="360"/>
      <c r="GK50" s="360"/>
      <c r="GL50" s="360"/>
      <c r="GM50" s="360"/>
      <c r="GN50" s="360"/>
      <c r="GO50" s="360"/>
      <c r="GP50" s="360"/>
      <c r="GQ50" s="360"/>
      <c r="GR50" s="360"/>
      <c r="GS50" s="360"/>
      <c r="GT50" s="360"/>
      <c r="GU50" s="360"/>
      <c r="GV50" s="360"/>
      <c r="GW50" s="360"/>
      <c r="GX50" s="360"/>
      <c r="GY50" s="360"/>
      <c r="GZ50" s="360"/>
      <c r="HA50" s="360"/>
      <c r="HB50" s="360"/>
      <c r="HC50" s="360"/>
      <c r="HD50" s="360"/>
      <c r="HE50" s="360"/>
      <c r="HF50" s="360"/>
      <c r="HG50" s="360"/>
      <c r="HH50" s="360"/>
      <c r="HI50" s="360"/>
      <c r="HJ50" s="360"/>
      <c r="HK50" s="360"/>
      <c r="HL50" s="360"/>
      <c r="HM50" s="360"/>
      <c r="HN50" s="360"/>
      <c r="HO50" s="360"/>
      <c r="HP50" s="360"/>
      <c r="HQ50" s="360"/>
      <c r="HR50" s="360"/>
      <c r="HS50" s="360"/>
      <c r="HT50" s="360"/>
      <c r="HU50" s="360"/>
      <c r="HV50" s="360"/>
      <c r="HW50" s="360"/>
      <c r="HX50" s="360"/>
      <c r="HY50" s="360"/>
      <c r="HZ50" s="360"/>
      <c r="IA50" s="360"/>
      <c r="IB50" s="360"/>
      <c r="IC50" s="360"/>
      <c r="ID50" s="360"/>
      <c r="IE50" s="360"/>
      <c r="IF50" s="360"/>
      <c r="IG50" s="360"/>
      <c r="IH50" s="360"/>
      <c r="II50" s="360"/>
      <c r="IJ50" s="360"/>
      <c r="IK50" s="360"/>
      <c r="IL50" s="360"/>
      <c r="IM50" s="360"/>
      <c r="IN50" s="360"/>
      <c r="IO50" s="360"/>
      <c r="IP50" s="360"/>
      <c r="IQ50" s="360"/>
      <c r="IR50" s="360"/>
      <c r="IS50" s="360"/>
      <c r="IT50" s="360"/>
      <c r="IU50" s="360"/>
    </row>
    <row r="51" spans="1:255">
      <c r="A51" s="377"/>
      <c r="B51" s="360"/>
      <c r="C51" s="363"/>
      <c r="D51" s="365"/>
      <c r="E51" s="374"/>
      <c r="F51" s="366"/>
      <c r="G51" s="365"/>
      <c r="H51" s="365"/>
      <c r="I51" s="366"/>
      <c r="J51" s="365"/>
      <c r="K51" s="365"/>
      <c r="L51" s="366"/>
      <c r="M51" s="360"/>
      <c r="N51" s="360"/>
      <c r="O51" s="360"/>
      <c r="P51" s="360"/>
      <c r="Q51" s="360"/>
      <c r="R51" s="361"/>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c r="DJ51" s="360"/>
      <c r="DK51" s="360"/>
      <c r="DL51" s="360"/>
      <c r="DM51" s="360"/>
      <c r="DN51" s="360"/>
      <c r="DO51" s="360"/>
      <c r="DP51" s="360"/>
      <c r="DQ51" s="360"/>
      <c r="DR51" s="360"/>
      <c r="DS51" s="360"/>
      <c r="DT51" s="360"/>
      <c r="DU51" s="360"/>
      <c r="DV51" s="360"/>
      <c r="DW51" s="360"/>
      <c r="DX51" s="360"/>
      <c r="DY51" s="360"/>
      <c r="DZ51" s="360"/>
      <c r="EA51" s="360"/>
      <c r="EB51" s="360"/>
      <c r="EC51" s="360"/>
      <c r="ED51" s="360"/>
      <c r="EE51" s="360"/>
      <c r="EF51" s="360"/>
      <c r="EG51" s="360"/>
      <c r="EH51" s="360"/>
      <c r="EI51" s="360"/>
      <c r="EJ51" s="360"/>
      <c r="EK51" s="360"/>
      <c r="EL51" s="360"/>
      <c r="EM51" s="360"/>
      <c r="EN51" s="360"/>
      <c r="EO51" s="360"/>
      <c r="EP51" s="360"/>
      <c r="EQ51" s="360"/>
      <c r="ER51" s="360"/>
      <c r="ES51" s="360"/>
      <c r="ET51" s="360"/>
      <c r="EU51" s="360"/>
      <c r="EV51" s="360"/>
      <c r="EW51" s="360"/>
      <c r="EX51" s="360"/>
      <c r="EY51" s="360"/>
      <c r="EZ51" s="360"/>
      <c r="FA51" s="360"/>
      <c r="FB51" s="360"/>
      <c r="FC51" s="360"/>
      <c r="FD51" s="360"/>
      <c r="FE51" s="360"/>
      <c r="FF51" s="360"/>
      <c r="FG51" s="360"/>
      <c r="FH51" s="360"/>
      <c r="FI51" s="360"/>
      <c r="FJ51" s="360"/>
      <c r="FK51" s="360"/>
      <c r="FL51" s="360"/>
      <c r="FM51" s="360"/>
      <c r="FN51" s="360"/>
      <c r="FO51" s="360"/>
      <c r="FP51" s="360"/>
      <c r="FQ51" s="360"/>
      <c r="FR51" s="360"/>
      <c r="FS51" s="360"/>
      <c r="FT51" s="360"/>
      <c r="FU51" s="360"/>
      <c r="FV51" s="360"/>
      <c r="FW51" s="360"/>
      <c r="FX51" s="360"/>
      <c r="FY51" s="360"/>
      <c r="FZ51" s="360"/>
      <c r="GA51" s="360"/>
      <c r="GB51" s="360"/>
      <c r="GC51" s="360"/>
      <c r="GD51" s="360"/>
      <c r="GE51" s="360"/>
      <c r="GF51" s="360"/>
      <c r="GG51" s="360"/>
      <c r="GH51" s="360"/>
      <c r="GI51" s="360"/>
      <c r="GJ51" s="360"/>
      <c r="GK51" s="360"/>
      <c r="GL51" s="360"/>
      <c r="GM51" s="360"/>
      <c r="GN51" s="360"/>
      <c r="GO51" s="360"/>
      <c r="GP51" s="360"/>
      <c r="GQ51" s="360"/>
      <c r="GR51" s="360"/>
      <c r="GS51" s="360"/>
      <c r="GT51" s="360"/>
      <c r="GU51" s="360"/>
      <c r="GV51" s="360"/>
      <c r="GW51" s="360"/>
      <c r="GX51" s="360"/>
      <c r="GY51" s="360"/>
      <c r="GZ51" s="360"/>
      <c r="HA51" s="360"/>
      <c r="HB51" s="360"/>
      <c r="HC51" s="360"/>
      <c r="HD51" s="360"/>
      <c r="HE51" s="360"/>
      <c r="HF51" s="360"/>
      <c r="HG51" s="360"/>
      <c r="HH51" s="360"/>
      <c r="HI51" s="360"/>
      <c r="HJ51" s="360"/>
      <c r="HK51" s="360"/>
      <c r="HL51" s="360"/>
      <c r="HM51" s="360"/>
      <c r="HN51" s="360"/>
      <c r="HO51" s="360"/>
      <c r="HP51" s="360"/>
      <c r="HQ51" s="360"/>
      <c r="HR51" s="360"/>
      <c r="HS51" s="360"/>
      <c r="HT51" s="360"/>
      <c r="HU51" s="360"/>
      <c r="HV51" s="360"/>
      <c r="HW51" s="360"/>
      <c r="HX51" s="360"/>
      <c r="HY51" s="360"/>
      <c r="HZ51" s="360"/>
      <c r="IA51" s="360"/>
      <c r="IB51" s="360"/>
      <c r="IC51" s="360"/>
      <c r="ID51" s="360"/>
      <c r="IE51" s="360"/>
      <c r="IF51" s="360"/>
      <c r="IG51" s="360"/>
      <c r="IH51" s="360"/>
      <c r="II51" s="360"/>
      <c r="IJ51" s="360"/>
      <c r="IK51" s="360"/>
      <c r="IL51" s="360"/>
      <c r="IM51" s="360"/>
      <c r="IN51" s="360"/>
      <c r="IO51" s="360"/>
      <c r="IP51" s="360"/>
      <c r="IQ51" s="360"/>
      <c r="IR51" s="360"/>
      <c r="IS51" s="360"/>
      <c r="IT51" s="360"/>
      <c r="IU51" s="360"/>
    </row>
    <row r="52" spans="1:255" ht="15.75">
      <c r="A52" s="372" t="s">
        <v>261</v>
      </c>
      <c r="B52" s="360"/>
      <c r="C52" s="363"/>
      <c r="D52" s="365"/>
      <c r="E52" s="374"/>
      <c r="F52" s="366"/>
      <c r="G52" s="365"/>
      <c r="H52" s="365"/>
      <c r="I52" s="366"/>
      <c r="J52" s="365"/>
      <c r="K52" s="365"/>
      <c r="L52" s="366"/>
      <c r="M52" s="360"/>
      <c r="N52" s="360"/>
      <c r="O52" s="360"/>
      <c r="P52" s="360"/>
      <c r="Q52" s="360"/>
      <c r="R52" s="361"/>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c r="DJ52" s="360"/>
      <c r="DK52" s="360"/>
      <c r="DL52" s="360"/>
      <c r="DM52" s="360"/>
      <c r="DN52" s="360"/>
      <c r="DO52" s="360"/>
      <c r="DP52" s="360"/>
      <c r="DQ52" s="360"/>
      <c r="DR52" s="360"/>
      <c r="DS52" s="360"/>
      <c r="DT52" s="360"/>
      <c r="DU52" s="360"/>
      <c r="DV52" s="360"/>
      <c r="DW52" s="360"/>
      <c r="DX52" s="360"/>
      <c r="DY52" s="360"/>
      <c r="DZ52" s="360"/>
      <c r="EA52" s="360"/>
      <c r="EB52" s="360"/>
      <c r="EC52" s="360"/>
      <c r="ED52" s="360"/>
      <c r="EE52" s="360"/>
      <c r="EF52" s="360"/>
      <c r="EG52" s="360"/>
      <c r="EH52" s="360"/>
      <c r="EI52" s="360"/>
      <c r="EJ52" s="360"/>
      <c r="EK52" s="360"/>
      <c r="EL52" s="360"/>
      <c r="EM52" s="360"/>
      <c r="EN52" s="360"/>
      <c r="EO52" s="360"/>
      <c r="EP52" s="360"/>
      <c r="EQ52" s="360"/>
      <c r="ER52" s="360"/>
      <c r="ES52" s="360"/>
      <c r="ET52" s="360"/>
      <c r="EU52" s="360"/>
      <c r="EV52" s="360"/>
      <c r="EW52" s="360"/>
      <c r="EX52" s="360"/>
      <c r="EY52" s="360"/>
      <c r="EZ52" s="360"/>
      <c r="FA52" s="360"/>
      <c r="FB52" s="360"/>
      <c r="FC52" s="360"/>
      <c r="FD52" s="360"/>
      <c r="FE52" s="360"/>
      <c r="FF52" s="360"/>
      <c r="FG52" s="360"/>
      <c r="FH52" s="360"/>
      <c r="FI52" s="360"/>
      <c r="FJ52" s="360"/>
      <c r="FK52" s="360"/>
      <c r="FL52" s="360"/>
      <c r="FM52" s="360"/>
      <c r="FN52" s="360"/>
      <c r="FO52" s="360"/>
      <c r="FP52" s="360"/>
      <c r="FQ52" s="360"/>
      <c r="FR52" s="360"/>
      <c r="FS52" s="360"/>
      <c r="FT52" s="360"/>
      <c r="FU52" s="360"/>
      <c r="FV52" s="360"/>
      <c r="FW52" s="360"/>
      <c r="FX52" s="360"/>
      <c r="FY52" s="360"/>
      <c r="FZ52" s="360"/>
      <c r="GA52" s="360"/>
      <c r="GB52" s="360"/>
      <c r="GC52" s="360"/>
      <c r="GD52" s="360"/>
      <c r="GE52" s="360"/>
      <c r="GF52" s="360"/>
      <c r="GG52" s="360"/>
      <c r="GH52" s="360"/>
      <c r="GI52" s="360"/>
      <c r="GJ52" s="360"/>
      <c r="GK52" s="360"/>
      <c r="GL52" s="360"/>
      <c r="GM52" s="360"/>
      <c r="GN52" s="360"/>
      <c r="GO52" s="360"/>
      <c r="GP52" s="360"/>
      <c r="GQ52" s="360"/>
      <c r="GR52" s="360"/>
      <c r="GS52" s="360"/>
      <c r="GT52" s="360"/>
      <c r="GU52" s="360"/>
      <c r="GV52" s="360"/>
      <c r="GW52" s="360"/>
      <c r="GX52" s="360"/>
      <c r="GY52" s="360"/>
      <c r="GZ52" s="360"/>
      <c r="HA52" s="360"/>
      <c r="HB52" s="360"/>
      <c r="HC52" s="360"/>
      <c r="HD52" s="360"/>
      <c r="HE52" s="360"/>
      <c r="HF52" s="360"/>
      <c r="HG52" s="360"/>
      <c r="HH52" s="360"/>
      <c r="HI52" s="360"/>
      <c r="HJ52" s="360"/>
      <c r="HK52" s="360"/>
      <c r="HL52" s="360"/>
      <c r="HM52" s="360"/>
      <c r="HN52" s="360"/>
      <c r="HO52" s="360"/>
      <c r="HP52" s="360"/>
      <c r="HQ52" s="360"/>
      <c r="HR52" s="360"/>
      <c r="HS52" s="360"/>
      <c r="HT52" s="360"/>
      <c r="HU52" s="360"/>
      <c r="HV52" s="360"/>
      <c r="HW52" s="360"/>
      <c r="HX52" s="360"/>
      <c r="HY52" s="360"/>
      <c r="HZ52" s="360"/>
      <c r="IA52" s="360"/>
      <c r="IB52" s="360"/>
      <c r="IC52" s="360"/>
      <c r="ID52" s="360"/>
      <c r="IE52" s="360"/>
      <c r="IF52" s="360"/>
      <c r="IG52" s="360"/>
      <c r="IH52" s="360"/>
      <c r="II52" s="360"/>
      <c r="IJ52" s="360"/>
      <c r="IK52" s="360"/>
      <c r="IL52" s="360"/>
      <c r="IM52" s="360"/>
      <c r="IN52" s="360"/>
      <c r="IO52" s="360"/>
      <c r="IP52" s="360"/>
      <c r="IQ52" s="360"/>
      <c r="IR52" s="360"/>
      <c r="IS52" s="360"/>
      <c r="IT52" s="360"/>
      <c r="IU52" s="360"/>
    </row>
    <row r="53" spans="1:255">
      <c r="A53" s="377"/>
      <c r="B53" s="360" t="s">
        <v>248</v>
      </c>
      <c r="C53" s="363"/>
      <c r="D53" s="380">
        <f>ROUND(+D$7/D$6*D41,2)</f>
        <v>0.25</v>
      </c>
      <c r="E53" s="374">
        <v>-0.01</v>
      </c>
      <c r="F53" s="366">
        <f t="shared" ref="F53:F61" si="11">-1+D53/E53</f>
        <v>-26</v>
      </c>
      <c r="G53" s="365"/>
      <c r="H53" s="365"/>
      <c r="I53" s="366"/>
      <c r="J53" s="365"/>
      <c r="K53" s="365"/>
      <c r="L53" s="366"/>
      <c r="M53" s="360"/>
      <c r="N53" s="360"/>
      <c r="O53" s="360"/>
      <c r="P53" s="360"/>
      <c r="Q53" s="360"/>
      <c r="R53" s="361"/>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c r="DJ53" s="360"/>
      <c r="DK53" s="360"/>
      <c r="DL53" s="360"/>
      <c r="DM53" s="360"/>
      <c r="DN53" s="360"/>
      <c r="DO53" s="360"/>
      <c r="DP53" s="360"/>
      <c r="DQ53" s="360"/>
      <c r="DR53" s="360"/>
      <c r="DS53" s="360"/>
      <c r="DT53" s="360"/>
      <c r="DU53" s="360"/>
      <c r="DV53" s="360"/>
      <c r="DW53" s="360"/>
      <c r="DX53" s="360"/>
      <c r="DY53" s="360"/>
      <c r="DZ53" s="360"/>
      <c r="EA53" s="360"/>
      <c r="EB53" s="360"/>
      <c r="EC53" s="360"/>
      <c r="ED53" s="360"/>
      <c r="EE53" s="360"/>
      <c r="EF53" s="360"/>
      <c r="EG53" s="360"/>
      <c r="EH53" s="360"/>
      <c r="EI53" s="360"/>
      <c r="EJ53" s="360"/>
      <c r="EK53" s="360"/>
      <c r="EL53" s="360"/>
      <c r="EM53" s="360"/>
      <c r="EN53" s="360"/>
      <c r="EO53" s="360"/>
      <c r="EP53" s="360"/>
      <c r="EQ53" s="360"/>
      <c r="ER53" s="360"/>
      <c r="ES53" s="360"/>
      <c r="ET53" s="360"/>
      <c r="EU53" s="360"/>
      <c r="EV53" s="360"/>
      <c r="EW53" s="360"/>
      <c r="EX53" s="360"/>
      <c r="EY53" s="360"/>
      <c r="EZ53" s="360"/>
      <c r="FA53" s="360"/>
      <c r="FB53" s="360"/>
      <c r="FC53" s="360"/>
      <c r="FD53" s="360"/>
      <c r="FE53" s="360"/>
      <c r="FF53" s="360"/>
      <c r="FG53" s="360"/>
      <c r="FH53" s="360"/>
      <c r="FI53" s="360"/>
      <c r="FJ53" s="360"/>
      <c r="FK53" s="360"/>
      <c r="FL53" s="360"/>
      <c r="FM53" s="360"/>
      <c r="FN53" s="360"/>
      <c r="FO53" s="360"/>
      <c r="FP53" s="360"/>
      <c r="FQ53" s="360"/>
      <c r="FR53" s="360"/>
      <c r="FS53" s="360"/>
      <c r="FT53" s="360"/>
      <c r="FU53" s="360"/>
      <c r="FV53" s="360"/>
      <c r="FW53" s="360"/>
      <c r="FX53" s="360"/>
      <c r="FY53" s="360"/>
      <c r="FZ53" s="360"/>
      <c r="GA53" s="360"/>
      <c r="GB53" s="360"/>
      <c r="GC53" s="360"/>
      <c r="GD53" s="360"/>
      <c r="GE53" s="360"/>
      <c r="GF53" s="360"/>
      <c r="GG53" s="360"/>
      <c r="GH53" s="360"/>
      <c r="GI53" s="360"/>
      <c r="GJ53" s="360"/>
      <c r="GK53" s="360"/>
      <c r="GL53" s="360"/>
      <c r="GM53" s="360"/>
      <c r="GN53" s="360"/>
      <c r="GO53" s="360"/>
      <c r="GP53" s="360"/>
      <c r="GQ53" s="360"/>
      <c r="GR53" s="360"/>
      <c r="GS53" s="360"/>
      <c r="GT53" s="360"/>
      <c r="GU53" s="360"/>
      <c r="GV53" s="360"/>
      <c r="GW53" s="360"/>
      <c r="GX53" s="360"/>
      <c r="GY53" s="360"/>
      <c r="GZ53" s="360"/>
      <c r="HA53" s="360"/>
      <c r="HB53" s="360"/>
      <c r="HC53" s="360"/>
      <c r="HD53" s="360"/>
      <c r="HE53" s="360"/>
      <c r="HF53" s="360"/>
      <c r="HG53" s="360"/>
      <c r="HH53" s="360"/>
      <c r="HI53" s="360"/>
      <c r="HJ53" s="360"/>
      <c r="HK53" s="360"/>
      <c r="HL53" s="360"/>
      <c r="HM53" s="360"/>
      <c r="HN53" s="360"/>
      <c r="HO53" s="360"/>
      <c r="HP53" s="360"/>
      <c r="HQ53" s="360"/>
      <c r="HR53" s="360"/>
      <c r="HS53" s="360"/>
      <c r="HT53" s="360"/>
      <c r="HU53" s="360"/>
      <c r="HV53" s="360"/>
      <c r="HW53" s="360"/>
      <c r="HX53" s="360"/>
      <c r="HY53" s="360"/>
      <c r="HZ53" s="360"/>
      <c r="IA53" s="360"/>
      <c r="IB53" s="360"/>
      <c r="IC53" s="360"/>
      <c r="ID53" s="360"/>
      <c r="IE53" s="360"/>
      <c r="IF53" s="360"/>
      <c r="IG53" s="360"/>
      <c r="IH53" s="360"/>
      <c r="II53" s="360"/>
      <c r="IJ53" s="360"/>
      <c r="IK53" s="360"/>
      <c r="IL53" s="360"/>
      <c r="IM53" s="360"/>
      <c r="IN53" s="360"/>
      <c r="IO53" s="360"/>
      <c r="IP53" s="360"/>
      <c r="IQ53" s="360"/>
      <c r="IR53" s="360"/>
      <c r="IS53" s="360"/>
      <c r="IT53" s="360"/>
      <c r="IU53" s="360"/>
    </row>
    <row r="54" spans="1:255">
      <c r="A54" s="377"/>
      <c r="B54" s="360" t="s">
        <v>249</v>
      </c>
      <c r="C54" s="363"/>
      <c r="D54" s="380">
        <f t="shared" ref="D54:D61" si="12">ROUND(+D$7/D$6*D42,2)</f>
        <v>0.38</v>
      </c>
      <c r="E54" s="374">
        <f>+E53</f>
        <v>-0.01</v>
      </c>
      <c r="F54" s="366">
        <f t="shared" si="11"/>
        <v>-39</v>
      </c>
      <c r="G54" s="365"/>
      <c r="H54" s="365"/>
      <c r="I54" s="366"/>
      <c r="J54" s="365"/>
      <c r="K54" s="365"/>
      <c r="L54" s="366"/>
      <c r="M54" s="360"/>
      <c r="N54" s="360"/>
      <c r="O54" s="360"/>
      <c r="P54" s="360"/>
      <c r="Q54" s="360"/>
      <c r="R54" s="361"/>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0"/>
      <c r="EM54" s="360"/>
      <c r="EN54" s="360"/>
      <c r="EO54" s="360"/>
      <c r="EP54" s="360"/>
      <c r="EQ54" s="360"/>
      <c r="ER54" s="360"/>
      <c r="ES54" s="360"/>
      <c r="ET54" s="360"/>
      <c r="EU54" s="360"/>
      <c r="EV54" s="360"/>
      <c r="EW54" s="360"/>
      <c r="EX54" s="360"/>
      <c r="EY54" s="360"/>
      <c r="EZ54" s="360"/>
      <c r="FA54" s="360"/>
      <c r="FB54" s="360"/>
      <c r="FC54" s="360"/>
      <c r="FD54" s="360"/>
      <c r="FE54" s="360"/>
      <c r="FF54" s="360"/>
      <c r="FG54" s="360"/>
      <c r="FH54" s="360"/>
      <c r="FI54" s="360"/>
      <c r="FJ54" s="360"/>
      <c r="FK54" s="360"/>
      <c r="FL54" s="360"/>
      <c r="FM54" s="360"/>
      <c r="FN54" s="360"/>
      <c r="FO54" s="360"/>
      <c r="FP54" s="360"/>
      <c r="FQ54" s="360"/>
      <c r="FR54" s="360"/>
      <c r="FS54" s="360"/>
      <c r="FT54" s="360"/>
      <c r="FU54" s="360"/>
      <c r="FV54" s="360"/>
      <c r="FW54" s="360"/>
      <c r="FX54" s="360"/>
      <c r="FY54" s="360"/>
      <c r="FZ54" s="360"/>
      <c r="GA54" s="360"/>
      <c r="GB54" s="360"/>
      <c r="GC54" s="360"/>
      <c r="GD54" s="360"/>
      <c r="GE54" s="360"/>
      <c r="GF54" s="360"/>
      <c r="GG54" s="360"/>
      <c r="GH54" s="360"/>
      <c r="GI54" s="360"/>
      <c r="GJ54" s="360"/>
      <c r="GK54" s="360"/>
      <c r="GL54" s="360"/>
      <c r="GM54" s="360"/>
      <c r="GN54" s="360"/>
      <c r="GO54" s="360"/>
      <c r="GP54" s="360"/>
      <c r="GQ54" s="360"/>
      <c r="GR54" s="360"/>
      <c r="GS54" s="360"/>
      <c r="GT54" s="360"/>
      <c r="GU54" s="360"/>
      <c r="GV54" s="360"/>
      <c r="GW54" s="360"/>
      <c r="GX54" s="360"/>
      <c r="GY54" s="360"/>
      <c r="GZ54" s="360"/>
      <c r="HA54" s="360"/>
      <c r="HB54" s="360"/>
      <c r="HC54" s="360"/>
      <c r="HD54" s="360"/>
      <c r="HE54" s="360"/>
      <c r="HF54" s="360"/>
      <c r="HG54" s="360"/>
      <c r="HH54" s="360"/>
      <c r="HI54" s="360"/>
      <c r="HJ54" s="360"/>
      <c r="HK54" s="360"/>
      <c r="HL54" s="360"/>
      <c r="HM54" s="360"/>
      <c r="HN54" s="360"/>
      <c r="HO54" s="360"/>
      <c r="HP54" s="360"/>
      <c r="HQ54" s="360"/>
      <c r="HR54" s="360"/>
      <c r="HS54" s="360"/>
      <c r="HT54" s="360"/>
      <c r="HU54" s="360"/>
      <c r="HV54" s="360"/>
      <c r="HW54" s="360"/>
      <c r="HX54" s="360"/>
      <c r="HY54" s="360"/>
      <c r="HZ54" s="360"/>
      <c r="IA54" s="360"/>
      <c r="IB54" s="360"/>
      <c r="IC54" s="360"/>
      <c r="ID54" s="360"/>
      <c r="IE54" s="360"/>
      <c r="IF54" s="360"/>
      <c r="IG54" s="360"/>
      <c r="IH54" s="360"/>
      <c r="II54" s="360"/>
      <c r="IJ54" s="360"/>
      <c r="IK54" s="360"/>
      <c r="IL54" s="360"/>
      <c r="IM54" s="360"/>
      <c r="IN54" s="360"/>
      <c r="IO54" s="360"/>
      <c r="IP54" s="360"/>
      <c r="IQ54" s="360"/>
      <c r="IR54" s="360"/>
      <c r="IS54" s="360"/>
      <c r="IT54" s="360"/>
      <c r="IU54" s="360"/>
    </row>
    <row r="55" spans="1:255">
      <c r="A55" s="377"/>
      <c r="B55" s="360" t="s">
        <v>250</v>
      </c>
      <c r="C55" s="363"/>
      <c r="D55" s="380">
        <f t="shared" si="12"/>
        <v>0.76</v>
      </c>
      <c r="E55" s="374">
        <v>-0.02</v>
      </c>
      <c r="F55" s="366">
        <f t="shared" si="11"/>
        <v>-39</v>
      </c>
      <c r="G55" s="365"/>
      <c r="H55" s="365"/>
      <c r="I55" s="366"/>
      <c r="J55" s="365"/>
      <c r="K55" s="365"/>
      <c r="L55" s="366"/>
      <c r="M55" s="360"/>
      <c r="N55" s="360"/>
      <c r="O55" s="360"/>
      <c r="P55" s="360"/>
      <c r="Q55" s="360"/>
      <c r="R55" s="361"/>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0"/>
      <c r="DF55" s="360"/>
      <c r="DG55" s="360"/>
      <c r="DH55" s="360"/>
      <c r="DI55" s="360"/>
      <c r="DJ55" s="360"/>
      <c r="DK55" s="360"/>
      <c r="DL55" s="360"/>
      <c r="DM55" s="360"/>
      <c r="DN55" s="360"/>
      <c r="DO55" s="360"/>
      <c r="DP55" s="360"/>
      <c r="DQ55" s="360"/>
      <c r="DR55" s="360"/>
      <c r="DS55" s="360"/>
      <c r="DT55" s="360"/>
      <c r="DU55" s="360"/>
      <c r="DV55" s="360"/>
      <c r="DW55" s="360"/>
      <c r="DX55" s="360"/>
      <c r="DY55" s="360"/>
      <c r="DZ55" s="360"/>
      <c r="EA55" s="360"/>
      <c r="EB55" s="360"/>
      <c r="EC55" s="360"/>
      <c r="ED55" s="360"/>
      <c r="EE55" s="360"/>
      <c r="EF55" s="360"/>
      <c r="EG55" s="360"/>
      <c r="EH55" s="360"/>
      <c r="EI55" s="360"/>
      <c r="EJ55" s="360"/>
      <c r="EK55" s="360"/>
      <c r="EL55" s="360"/>
      <c r="EM55" s="360"/>
      <c r="EN55" s="360"/>
      <c r="EO55" s="360"/>
      <c r="EP55" s="360"/>
      <c r="EQ55" s="360"/>
      <c r="ER55" s="360"/>
      <c r="ES55" s="360"/>
      <c r="ET55" s="360"/>
      <c r="EU55" s="360"/>
      <c r="EV55" s="360"/>
      <c r="EW55" s="360"/>
      <c r="EX55" s="360"/>
      <c r="EY55" s="360"/>
      <c r="EZ55" s="360"/>
      <c r="FA55" s="360"/>
      <c r="FB55" s="360"/>
      <c r="FC55" s="360"/>
      <c r="FD55" s="360"/>
      <c r="FE55" s="360"/>
      <c r="FF55" s="360"/>
      <c r="FG55" s="360"/>
      <c r="FH55" s="360"/>
      <c r="FI55" s="360"/>
      <c r="FJ55" s="360"/>
      <c r="FK55" s="360"/>
      <c r="FL55" s="360"/>
      <c r="FM55" s="360"/>
      <c r="FN55" s="360"/>
      <c r="FO55" s="360"/>
      <c r="FP55" s="360"/>
      <c r="FQ55" s="360"/>
      <c r="FR55" s="360"/>
      <c r="FS55" s="360"/>
      <c r="FT55" s="360"/>
      <c r="FU55" s="360"/>
      <c r="FV55" s="360"/>
      <c r="FW55" s="360"/>
      <c r="FX55" s="360"/>
      <c r="FY55" s="360"/>
      <c r="FZ55" s="360"/>
      <c r="GA55" s="360"/>
      <c r="GB55" s="360"/>
      <c r="GC55" s="360"/>
      <c r="GD55" s="360"/>
      <c r="GE55" s="360"/>
      <c r="GF55" s="360"/>
      <c r="GG55" s="360"/>
      <c r="GH55" s="360"/>
      <c r="GI55" s="360"/>
      <c r="GJ55" s="360"/>
      <c r="GK55" s="360"/>
      <c r="GL55" s="360"/>
      <c r="GM55" s="360"/>
      <c r="GN55" s="360"/>
      <c r="GO55" s="360"/>
      <c r="GP55" s="360"/>
      <c r="GQ55" s="360"/>
      <c r="GR55" s="360"/>
      <c r="GS55" s="360"/>
      <c r="GT55" s="360"/>
      <c r="GU55" s="360"/>
      <c r="GV55" s="360"/>
      <c r="GW55" s="360"/>
      <c r="GX55" s="360"/>
      <c r="GY55" s="360"/>
      <c r="GZ55" s="360"/>
      <c r="HA55" s="360"/>
      <c r="HB55" s="360"/>
      <c r="HC55" s="360"/>
      <c r="HD55" s="360"/>
      <c r="HE55" s="360"/>
      <c r="HF55" s="360"/>
      <c r="HG55" s="360"/>
      <c r="HH55" s="360"/>
      <c r="HI55" s="360"/>
      <c r="HJ55" s="360"/>
      <c r="HK55" s="360"/>
      <c r="HL55" s="360"/>
      <c r="HM55" s="360"/>
      <c r="HN55" s="360"/>
      <c r="HO55" s="360"/>
      <c r="HP55" s="360"/>
      <c r="HQ55" s="360"/>
      <c r="HR55" s="360"/>
      <c r="HS55" s="360"/>
      <c r="HT55" s="360"/>
      <c r="HU55" s="360"/>
      <c r="HV55" s="360"/>
      <c r="HW55" s="360"/>
      <c r="HX55" s="360"/>
      <c r="HY55" s="360"/>
      <c r="HZ55" s="360"/>
      <c r="IA55" s="360"/>
      <c r="IB55" s="360"/>
      <c r="IC55" s="360"/>
      <c r="ID55" s="360"/>
      <c r="IE55" s="360"/>
      <c r="IF55" s="360"/>
      <c r="IG55" s="360"/>
      <c r="IH55" s="360"/>
      <c r="II55" s="360"/>
      <c r="IJ55" s="360"/>
      <c r="IK55" s="360"/>
      <c r="IL55" s="360"/>
      <c r="IM55" s="360"/>
      <c r="IN55" s="360"/>
      <c r="IO55" s="360"/>
      <c r="IP55" s="360"/>
      <c r="IQ55" s="360"/>
      <c r="IR55" s="360"/>
      <c r="IS55" s="360"/>
      <c r="IT55" s="360"/>
      <c r="IU55" s="360"/>
    </row>
    <row r="56" spans="1:255">
      <c r="A56" s="377"/>
      <c r="B56" s="360" t="s">
        <v>251</v>
      </c>
      <c r="C56" s="363"/>
      <c r="D56" s="380">
        <f t="shared" si="12"/>
        <v>0.89</v>
      </c>
      <c r="E56" s="374">
        <v>-0.02</v>
      </c>
      <c r="F56" s="366">
        <f t="shared" si="11"/>
        <v>-45.5</v>
      </c>
      <c r="G56" s="365"/>
      <c r="H56" s="365"/>
      <c r="I56" s="366"/>
      <c r="J56" s="365"/>
      <c r="K56" s="365"/>
      <c r="L56" s="366"/>
      <c r="M56" s="360"/>
      <c r="N56" s="360"/>
      <c r="O56" s="360"/>
      <c r="P56" s="360"/>
      <c r="Q56" s="360"/>
      <c r="R56" s="361"/>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360"/>
      <c r="CZ56" s="360"/>
      <c r="DA56" s="360"/>
      <c r="DB56" s="360"/>
      <c r="DC56" s="360"/>
      <c r="DD56" s="360"/>
      <c r="DE56" s="360"/>
      <c r="DF56" s="360"/>
      <c r="DG56" s="360"/>
      <c r="DH56" s="360"/>
      <c r="DI56" s="360"/>
      <c r="DJ56" s="360"/>
      <c r="DK56" s="360"/>
      <c r="DL56" s="360"/>
      <c r="DM56" s="360"/>
      <c r="DN56" s="360"/>
      <c r="DO56" s="360"/>
      <c r="DP56" s="360"/>
      <c r="DQ56" s="360"/>
      <c r="DR56" s="360"/>
      <c r="DS56" s="360"/>
      <c r="DT56" s="360"/>
      <c r="DU56" s="360"/>
      <c r="DV56" s="360"/>
      <c r="DW56" s="360"/>
      <c r="DX56" s="360"/>
      <c r="DY56" s="360"/>
      <c r="DZ56" s="360"/>
      <c r="EA56" s="360"/>
      <c r="EB56" s="360"/>
      <c r="EC56" s="360"/>
      <c r="ED56" s="360"/>
      <c r="EE56" s="360"/>
      <c r="EF56" s="360"/>
      <c r="EG56" s="360"/>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0"/>
      <c r="FF56" s="360"/>
      <c r="FG56" s="360"/>
      <c r="FH56" s="360"/>
      <c r="FI56" s="360"/>
      <c r="FJ56" s="360"/>
      <c r="FK56" s="360"/>
      <c r="FL56" s="360"/>
      <c r="FM56" s="360"/>
      <c r="FN56" s="360"/>
      <c r="FO56" s="360"/>
      <c r="FP56" s="360"/>
      <c r="FQ56" s="360"/>
      <c r="FR56" s="360"/>
      <c r="FS56" s="360"/>
      <c r="FT56" s="360"/>
      <c r="FU56" s="360"/>
      <c r="FV56" s="360"/>
      <c r="FW56" s="360"/>
      <c r="FX56" s="360"/>
      <c r="FY56" s="360"/>
      <c r="FZ56" s="360"/>
      <c r="GA56" s="360"/>
      <c r="GB56" s="360"/>
      <c r="GC56" s="360"/>
      <c r="GD56" s="360"/>
      <c r="GE56" s="360"/>
      <c r="GF56" s="360"/>
      <c r="GG56" s="360"/>
      <c r="GH56" s="360"/>
      <c r="GI56" s="360"/>
      <c r="GJ56" s="360"/>
      <c r="GK56" s="360"/>
      <c r="GL56" s="360"/>
      <c r="GM56" s="360"/>
      <c r="GN56" s="360"/>
      <c r="GO56" s="360"/>
      <c r="GP56" s="360"/>
      <c r="GQ56" s="360"/>
      <c r="GR56" s="360"/>
      <c r="GS56" s="360"/>
      <c r="GT56" s="360"/>
      <c r="GU56" s="360"/>
      <c r="GV56" s="360"/>
      <c r="GW56" s="360"/>
      <c r="GX56" s="360"/>
      <c r="GY56" s="360"/>
      <c r="GZ56" s="360"/>
      <c r="HA56" s="360"/>
      <c r="HB56" s="360"/>
      <c r="HC56" s="360"/>
      <c r="HD56" s="360"/>
      <c r="HE56" s="360"/>
      <c r="HF56" s="360"/>
      <c r="HG56" s="360"/>
      <c r="HH56" s="360"/>
      <c r="HI56" s="360"/>
      <c r="HJ56" s="360"/>
      <c r="HK56" s="360"/>
      <c r="HL56" s="360"/>
      <c r="HM56" s="360"/>
      <c r="HN56" s="360"/>
      <c r="HO56" s="360"/>
      <c r="HP56" s="360"/>
      <c r="HQ56" s="360"/>
      <c r="HR56" s="360"/>
      <c r="HS56" s="360"/>
      <c r="HT56" s="360"/>
      <c r="HU56" s="360"/>
      <c r="HV56" s="360"/>
      <c r="HW56" s="360"/>
      <c r="HX56" s="360"/>
      <c r="HY56" s="360"/>
      <c r="HZ56" s="360"/>
      <c r="IA56" s="360"/>
      <c r="IB56" s="360"/>
      <c r="IC56" s="360"/>
      <c r="ID56" s="360"/>
      <c r="IE56" s="360"/>
      <c r="IF56" s="360"/>
      <c r="IG56" s="360"/>
      <c r="IH56" s="360"/>
      <c r="II56" s="360"/>
      <c r="IJ56" s="360"/>
      <c r="IK56" s="360"/>
      <c r="IL56" s="360"/>
      <c r="IM56" s="360"/>
      <c r="IN56" s="360"/>
      <c r="IO56" s="360"/>
      <c r="IP56" s="360"/>
      <c r="IQ56" s="360"/>
      <c r="IR56" s="360"/>
      <c r="IS56" s="360"/>
      <c r="IT56" s="360"/>
      <c r="IU56" s="360"/>
    </row>
    <row r="57" spans="1:255">
      <c r="A57" s="377"/>
      <c r="B57" s="360" t="s">
        <v>252</v>
      </c>
      <c r="C57" s="363"/>
      <c r="D57" s="380">
        <f t="shared" si="12"/>
        <v>1.1499999999999999</v>
      </c>
      <c r="E57" s="374">
        <v>-0.03</v>
      </c>
      <c r="F57" s="366">
        <f t="shared" si="11"/>
        <v>-39.333333333333329</v>
      </c>
      <c r="G57" s="365"/>
      <c r="H57" s="365"/>
      <c r="I57" s="366"/>
      <c r="J57" s="365"/>
      <c r="K57" s="365"/>
      <c r="L57" s="366"/>
      <c r="M57" s="360"/>
      <c r="N57" s="360"/>
      <c r="O57" s="360"/>
      <c r="P57" s="360"/>
      <c r="Q57" s="360"/>
      <c r="R57" s="361"/>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0"/>
      <c r="CY57" s="360"/>
      <c r="CZ57" s="360"/>
      <c r="DA57" s="360"/>
      <c r="DB57" s="360"/>
      <c r="DC57" s="360"/>
      <c r="DD57" s="360"/>
      <c r="DE57" s="360"/>
      <c r="DF57" s="360"/>
      <c r="DG57" s="360"/>
      <c r="DH57" s="360"/>
      <c r="DI57" s="360"/>
      <c r="DJ57" s="360"/>
      <c r="DK57" s="360"/>
      <c r="DL57" s="360"/>
      <c r="DM57" s="360"/>
      <c r="DN57" s="360"/>
      <c r="DO57" s="360"/>
      <c r="DP57" s="360"/>
      <c r="DQ57" s="360"/>
      <c r="DR57" s="360"/>
      <c r="DS57" s="360"/>
      <c r="DT57" s="360"/>
      <c r="DU57" s="360"/>
      <c r="DV57" s="360"/>
      <c r="DW57" s="360"/>
      <c r="DX57" s="360"/>
      <c r="DY57" s="360"/>
      <c r="DZ57" s="360"/>
      <c r="EA57" s="360"/>
      <c r="EB57" s="360"/>
      <c r="EC57" s="360"/>
      <c r="ED57" s="360"/>
      <c r="EE57" s="360"/>
      <c r="EF57" s="360"/>
      <c r="EG57" s="360"/>
      <c r="EH57" s="360"/>
      <c r="EI57" s="360"/>
      <c r="EJ57" s="360"/>
      <c r="EK57" s="360"/>
      <c r="EL57" s="360"/>
      <c r="EM57" s="360"/>
      <c r="EN57" s="360"/>
      <c r="EO57" s="360"/>
      <c r="EP57" s="360"/>
      <c r="EQ57" s="360"/>
      <c r="ER57" s="360"/>
      <c r="ES57" s="360"/>
      <c r="ET57" s="360"/>
      <c r="EU57" s="360"/>
      <c r="EV57" s="360"/>
      <c r="EW57" s="360"/>
      <c r="EX57" s="360"/>
      <c r="EY57" s="360"/>
      <c r="EZ57" s="360"/>
      <c r="FA57" s="360"/>
      <c r="FB57" s="360"/>
      <c r="FC57" s="360"/>
      <c r="FD57" s="360"/>
      <c r="FE57" s="360"/>
      <c r="FF57" s="360"/>
      <c r="FG57" s="360"/>
      <c r="FH57" s="360"/>
      <c r="FI57" s="360"/>
      <c r="FJ57" s="360"/>
      <c r="FK57" s="360"/>
      <c r="FL57" s="360"/>
      <c r="FM57" s="360"/>
      <c r="FN57" s="360"/>
      <c r="FO57" s="360"/>
      <c r="FP57" s="360"/>
      <c r="FQ57" s="360"/>
      <c r="FR57" s="360"/>
      <c r="FS57" s="360"/>
      <c r="FT57" s="360"/>
      <c r="FU57" s="360"/>
      <c r="FV57" s="360"/>
      <c r="FW57" s="360"/>
      <c r="FX57" s="360"/>
      <c r="FY57" s="360"/>
      <c r="FZ57" s="360"/>
      <c r="GA57" s="360"/>
      <c r="GB57" s="360"/>
      <c r="GC57" s="360"/>
      <c r="GD57" s="360"/>
      <c r="GE57" s="360"/>
      <c r="GF57" s="360"/>
      <c r="GG57" s="360"/>
      <c r="GH57" s="360"/>
      <c r="GI57" s="360"/>
      <c r="GJ57" s="360"/>
      <c r="GK57" s="360"/>
      <c r="GL57" s="360"/>
      <c r="GM57" s="360"/>
      <c r="GN57" s="360"/>
      <c r="GO57" s="360"/>
      <c r="GP57" s="360"/>
      <c r="GQ57" s="360"/>
      <c r="GR57" s="360"/>
      <c r="GS57" s="360"/>
      <c r="GT57" s="360"/>
      <c r="GU57" s="360"/>
      <c r="GV57" s="360"/>
      <c r="GW57" s="360"/>
      <c r="GX57" s="360"/>
      <c r="GY57" s="360"/>
      <c r="GZ57" s="360"/>
      <c r="HA57" s="360"/>
      <c r="HB57" s="360"/>
      <c r="HC57" s="360"/>
      <c r="HD57" s="360"/>
      <c r="HE57" s="360"/>
      <c r="HF57" s="360"/>
      <c r="HG57" s="360"/>
      <c r="HH57" s="360"/>
      <c r="HI57" s="360"/>
      <c r="HJ57" s="360"/>
      <c r="HK57" s="360"/>
      <c r="HL57" s="360"/>
      <c r="HM57" s="360"/>
      <c r="HN57" s="360"/>
      <c r="HO57" s="360"/>
      <c r="HP57" s="360"/>
      <c r="HQ57" s="360"/>
      <c r="HR57" s="360"/>
      <c r="HS57" s="360"/>
      <c r="HT57" s="360"/>
      <c r="HU57" s="360"/>
      <c r="HV57" s="360"/>
      <c r="HW57" s="360"/>
      <c r="HX57" s="360"/>
      <c r="HY57" s="360"/>
      <c r="HZ57" s="360"/>
      <c r="IA57" s="360"/>
      <c r="IB57" s="360"/>
      <c r="IC57" s="360"/>
      <c r="ID57" s="360"/>
      <c r="IE57" s="360"/>
      <c r="IF57" s="360"/>
      <c r="IG57" s="360"/>
      <c r="IH57" s="360"/>
      <c r="II57" s="360"/>
      <c r="IJ57" s="360"/>
      <c r="IK57" s="360"/>
      <c r="IL57" s="360"/>
      <c r="IM57" s="360"/>
      <c r="IN57" s="360"/>
      <c r="IO57" s="360"/>
      <c r="IP57" s="360"/>
      <c r="IQ57" s="360"/>
      <c r="IR57" s="360"/>
      <c r="IS57" s="360"/>
      <c r="IT57" s="360"/>
      <c r="IU57" s="360"/>
    </row>
    <row r="58" spans="1:255">
      <c r="A58" s="377"/>
      <c r="B58" s="360" t="s">
        <v>253</v>
      </c>
      <c r="C58" s="363"/>
      <c r="D58" s="380">
        <f t="shared" si="12"/>
        <v>1.66</v>
      </c>
      <c r="E58" s="374">
        <v>-0.04</v>
      </c>
      <c r="F58" s="366">
        <f t="shared" si="11"/>
        <v>-42.5</v>
      </c>
      <c r="G58" s="365"/>
      <c r="H58" s="365"/>
      <c r="I58" s="366"/>
      <c r="J58" s="365"/>
      <c r="K58" s="365"/>
      <c r="L58" s="366"/>
      <c r="M58" s="360"/>
      <c r="N58" s="360"/>
      <c r="O58" s="360"/>
      <c r="P58" s="360"/>
      <c r="Q58" s="360"/>
      <c r="R58" s="361"/>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c r="DL58" s="360"/>
      <c r="DM58" s="360"/>
      <c r="DN58" s="360"/>
      <c r="DO58" s="360"/>
      <c r="DP58" s="360"/>
      <c r="DQ58" s="360"/>
      <c r="DR58" s="360"/>
      <c r="DS58" s="360"/>
      <c r="DT58" s="360"/>
      <c r="DU58" s="360"/>
      <c r="DV58" s="360"/>
      <c r="DW58" s="360"/>
      <c r="DX58" s="360"/>
      <c r="DY58" s="360"/>
      <c r="DZ58" s="360"/>
      <c r="EA58" s="360"/>
      <c r="EB58" s="360"/>
      <c r="EC58" s="360"/>
      <c r="ED58" s="360"/>
      <c r="EE58" s="360"/>
      <c r="EF58" s="360"/>
      <c r="EG58" s="360"/>
      <c r="EH58" s="360"/>
      <c r="EI58" s="360"/>
      <c r="EJ58" s="360"/>
      <c r="EK58" s="360"/>
      <c r="EL58" s="360"/>
      <c r="EM58" s="360"/>
      <c r="EN58" s="360"/>
      <c r="EO58" s="360"/>
      <c r="EP58" s="360"/>
      <c r="EQ58" s="360"/>
      <c r="ER58" s="360"/>
      <c r="ES58" s="360"/>
      <c r="ET58" s="360"/>
      <c r="EU58" s="360"/>
      <c r="EV58" s="360"/>
      <c r="EW58" s="360"/>
      <c r="EX58" s="360"/>
      <c r="EY58" s="360"/>
      <c r="EZ58" s="360"/>
      <c r="FA58" s="360"/>
      <c r="FB58" s="360"/>
      <c r="FC58" s="360"/>
      <c r="FD58" s="360"/>
      <c r="FE58" s="360"/>
      <c r="FF58" s="360"/>
      <c r="FG58" s="360"/>
      <c r="FH58" s="360"/>
      <c r="FI58" s="360"/>
      <c r="FJ58" s="360"/>
      <c r="FK58" s="360"/>
      <c r="FL58" s="360"/>
      <c r="FM58" s="360"/>
      <c r="FN58" s="360"/>
      <c r="FO58" s="360"/>
      <c r="FP58" s="360"/>
      <c r="FQ58" s="360"/>
      <c r="FR58" s="360"/>
      <c r="FS58" s="360"/>
      <c r="FT58" s="360"/>
      <c r="FU58" s="360"/>
      <c r="FV58" s="360"/>
      <c r="FW58" s="360"/>
      <c r="FX58" s="360"/>
      <c r="FY58" s="360"/>
      <c r="FZ58" s="360"/>
      <c r="GA58" s="360"/>
      <c r="GB58" s="360"/>
      <c r="GC58" s="360"/>
      <c r="GD58" s="360"/>
      <c r="GE58" s="360"/>
      <c r="GF58" s="360"/>
      <c r="GG58" s="360"/>
      <c r="GH58" s="360"/>
      <c r="GI58" s="360"/>
      <c r="GJ58" s="360"/>
      <c r="GK58" s="360"/>
      <c r="GL58" s="360"/>
      <c r="GM58" s="360"/>
      <c r="GN58" s="360"/>
      <c r="GO58" s="360"/>
      <c r="GP58" s="360"/>
      <c r="GQ58" s="360"/>
      <c r="GR58" s="360"/>
      <c r="GS58" s="360"/>
      <c r="GT58" s="360"/>
      <c r="GU58" s="360"/>
      <c r="GV58" s="360"/>
      <c r="GW58" s="360"/>
      <c r="GX58" s="360"/>
      <c r="GY58" s="360"/>
      <c r="GZ58" s="360"/>
      <c r="HA58" s="360"/>
      <c r="HB58" s="360"/>
      <c r="HC58" s="360"/>
      <c r="HD58" s="360"/>
      <c r="HE58" s="360"/>
      <c r="HF58" s="360"/>
      <c r="HG58" s="360"/>
      <c r="HH58" s="360"/>
      <c r="HI58" s="360"/>
      <c r="HJ58" s="360"/>
      <c r="HK58" s="360"/>
      <c r="HL58" s="360"/>
      <c r="HM58" s="360"/>
      <c r="HN58" s="360"/>
      <c r="HO58" s="360"/>
      <c r="HP58" s="360"/>
      <c r="HQ58" s="360"/>
      <c r="HR58" s="360"/>
      <c r="HS58" s="360"/>
      <c r="HT58" s="360"/>
      <c r="HU58" s="360"/>
      <c r="HV58" s="360"/>
      <c r="HW58" s="360"/>
      <c r="HX58" s="360"/>
      <c r="HY58" s="360"/>
      <c r="HZ58" s="360"/>
      <c r="IA58" s="360"/>
      <c r="IB58" s="360"/>
      <c r="IC58" s="360"/>
      <c r="ID58" s="360"/>
      <c r="IE58" s="360"/>
      <c r="IF58" s="360"/>
      <c r="IG58" s="360"/>
      <c r="IH58" s="360"/>
      <c r="II58" s="360"/>
      <c r="IJ58" s="360"/>
      <c r="IK58" s="360"/>
      <c r="IL58" s="360"/>
      <c r="IM58" s="360"/>
      <c r="IN58" s="360"/>
      <c r="IO58" s="360"/>
      <c r="IP58" s="360"/>
      <c r="IQ58" s="360"/>
      <c r="IR58" s="360"/>
      <c r="IS58" s="360"/>
      <c r="IT58" s="360"/>
      <c r="IU58" s="360"/>
    </row>
    <row r="59" spans="1:255">
      <c r="A59" s="377"/>
      <c r="B59" s="360" t="s">
        <v>254</v>
      </c>
      <c r="C59" s="363"/>
      <c r="D59" s="380">
        <f t="shared" si="12"/>
        <v>1.91</v>
      </c>
      <c r="E59" s="374">
        <v>-0.05</v>
      </c>
      <c r="F59" s="366">
        <f t="shared" si="11"/>
        <v>-39.199999999999996</v>
      </c>
      <c r="G59" s="365"/>
      <c r="H59" s="365"/>
      <c r="I59" s="366"/>
      <c r="J59" s="365"/>
      <c r="K59" s="365"/>
      <c r="L59" s="366"/>
      <c r="M59" s="360"/>
      <c r="N59" s="360"/>
      <c r="O59" s="360"/>
      <c r="P59" s="360"/>
      <c r="Q59" s="360"/>
      <c r="R59" s="361"/>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0"/>
      <c r="EA59" s="360"/>
      <c r="EB59" s="360"/>
      <c r="EC59" s="360"/>
      <c r="ED59" s="360"/>
      <c r="EE59" s="360"/>
      <c r="EF59" s="360"/>
      <c r="EG59" s="360"/>
      <c r="EH59" s="360"/>
      <c r="EI59" s="360"/>
      <c r="EJ59" s="360"/>
      <c r="EK59" s="360"/>
      <c r="EL59" s="360"/>
      <c r="EM59" s="360"/>
      <c r="EN59" s="360"/>
      <c r="EO59" s="360"/>
      <c r="EP59" s="360"/>
      <c r="EQ59" s="360"/>
      <c r="ER59" s="360"/>
      <c r="ES59" s="360"/>
      <c r="ET59" s="360"/>
      <c r="EU59" s="360"/>
      <c r="EV59" s="360"/>
      <c r="EW59" s="360"/>
      <c r="EX59" s="360"/>
      <c r="EY59" s="360"/>
      <c r="EZ59" s="360"/>
      <c r="FA59" s="360"/>
      <c r="FB59" s="360"/>
      <c r="FC59" s="360"/>
      <c r="FD59" s="360"/>
      <c r="FE59" s="360"/>
      <c r="FF59" s="360"/>
      <c r="FG59" s="360"/>
      <c r="FH59" s="360"/>
      <c r="FI59" s="360"/>
      <c r="FJ59" s="360"/>
      <c r="FK59" s="360"/>
      <c r="FL59" s="360"/>
      <c r="FM59" s="360"/>
      <c r="FN59" s="360"/>
      <c r="FO59" s="360"/>
      <c r="FP59" s="360"/>
      <c r="FQ59" s="360"/>
      <c r="FR59" s="360"/>
      <c r="FS59" s="360"/>
      <c r="FT59" s="360"/>
      <c r="FU59" s="360"/>
      <c r="FV59" s="360"/>
      <c r="FW59" s="360"/>
      <c r="FX59" s="360"/>
      <c r="FY59" s="360"/>
      <c r="FZ59" s="360"/>
      <c r="GA59" s="360"/>
      <c r="GB59" s="360"/>
      <c r="GC59" s="360"/>
      <c r="GD59" s="360"/>
      <c r="GE59" s="360"/>
      <c r="GF59" s="360"/>
      <c r="GG59" s="360"/>
      <c r="GH59" s="360"/>
      <c r="GI59" s="360"/>
      <c r="GJ59" s="360"/>
      <c r="GK59" s="360"/>
      <c r="GL59" s="360"/>
      <c r="GM59" s="360"/>
      <c r="GN59" s="360"/>
      <c r="GO59" s="360"/>
      <c r="GP59" s="360"/>
      <c r="GQ59" s="360"/>
      <c r="GR59" s="360"/>
      <c r="GS59" s="360"/>
      <c r="GT59" s="360"/>
      <c r="GU59" s="360"/>
      <c r="GV59" s="360"/>
      <c r="GW59" s="360"/>
      <c r="GX59" s="360"/>
      <c r="GY59" s="360"/>
      <c r="GZ59" s="360"/>
      <c r="HA59" s="360"/>
      <c r="HB59" s="360"/>
      <c r="HC59" s="360"/>
      <c r="HD59" s="360"/>
      <c r="HE59" s="360"/>
      <c r="HF59" s="360"/>
      <c r="HG59" s="360"/>
      <c r="HH59" s="360"/>
      <c r="HI59" s="360"/>
      <c r="HJ59" s="360"/>
      <c r="HK59" s="360"/>
      <c r="HL59" s="360"/>
      <c r="HM59" s="360"/>
      <c r="HN59" s="360"/>
      <c r="HO59" s="360"/>
      <c r="HP59" s="360"/>
      <c r="HQ59" s="360"/>
      <c r="HR59" s="360"/>
      <c r="HS59" s="360"/>
      <c r="HT59" s="360"/>
      <c r="HU59" s="360"/>
      <c r="HV59" s="360"/>
      <c r="HW59" s="360"/>
      <c r="HX59" s="360"/>
      <c r="HY59" s="360"/>
      <c r="HZ59" s="360"/>
      <c r="IA59" s="360"/>
      <c r="IB59" s="360"/>
      <c r="IC59" s="360"/>
      <c r="ID59" s="360"/>
      <c r="IE59" s="360"/>
      <c r="IF59" s="360"/>
      <c r="IG59" s="360"/>
      <c r="IH59" s="360"/>
      <c r="II59" s="360"/>
      <c r="IJ59" s="360"/>
      <c r="IK59" s="360"/>
      <c r="IL59" s="360"/>
      <c r="IM59" s="360"/>
      <c r="IN59" s="360"/>
      <c r="IO59" s="360"/>
      <c r="IP59" s="360"/>
      <c r="IQ59" s="360"/>
      <c r="IR59" s="360"/>
      <c r="IS59" s="360"/>
      <c r="IT59" s="360"/>
      <c r="IU59" s="360"/>
    </row>
    <row r="60" spans="1:255">
      <c r="A60" s="377"/>
      <c r="B60" s="360" t="s">
        <v>255</v>
      </c>
      <c r="C60" s="363"/>
      <c r="D60" s="380">
        <f t="shared" si="12"/>
        <v>2.17</v>
      </c>
      <c r="E60" s="374">
        <v>-0.05</v>
      </c>
      <c r="F60" s="366">
        <f t="shared" si="11"/>
        <v>-44.4</v>
      </c>
      <c r="G60" s="365"/>
      <c r="H60" s="365"/>
      <c r="I60" s="366"/>
      <c r="J60" s="365"/>
      <c r="K60" s="365"/>
      <c r="L60" s="366"/>
      <c r="M60" s="360"/>
      <c r="N60" s="360"/>
      <c r="O60" s="360"/>
      <c r="P60" s="360"/>
      <c r="Q60" s="360"/>
      <c r="R60" s="361"/>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60"/>
      <c r="DH60" s="360"/>
      <c r="DI60" s="360"/>
      <c r="DJ60" s="360"/>
      <c r="DK60" s="360"/>
      <c r="DL60" s="360"/>
      <c r="DM60" s="360"/>
      <c r="DN60" s="360"/>
      <c r="DO60" s="360"/>
      <c r="DP60" s="360"/>
      <c r="DQ60" s="360"/>
      <c r="DR60" s="360"/>
      <c r="DS60" s="360"/>
      <c r="DT60" s="360"/>
      <c r="DU60" s="360"/>
      <c r="DV60" s="360"/>
      <c r="DW60" s="360"/>
      <c r="DX60" s="360"/>
      <c r="DY60" s="360"/>
      <c r="DZ60" s="360"/>
      <c r="EA60" s="360"/>
      <c r="EB60" s="360"/>
      <c r="EC60" s="360"/>
      <c r="ED60" s="360"/>
      <c r="EE60" s="360"/>
      <c r="EF60" s="360"/>
      <c r="EG60" s="360"/>
      <c r="EH60" s="360"/>
      <c r="EI60" s="360"/>
      <c r="EJ60" s="360"/>
      <c r="EK60" s="360"/>
      <c r="EL60" s="360"/>
      <c r="EM60" s="360"/>
      <c r="EN60" s="360"/>
      <c r="EO60" s="360"/>
      <c r="EP60" s="360"/>
      <c r="EQ60" s="360"/>
      <c r="ER60" s="360"/>
      <c r="ES60" s="360"/>
      <c r="ET60" s="360"/>
      <c r="EU60" s="360"/>
      <c r="EV60" s="360"/>
      <c r="EW60" s="360"/>
      <c r="EX60" s="360"/>
      <c r="EY60" s="360"/>
      <c r="EZ60" s="360"/>
      <c r="FA60" s="360"/>
      <c r="FB60" s="360"/>
      <c r="FC60" s="360"/>
      <c r="FD60" s="360"/>
      <c r="FE60" s="360"/>
      <c r="FF60" s="360"/>
      <c r="FG60" s="360"/>
      <c r="FH60" s="360"/>
      <c r="FI60" s="360"/>
      <c r="FJ60" s="360"/>
      <c r="FK60" s="360"/>
      <c r="FL60" s="360"/>
      <c r="FM60" s="360"/>
      <c r="FN60" s="360"/>
      <c r="FO60" s="360"/>
      <c r="FP60" s="360"/>
      <c r="FQ60" s="360"/>
      <c r="FR60" s="360"/>
      <c r="FS60" s="360"/>
      <c r="FT60" s="360"/>
      <c r="FU60" s="360"/>
      <c r="FV60" s="360"/>
      <c r="FW60" s="360"/>
      <c r="FX60" s="360"/>
      <c r="FY60" s="360"/>
      <c r="FZ60" s="360"/>
      <c r="GA60" s="360"/>
      <c r="GB60" s="360"/>
      <c r="GC60" s="360"/>
      <c r="GD60" s="360"/>
      <c r="GE60" s="360"/>
      <c r="GF60" s="360"/>
      <c r="GG60" s="360"/>
      <c r="GH60" s="360"/>
      <c r="GI60" s="360"/>
      <c r="GJ60" s="360"/>
      <c r="GK60" s="360"/>
      <c r="GL60" s="360"/>
      <c r="GM60" s="360"/>
      <c r="GN60" s="360"/>
      <c r="GO60" s="360"/>
      <c r="GP60" s="360"/>
      <c r="GQ60" s="360"/>
      <c r="GR60" s="360"/>
      <c r="GS60" s="360"/>
      <c r="GT60" s="360"/>
      <c r="GU60" s="360"/>
      <c r="GV60" s="360"/>
      <c r="GW60" s="360"/>
      <c r="GX60" s="360"/>
      <c r="GY60" s="360"/>
      <c r="GZ60" s="360"/>
      <c r="HA60" s="360"/>
      <c r="HB60" s="360"/>
      <c r="HC60" s="360"/>
      <c r="HD60" s="360"/>
      <c r="HE60" s="360"/>
      <c r="HF60" s="360"/>
      <c r="HG60" s="360"/>
      <c r="HH60" s="360"/>
      <c r="HI60" s="360"/>
      <c r="HJ60" s="360"/>
      <c r="HK60" s="360"/>
      <c r="HL60" s="360"/>
      <c r="HM60" s="360"/>
      <c r="HN60" s="360"/>
      <c r="HO60" s="360"/>
      <c r="HP60" s="360"/>
      <c r="HQ60" s="360"/>
      <c r="HR60" s="360"/>
      <c r="HS60" s="360"/>
      <c r="HT60" s="360"/>
      <c r="HU60" s="360"/>
      <c r="HV60" s="360"/>
      <c r="HW60" s="360"/>
      <c r="HX60" s="360"/>
      <c r="HY60" s="360"/>
      <c r="HZ60" s="360"/>
      <c r="IA60" s="360"/>
      <c r="IB60" s="360"/>
      <c r="IC60" s="360"/>
      <c r="ID60" s="360"/>
      <c r="IE60" s="360"/>
      <c r="IF60" s="360"/>
      <c r="IG60" s="360"/>
      <c r="IH60" s="360"/>
      <c r="II60" s="360"/>
      <c r="IJ60" s="360"/>
      <c r="IK60" s="360"/>
      <c r="IL60" s="360"/>
      <c r="IM60" s="360"/>
      <c r="IN60" s="360"/>
      <c r="IO60" s="360"/>
      <c r="IP60" s="360"/>
      <c r="IQ60" s="360"/>
      <c r="IR60" s="360"/>
      <c r="IS60" s="360"/>
      <c r="IT60" s="360"/>
      <c r="IU60" s="360"/>
    </row>
    <row r="61" spans="1:255">
      <c r="A61" s="377"/>
      <c r="B61" s="360" t="s">
        <v>256</v>
      </c>
      <c r="C61" s="363"/>
      <c r="D61" s="380">
        <f t="shared" si="12"/>
        <v>2.42</v>
      </c>
      <c r="E61" s="374">
        <v>-0.06</v>
      </c>
      <c r="F61" s="366">
        <f t="shared" si="11"/>
        <v>-41.333333333333336</v>
      </c>
      <c r="G61" s="365"/>
      <c r="H61" s="365"/>
      <c r="I61" s="366"/>
      <c r="J61" s="365"/>
      <c r="K61" s="365"/>
      <c r="L61" s="366"/>
      <c r="M61" s="360"/>
      <c r="N61" s="360"/>
      <c r="O61" s="360"/>
      <c r="P61" s="360"/>
      <c r="Q61" s="360"/>
      <c r="R61" s="361"/>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60"/>
      <c r="DH61" s="360"/>
      <c r="DI61" s="360"/>
      <c r="DJ61" s="360"/>
      <c r="DK61" s="360"/>
      <c r="DL61" s="360"/>
      <c r="DM61" s="360"/>
      <c r="DN61" s="360"/>
      <c r="DO61" s="360"/>
      <c r="DP61" s="360"/>
      <c r="DQ61" s="360"/>
      <c r="DR61" s="360"/>
      <c r="DS61" s="360"/>
      <c r="DT61" s="360"/>
      <c r="DU61" s="360"/>
      <c r="DV61" s="360"/>
      <c r="DW61" s="360"/>
      <c r="DX61" s="360"/>
      <c r="DY61" s="360"/>
      <c r="DZ61" s="360"/>
      <c r="EA61" s="360"/>
      <c r="EB61" s="360"/>
      <c r="EC61" s="360"/>
      <c r="ED61" s="360"/>
      <c r="EE61" s="360"/>
      <c r="EF61" s="360"/>
      <c r="EG61" s="360"/>
      <c r="EH61" s="360"/>
      <c r="EI61" s="360"/>
      <c r="EJ61" s="360"/>
      <c r="EK61" s="360"/>
      <c r="EL61" s="360"/>
      <c r="EM61" s="360"/>
      <c r="EN61" s="360"/>
      <c r="EO61" s="360"/>
      <c r="EP61" s="360"/>
      <c r="EQ61" s="360"/>
      <c r="ER61" s="360"/>
      <c r="ES61" s="360"/>
      <c r="ET61" s="360"/>
      <c r="EU61" s="360"/>
      <c r="EV61" s="360"/>
      <c r="EW61" s="360"/>
      <c r="EX61" s="360"/>
      <c r="EY61" s="360"/>
      <c r="EZ61" s="360"/>
      <c r="FA61" s="360"/>
      <c r="FB61" s="360"/>
      <c r="FC61" s="360"/>
      <c r="FD61" s="360"/>
      <c r="FE61" s="360"/>
      <c r="FF61" s="360"/>
      <c r="FG61" s="360"/>
      <c r="FH61" s="360"/>
      <c r="FI61" s="360"/>
      <c r="FJ61" s="360"/>
      <c r="FK61" s="360"/>
      <c r="FL61" s="360"/>
      <c r="FM61" s="360"/>
      <c r="FN61" s="360"/>
      <c r="FO61" s="360"/>
      <c r="FP61" s="360"/>
      <c r="FQ61" s="360"/>
      <c r="FR61" s="360"/>
      <c r="FS61" s="360"/>
      <c r="FT61" s="360"/>
      <c r="FU61" s="360"/>
      <c r="FV61" s="360"/>
      <c r="FW61" s="360"/>
      <c r="FX61" s="360"/>
      <c r="FY61" s="360"/>
      <c r="FZ61" s="360"/>
      <c r="GA61" s="360"/>
      <c r="GB61" s="360"/>
      <c r="GC61" s="360"/>
      <c r="GD61" s="360"/>
      <c r="GE61" s="360"/>
      <c r="GF61" s="360"/>
      <c r="GG61" s="360"/>
      <c r="GH61" s="360"/>
      <c r="GI61" s="360"/>
      <c r="GJ61" s="360"/>
      <c r="GK61" s="360"/>
      <c r="GL61" s="360"/>
      <c r="GM61" s="360"/>
      <c r="GN61" s="360"/>
      <c r="GO61" s="360"/>
      <c r="GP61" s="360"/>
      <c r="GQ61" s="360"/>
      <c r="GR61" s="360"/>
      <c r="GS61" s="360"/>
      <c r="GT61" s="360"/>
      <c r="GU61" s="360"/>
      <c r="GV61" s="360"/>
      <c r="GW61" s="360"/>
      <c r="GX61" s="360"/>
      <c r="GY61" s="360"/>
      <c r="GZ61" s="360"/>
      <c r="HA61" s="360"/>
      <c r="HB61" s="360"/>
      <c r="HC61" s="360"/>
      <c r="HD61" s="360"/>
      <c r="HE61" s="360"/>
      <c r="HF61" s="360"/>
      <c r="HG61" s="360"/>
      <c r="HH61" s="360"/>
      <c r="HI61" s="360"/>
      <c r="HJ61" s="360"/>
      <c r="HK61" s="360"/>
      <c r="HL61" s="360"/>
      <c r="HM61" s="360"/>
      <c r="HN61" s="360"/>
      <c r="HO61" s="360"/>
      <c r="HP61" s="360"/>
      <c r="HQ61" s="360"/>
      <c r="HR61" s="360"/>
      <c r="HS61" s="360"/>
      <c r="HT61" s="360"/>
      <c r="HU61" s="360"/>
      <c r="HV61" s="360"/>
      <c r="HW61" s="360"/>
      <c r="HX61" s="360"/>
      <c r="HY61" s="360"/>
      <c r="HZ61" s="360"/>
      <c r="IA61" s="360"/>
      <c r="IB61" s="360"/>
      <c r="IC61" s="360"/>
      <c r="ID61" s="360"/>
      <c r="IE61" s="360"/>
      <c r="IF61" s="360"/>
      <c r="IG61" s="360"/>
      <c r="IH61" s="360"/>
      <c r="II61" s="360"/>
      <c r="IJ61" s="360"/>
      <c r="IK61" s="360"/>
      <c r="IL61" s="360"/>
      <c r="IM61" s="360"/>
      <c r="IN61" s="360"/>
      <c r="IO61" s="360"/>
      <c r="IP61" s="360"/>
      <c r="IQ61" s="360"/>
      <c r="IR61" s="360"/>
      <c r="IS61" s="360"/>
      <c r="IT61" s="360"/>
      <c r="IU61" s="360"/>
    </row>
    <row r="62" spans="1:255" ht="15.75" thickBot="1">
      <c r="A62" s="382"/>
      <c r="B62" s="383"/>
      <c r="C62" s="384"/>
      <c r="D62" s="385"/>
      <c r="E62" s="386"/>
      <c r="F62" s="385"/>
      <c r="G62" s="387"/>
      <c r="H62" s="387"/>
      <c r="I62" s="388"/>
      <c r="J62" s="387"/>
      <c r="K62" s="387"/>
      <c r="L62" s="388"/>
      <c r="M62" s="360"/>
      <c r="N62" s="360"/>
      <c r="O62" s="360"/>
      <c r="P62" s="360"/>
      <c r="Q62" s="360"/>
      <c r="R62" s="361"/>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360"/>
      <c r="DT62" s="360"/>
      <c r="DU62" s="360"/>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c r="FH62" s="360"/>
      <c r="FI62" s="360"/>
      <c r="FJ62" s="360"/>
      <c r="FK62" s="360"/>
      <c r="FL62" s="360"/>
      <c r="FM62" s="360"/>
      <c r="FN62" s="360"/>
      <c r="FO62" s="360"/>
      <c r="FP62" s="360"/>
      <c r="FQ62" s="360"/>
      <c r="FR62" s="360"/>
      <c r="FS62" s="360"/>
      <c r="FT62" s="360"/>
      <c r="FU62" s="360"/>
      <c r="FV62" s="360"/>
      <c r="FW62" s="360"/>
      <c r="FX62" s="360"/>
      <c r="FY62" s="360"/>
      <c r="FZ62" s="360"/>
      <c r="GA62" s="360"/>
      <c r="GB62" s="360"/>
      <c r="GC62" s="360"/>
      <c r="GD62" s="360"/>
      <c r="GE62" s="360"/>
      <c r="GF62" s="360"/>
      <c r="GG62" s="360"/>
      <c r="GH62" s="360"/>
      <c r="GI62" s="360"/>
      <c r="GJ62" s="360"/>
      <c r="GK62" s="360"/>
      <c r="GL62" s="360"/>
      <c r="GM62" s="360"/>
      <c r="GN62" s="360"/>
      <c r="GO62" s="360"/>
      <c r="GP62" s="360"/>
      <c r="GQ62" s="360"/>
      <c r="GR62" s="360"/>
      <c r="GS62" s="360"/>
      <c r="GT62" s="360"/>
      <c r="GU62" s="360"/>
      <c r="GV62" s="360"/>
      <c r="GW62" s="360"/>
      <c r="GX62" s="360"/>
      <c r="GY62" s="360"/>
      <c r="GZ62" s="360"/>
      <c r="HA62" s="360"/>
      <c r="HB62" s="360"/>
      <c r="HC62" s="360"/>
      <c r="HD62" s="360"/>
      <c r="HE62" s="360"/>
      <c r="HF62" s="360"/>
      <c r="HG62" s="360"/>
      <c r="HH62" s="360"/>
      <c r="HI62" s="360"/>
      <c r="HJ62" s="360"/>
      <c r="HK62" s="360"/>
      <c r="HL62" s="360"/>
      <c r="HM62" s="360"/>
      <c r="HN62" s="360"/>
      <c r="HO62" s="360"/>
      <c r="HP62" s="360"/>
      <c r="HQ62" s="360"/>
      <c r="HR62" s="360"/>
      <c r="HS62" s="360"/>
      <c r="HT62" s="360"/>
      <c r="HU62" s="360"/>
      <c r="HV62" s="360"/>
      <c r="HW62" s="360"/>
      <c r="HX62" s="360"/>
      <c r="HY62" s="360"/>
      <c r="HZ62" s="360"/>
      <c r="IA62" s="360"/>
      <c r="IB62" s="360"/>
      <c r="IC62" s="360"/>
      <c r="ID62" s="360"/>
      <c r="IE62" s="360"/>
      <c r="IF62" s="360"/>
      <c r="IG62" s="360"/>
      <c r="IH62" s="360"/>
      <c r="II62" s="360"/>
      <c r="IJ62" s="360"/>
      <c r="IK62" s="360"/>
      <c r="IL62" s="360"/>
      <c r="IM62" s="360"/>
      <c r="IN62" s="360"/>
      <c r="IO62" s="360"/>
      <c r="IP62" s="360"/>
      <c r="IQ62" s="360"/>
      <c r="IR62" s="360"/>
      <c r="IS62" s="360"/>
      <c r="IT62" s="360"/>
      <c r="IU62" s="360"/>
    </row>
    <row r="63" spans="1:255">
      <c r="A63" s="360"/>
      <c r="B63" s="360"/>
      <c r="C63" s="360"/>
      <c r="D63" s="360"/>
      <c r="E63" s="389"/>
      <c r="F63" s="360"/>
      <c r="G63" s="360"/>
      <c r="H63" s="389"/>
      <c r="I63" s="360"/>
      <c r="J63" s="360"/>
      <c r="K63" s="360"/>
      <c r="L63" s="376"/>
      <c r="M63" s="360"/>
      <c r="N63" s="360"/>
      <c r="O63" s="360"/>
      <c r="P63" s="360"/>
      <c r="Q63" s="360"/>
      <c r="R63" s="361"/>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c r="IR63" s="360"/>
      <c r="IS63" s="360"/>
      <c r="IT63" s="360"/>
      <c r="IU63" s="360"/>
    </row>
    <row r="64" spans="1:255" ht="15.75">
      <c r="A64" s="390" t="s">
        <v>262</v>
      </c>
      <c r="B64" s="560" t="s">
        <v>263</v>
      </c>
      <c r="C64" s="561"/>
      <c r="D64" s="561"/>
      <c r="E64" s="561"/>
      <c r="F64" s="561"/>
      <c r="G64" s="561"/>
      <c r="H64" s="561"/>
      <c r="I64" s="561"/>
      <c r="J64" s="561"/>
      <c r="K64" s="561"/>
      <c r="L64" s="561"/>
      <c r="M64" s="360"/>
      <c r="N64" s="360"/>
      <c r="O64" s="360"/>
      <c r="P64" s="360"/>
      <c r="Q64" s="360"/>
      <c r="R64" s="361"/>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360"/>
      <c r="CZ64" s="360"/>
      <c r="DA64" s="360"/>
      <c r="DB64" s="360"/>
      <c r="DC64" s="360"/>
      <c r="DD64" s="360"/>
      <c r="DE64" s="360"/>
      <c r="DF64" s="360"/>
      <c r="DG64" s="360"/>
      <c r="DH64" s="360"/>
      <c r="DI64" s="360"/>
      <c r="DJ64" s="360"/>
      <c r="DK64" s="360"/>
      <c r="DL64" s="360"/>
      <c r="DM64" s="360"/>
      <c r="DN64" s="360"/>
      <c r="DO64" s="360"/>
      <c r="DP64" s="360"/>
      <c r="DQ64" s="360"/>
      <c r="DR64" s="360"/>
      <c r="DS64" s="360"/>
      <c r="DT64" s="360"/>
      <c r="DU64" s="360"/>
      <c r="DV64" s="360"/>
      <c r="DW64" s="360"/>
      <c r="DX64" s="360"/>
      <c r="DY64" s="360"/>
      <c r="DZ64" s="360"/>
      <c r="EA64" s="360"/>
      <c r="EB64" s="360"/>
      <c r="EC64" s="360"/>
      <c r="ED64" s="360"/>
      <c r="EE64" s="360"/>
      <c r="EF64" s="360"/>
      <c r="EG64" s="360"/>
      <c r="EH64" s="360"/>
      <c r="EI64" s="360"/>
      <c r="EJ64" s="360"/>
      <c r="EK64" s="360"/>
      <c r="EL64" s="360"/>
      <c r="EM64" s="360"/>
      <c r="EN64" s="360"/>
      <c r="EO64" s="360"/>
      <c r="EP64" s="360"/>
      <c r="EQ64" s="360"/>
      <c r="ER64" s="360"/>
      <c r="ES64" s="360"/>
      <c r="ET64" s="360"/>
      <c r="EU64" s="360"/>
      <c r="EV64" s="360"/>
      <c r="EW64" s="360"/>
      <c r="EX64" s="360"/>
      <c r="EY64" s="360"/>
      <c r="EZ64" s="360"/>
      <c r="FA64" s="360"/>
      <c r="FB64" s="360"/>
      <c r="FC64" s="360"/>
      <c r="FD64" s="360"/>
      <c r="FE64" s="360"/>
      <c r="FF64" s="360"/>
      <c r="FG64" s="360"/>
      <c r="FH64" s="360"/>
      <c r="FI64" s="360"/>
      <c r="FJ64" s="360"/>
      <c r="FK64" s="360"/>
      <c r="FL64" s="360"/>
      <c r="FM64" s="360"/>
      <c r="FN64" s="360"/>
      <c r="FO64" s="360"/>
      <c r="FP64" s="360"/>
      <c r="FQ64" s="360"/>
      <c r="FR64" s="360"/>
      <c r="FS64" s="360"/>
      <c r="FT64" s="360"/>
      <c r="FU64" s="360"/>
      <c r="FV64" s="360"/>
      <c r="FW64" s="360"/>
      <c r="FX64" s="360"/>
      <c r="FY64" s="360"/>
      <c r="FZ64" s="360"/>
      <c r="GA64" s="360"/>
      <c r="GB64" s="360"/>
      <c r="GC64" s="360"/>
      <c r="GD64" s="360"/>
      <c r="GE64" s="360"/>
      <c r="GF64" s="360"/>
      <c r="GG64" s="360"/>
      <c r="GH64" s="360"/>
      <c r="GI64" s="360"/>
      <c r="GJ64" s="360"/>
      <c r="GK64" s="360"/>
      <c r="GL64" s="360"/>
      <c r="GM64" s="360"/>
      <c r="GN64" s="360"/>
      <c r="GO64" s="360"/>
      <c r="GP64" s="360"/>
      <c r="GQ64" s="360"/>
      <c r="GR64" s="360"/>
      <c r="GS64" s="360"/>
      <c r="GT64" s="360"/>
      <c r="GU64" s="360"/>
      <c r="GV64" s="360"/>
      <c r="GW64" s="360"/>
      <c r="GX64" s="360"/>
      <c r="GY64" s="360"/>
      <c r="GZ64" s="360"/>
      <c r="HA64" s="360"/>
      <c r="HB64" s="360"/>
      <c r="HC64" s="360"/>
      <c r="HD64" s="360"/>
      <c r="HE64" s="360"/>
      <c r="HF64" s="360"/>
      <c r="HG64" s="360"/>
      <c r="HH64" s="360"/>
      <c r="HI64" s="360"/>
      <c r="HJ64" s="360"/>
      <c r="HK64" s="360"/>
      <c r="HL64" s="360"/>
      <c r="HM64" s="360"/>
      <c r="HN64" s="360"/>
      <c r="HO64" s="360"/>
      <c r="HP64" s="360"/>
      <c r="HQ64" s="360"/>
      <c r="HR64" s="360"/>
      <c r="HS64" s="360"/>
      <c r="HT64" s="360"/>
      <c r="HU64" s="360"/>
      <c r="HV64" s="360"/>
      <c r="HW64" s="360"/>
      <c r="HX64" s="360"/>
      <c r="HY64" s="360"/>
      <c r="HZ64" s="360"/>
      <c r="IA64" s="360"/>
      <c r="IB64" s="360"/>
      <c r="IC64" s="360"/>
      <c r="ID64" s="360"/>
      <c r="IE64" s="360"/>
      <c r="IF64" s="360"/>
      <c r="IG64" s="360"/>
      <c r="IH64" s="360"/>
      <c r="II64" s="360"/>
      <c r="IJ64" s="360"/>
      <c r="IK64" s="360"/>
      <c r="IL64" s="360"/>
      <c r="IM64" s="360"/>
      <c r="IN64" s="360"/>
      <c r="IO64" s="360"/>
      <c r="IP64" s="360"/>
      <c r="IQ64" s="360"/>
      <c r="IR64" s="360"/>
      <c r="IS64" s="360"/>
      <c r="IT64" s="360"/>
      <c r="IU64" s="360"/>
    </row>
    <row r="65" spans="1:255">
      <c r="A65" s="360"/>
      <c r="B65" s="561"/>
      <c r="C65" s="561"/>
      <c r="D65" s="561"/>
      <c r="E65" s="561"/>
      <c r="F65" s="561"/>
      <c r="G65" s="561"/>
      <c r="H65" s="561"/>
      <c r="I65" s="561"/>
      <c r="J65" s="561"/>
      <c r="K65" s="561"/>
      <c r="L65" s="561"/>
      <c r="M65" s="360"/>
      <c r="N65" s="360"/>
      <c r="O65" s="360"/>
      <c r="P65" s="360"/>
      <c r="Q65" s="360"/>
      <c r="R65" s="361"/>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360"/>
      <c r="CZ65" s="360"/>
      <c r="DA65" s="360"/>
      <c r="DB65" s="360"/>
      <c r="DC65" s="360"/>
      <c r="DD65" s="360"/>
      <c r="DE65" s="360"/>
      <c r="DF65" s="360"/>
      <c r="DG65" s="360"/>
      <c r="DH65" s="360"/>
      <c r="DI65" s="360"/>
      <c r="DJ65" s="360"/>
      <c r="DK65" s="360"/>
      <c r="DL65" s="360"/>
      <c r="DM65" s="360"/>
      <c r="DN65" s="360"/>
      <c r="DO65" s="360"/>
      <c r="DP65" s="360"/>
      <c r="DQ65" s="360"/>
      <c r="DR65" s="360"/>
      <c r="DS65" s="360"/>
      <c r="DT65" s="360"/>
      <c r="DU65" s="360"/>
      <c r="DV65" s="360"/>
      <c r="DW65" s="360"/>
      <c r="DX65" s="360"/>
      <c r="DY65" s="360"/>
      <c r="DZ65" s="360"/>
      <c r="EA65" s="360"/>
      <c r="EB65" s="360"/>
      <c r="EC65" s="360"/>
      <c r="ED65" s="360"/>
      <c r="EE65" s="360"/>
      <c r="EF65" s="360"/>
      <c r="EG65" s="360"/>
      <c r="EH65" s="360"/>
      <c r="EI65" s="360"/>
      <c r="EJ65" s="360"/>
      <c r="EK65" s="360"/>
      <c r="EL65" s="360"/>
      <c r="EM65" s="360"/>
      <c r="EN65" s="360"/>
      <c r="EO65" s="360"/>
      <c r="EP65" s="360"/>
      <c r="EQ65" s="360"/>
      <c r="ER65" s="360"/>
      <c r="ES65" s="360"/>
      <c r="ET65" s="360"/>
      <c r="EU65" s="360"/>
      <c r="EV65" s="360"/>
      <c r="EW65" s="360"/>
      <c r="EX65" s="360"/>
      <c r="EY65" s="360"/>
      <c r="EZ65" s="360"/>
      <c r="FA65" s="360"/>
      <c r="FB65" s="360"/>
      <c r="FC65" s="360"/>
      <c r="FD65" s="360"/>
      <c r="FE65" s="360"/>
      <c r="FF65" s="360"/>
      <c r="FG65" s="360"/>
      <c r="FH65" s="360"/>
      <c r="FI65" s="360"/>
      <c r="FJ65" s="360"/>
      <c r="FK65" s="360"/>
      <c r="FL65" s="360"/>
      <c r="FM65" s="360"/>
      <c r="FN65" s="360"/>
      <c r="FO65" s="360"/>
      <c r="FP65" s="360"/>
      <c r="FQ65" s="360"/>
      <c r="FR65" s="360"/>
      <c r="FS65" s="360"/>
      <c r="FT65" s="360"/>
      <c r="FU65" s="360"/>
      <c r="FV65" s="360"/>
      <c r="FW65" s="360"/>
      <c r="FX65" s="360"/>
      <c r="FY65" s="360"/>
      <c r="FZ65" s="360"/>
      <c r="GA65" s="360"/>
      <c r="GB65" s="360"/>
      <c r="GC65" s="360"/>
      <c r="GD65" s="360"/>
      <c r="GE65" s="360"/>
      <c r="GF65" s="360"/>
      <c r="GG65" s="360"/>
      <c r="GH65" s="360"/>
      <c r="GI65" s="360"/>
      <c r="GJ65" s="360"/>
      <c r="GK65" s="360"/>
      <c r="GL65" s="360"/>
      <c r="GM65" s="360"/>
      <c r="GN65" s="360"/>
      <c r="GO65" s="360"/>
      <c r="GP65" s="360"/>
      <c r="GQ65" s="360"/>
      <c r="GR65" s="360"/>
      <c r="GS65" s="360"/>
      <c r="GT65" s="360"/>
      <c r="GU65" s="360"/>
      <c r="GV65" s="360"/>
      <c r="GW65" s="360"/>
      <c r="GX65" s="360"/>
      <c r="GY65" s="360"/>
      <c r="GZ65" s="360"/>
      <c r="HA65" s="360"/>
      <c r="HB65" s="360"/>
      <c r="HC65" s="360"/>
      <c r="HD65" s="360"/>
      <c r="HE65" s="360"/>
      <c r="HF65" s="360"/>
      <c r="HG65" s="360"/>
      <c r="HH65" s="360"/>
      <c r="HI65" s="360"/>
      <c r="HJ65" s="360"/>
      <c r="HK65" s="360"/>
      <c r="HL65" s="360"/>
      <c r="HM65" s="360"/>
      <c r="HN65" s="360"/>
      <c r="HO65" s="360"/>
      <c r="HP65" s="360"/>
      <c r="HQ65" s="360"/>
      <c r="HR65" s="360"/>
      <c r="HS65" s="360"/>
      <c r="HT65" s="360"/>
      <c r="HU65" s="360"/>
      <c r="HV65" s="360"/>
      <c r="HW65" s="360"/>
      <c r="HX65" s="360"/>
      <c r="HY65" s="360"/>
      <c r="HZ65" s="360"/>
      <c r="IA65" s="360"/>
      <c r="IB65" s="360"/>
      <c r="IC65" s="360"/>
      <c r="ID65" s="360"/>
      <c r="IE65" s="360"/>
      <c r="IF65" s="360"/>
      <c r="IG65" s="360"/>
      <c r="IH65" s="360"/>
      <c r="II65" s="360"/>
      <c r="IJ65" s="360"/>
      <c r="IK65" s="360"/>
      <c r="IL65" s="360"/>
      <c r="IM65" s="360"/>
      <c r="IN65" s="360"/>
      <c r="IO65" s="360"/>
      <c r="IP65" s="360"/>
      <c r="IQ65" s="360"/>
      <c r="IR65" s="360"/>
      <c r="IS65" s="360"/>
      <c r="IT65" s="360"/>
      <c r="IU65" s="360"/>
    </row>
    <row r="66" spans="1:255">
      <c r="A66" s="360"/>
      <c r="B66" s="360"/>
      <c r="C66" s="360"/>
      <c r="D66" s="360"/>
      <c r="E66" s="389"/>
      <c r="F66" s="360"/>
      <c r="G66" s="360"/>
      <c r="H66" s="389"/>
      <c r="I66" s="360"/>
      <c r="J66" s="360"/>
      <c r="K66" s="360"/>
      <c r="L66" s="360"/>
      <c r="M66" s="360"/>
      <c r="N66" s="360"/>
      <c r="O66" s="360"/>
      <c r="P66" s="360"/>
      <c r="Q66" s="360"/>
      <c r="R66" s="361"/>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60"/>
      <c r="DX66" s="360"/>
      <c r="DY66" s="360"/>
      <c r="DZ66" s="360"/>
      <c r="EA66" s="360"/>
      <c r="EB66" s="360"/>
      <c r="EC66" s="360"/>
      <c r="ED66" s="360"/>
      <c r="EE66" s="360"/>
      <c r="EF66" s="360"/>
      <c r="EG66" s="360"/>
      <c r="EH66" s="360"/>
      <c r="EI66" s="360"/>
      <c r="EJ66" s="360"/>
      <c r="EK66" s="360"/>
      <c r="EL66" s="360"/>
      <c r="EM66" s="360"/>
      <c r="EN66" s="360"/>
      <c r="EO66" s="360"/>
      <c r="EP66" s="360"/>
      <c r="EQ66" s="360"/>
      <c r="ER66" s="360"/>
      <c r="ES66" s="360"/>
      <c r="ET66" s="360"/>
      <c r="EU66" s="360"/>
      <c r="EV66" s="360"/>
      <c r="EW66" s="360"/>
      <c r="EX66" s="360"/>
      <c r="EY66" s="360"/>
      <c r="EZ66" s="360"/>
      <c r="FA66" s="360"/>
      <c r="FB66" s="360"/>
      <c r="FC66" s="360"/>
      <c r="FD66" s="360"/>
      <c r="FE66" s="360"/>
      <c r="FF66" s="360"/>
      <c r="FG66" s="360"/>
      <c r="FH66" s="360"/>
      <c r="FI66" s="360"/>
      <c r="FJ66" s="360"/>
      <c r="FK66" s="360"/>
      <c r="FL66" s="360"/>
      <c r="FM66" s="360"/>
      <c r="FN66" s="360"/>
      <c r="FO66" s="360"/>
      <c r="FP66" s="360"/>
      <c r="FQ66" s="360"/>
      <c r="FR66" s="360"/>
      <c r="FS66" s="360"/>
      <c r="FT66" s="360"/>
      <c r="FU66" s="360"/>
      <c r="FV66" s="360"/>
      <c r="FW66" s="360"/>
      <c r="FX66" s="360"/>
      <c r="FY66" s="360"/>
      <c r="FZ66" s="360"/>
      <c r="GA66" s="360"/>
      <c r="GB66" s="360"/>
      <c r="GC66" s="360"/>
      <c r="GD66" s="360"/>
      <c r="GE66" s="360"/>
      <c r="GF66" s="360"/>
      <c r="GG66" s="360"/>
      <c r="GH66" s="360"/>
      <c r="GI66" s="360"/>
      <c r="GJ66" s="360"/>
      <c r="GK66" s="360"/>
      <c r="GL66" s="360"/>
      <c r="GM66" s="360"/>
      <c r="GN66" s="360"/>
      <c r="GO66" s="360"/>
      <c r="GP66" s="360"/>
      <c r="GQ66" s="360"/>
      <c r="GR66" s="360"/>
      <c r="GS66" s="360"/>
      <c r="GT66" s="360"/>
      <c r="GU66" s="360"/>
      <c r="GV66" s="360"/>
      <c r="GW66" s="360"/>
      <c r="GX66" s="360"/>
      <c r="GY66" s="360"/>
      <c r="GZ66" s="360"/>
      <c r="HA66" s="360"/>
      <c r="HB66" s="360"/>
      <c r="HC66" s="360"/>
      <c r="HD66" s="360"/>
      <c r="HE66" s="360"/>
      <c r="HF66" s="360"/>
      <c r="HG66" s="360"/>
      <c r="HH66" s="360"/>
      <c r="HI66" s="360"/>
      <c r="HJ66" s="360"/>
      <c r="HK66" s="360"/>
      <c r="HL66" s="360"/>
      <c r="HM66" s="360"/>
      <c r="HN66" s="360"/>
      <c r="HO66" s="360"/>
      <c r="HP66" s="360"/>
      <c r="HQ66" s="360"/>
      <c r="HR66" s="360"/>
      <c r="HS66" s="360"/>
      <c r="HT66" s="360"/>
      <c r="HU66" s="360"/>
      <c r="HV66" s="360"/>
      <c r="HW66" s="360"/>
      <c r="HX66" s="360"/>
      <c r="HY66" s="360"/>
      <c r="HZ66" s="360"/>
      <c r="IA66" s="360"/>
      <c r="IB66" s="360"/>
      <c r="IC66" s="360"/>
      <c r="ID66" s="360"/>
      <c r="IE66" s="360"/>
      <c r="IF66" s="360"/>
      <c r="IG66" s="360"/>
      <c r="IH66" s="360"/>
      <c r="II66" s="360"/>
      <c r="IJ66" s="360"/>
      <c r="IK66" s="360"/>
      <c r="IL66" s="360"/>
      <c r="IM66" s="360"/>
      <c r="IN66" s="360"/>
      <c r="IO66" s="360"/>
      <c r="IP66" s="360"/>
      <c r="IQ66" s="360"/>
      <c r="IR66" s="360"/>
      <c r="IS66" s="360"/>
      <c r="IT66" s="360"/>
      <c r="IU66" s="360"/>
    </row>
    <row r="67" spans="1:255">
      <c r="A67" s="360"/>
      <c r="B67" s="360"/>
      <c r="C67" s="360"/>
      <c r="D67" s="360"/>
      <c r="E67" s="389"/>
      <c r="F67" s="360"/>
      <c r="G67" s="360"/>
      <c r="H67" s="389"/>
      <c r="I67" s="360"/>
      <c r="J67" s="360"/>
      <c r="K67" s="360"/>
      <c r="L67" s="360"/>
      <c r="M67" s="360"/>
      <c r="N67" s="360"/>
      <c r="O67" s="360"/>
      <c r="P67" s="360"/>
      <c r="Q67" s="360"/>
      <c r="R67" s="361"/>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0"/>
      <c r="CY67" s="360"/>
      <c r="CZ67" s="360"/>
      <c r="DA67" s="360"/>
      <c r="DB67" s="360"/>
      <c r="DC67" s="360"/>
      <c r="DD67" s="360"/>
      <c r="DE67" s="360"/>
      <c r="DF67" s="360"/>
      <c r="DG67" s="360"/>
      <c r="DH67" s="360"/>
      <c r="DI67" s="360"/>
      <c r="DJ67" s="360"/>
      <c r="DK67" s="360"/>
      <c r="DL67" s="360"/>
      <c r="DM67" s="360"/>
      <c r="DN67" s="360"/>
      <c r="DO67" s="360"/>
      <c r="DP67" s="360"/>
      <c r="DQ67" s="360"/>
      <c r="DR67" s="360"/>
      <c r="DS67" s="360"/>
      <c r="DT67" s="360"/>
      <c r="DU67" s="360"/>
      <c r="DV67" s="360"/>
      <c r="DW67" s="360"/>
      <c r="DX67" s="360"/>
      <c r="DY67" s="360"/>
      <c r="DZ67" s="360"/>
      <c r="EA67" s="360"/>
      <c r="EB67" s="360"/>
      <c r="EC67" s="360"/>
      <c r="ED67" s="360"/>
      <c r="EE67" s="360"/>
      <c r="EF67" s="360"/>
      <c r="EG67" s="360"/>
      <c r="EH67" s="360"/>
      <c r="EI67" s="360"/>
      <c r="EJ67" s="360"/>
      <c r="EK67" s="360"/>
      <c r="EL67" s="360"/>
      <c r="EM67" s="360"/>
      <c r="EN67" s="360"/>
      <c r="EO67" s="360"/>
      <c r="EP67" s="360"/>
      <c r="EQ67" s="360"/>
      <c r="ER67" s="360"/>
      <c r="ES67" s="360"/>
      <c r="ET67" s="360"/>
      <c r="EU67" s="360"/>
      <c r="EV67" s="360"/>
      <c r="EW67" s="360"/>
      <c r="EX67" s="360"/>
      <c r="EY67" s="360"/>
      <c r="EZ67" s="360"/>
      <c r="FA67" s="360"/>
      <c r="FB67" s="360"/>
      <c r="FC67" s="360"/>
      <c r="FD67" s="360"/>
      <c r="FE67" s="360"/>
      <c r="FF67" s="360"/>
      <c r="FG67" s="360"/>
      <c r="FH67" s="360"/>
      <c r="FI67" s="360"/>
      <c r="FJ67" s="360"/>
      <c r="FK67" s="360"/>
      <c r="FL67" s="360"/>
      <c r="FM67" s="360"/>
      <c r="FN67" s="360"/>
      <c r="FO67" s="360"/>
      <c r="FP67" s="360"/>
      <c r="FQ67" s="360"/>
      <c r="FR67" s="360"/>
      <c r="FS67" s="360"/>
      <c r="FT67" s="360"/>
      <c r="FU67" s="360"/>
      <c r="FV67" s="360"/>
      <c r="FW67" s="360"/>
      <c r="FX67" s="360"/>
      <c r="FY67" s="360"/>
      <c r="FZ67" s="360"/>
      <c r="GA67" s="360"/>
      <c r="GB67" s="360"/>
      <c r="GC67" s="360"/>
      <c r="GD67" s="360"/>
      <c r="GE67" s="360"/>
      <c r="GF67" s="360"/>
      <c r="GG67" s="360"/>
      <c r="GH67" s="360"/>
      <c r="GI67" s="360"/>
      <c r="GJ67" s="360"/>
      <c r="GK67" s="360"/>
      <c r="GL67" s="360"/>
      <c r="GM67" s="360"/>
      <c r="GN67" s="360"/>
      <c r="GO67" s="360"/>
      <c r="GP67" s="360"/>
      <c r="GQ67" s="360"/>
      <c r="GR67" s="360"/>
      <c r="GS67" s="360"/>
      <c r="GT67" s="360"/>
      <c r="GU67" s="360"/>
      <c r="GV67" s="360"/>
      <c r="GW67" s="360"/>
      <c r="GX67" s="360"/>
      <c r="GY67" s="360"/>
      <c r="GZ67" s="360"/>
      <c r="HA67" s="360"/>
      <c r="HB67" s="360"/>
      <c r="HC67" s="360"/>
      <c r="HD67" s="360"/>
      <c r="HE67" s="360"/>
      <c r="HF67" s="360"/>
      <c r="HG67" s="360"/>
      <c r="HH67" s="360"/>
      <c r="HI67" s="360"/>
      <c r="HJ67" s="360"/>
      <c r="HK67" s="360"/>
      <c r="HL67" s="360"/>
      <c r="HM67" s="360"/>
      <c r="HN67" s="360"/>
      <c r="HO67" s="360"/>
      <c r="HP67" s="360"/>
      <c r="HQ67" s="360"/>
      <c r="HR67" s="360"/>
      <c r="HS67" s="360"/>
      <c r="HT67" s="360"/>
      <c r="HU67" s="360"/>
      <c r="HV67" s="360"/>
      <c r="HW67" s="360"/>
      <c r="HX67" s="360"/>
      <c r="HY67" s="360"/>
      <c r="HZ67" s="360"/>
      <c r="IA67" s="360"/>
      <c r="IB67" s="360"/>
      <c r="IC67" s="360"/>
      <c r="ID67" s="360"/>
      <c r="IE67" s="360"/>
      <c r="IF67" s="360"/>
      <c r="IG67" s="360"/>
      <c r="IH67" s="360"/>
      <c r="II67" s="360"/>
      <c r="IJ67" s="360"/>
      <c r="IK67" s="360"/>
      <c r="IL67" s="360"/>
      <c r="IM67" s="360"/>
      <c r="IN67" s="360"/>
      <c r="IO67" s="360"/>
      <c r="IP67" s="360"/>
      <c r="IQ67" s="360"/>
      <c r="IR67" s="360"/>
      <c r="IS67" s="360"/>
      <c r="IT67" s="360"/>
      <c r="IU67" s="360"/>
    </row>
    <row r="68" spans="1:255">
      <c r="A68" s="360"/>
      <c r="B68" s="360"/>
      <c r="C68" s="360"/>
      <c r="D68" s="360"/>
      <c r="E68" s="389"/>
      <c r="F68" s="360"/>
      <c r="G68" s="360"/>
      <c r="H68" s="389"/>
      <c r="I68" s="360"/>
      <c r="J68" s="360"/>
      <c r="K68" s="360"/>
      <c r="L68" s="360"/>
      <c r="M68" s="360"/>
      <c r="N68" s="360"/>
      <c r="O68" s="360"/>
      <c r="P68" s="360"/>
      <c r="Q68" s="360"/>
      <c r="R68" s="361"/>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0"/>
      <c r="CY68" s="360"/>
      <c r="CZ68" s="360"/>
      <c r="DA68" s="360"/>
      <c r="DB68" s="360"/>
      <c r="DC68" s="360"/>
      <c r="DD68" s="360"/>
      <c r="DE68" s="360"/>
      <c r="DF68" s="360"/>
      <c r="DG68" s="360"/>
      <c r="DH68" s="360"/>
      <c r="DI68" s="360"/>
      <c r="DJ68" s="360"/>
      <c r="DK68" s="360"/>
      <c r="DL68" s="360"/>
      <c r="DM68" s="360"/>
      <c r="DN68" s="360"/>
      <c r="DO68" s="360"/>
      <c r="DP68" s="360"/>
      <c r="DQ68" s="360"/>
      <c r="DR68" s="360"/>
      <c r="DS68" s="360"/>
      <c r="DT68" s="360"/>
      <c r="DU68" s="360"/>
      <c r="DV68" s="360"/>
      <c r="DW68" s="360"/>
      <c r="DX68" s="360"/>
      <c r="DY68" s="360"/>
      <c r="DZ68" s="360"/>
      <c r="EA68" s="360"/>
      <c r="EB68" s="360"/>
      <c r="EC68" s="360"/>
      <c r="ED68" s="360"/>
      <c r="EE68" s="360"/>
      <c r="EF68" s="360"/>
      <c r="EG68" s="360"/>
      <c r="EH68" s="360"/>
      <c r="EI68" s="360"/>
      <c r="EJ68" s="360"/>
      <c r="EK68" s="360"/>
      <c r="EL68" s="360"/>
      <c r="EM68" s="360"/>
      <c r="EN68" s="360"/>
      <c r="EO68" s="360"/>
      <c r="EP68" s="360"/>
      <c r="EQ68" s="360"/>
      <c r="ER68" s="360"/>
      <c r="ES68" s="360"/>
      <c r="ET68" s="360"/>
      <c r="EU68" s="360"/>
      <c r="EV68" s="360"/>
      <c r="EW68" s="360"/>
      <c r="EX68" s="360"/>
      <c r="EY68" s="360"/>
      <c r="EZ68" s="360"/>
      <c r="FA68" s="360"/>
      <c r="FB68" s="360"/>
      <c r="FC68" s="360"/>
      <c r="FD68" s="360"/>
      <c r="FE68" s="360"/>
      <c r="FF68" s="360"/>
      <c r="FG68" s="360"/>
      <c r="FH68" s="360"/>
      <c r="FI68" s="360"/>
      <c r="FJ68" s="360"/>
      <c r="FK68" s="360"/>
      <c r="FL68" s="360"/>
      <c r="FM68" s="360"/>
      <c r="FN68" s="360"/>
      <c r="FO68" s="360"/>
      <c r="FP68" s="360"/>
      <c r="FQ68" s="360"/>
      <c r="FR68" s="360"/>
      <c r="FS68" s="360"/>
      <c r="FT68" s="360"/>
      <c r="FU68" s="360"/>
      <c r="FV68" s="360"/>
      <c r="FW68" s="360"/>
      <c r="FX68" s="360"/>
      <c r="FY68" s="360"/>
      <c r="FZ68" s="360"/>
      <c r="GA68" s="360"/>
      <c r="GB68" s="360"/>
      <c r="GC68" s="360"/>
      <c r="GD68" s="360"/>
      <c r="GE68" s="360"/>
      <c r="GF68" s="360"/>
      <c r="GG68" s="360"/>
      <c r="GH68" s="360"/>
      <c r="GI68" s="360"/>
      <c r="GJ68" s="360"/>
      <c r="GK68" s="360"/>
      <c r="GL68" s="360"/>
      <c r="GM68" s="360"/>
      <c r="GN68" s="360"/>
      <c r="GO68" s="360"/>
      <c r="GP68" s="360"/>
      <c r="GQ68" s="360"/>
      <c r="GR68" s="360"/>
      <c r="GS68" s="360"/>
      <c r="GT68" s="360"/>
      <c r="GU68" s="360"/>
      <c r="GV68" s="360"/>
      <c r="GW68" s="360"/>
      <c r="GX68" s="360"/>
      <c r="GY68" s="360"/>
      <c r="GZ68" s="360"/>
      <c r="HA68" s="360"/>
      <c r="HB68" s="360"/>
      <c r="HC68" s="360"/>
      <c r="HD68" s="360"/>
      <c r="HE68" s="360"/>
      <c r="HF68" s="360"/>
      <c r="HG68" s="360"/>
      <c r="HH68" s="360"/>
      <c r="HI68" s="360"/>
      <c r="HJ68" s="360"/>
      <c r="HK68" s="360"/>
      <c r="HL68" s="360"/>
      <c r="HM68" s="360"/>
      <c r="HN68" s="360"/>
      <c r="HO68" s="360"/>
      <c r="HP68" s="360"/>
      <c r="HQ68" s="360"/>
      <c r="HR68" s="360"/>
      <c r="HS68" s="360"/>
      <c r="HT68" s="360"/>
      <c r="HU68" s="360"/>
      <c r="HV68" s="360"/>
      <c r="HW68" s="360"/>
      <c r="HX68" s="360"/>
      <c r="HY68" s="360"/>
      <c r="HZ68" s="360"/>
      <c r="IA68" s="360"/>
      <c r="IB68" s="360"/>
      <c r="IC68" s="360"/>
      <c r="ID68" s="360"/>
      <c r="IE68" s="360"/>
      <c r="IF68" s="360"/>
      <c r="IG68" s="360"/>
      <c r="IH68" s="360"/>
      <c r="II68" s="360"/>
      <c r="IJ68" s="360"/>
      <c r="IK68" s="360"/>
      <c r="IL68" s="360"/>
      <c r="IM68" s="360"/>
      <c r="IN68" s="360"/>
      <c r="IO68" s="360"/>
      <c r="IP68" s="360"/>
      <c r="IQ68" s="360"/>
      <c r="IR68" s="360"/>
      <c r="IS68" s="360"/>
      <c r="IT68" s="360"/>
      <c r="IU68" s="360"/>
    </row>
    <row r="69" spans="1:255">
      <c r="A69" s="391"/>
      <c r="B69" s="391"/>
      <c r="C69" s="391"/>
      <c r="D69" s="389"/>
      <c r="E69" s="389"/>
      <c r="F69" s="391"/>
      <c r="G69" s="391"/>
      <c r="H69" s="391"/>
      <c r="I69" s="391"/>
      <c r="J69" s="391"/>
      <c r="K69" s="391"/>
      <c r="L69" s="391"/>
      <c r="M69" s="391"/>
      <c r="N69" s="391"/>
      <c r="O69" s="391"/>
      <c r="P69" s="391"/>
      <c r="Q69" s="391"/>
      <c r="R69" s="36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391"/>
      <c r="DJ69" s="391"/>
      <c r="DK69" s="391"/>
      <c r="DL69" s="391"/>
      <c r="DM69" s="391"/>
      <c r="DN69" s="391"/>
      <c r="DO69" s="391"/>
      <c r="DP69" s="391"/>
      <c r="DQ69" s="391"/>
      <c r="DR69" s="391"/>
      <c r="DS69" s="391"/>
      <c r="DT69" s="391"/>
      <c r="DU69" s="391"/>
      <c r="DV69" s="391"/>
      <c r="DW69" s="391"/>
      <c r="DX69" s="391"/>
      <c r="DY69" s="391"/>
      <c r="DZ69" s="391"/>
      <c r="EA69" s="391"/>
      <c r="EB69" s="391"/>
      <c r="EC69" s="391"/>
      <c r="ED69" s="391"/>
      <c r="EE69" s="391"/>
      <c r="EF69" s="391"/>
      <c r="EG69" s="391"/>
      <c r="EH69" s="391"/>
      <c r="EI69" s="391"/>
      <c r="EJ69" s="391"/>
      <c r="EK69" s="391"/>
      <c r="EL69" s="391"/>
      <c r="EM69" s="391"/>
      <c r="EN69" s="391"/>
      <c r="EO69" s="391"/>
      <c r="EP69" s="391"/>
      <c r="EQ69" s="391"/>
      <c r="ER69" s="391"/>
      <c r="ES69" s="391"/>
      <c r="ET69" s="391"/>
      <c r="EU69" s="391"/>
      <c r="EV69" s="391"/>
      <c r="EW69" s="391"/>
      <c r="EX69" s="391"/>
      <c r="EY69" s="391"/>
      <c r="EZ69" s="391"/>
      <c r="FA69" s="391"/>
      <c r="FB69" s="391"/>
      <c r="FC69" s="391"/>
      <c r="FD69" s="391"/>
      <c r="FE69" s="391"/>
      <c r="FF69" s="391"/>
      <c r="FG69" s="391"/>
      <c r="FH69" s="391"/>
      <c r="FI69" s="391"/>
      <c r="FJ69" s="391"/>
      <c r="FK69" s="391"/>
      <c r="FL69" s="391"/>
      <c r="FM69" s="391"/>
      <c r="FN69" s="391"/>
      <c r="FO69" s="391"/>
      <c r="FP69" s="391"/>
      <c r="FQ69" s="391"/>
      <c r="FR69" s="391"/>
      <c r="FS69" s="391"/>
      <c r="FT69" s="391"/>
      <c r="FU69" s="391"/>
      <c r="FV69" s="391"/>
      <c r="FW69" s="391"/>
      <c r="FX69" s="391"/>
      <c r="FY69" s="391"/>
      <c r="FZ69" s="391"/>
      <c r="GA69" s="391"/>
      <c r="GB69" s="391"/>
      <c r="GC69" s="391"/>
      <c r="GD69" s="391"/>
      <c r="GE69" s="391"/>
      <c r="GF69" s="391"/>
      <c r="GG69" s="391"/>
      <c r="GH69" s="391"/>
      <c r="GI69" s="391"/>
      <c r="GJ69" s="391"/>
      <c r="GK69" s="391"/>
      <c r="GL69" s="391"/>
      <c r="GM69" s="391"/>
      <c r="GN69" s="391"/>
      <c r="GO69" s="391"/>
      <c r="GP69" s="391"/>
      <c r="GQ69" s="391"/>
      <c r="GR69" s="391"/>
      <c r="GS69" s="391"/>
      <c r="GT69" s="391"/>
      <c r="GU69" s="391"/>
      <c r="GV69" s="391"/>
      <c r="GW69" s="391"/>
      <c r="GX69" s="391"/>
      <c r="GY69" s="391"/>
      <c r="GZ69" s="391"/>
      <c r="HA69" s="391"/>
      <c r="HB69" s="391"/>
      <c r="HC69" s="391"/>
      <c r="HD69" s="391"/>
      <c r="HE69" s="391"/>
      <c r="HF69" s="391"/>
      <c r="HG69" s="391"/>
      <c r="HH69" s="391"/>
      <c r="HI69" s="391"/>
      <c r="HJ69" s="391"/>
      <c r="HK69" s="391"/>
      <c r="HL69" s="391"/>
      <c r="HM69" s="391"/>
      <c r="HN69" s="391"/>
      <c r="HO69" s="391"/>
      <c r="HP69" s="391"/>
      <c r="HQ69" s="391"/>
      <c r="HR69" s="391"/>
      <c r="HS69" s="391"/>
      <c r="HT69" s="391"/>
      <c r="HU69" s="391"/>
      <c r="HV69" s="391"/>
      <c r="HW69" s="391"/>
      <c r="HX69" s="391"/>
      <c r="HY69" s="391"/>
      <c r="HZ69" s="391"/>
      <c r="IA69" s="391"/>
      <c r="IB69" s="391"/>
      <c r="IC69" s="391"/>
      <c r="ID69" s="391"/>
      <c r="IE69" s="391"/>
      <c r="IF69" s="391"/>
      <c r="IG69" s="391"/>
      <c r="IH69" s="391"/>
      <c r="II69" s="391"/>
      <c r="IJ69" s="391"/>
      <c r="IK69" s="391"/>
      <c r="IL69" s="391"/>
      <c r="IM69" s="391"/>
      <c r="IN69" s="391"/>
      <c r="IO69" s="391"/>
      <c r="IP69" s="391"/>
      <c r="IQ69" s="391"/>
      <c r="IR69" s="391"/>
      <c r="IS69" s="391"/>
      <c r="IT69" s="391"/>
      <c r="IU69" s="391"/>
    </row>
    <row r="70" spans="1:255">
      <c r="A70" s="360"/>
      <c r="B70" s="360"/>
      <c r="C70" s="360"/>
      <c r="D70" s="360"/>
      <c r="E70" s="389"/>
      <c r="F70" s="360"/>
      <c r="G70" s="360"/>
      <c r="H70" s="389"/>
      <c r="I70" s="360"/>
      <c r="J70" s="360"/>
      <c r="K70" s="360"/>
      <c r="L70" s="360"/>
      <c r="M70" s="360"/>
      <c r="N70" s="360"/>
      <c r="O70" s="360"/>
      <c r="P70" s="360"/>
      <c r="Q70" s="360"/>
      <c r="R70" s="361"/>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360"/>
      <c r="CZ70" s="360"/>
      <c r="DA70" s="360"/>
      <c r="DB70" s="360"/>
      <c r="DC70" s="360"/>
      <c r="DD70" s="360"/>
      <c r="DE70" s="360"/>
      <c r="DF70" s="360"/>
      <c r="DG70" s="360"/>
      <c r="DH70" s="360"/>
      <c r="DI70" s="360"/>
      <c r="DJ70" s="360"/>
      <c r="DK70" s="360"/>
      <c r="DL70" s="360"/>
      <c r="DM70" s="360"/>
      <c r="DN70" s="360"/>
      <c r="DO70" s="360"/>
      <c r="DP70" s="360"/>
      <c r="DQ70" s="360"/>
      <c r="DR70" s="360"/>
      <c r="DS70" s="360"/>
      <c r="DT70" s="360"/>
      <c r="DU70" s="360"/>
      <c r="DV70" s="360"/>
      <c r="DW70" s="360"/>
      <c r="DX70" s="360"/>
      <c r="DY70" s="360"/>
      <c r="DZ70" s="360"/>
      <c r="EA70" s="360"/>
      <c r="EB70" s="360"/>
      <c r="EC70" s="360"/>
      <c r="ED70" s="360"/>
      <c r="EE70" s="360"/>
      <c r="EF70" s="360"/>
      <c r="EG70" s="360"/>
      <c r="EH70" s="360"/>
      <c r="EI70" s="360"/>
      <c r="EJ70" s="360"/>
      <c r="EK70" s="360"/>
      <c r="EL70" s="360"/>
      <c r="EM70" s="360"/>
      <c r="EN70" s="360"/>
      <c r="EO70" s="360"/>
      <c r="EP70" s="360"/>
      <c r="EQ70" s="360"/>
      <c r="ER70" s="360"/>
      <c r="ES70" s="360"/>
      <c r="ET70" s="360"/>
      <c r="EU70" s="360"/>
      <c r="EV70" s="360"/>
      <c r="EW70" s="360"/>
      <c r="EX70" s="360"/>
      <c r="EY70" s="360"/>
      <c r="EZ70" s="360"/>
      <c r="FA70" s="360"/>
      <c r="FB70" s="360"/>
      <c r="FC70" s="360"/>
      <c r="FD70" s="360"/>
      <c r="FE70" s="360"/>
      <c r="FF70" s="360"/>
      <c r="FG70" s="360"/>
      <c r="FH70" s="360"/>
      <c r="FI70" s="360"/>
      <c r="FJ70" s="360"/>
      <c r="FK70" s="360"/>
      <c r="FL70" s="360"/>
      <c r="FM70" s="360"/>
      <c r="FN70" s="360"/>
      <c r="FO70" s="360"/>
      <c r="FP70" s="360"/>
      <c r="FQ70" s="360"/>
      <c r="FR70" s="360"/>
      <c r="FS70" s="360"/>
      <c r="FT70" s="360"/>
      <c r="FU70" s="360"/>
      <c r="FV70" s="360"/>
      <c r="FW70" s="360"/>
      <c r="FX70" s="360"/>
      <c r="FY70" s="360"/>
      <c r="FZ70" s="360"/>
      <c r="GA70" s="360"/>
      <c r="GB70" s="360"/>
      <c r="GC70" s="360"/>
      <c r="GD70" s="360"/>
      <c r="GE70" s="360"/>
      <c r="GF70" s="360"/>
      <c r="GG70" s="360"/>
      <c r="GH70" s="360"/>
      <c r="GI70" s="360"/>
      <c r="GJ70" s="360"/>
      <c r="GK70" s="360"/>
      <c r="GL70" s="360"/>
      <c r="GM70" s="360"/>
      <c r="GN70" s="360"/>
      <c r="GO70" s="360"/>
      <c r="GP70" s="360"/>
      <c r="GQ70" s="360"/>
      <c r="GR70" s="360"/>
      <c r="GS70" s="360"/>
      <c r="GT70" s="360"/>
      <c r="GU70" s="360"/>
      <c r="GV70" s="360"/>
      <c r="GW70" s="360"/>
      <c r="GX70" s="360"/>
      <c r="GY70" s="360"/>
      <c r="GZ70" s="360"/>
      <c r="HA70" s="360"/>
      <c r="HB70" s="360"/>
      <c r="HC70" s="360"/>
      <c r="HD70" s="360"/>
      <c r="HE70" s="360"/>
      <c r="HF70" s="360"/>
      <c r="HG70" s="360"/>
      <c r="HH70" s="360"/>
      <c r="HI70" s="360"/>
      <c r="HJ70" s="360"/>
      <c r="HK70" s="360"/>
      <c r="HL70" s="360"/>
      <c r="HM70" s="360"/>
      <c r="HN70" s="360"/>
      <c r="HO70" s="360"/>
      <c r="HP70" s="360"/>
      <c r="HQ70" s="360"/>
      <c r="HR70" s="360"/>
      <c r="HS70" s="360"/>
      <c r="HT70" s="360"/>
      <c r="HU70" s="360"/>
      <c r="HV70" s="360"/>
      <c r="HW70" s="360"/>
      <c r="HX70" s="360"/>
      <c r="HY70" s="360"/>
      <c r="HZ70" s="360"/>
      <c r="IA70" s="360"/>
      <c r="IB70" s="360"/>
      <c r="IC70" s="360"/>
      <c r="ID70" s="360"/>
      <c r="IE70" s="360"/>
      <c r="IF70" s="360"/>
      <c r="IG70" s="360"/>
      <c r="IH70" s="360"/>
      <c r="II70" s="360"/>
      <c r="IJ70" s="360"/>
      <c r="IK70" s="360"/>
      <c r="IL70" s="360"/>
      <c r="IM70" s="360"/>
      <c r="IN70" s="360"/>
      <c r="IO70" s="360"/>
      <c r="IP70" s="360"/>
      <c r="IQ70" s="360"/>
      <c r="IR70" s="360"/>
      <c r="IS70" s="360"/>
      <c r="IT70" s="360"/>
      <c r="IU70" s="360"/>
    </row>
    <row r="71" spans="1:255">
      <c r="A71" s="361"/>
      <c r="B71" s="361"/>
      <c r="C71" s="361"/>
      <c r="D71" s="361"/>
      <c r="E71" s="389"/>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1"/>
      <c r="DU71" s="361"/>
      <c r="DV71" s="361"/>
      <c r="DW71" s="361"/>
      <c r="DX71" s="361"/>
      <c r="DY71" s="361"/>
      <c r="DZ71" s="361"/>
      <c r="EA71" s="361"/>
      <c r="EB71" s="361"/>
      <c r="EC71" s="361"/>
      <c r="ED71" s="361"/>
      <c r="EE71" s="361"/>
      <c r="EF71" s="361"/>
      <c r="EG71" s="361"/>
      <c r="EH71" s="361"/>
      <c r="EI71" s="361"/>
      <c r="EJ71" s="361"/>
      <c r="EK71" s="361"/>
      <c r="EL71" s="361"/>
      <c r="EM71" s="361"/>
      <c r="EN71" s="361"/>
      <c r="EO71" s="361"/>
      <c r="EP71" s="361"/>
      <c r="EQ71" s="361"/>
      <c r="ER71" s="361"/>
      <c r="ES71" s="361"/>
      <c r="ET71" s="361"/>
      <c r="EU71" s="361"/>
      <c r="EV71" s="361"/>
      <c r="EW71" s="361"/>
      <c r="EX71" s="361"/>
      <c r="EY71" s="361"/>
      <c r="EZ71" s="361"/>
      <c r="FA71" s="361"/>
      <c r="FB71" s="361"/>
      <c r="FC71" s="361"/>
      <c r="FD71" s="361"/>
      <c r="FE71" s="361"/>
      <c r="FF71" s="361"/>
      <c r="FG71" s="361"/>
      <c r="FH71" s="361"/>
      <c r="FI71" s="361"/>
      <c r="FJ71" s="361"/>
      <c r="FK71" s="361"/>
      <c r="FL71" s="361"/>
      <c r="FM71" s="361"/>
      <c r="FN71" s="361"/>
      <c r="FO71" s="361"/>
      <c r="FP71" s="361"/>
      <c r="FQ71" s="361"/>
      <c r="FR71" s="361"/>
      <c r="FS71" s="361"/>
      <c r="FT71" s="361"/>
      <c r="FU71" s="361"/>
      <c r="FV71" s="361"/>
      <c r="FW71" s="361"/>
      <c r="FX71" s="361"/>
      <c r="FY71" s="361"/>
      <c r="FZ71" s="361"/>
      <c r="GA71" s="361"/>
      <c r="GB71" s="361"/>
      <c r="GC71" s="361"/>
      <c r="GD71" s="361"/>
      <c r="GE71" s="361"/>
      <c r="GF71" s="361"/>
      <c r="GG71" s="361"/>
      <c r="GH71" s="361"/>
      <c r="GI71" s="361"/>
      <c r="GJ71" s="361"/>
      <c r="GK71" s="361"/>
      <c r="GL71" s="361"/>
      <c r="GM71" s="361"/>
      <c r="GN71" s="361"/>
      <c r="GO71" s="361"/>
      <c r="GP71" s="361"/>
      <c r="GQ71" s="361"/>
      <c r="GR71" s="361"/>
      <c r="GS71" s="361"/>
      <c r="GT71" s="361"/>
      <c r="GU71" s="361"/>
      <c r="GV71" s="361"/>
      <c r="GW71" s="361"/>
      <c r="GX71" s="361"/>
      <c r="GY71" s="361"/>
      <c r="GZ71" s="361"/>
      <c r="HA71" s="361"/>
      <c r="HB71" s="361"/>
      <c r="HC71" s="361"/>
      <c r="HD71" s="361"/>
      <c r="HE71" s="361"/>
      <c r="HF71" s="361"/>
      <c r="HG71" s="361"/>
      <c r="HH71" s="361"/>
      <c r="HI71" s="361"/>
      <c r="HJ71" s="361"/>
      <c r="HK71" s="361"/>
      <c r="HL71" s="361"/>
      <c r="HM71" s="361"/>
      <c r="HN71" s="361"/>
      <c r="HO71" s="361"/>
      <c r="HP71" s="361"/>
      <c r="HQ71" s="361"/>
      <c r="HR71" s="361"/>
      <c r="HS71" s="361"/>
      <c r="HT71" s="361"/>
      <c r="HU71" s="361"/>
      <c r="HV71" s="361"/>
      <c r="HW71" s="361"/>
      <c r="HX71" s="361"/>
      <c r="HY71" s="361"/>
      <c r="HZ71" s="361"/>
      <c r="IA71" s="361"/>
      <c r="IB71" s="361"/>
      <c r="IC71" s="361"/>
      <c r="ID71" s="361"/>
      <c r="IE71" s="361"/>
      <c r="IF71" s="361"/>
      <c r="IG71" s="361"/>
      <c r="IH71" s="361"/>
      <c r="II71" s="361"/>
      <c r="IJ71" s="361"/>
      <c r="IK71" s="361"/>
      <c r="IL71" s="361"/>
      <c r="IM71" s="361"/>
      <c r="IN71" s="361"/>
      <c r="IO71" s="361"/>
      <c r="IP71" s="361"/>
      <c r="IQ71" s="361"/>
      <c r="IR71" s="361"/>
      <c r="IS71" s="361"/>
      <c r="IT71" s="361"/>
      <c r="IU71" s="361"/>
    </row>
    <row r="72" spans="1:255">
      <c r="A72" s="360"/>
      <c r="B72" s="360"/>
      <c r="C72" s="360"/>
      <c r="D72" s="360"/>
      <c r="E72" s="389"/>
      <c r="F72" s="360"/>
      <c r="G72" s="360"/>
      <c r="H72" s="360"/>
      <c r="I72" s="360"/>
      <c r="J72" s="360"/>
      <c r="K72" s="360"/>
      <c r="L72" s="360"/>
      <c r="M72" s="360"/>
      <c r="N72" s="360"/>
      <c r="O72" s="360"/>
      <c r="P72" s="360"/>
      <c r="Q72" s="360"/>
      <c r="R72" s="361"/>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360"/>
      <c r="CZ72" s="360"/>
      <c r="DA72" s="360"/>
      <c r="DB72" s="360"/>
      <c r="DC72" s="360"/>
      <c r="DD72" s="360"/>
      <c r="DE72" s="360"/>
      <c r="DF72" s="360"/>
      <c r="DG72" s="360"/>
      <c r="DH72" s="360"/>
      <c r="DI72" s="360"/>
      <c r="DJ72" s="360"/>
      <c r="DK72" s="360"/>
      <c r="DL72" s="360"/>
      <c r="DM72" s="360"/>
      <c r="DN72" s="360"/>
      <c r="DO72" s="360"/>
      <c r="DP72" s="360"/>
      <c r="DQ72" s="360"/>
      <c r="DR72" s="360"/>
      <c r="DS72" s="360"/>
      <c r="DT72" s="360"/>
      <c r="DU72" s="360"/>
      <c r="DV72" s="360"/>
      <c r="DW72" s="360"/>
      <c r="DX72" s="360"/>
      <c r="DY72" s="360"/>
      <c r="DZ72" s="360"/>
      <c r="EA72" s="360"/>
      <c r="EB72" s="360"/>
      <c r="EC72" s="360"/>
      <c r="ED72" s="360"/>
      <c r="EE72" s="360"/>
      <c r="EF72" s="360"/>
      <c r="EG72" s="360"/>
      <c r="EH72" s="360"/>
      <c r="EI72" s="360"/>
      <c r="EJ72" s="360"/>
      <c r="EK72" s="360"/>
      <c r="EL72" s="360"/>
      <c r="EM72" s="360"/>
      <c r="EN72" s="360"/>
      <c r="EO72" s="360"/>
      <c r="EP72" s="360"/>
      <c r="EQ72" s="360"/>
      <c r="ER72" s="360"/>
      <c r="ES72" s="360"/>
      <c r="ET72" s="360"/>
      <c r="EU72" s="360"/>
      <c r="EV72" s="360"/>
      <c r="EW72" s="360"/>
      <c r="EX72" s="360"/>
      <c r="EY72" s="360"/>
      <c r="EZ72" s="360"/>
      <c r="FA72" s="360"/>
      <c r="FB72" s="360"/>
      <c r="FC72" s="360"/>
      <c r="FD72" s="360"/>
      <c r="FE72" s="360"/>
      <c r="FF72" s="360"/>
      <c r="FG72" s="360"/>
      <c r="FH72" s="360"/>
      <c r="FI72" s="360"/>
      <c r="FJ72" s="360"/>
      <c r="FK72" s="360"/>
      <c r="FL72" s="360"/>
      <c r="FM72" s="360"/>
      <c r="FN72" s="360"/>
      <c r="FO72" s="360"/>
      <c r="FP72" s="360"/>
      <c r="FQ72" s="360"/>
      <c r="FR72" s="360"/>
      <c r="FS72" s="360"/>
      <c r="FT72" s="360"/>
      <c r="FU72" s="360"/>
      <c r="FV72" s="360"/>
      <c r="FW72" s="360"/>
      <c r="FX72" s="360"/>
      <c r="FY72" s="360"/>
      <c r="FZ72" s="360"/>
      <c r="GA72" s="360"/>
      <c r="GB72" s="360"/>
      <c r="GC72" s="360"/>
      <c r="GD72" s="360"/>
      <c r="GE72" s="360"/>
      <c r="GF72" s="360"/>
      <c r="GG72" s="360"/>
      <c r="GH72" s="360"/>
      <c r="GI72" s="360"/>
      <c r="GJ72" s="360"/>
      <c r="GK72" s="360"/>
      <c r="GL72" s="360"/>
      <c r="GM72" s="360"/>
      <c r="GN72" s="360"/>
      <c r="GO72" s="360"/>
      <c r="GP72" s="360"/>
      <c r="GQ72" s="360"/>
      <c r="GR72" s="360"/>
      <c r="GS72" s="360"/>
      <c r="GT72" s="360"/>
      <c r="GU72" s="360"/>
      <c r="GV72" s="360"/>
      <c r="GW72" s="360"/>
      <c r="GX72" s="360"/>
      <c r="GY72" s="360"/>
      <c r="GZ72" s="360"/>
      <c r="HA72" s="360"/>
      <c r="HB72" s="360"/>
      <c r="HC72" s="360"/>
      <c r="HD72" s="360"/>
      <c r="HE72" s="360"/>
      <c r="HF72" s="360"/>
      <c r="HG72" s="360"/>
      <c r="HH72" s="360"/>
      <c r="HI72" s="360"/>
      <c r="HJ72" s="360"/>
      <c r="HK72" s="360"/>
      <c r="HL72" s="360"/>
      <c r="HM72" s="360"/>
      <c r="HN72" s="360"/>
      <c r="HO72" s="360"/>
      <c r="HP72" s="360"/>
      <c r="HQ72" s="360"/>
      <c r="HR72" s="360"/>
      <c r="HS72" s="360"/>
      <c r="HT72" s="360"/>
      <c r="HU72" s="360"/>
      <c r="HV72" s="360"/>
      <c r="HW72" s="360"/>
      <c r="HX72" s="360"/>
      <c r="HY72" s="360"/>
      <c r="HZ72" s="360"/>
      <c r="IA72" s="360"/>
      <c r="IB72" s="360"/>
      <c r="IC72" s="360"/>
      <c r="ID72" s="360"/>
      <c r="IE72" s="360"/>
      <c r="IF72" s="360"/>
      <c r="IG72" s="360"/>
      <c r="IH72" s="360"/>
      <c r="II72" s="360"/>
      <c r="IJ72" s="360"/>
      <c r="IK72" s="360"/>
      <c r="IL72" s="360"/>
      <c r="IM72" s="360"/>
      <c r="IN72" s="360"/>
      <c r="IO72" s="360"/>
      <c r="IP72" s="360"/>
      <c r="IQ72" s="360"/>
      <c r="IR72" s="360"/>
      <c r="IS72" s="360"/>
      <c r="IT72" s="360"/>
      <c r="IU72" s="360"/>
    </row>
    <row r="73" spans="1:255">
      <c r="A73" s="360"/>
      <c r="B73" s="360"/>
      <c r="C73" s="360"/>
      <c r="D73" s="360"/>
      <c r="E73" s="389"/>
      <c r="F73" s="360"/>
      <c r="G73" s="360"/>
      <c r="H73" s="360"/>
      <c r="I73" s="360"/>
      <c r="J73" s="360"/>
      <c r="K73" s="360"/>
      <c r="L73" s="360"/>
      <c r="M73" s="360"/>
      <c r="N73" s="360"/>
      <c r="O73" s="360"/>
      <c r="P73" s="360"/>
      <c r="Q73" s="360"/>
      <c r="R73" s="361"/>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0"/>
      <c r="CY73" s="360"/>
      <c r="CZ73" s="360"/>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360"/>
      <c r="DW73" s="360"/>
      <c r="DX73" s="360"/>
      <c r="DY73" s="360"/>
      <c r="DZ73" s="360"/>
      <c r="EA73" s="360"/>
      <c r="EB73" s="360"/>
      <c r="EC73" s="360"/>
      <c r="ED73" s="360"/>
      <c r="EE73" s="360"/>
      <c r="EF73" s="360"/>
      <c r="EG73" s="360"/>
      <c r="EH73" s="360"/>
      <c r="EI73" s="360"/>
      <c r="EJ73" s="360"/>
      <c r="EK73" s="360"/>
      <c r="EL73" s="360"/>
      <c r="EM73" s="360"/>
      <c r="EN73" s="360"/>
      <c r="EO73" s="360"/>
      <c r="EP73" s="360"/>
      <c r="EQ73" s="360"/>
      <c r="ER73" s="360"/>
      <c r="ES73" s="360"/>
      <c r="ET73" s="360"/>
      <c r="EU73" s="360"/>
      <c r="EV73" s="360"/>
      <c r="EW73" s="360"/>
      <c r="EX73" s="360"/>
      <c r="EY73" s="360"/>
      <c r="EZ73" s="360"/>
      <c r="FA73" s="360"/>
      <c r="FB73" s="360"/>
      <c r="FC73" s="360"/>
      <c r="FD73" s="360"/>
      <c r="FE73" s="360"/>
      <c r="FF73" s="360"/>
      <c r="FG73" s="360"/>
      <c r="FH73" s="360"/>
      <c r="FI73" s="360"/>
      <c r="FJ73" s="360"/>
      <c r="FK73" s="360"/>
      <c r="FL73" s="360"/>
      <c r="FM73" s="360"/>
      <c r="FN73" s="360"/>
      <c r="FO73" s="360"/>
      <c r="FP73" s="360"/>
      <c r="FQ73" s="360"/>
      <c r="FR73" s="360"/>
      <c r="FS73" s="360"/>
      <c r="FT73" s="360"/>
      <c r="FU73" s="360"/>
      <c r="FV73" s="360"/>
      <c r="FW73" s="360"/>
      <c r="FX73" s="360"/>
      <c r="FY73" s="360"/>
      <c r="FZ73" s="360"/>
      <c r="GA73" s="360"/>
      <c r="GB73" s="360"/>
      <c r="GC73" s="360"/>
      <c r="GD73" s="360"/>
      <c r="GE73" s="360"/>
      <c r="GF73" s="360"/>
      <c r="GG73" s="360"/>
      <c r="GH73" s="360"/>
      <c r="GI73" s="360"/>
      <c r="GJ73" s="360"/>
      <c r="GK73" s="360"/>
      <c r="GL73" s="360"/>
      <c r="GM73" s="360"/>
      <c r="GN73" s="360"/>
      <c r="GO73" s="360"/>
      <c r="GP73" s="360"/>
      <c r="GQ73" s="360"/>
      <c r="GR73" s="360"/>
      <c r="GS73" s="360"/>
      <c r="GT73" s="360"/>
      <c r="GU73" s="360"/>
      <c r="GV73" s="360"/>
      <c r="GW73" s="360"/>
      <c r="GX73" s="360"/>
      <c r="GY73" s="360"/>
      <c r="GZ73" s="360"/>
      <c r="HA73" s="360"/>
      <c r="HB73" s="360"/>
      <c r="HC73" s="360"/>
      <c r="HD73" s="360"/>
      <c r="HE73" s="360"/>
      <c r="HF73" s="360"/>
      <c r="HG73" s="360"/>
      <c r="HH73" s="360"/>
      <c r="HI73" s="360"/>
      <c r="HJ73" s="360"/>
      <c r="HK73" s="360"/>
      <c r="HL73" s="360"/>
      <c r="HM73" s="360"/>
      <c r="HN73" s="360"/>
      <c r="HO73" s="360"/>
      <c r="HP73" s="360"/>
      <c r="HQ73" s="360"/>
      <c r="HR73" s="360"/>
      <c r="HS73" s="360"/>
      <c r="HT73" s="360"/>
      <c r="HU73" s="360"/>
      <c r="HV73" s="360"/>
      <c r="HW73" s="360"/>
      <c r="HX73" s="360"/>
      <c r="HY73" s="360"/>
      <c r="HZ73" s="360"/>
      <c r="IA73" s="360"/>
      <c r="IB73" s="360"/>
      <c r="IC73" s="360"/>
      <c r="ID73" s="360"/>
      <c r="IE73" s="360"/>
      <c r="IF73" s="360"/>
      <c r="IG73" s="360"/>
      <c r="IH73" s="360"/>
      <c r="II73" s="360"/>
      <c r="IJ73" s="360"/>
      <c r="IK73" s="360"/>
      <c r="IL73" s="360"/>
      <c r="IM73" s="360"/>
      <c r="IN73" s="360"/>
      <c r="IO73" s="360"/>
      <c r="IP73" s="360"/>
      <c r="IQ73" s="360"/>
      <c r="IR73" s="360"/>
      <c r="IS73" s="360"/>
      <c r="IT73" s="360"/>
      <c r="IU73" s="360"/>
    </row>
    <row r="74" spans="1:255">
      <c r="A74" s="360"/>
      <c r="B74" s="360"/>
      <c r="C74" s="360"/>
      <c r="D74" s="360"/>
      <c r="E74" s="389"/>
      <c r="F74" s="360"/>
      <c r="G74" s="360"/>
      <c r="H74" s="360"/>
      <c r="I74" s="360"/>
      <c r="J74" s="360"/>
      <c r="K74" s="360"/>
      <c r="L74" s="360"/>
      <c r="M74" s="360"/>
      <c r="N74" s="360"/>
      <c r="O74" s="360"/>
      <c r="P74" s="360"/>
      <c r="Q74" s="360"/>
      <c r="R74" s="361"/>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360"/>
      <c r="CZ74" s="360"/>
      <c r="DA74" s="360"/>
      <c r="DB74" s="360"/>
      <c r="DC74" s="360"/>
      <c r="DD74" s="360"/>
      <c r="DE74" s="360"/>
      <c r="DF74" s="360"/>
      <c r="DG74" s="360"/>
      <c r="DH74" s="360"/>
      <c r="DI74" s="360"/>
      <c r="DJ74" s="360"/>
      <c r="DK74" s="360"/>
      <c r="DL74" s="360"/>
      <c r="DM74" s="360"/>
      <c r="DN74" s="360"/>
      <c r="DO74" s="360"/>
      <c r="DP74" s="360"/>
      <c r="DQ74" s="360"/>
      <c r="DR74" s="360"/>
      <c r="DS74" s="360"/>
      <c r="DT74" s="360"/>
      <c r="DU74" s="360"/>
      <c r="DV74" s="360"/>
      <c r="DW74" s="360"/>
      <c r="DX74" s="360"/>
      <c r="DY74" s="360"/>
      <c r="DZ74" s="360"/>
      <c r="EA74" s="360"/>
      <c r="EB74" s="360"/>
      <c r="EC74" s="360"/>
      <c r="ED74" s="360"/>
      <c r="EE74" s="360"/>
      <c r="EF74" s="360"/>
      <c r="EG74" s="360"/>
      <c r="EH74" s="360"/>
      <c r="EI74" s="360"/>
      <c r="EJ74" s="360"/>
      <c r="EK74" s="360"/>
      <c r="EL74" s="360"/>
      <c r="EM74" s="360"/>
      <c r="EN74" s="360"/>
      <c r="EO74" s="360"/>
      <c r="EP74" s="360"/>
      <c r="EQ74" s="360"/>
      <c r="ER74" s="360"/>
      <c r="ES74" s="360"/>
      <c r="ET74" s="360"/>
      <c r="EU74" s="360"/>
      <c r="EV74" s="360"/>
      <c r="EW74" s="360"/>
      <c r="EX74" s="360"/>
      <c r="EY74" s="360"/>
      <c r="EZ74" s="360"/>
      <c r="FA74" s="360"/>
      <c r="FB74" s="360"/>
      <c r="FC74" s="360"/>
      <c r="FD74" s="360"/>
      <c r="FE74" s="360"/>
      <c r="FF74" s="360"/>
      <c r="FG74" s="360"/>
      <c r="FH74" s="360"/>
      <c r="FI74" s="360"/>
      <c r="FJ74" s="360"/>
      <c r="FK74" s="360"/>
      <c r="FL74" s="360"/>
      <c r="FM74" s="360"/>
      <c r="FN74" s="360"/>
      <c r="FO74" s="360"/>
      <c r="FP74" s="360"/>
      <c r="FQ74" s="360"/>
      <c r="FR74" s="360"/>
      <c r="FS74" s="360"/>
      <c r="FT74" s="360"/>
      <c r="FU74" s="360"/>
      <c r="FV74" s="360"/>
      <c r="FW74" s="360"/>
      <c r="FX74" s="360"/>
      <c r="FY74" s="360"/>
      <c r="FZ74" s="360"/>
      <c r="GA74" s="360"/>
      <c r="GB74" s="360"/>
      <c r="GC74" s="360"/>
      <c r="GD74" s="360"/>
      <c r="GE74" s="360"/>
      <c r="GF74" s="360"/>
      <c r="GG74" s="360"/>
      <c r="GH74" s="360"/>
      <c r="GI74" s="360"/>
      <c r="GJ74" s="360"/>
      <c r="GK74" s="360"/>
      <c r="GL74" s="360"/>
      <c r="GM74" s="360"/>
      <c r="GN74" s="360"/>
      <c r="GO74" s="360"/>
      <c r="GP74" s="360"/>
      <c r="GQ74" s="360"/>
      <c r="GR74" s="360"/>
      <c r="GS74" s="360"/>
      <c r="GT74" s="360"/>
      <c r="GU74" s="360"/>
      <c r="GV74" s="360"/>
      <c r="GW74" s="360"/>
      <c r="GX74" s="360"/>
      <c r="GY74" s="360"/>
      <c r="GZ74" s="360"/>
      <c r="HA74" s="360"/>
      <c r="HB74" s="360"/>
      <c r="HC74" s="360"/>
      <c r="HD74" s="360"/>
      <c r="HE74" s="360"/>
      <c r="HF74" s="360"/>
      <c r="HG74" s="360"/>
      <c r="HH74" s="360"/>
      <c r="HI74" s="360"/>
      <c r="HJ74" s="360"/>
      <c r="HK74" s="360"/>
      <c r="HL74" s="360"/>
      <c r="HM74" s="360"/>
      <c r="HN74" s="360"/>
      <c r="HO74" s="360"/>
      <c r="HP74" s="360"/>
      <c r="HQ74" s="360"/>
      <c r="HR74" s="360"/>
      <c r="HS74" s="360"/>
      <c r="HT74" s="360"/>
      <c r="HU74" s="360"/>
      <c r="HV74" s="360"/>
      <c r="HW74" s="360"/>
      <c r="HX74" s="360"/>
      <c r="HY74" s="360"/>
      <c r="HZ74" s="360"/>
      <c r="IA74" s="360"/>
      <c r="IB74" s="360"/>
      <c r="IC74" s="360"/>
      <c r="ID74" s="360"/>
      <c r="IE74" s="360"/>
      <c r="IF74" s="360"/>
      <c r="IG74" s="360"/>
      <c r="IH74" s="360"/>
      <c r="II74" s="360"/>
      <c r="IJ74" s="360"/>
      <c r="IK74" s="360"/>
      <c r="IL74" s="360"/>
      <c r="IM74" s="360"/>
      <c r="IN74" s="360"/>
      <c r="IO74" s="360"/>
      <c r="IP74" s="360"/>
      <c r="IQ74" s="360"/>
      <c r="IR74" s="360"/>
      <c r="IS74" s="360"/>
      <c r="IT74" s="360"/>
      <c r="IU74" s="360"/>
    </row>
    <row r="75" spans="1:255">
      <c r="A75" s="360"/>
      <c r="B75" s="360"/>
      <c r="C75" s="360"/>
      <c r="D75" s="360"/>
      <c r="E75" s="389"/>
      <c r="F75" s="360"/>
      <c r="G75" s="360"/>
      <c r="H75" s="360"/>
      <c r="I75" s="360"/>
      <c r="J75" s="360"/>
      <c r="K75" s="360"/>
      <c r="L75" s="360"/>
      <c r="M75" s="360"/>
      <c r="N75" s="360"/>
      <c r="O75" s="360"/>
      <c r="P75" s="360"/>
      <c r="Q75" s="360"/>
      <c r="R75" s="361"/>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360"/>
      <c r="CZ75" s="360"/>
      <c r="DA75" s="360"/>
      <c r="DB75" s="360"/>
      <c r="DC75" s="360"/>
      <c r="DD75" s="360"/>
      <c r="DE75" s="360"/>
      <c r="DF75" s="360"/>
      <c r="DG75" s="360"/>
      <c r="DH75" s="360"/>
      <c r="DI75" s="360"/>
      <c r="DJ75" s="360"/>
      <c r="DK75" s="360"/>
      <c r="DL75" s="360"/>
      <c r="DM75" s="360"/>
      <c r="DN75" s="360"/>
      <c r="DO75" s="360"/>
      <c r="DP75" s="360"/>
      <c r="DQ75" s="360"/>
      <c r="DR75" s="360"/>
      <c r="DS75" s="360"/>
      <c r="DT75" s="360"/>
      <c r="DU75" s="360"/>
      <c r="DV75" s="360"/>
      <c r="DW75" s="360"/>
      <c r="DX75" s="360"/>
      <c r="DY75" s="360"/>
      <c r="DZ75" s="360"/>
      <c r="EA75" s="360"/>
      <c r="EB75" s="360"/>
      <c r="EC75" s="360"/>
      <c r="ED75" s="360"/>
      <c r="EE75" s="360"/>
      <c r="EF75" s="360"/>
      <c r="EG75" s="360"/>
      <c r="EH75" s="360"/>
      <c r="EI75" s="360"/>
      <c r="EJ75" s="360"/>
      <c r="EK75" s="360"/>
      <c r="EL75" s="360"/>
      <c r="EM75" s="360"/>
      <c r="EN75" s="360"/>
      <c r="EO75" s="360"/>
      <c r="EP75" s="360"/>
      <c r="EQ75" s="360"/>
      <c r="ER75" s="360"/>
      <c r="ES75" s="360"/>
      <c r="ET75" s="360"/>
      <c r="EU75" s="360"/>
      <c r="EV75" s="360"/>
      <c r="EW75" s="360"/>
      <c r="EX75" s="360"/>
      <c r="EY75" s="360"/>
      <c r="EZ75" s="360"/>
      <c r="FA75" s="360"/>
      <c r="FB75" s="360"/>
      <c r="FC75" s="360"/>
      <c r="FD75" s="360"/>
      <c r="FE75" s="360"/>
      <c r="FF75" s="360"/>
      <c r="FG75" s="360"/>
      <c r="FH75" s="360"/>
      <c r="FI75" s="360"/>
      <c r="FJ75" s="360"/>
      <c r="FK75" s="360"/>
      <c r="FL75" s="360"/>
      <c r="FM75" s="360"/>
      <c r="FN75" s="360"/>
      <c r="FO75" s="360"/>
      <c r="FP75" s="360"/>
      <c r="FQ75" s="360"/>
      <c r="FR75" s="360"/>
      <c r="FS75" s="360"/>
      <c r="FT75" s="360"/>
      <c r="FU75" s="360"/>
      <c r="FV75" s="360"/>
      <c r="FW75" s="360"/>
      <c r="FX75" s="360"/>
      <c r="FY75" s="360"/>
      <c r="FZ75" s="360"/>
      <c r="GA75" s="360"/>
      <c r="GB75" s="360"/>
      <c r="GC75" s="360"/>
      <c r="GD75" s="360"/>
      <c r="GE75" s="360"/>
      <c r="GF75" s="360"/>
      <c r="GG75" s="360"/>
      <c r="GH75" s="360"/>
      <c r="GI75" s="360"/>
      <c r="GJ75" s="360"/>
      <c r="GK75" s="360"/>
      <c r="GL75" s="360"/>
      <c r="GM75" s="360"/>
      <c r="GN75" s="360"/>
      <c r="GO75" s="360"/>
      <c r="GP75" s="360"/>
      <c r="GQ75" s="360"/>
      <c r="GR75" s="360"/>
      <c r="GS75" s="360"/>
      <c r="GT75" s="360"/>
      <c r="GU75" s="360"/>
      <c r="GV75" s="360"/>
      <c r="GW75" s="360"/>
      <c r="GX75" s="360"/>
      <c r="GY75" s="360"/>
      <c r="GZ75" s="360"/>
      <c r="HA75" s="360"/>
      <c r="HB75" s="360"/>
      <c r="HC75" s="360"/>
      <c r="HD75" s="360"/>
      <c r="HE75" s="360"/>
      <c r="HF75" s="360"/>
      <c r="HG75" s="360"/>
      <c r="HH75" s="360"/>
      <c r="HI75" s="360"/>
      <c r="HJ75" s="360"/>
      <c r="HK75" s="360"/>
      <c r="HL75" s="360"/>
      <c r="HM75" s="360"/>
      <c r="HN75" s="360"/>
      <c r="HO75" s="360"/>
      <c r="HP75" s="360"/>
      <c r="HQ75" s="360"/>
      <c r="HR75" s="360"/>
      <c r="HS75" s="360"/>
      <c r="HT75" s="360"/>
      <c r="HU75" s="360"/>
      <c r="HV75" s="360"/>
      <c r="HW75" s="360"/>
      <c r="HX75" s="360"/>
      <c r="HY75" s="360"/>
      <c r="HZ75" s="360"/>
      <c r="IA75" s="360"/>
      <c r="IB75" s="360"/>
      <c r="IC75" s="360"/>
      <c r="ID75" s="360"/>
      <c r="IE75" s="360"/>
      <c r="IF75" s="360"/>
      <c r="IG75" s="360"/>
      <c r="IH75" s="360"/>
      <c r="II75" s="360"/>
      <c r="IJ75" s="360"/>
      <c r="IK75" s="360"/>
      <c r="IL75" s="360"/>
      <c r="IM75" s="360"/>
      <c r="IN75" s="360"/>
      <c r="IO75" s="360"/>
      <c r="IP75" s="360"/>
      <c r="IQ75" s="360"/>
      <c r="IR75" s="360"/>
      <c r="IS75" s="360"/>
      <c r="IT75" s="360"/>
      <c r="IU75" s="360"/>
    </row>
    <row r="76" spans="1:255">
      <c r="A76" s="360"/>
      <c r="B76" s="360"/>
      <c r="C76" s="360"/>
      <c r="D76" s="360"/>
      <c r="E76" s="389"/>
      <c r="F76" s="360"/>
      <c r="G76" s="360"/>
      <c r="H76" s="360"/>
      <c r="I76" s="360"/>
      <c r="J76" s="360"/>
      <c r="K76" s="360"/>
      <c r="L76" s="360"/>
      <c r="M76" s="360"/>
      <c r="N76" s="360"/>
      <c r="O76" s="360"/>
      <c r="P76" s="360"/>
      <c r="Q76" s="360"/>
      <c r="R76" s="361"/>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c r="GH76" s="360"/>
      <c r="GI76" s="360"/>
      <c r="GJ76" s="360"/>
      <c r="GK76" s="360"/>
      <c r="GL76" s="360"/>
      <c r="GM76" s="360"/>
      <c r="GN76" s="360"/>
      <c r="GO76" s="360"/>
      <c r="GP76" s="360"/>
      <c r="GQ76" s="360"/>
      <c r="GR76" s="360"/>
      <c r="GS76" s="360"/>
      <c r="GT76" s="360"/>
      <c r="GU76" s="360"/>
      <c r="GV76" s="360"/>
      <c r="GW76" s="360"/>
      <c r="GX76" s="360"/>
      <c r="GY76" s="360"/>
      <c r="GZ76" s="360"/>
      <c r="HA76" s="360"/>
      <c r="HB76" s="360"/>
      <c r="HC76" s="360"/>
      <c r="HD76" s="360"/>
      <c r="HE76" s="360"/>
      <c r="HF76" s="360"/>
      <c r="HG76" s="360"/>
      <c r="HH76" s="360"/>
      <c r="HI76" s="360"/>
      <c r="HJ76" s="360"/>
      <c r="HK76" s="360"/>
      <c r="HL76" s="360"/>
      <c r="HM76" s="360"/>
      <c r="HN76" s="360"/>
      <c r="HO76" s="360"/>
      <c r="HP76" s="360"/>
      <c r="HQ76" s="360"/>
      <c r="HR76" s="360"/>
      <c r="HS76" s="360"/>
      <c r="HT76" s="360"/>
      <c r="HU76" s="360"/>
      <c r="HV76" s="360"/>
      <c r="HW76" s="360"/>
      <c r="HX76" s="360"/>
      <c r="HY76" s="360"/>
      <c r="HZ76" s="360"/>
      <c r="IA76" s="360"/>
      <c r="IB76" s="360"/>
      <c r="IC76" s="360"/>
      <c r="ID76" s="360"/>
      <c r="IE76" s="360"/>
      <c r="IF76" s="360"/>
      <c r="IG76" s="360"/>
      <c r="IH76" s="360"/>
      <c r="II76" s="360"/>
      <c r="IJ76" s="360"/>
      <c r="IK76" s="360"/>
      <c r="IL76" s="360"/>
      <c r="IM76" s="360"/>
      <c r="IN76" s="360"/>
      <c r="IO76" s="360"/>
      <c r="IP76" s="360"/>
      <c r="IQ76" s="360"/>
      <c r="IR76" s="360"/>
      <c r="IS76" s="360"/>
      <c r="IT76" s="360"/>
      <c r="IU76" s="360"/>
    </row>
    <row r="77" spans="1:255">
      <c r="A77" s="360"/>
      <c r="B77" s="360"/>
      <c r="C77" s="360"/>
      <c r="D77" s="360"/>
      <c r="E77" s="389"/>
      <c r="F77" s="360"/>
      <c r="G77" s="360"/>
      <c r="H77" s="360"/>
      <c r="I77" s="360"/>
      <c r="J77" s="360"/>
      <c r="K77" s="360"/>
      <c r="L77" s="360"/>
      <c r="M77" s="360"/>
      <c r="N77" s="360"/>
      <c r="O77" s="360"/>
      <c r="P77" s="360"/>
      <c r="Q77" s="360"/>
      <c r="R77" s="361"/>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360"/>
      <c r="CZ77" s="360"/>
      <c r="DA77" s="360"/>
      <c r="DB77" s="360"/>
      <c r="DC77" s="360"/>
      <c r="DD77" s="360"/>
      <c r="DE77" s="360"/>
      <c r="DF77" s="360"/>
      <c r="DG77" s="360"/>
      <c r="DH77" s="360"/>
      <c r="DI77" s="360"/>
      <c r="DJ77" s="360"/>
      <c r="DK77" s="360"/>
      <c r="DL77" s="360"/>
      <c r="DM77" s="360"/>
      <c r="DN77" s="360"/>
      <c r="DO77" s="360"/>
      <c r="DP77" s="360"/>
      <c r="DQ77" s="360"/>
      <c r="DR77" s="360"/>
      <c r="DS77" s="360"/>
      <c r="DT77" s="360"/>
      <c r="DU77" s="360"/>
      <c r="DV77" s="360"/>
      <c r="DW77" s="360"/>
      <c r="DX77" s="360"/>
      <c r="DY77" s="360"/>
      <c r="DZ77" s="360"/>
      <c r="EA77" s="360"/>
      <c r="EB77" s="360"/>
      <c r="EC77" s="360"/>
      <c r="ED77" s="360"/>
      <c r="EE77" s="360"/>
      <c r="EF77" s="360"/>
      <c r="EG77" s="360"/>
      <c r="EH77" s="360"/>
      <c r="EI77" s="360"/>
      <c r="EJ77" s="360"/>
      <c r="EK77" s="360"/>
      <c r="EL77" s="360"/>
      <c r="EM77" s="360"/>
      <c r="EN77" s="360"/>
      <c r="EO77" s="360"/>
      <c r="EP77" s="360"/>
      <c r="EQ77" s="360"/>
      <c r="ER77" s="360"/>
      <c r="ES77" s="360"/>
      <c r="ET77" s="360"/>
      <c r="EU77" s="360"/>
      <c r="EV77" s="360"/>
      <c r="EW77" s="360"/>
      <c r="EX77" s="360"/>
      <c r="EY77" s="360"/>
      <c r="EZ77" s="360"/>
      <c r="FA77" s="360"/>
      <c r="FB77" s="360"/>
      <c r="FC77" s="360"/>
      <c r="FD77" s="360"/>
      <c r="FE77" s="360"/>
      <c r="FF77" s="360"/>
      <c r="FG77" s="360"/>
      <c r="FH77" s="360"/>
      <c r="FI77" s="360"/>
      <c r="FJ77" s="360"/>
      <c r="FK77" s="360"/>
      <c r="FL77" s="360"/>
      <c r="FM77" s="360"/>
      <c r="FN77" s="360"/>
      <c r="FO77" s="360"/>
      <c r="FP77" s="360"/>
      <c r="FQ77" s="360"/>
      <c r="FR77" s="360"/>
      <c r="FS77" s="360"/>
      <c r="FT77" s="360"/>
      <c r="FU77" s="360"/>
      <c r="FV77" s="360"/>
      <c r="FW77" s="360"/>
      <c r="FX77" s="360"/>
      <c r="FY77" s="360"/>
      <c r="FZ77" s="360"/>
      <c r="GA77" s="360"/>
      <c r="GB77" s="360"/>
      <c r="GC77" s="360"/>
      <c r="GD77" s="360"/>
      <c r="GE77" s="360"/>
      <c r="GF77" s="360"/>
      <c r="GG77" s="360"/>
      <c r="GH77" s="360"/>
      <c r="GI77" s="360"/>
      <c r="GJ77" s="360"/>
      <c r="GK77" s="360"/>
      <c r="GL77" s="360"/>
      <c r="GM77" s="360"/>
      <c r="GN77" s="360"/>
      <c r="GO77" s="360"/>
      <c r="GP77" s="360"/>
      <c r="GQ77" s="360"/>
      <c r="GR77" s="360"/>
      <c r="GS77" s="360"/>
      <c r="GT77" s="360"/>
      <c r="GU77" s="360"/>
      <c r="GV77" s="360"/>
      <c r="GW77" s="360"/>
      <c r="GX77" s="360"/>
      <c r="GY77" s="360"/>
      <c r="GZ77" s="360"/>
      <c r="HA77" s="360"/>
      <c r="HB77" s="360"/>
      <c r="HC77" s="360"/>
      <c r="HD77" s="360"/>
      <c r="HE77" s="360"/>
      <c r="HF77" s="360"/>
      <c r="HG77" s="360"/>
      <c r="HH77" s="360"/>
      <c r="HI77" s="360"/>
      <c r="HJ77" s="360"/>
      <c r="HK77" s="360"/>
      <c r="HL77" s="360"/>
      <c r="HM77" s="360"/>
      <c r="HN77" s="360"/>
      <c r="HO77" s="360"/>
      <c r="HP77" s="360"/>
      <c r="HQ77" s="360"/>
      <c r="HR77" s="360"/>
      <c r="HS77" s="360"/>
      <c r="HT77" s="360"/>
      <c r="HU77" s="360"/>
      <c r="HV77" s="360"/>
      <c r="HW77" s="360"/>
      <c r="HX77" s="360"/>
      <c r="HY77" s="360"/>
      <c r="HZ77" s="360"/>
      <c r="IA77" s="360"/>
      <c r="IB77" s="360"/>
      <c r="IC77" s="360"/>
      <c r="ID77" s="360"/>
      <c r="IE77" s="360"/>
      <c r="IF77" s="360"/>
      <c r="IG77" s="360"/>
      <c r="IH77" s="360"/>
      <c r="II77" s="360"/>
      <c r="IJ77" s="360"/>
      <c r="IK77" s="360"/>
      <c r="IL77" s="360"/>
      <c r="IM77" s="360"/>
      <c r="IN77" s="360"/>
      <c r="IO77" s="360"/>
      <c r="IP77" s="360"/>
      <c r="IQ77" s="360"/>
      <c r="IR77" s="360"/>
      <c r="IS77" s="360"/>
      <c r="IT77" s="360"/>
      <c r="IU77" s="360"/>
    </row>
    <row r="78" spans="1:255">
      <c r="A78" s="360"/>
      <c r="B78" s="360"/>
      <c r="C78" s="360"/>
      <c r="D78" s="360"/>
      <c r="E78" s="389"/>
      <c r="F78" s="360"/>
      <c r="G78" s="360"/>
      <c r="H78" s="360"/>
      <c r="I78" s="360"/>
      <c r="J78" s="360"/>
      <c r="K78" s="360"/>
      <c r="L78" s="360"/>
      <c r="M78" s="360"/>
      <c r="N78" s="360"/>
      <c r="O78" s="360"/>
      <c r="P78" s="360"/>
      <c r="Q78" s="360"/>
      <c r="R78" s="361"/>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60"/>
      <c r="BY78" s="360"/>
      <c r="BZ78" s="360"/>
      <c r="CA78" s="360"/>
      <c r="CB78" s="360"/>
      <c r="CC78" s="360"/>
      <c r="CD78" s="360"/>
      <c r="CE78" s="360"/>
      <c r="CF78" s="360"/>
      <c r="CG78" s="360"/>
      <c r="CH78" s="360"/>
      <c r="CI78" s="360"/>
      <c r="CJ78" s="360"/>
      <c r="CK78" s="360"/>
      <c r="CL78" s="360"/>
      <c r="CM78" s="360"/>
      <c r="CN78" s="360"/>
      <c r="CO78" s="360"/>
      <c r="CP78" s="360"/>
      <c r="CQ78" s="360"/>
      <c r="CR78" s="360"/>
      <c r="CS78" s="360"/>
      <c r="CT78" s="360"/>
      <c r="CU78" s="360"/>
      <c r="CV78" s="360"/>
      <c r="CW78" s="360"/>
      <c r="CX78" s="360"/>
      <c r="CY78" s="360"/>
      <c r="CZ78" s="360"/>
      <c r="DA78" s="360"/>
      <c r="DB78" s="360"/>
      <c r="DC78" s="360"/>
      <c r="DD78" s="360"/>
      <c r="DE78" s="360"/>
      <c r="DF78" s="360"/>
      <c r="DG78" s="360"/>
      <c r="DH78" s="360"/>
      <c r="DI78" s="360"/>
      <c r="DJ78" s="360"/>
      <c r="DK78" s="360"/>
      <c r="DL78" s="360"/>
      <c r="DM78" s="360"/>
      <c r="DN78" s="360"/>
      <c r="DO78" s="360"/>
      <c r="DP78" s="360"/>
      <c r="DQ78" s="360"/>
      <c r="DR78" s="360"/>
      <c r="DS78" s="360"/>
      <c r="DT78" s="360"/>
      <c r="DU78" s="360"/>
      <c r="DV78" s="360"/>
      <c r="DW78" s="360"/>
      <c r="DX78" s="360"/>
      <c r="DY78" s="360"/>
      <c r="DZ78" s="360"/>
      <c r="EA78" s="360"/>
      <c r="EB78" s="360"/>
      <c r="EC78" s="360"/>
      <c r="ED78" s="360"/>
      <c r="EE78" s="360"/>
      <c r="EF78" s="360"/>
      <c r="EG78" s="360"/>
      <c r="EH78" s="360"/>
      <c r="EI78" s="360"/>
      <c r="EJ78" s="360"/>
      <c r="EK78" s="360"/>
      <c r="EL78" s="360"/>
      <c r="EM78" s="360"/>
      <c r="EN78" s="360"/>
      <c r="EO78" s="360"/>
      <c r="EP78" s="360"/>
      <c r="EQ78" s="360"/>
      <c r="ER78" s="360"/>
      <c r="ES78" s="360"/>
      <c r="ET78" s="360"/>
      <c r="EU78" s="360"/>
      <c r="EV78" s="360"/>
      <c r="EW78" s="360"/>
      <c r="EX78" s="360"/>
      <c r="EY78" s="360"/>
      <c r="EZ78" s="360"/>
      <c r="FA78" s="360"/>
      <c r="FB78" s="360"/>
      <c r="FC78" s="360"/>
      <c r="FD78" s="360"/>
      <c r="FE78" s="360"/>
      <c r="FF78" s="360"/>
      <c r="FG78" s="360"/>
      <c r="FH78" s="360"/>
      <c r="FI78" s="360"/>
      <c r="FJ78" s="360"/>
      <c r="FK78" s="360"/>
      <c r="FL78" s="360"/>
      <c r="FM78" s="360"/>
      <c r="FN78" s="360"/>
      <c r="FO78" s="360"/>
      <c r="FP78" s="360"/>
      <c r="FQ78" s="360"/>
      <c r="FR78" s="360"/>
      <c r="FS78" s="360"/>
      <c r="FT78" s="360"/>
      <c r="FU78" s="360"/>
      <c r="FV78" s="360"/>
      <c r="FW78" s="360"/>
      <c r="FX78" s="360"/>
      <c r="FY78" s="360"/>
      <c r="FZ78" s="360"/>
      <c r="GA78" s="360"/>
      <c r="GB78" s="360"/>
      <c r="GC78" s="360"/>
      <c r="GD78" s="360"/>
      <c r="GE78" s="360"/>
      <c r="GF78" s="360"/>
      <c r="GG78" s="360"/>
      <c r="GH78" s="360"/>
      <c r="GI78" s="360"/>
      <c r="GJ78" s="360"/>
      <c r="GK78" s="360"/>
      <c r="GL78" s="360"/>
      <c r="GM78" s="360"/>
      <c r="GN78" s="360"/>
      <c r="GO78" s="360"/>
      <c r="GP78" s="360"/>
      <c r="GQ78" s="360"/>
      <c r="GR78" s="360"/>
      <c r="GS78" s="360"/>
      <c r="GT78" s="360"/>
      <c r="GU78" s="360"/>
      <c r="GV78" s="360"/>
      <c r="GW78" s="360"/>
      <c r="GX78" s="360"/>
      <c r="GY78" s="360"/>
      <c r="GZ78" s="360"/>
      <c r="HA78" s="360"/>
      <c r="HB78" s="360"/>
      <c r="HC78" s="360"/>
      <c r="HD78" s="360"/>
      <c r="HE78" s="360"/>
      <c r="HF78" s="360"/>
      <c r="HG78" s="360"/>
      <c r="HH78" s="360"/>
      <c r="HI78" s="360"/>
      <c r="HJ78" s="360"/>
      <c r="HK78" s="360"/>
      <c r="HL78" s="360"/>
      <c r="HM78" s="360"/>
      <c r="HN78" s="360"/>
      <c r="HO78" s="360"/>
      <c r="HP78" s="360"/>
      <c r="HQ78" s="360"/>
      <c r="HR78" s="360"/>
      <c r="HS78" s="360"/>
      <c r="HT78" s="360"/>
      <c r="HU78" s="360"/>
      <c r="HV78" s="360"/>
      <c r="HW78" s="360"/>
      <c r="HX78" s="360"/>
      <c r="HY78" s="360"/>
      <c r="HZ78" s="360"/>
      <c r="IA78" s="360"/>
      <c r="IB78" s="360"/>
      <c r="IC78" s="360"/>
      <c r="ID78" s="360"/>
      <c r="IE78" s="360"/>
      <c r="IF78" s="360"/>
      <c r="IG78" s="360"/>
      <c r="IH78" s="360"/>
      <c r="II78" s="360"/>
      <c r="IJ78" s="360"/>
      <c r="IK78" s="360"/>
      <c r="IL78" s="360"/>
      <c r="IM78" s="360"/>
      <c r="IN78" s="360"/>
      <c r="IO78" s="360"/>
      <c r="IP78" s="360"/>
      <c r="IQ78" s="360"/>
      <c r="IR78" s="360"/>
      <c r="IS78" s="360"/>
      <c r="IT78" s="360"/>
      <c r="IU78" s="360"/>
    </row>
    <row r="79" spans="1:255">
      <c r="A79" s="360"/>
      <c r="B79" s="360"/>
      <c r="C79" s="360"/>
      <c r="D79" s="360"/>
      <c r="E79" s="389"/>
      <c r="F79" s="360"/>
      <c r="G79" s="360"/>
      <c r="H79" s="360"/>
      <c r="I79" s="360"/>
      <c r="J79" s="360"/>
      <c r="K79" s="360"/>
      <c r="L79" s="360"/>
      <c r="M79" s="360"/>
      <c r="N79" s="360"/>
      <c r="O79" s="360"/>
      <c r="P79" s="360"/>
      <c r="Q79" s="360"/>
      <c r="R79" s="361"/>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c r="BN79" s="360"/>
      <c r="BO79" s="360"/>
      <c r="BP79" s="360"/>
      <c r="BQ79" s="360"/>
      <c r="BR79" s="360"/>
      <c r="BS79" s="360"/>
      <c r="BT79" s="360"/>
      <c r="BU79" s="360"/>
      <c r="BV79" s="360"/>
      <c r="BW79" s="360"/>
      <c r="BX79" s="360"/>
      <c r="BY79" s="360"/>
      <c r="BZ79" s="360"/>
      <c r="CA79" s="360"/>
      <c r="CB79" s="360"/>
      <c r="CC79" s="360"/>
      <c r="CD79" s="360"/>
      <c r="CE79" s="360"/>
      <c r="CF79" s="360"/>
      <c r="CG79" s="360"/>
      <c r="CH79" s="360"/>
      <c r="CI79" s="360"/>
      <c r="CJ79" s="360"/>
      <c r="CK79" s="360"/>
      <c r="CL79" s="360"/>
      <c r="CM79" s="360"/>
      <c r="CN79" s="360"/>
      <c r="CO79" s="360"/>
      <c r="CP79" s="360"/>
      <c r="CQ79" s="360"/>
      <c r="CR79" s="360"/>
      <c r="CS79" s="360"/>
      <c r="CT79" s="360"/>
      <c r="CU79" s="360"/>
      <c r="CV79" s="360"/>
      <c r="CW79" s="360"/>
      <c r="CX79" s="360"/>
      <c r="CY79" s="360"/>
      <c r="CZ79" s="360"/>
      <c r="DA79" s="360"/>
      <c r="DB79" s="360"/>
      <c r="DC79" s="360"/>
      <c r="DD79" s="360"/>
      <c r="DE79" s="360"/>
      <c r="DF79" s="360"/>
      <c r="DG79" s="360"/>
      <c r="DH79" s="360"/>
      <c r="DI79" s="360"/>
      <c r="DJ79" s="360"/>
      <c r="DK79" s="360"/>
      <c r="DL79" s="360"/>
      <c r="DM79" s="360"/>
      <c r="DN79" s="360"/>
      <c r="DO79" s="360"/>
      <c r="DP79" s="360"/>
      <c r="DQ79" s="360"/>
      <c r="DR79" s="360"/>
      <c r="DS79" s="360"/>
      <c r="DT79" s="360"/>
      <c r="DU79" s="360"/>
      <c r="DV79" s="360"/>
      <c r="DW79" s="360"/>
      <c r="DX79" s="360"/>
      <c r="DY79" s="360"/>
      <c r="DZ79" s="360"/>
      <c r="EA79" s="360"/>
      <c r="EB79" s="360"/>
      <c r="EC79" s="360"/>
      <c r="ED79" s="360"/>
      <c r="EE79" s="360"/>
      <c r="EF79" s="360"/>
      <c r="EG79" s="360"/>
      <c r="EH79" s="360"/>
      <c r="EI79" s="360"/>
      <c r="EJ79" s="360"/>
      <c r="EK79" s="360"/>
      <c r="EL79" s="360"/>
      <c r="EM79" s="360"/>
      <c r="EN79" s="360"/>
      <c r="EO79" s="360"/>
      <c r="EP79" s="360"/>
      <c r="EQ79" s="360"/>
      <c r="ER79" s="360"/>
      <c r="ES79" s="360"/>
      <c r="ET79" s="360"/>
      <c r="EU79" s="360"/>
      <c r="EV79" s="360"/>
      <c r="EW79" s="360"/>
      <c r="EX79" s="360"/>
      <c r="EY79" s="360"/>
      <c r="EZ79" s="360"/>
      <c r="FA79" s="360"/>
      <c r="FB79" s="360"/>
      <c r="FC79" s="360"/>
      <c r="FD79" s="360"/>
      <c r="FE79" s="360"/>
      <c r="FF79" s="360"/>
      <c r="FG79" s="360"/>
      <c r="FH79" s="360"/>
      <c r="FI79" s="360"/>
      <c r="FJ79" s="360"/>
      <c r="FK79" s="360"/>
      <c r="FL79" s="360"/>
      <c r="FM79" s="360"/>
      <c r="FN79" s="360"/>
      <c r="FO79" s="360"/>
      <c r="FP79" s="360"/>
      <c r="FQ79" s="360"/>
      <c r="FR79" s="360"/>
      <c r="FS79" s="360"/>
      <c r="FT79" s="360"/>
      <c r="FU79" s="360"/>
      <c r="FV79" s="360"/>
      <c r="FW79" s="360"/>
      <c r="FX79" s="360"/>
      <c r="FY79" s="360"/>
      <c r="FZ79" s="360"/>
      <c r="GA79" s="360"/>
      <c r="GB79" s="360"/>
      <c r="GC79" s="360"/>
      <c r="GD79" s="360"/>
      <c r="GE79" s="360"/>
      <c r="GF79" s="360"/>
      <c r="GG79" s="360"/>
      <c r="GH79" s="360"/>
      <c r="GI79" s="360"/>
      <c r="GJ79" s="360"/>
      <c r="GK79" s="360"/>
      <c r="GL79" s="360"/>
      <c r="GM79" s="360"/>
      <c r="GN79" s="360"/>
      <c r="GO79" s="360"/>
      <c r="GP79" s="360"/>
      <c r="GQ79" s="360"/>
      <c r="GR79" s="360"/>
      <c r="GS79" s="360"/>
      <c r="GT79" s="360"/>
      <c r="GU79" s="360"/>
      <c r="GV79" s="360"/>
      <c r="GW79" s="360"/>
      <c r="GX79" s="360"/>
      <c r="GY79" s="360"/>
      <c r="GZ79" s="360"/>
      <c r="HA79" s="360"/>
      <c r="HB79" s="360"/>
      <c r="HC79" s="360"/>
      <c r="HD79" s="360"/>
      <c r="HE79" s="360"/>
      <c r="HF79" s="360"/>
      <c r="HG79" s="360"/>
      <c r="HH79" s="360"/>
      <c r="HI79" s="360"/>
      <c r="HJ79" s="360"/>
      <c r="HK79" s="360"/>
      <c r="HL79" s="360"/>
      <c r="HM79" s="360"/>
      <c r="HN79" s="360"/>
      <c r="HO79" s="360"/>
      <c r="HP79" s="360"/>
      <c r="HQ79" s="360"/>
      <c r="HR79" s="360"/>
      <c r="HS79" s="360"/>
      <c r="HT79" s="360"/>
      <c r="HU79" s="360"/>
      <c r="HV79" s="360"/>
      <c r="HW79" s="360"/>
      <c r="HX79" s="360"/>
      <c r="HY79" s="360"/>
      <c r="HZ79" s="360"/>
      <c r="IA79" s="360"/>
      <c r="IB79" s="360"/>
      <c r="IC79" s="360"/>
      <c r="ID79" s="360"/>
      <c r="IE79" s="360"/>
      <c r="IF79" s="360"/>
      <c r="IG79" s="360"/>
      <c r="IH79" s="360"/>
      <c r="II79" s="360"/>
      <c r="IJ79" s="360"/>
      <c r="IK79" s="360"/>
      <c r="IL79" s="360"/>
      <c r="IM79" s="360"/>
      <c r="IN79" s="360"/>
      <c r="IO79" s="360"/>
      <c r="IP79" s="360"/>
      <c r="IQ79" s="360"/>
      <c r="IR79" s="360"/>
      <c r="IS79" s="360"/>
      <c r="IT79" s="360"/>
      <c r="IU79" s="360"/>
    </row>
    <row r="80" spans="1:255">
      <c r="A80" s="360"/>
      <c r="B80" s="360"/>
      <c r="C80" s="360"/>
      <c r="D80" s="360"/>
      <c r="E80" s="389"/>
      <c r="F80" s="360"/>
      <c r="G80" s="360"/>
      <c r="H80" s="360"/>
      <c r="I80" s="360"/>
      <c r="J80" s="360"/>
      <c r="K80" s="360"/>
      <c r="L80" s="360"/>
      <c r="M80" s="360"/>
      <c r="N80" s="360"/>
      <c r="O80" s="360"/>
      <c r="P80" s="360"/>
      <c r="Q80" s="360"/>
      <c r="R80" s="361"/>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360"/>
      <c r="BV80" s="360"/>
      <c r="BW80" s="360"/>
      <c r="BX80" s="360"/>
      <c r="BY80" s="360"/>
      <c r="BZ80" s="360"/>
      <c r="CA80" s="360"/>
      <c r="CB80" s="360"/>
      <c r="CC80" s="360"/>
      <c r="CD80" s="360"/>
      <c r="CE80" s="360"/>
      <c r="CF80" s="360"/>
      <c r="CG80" s="360"/>
      <c r="CH80" s="360"/>
      <c r="CI80" s="360"/>
      <c r="CJ80" s="360"/>
      <c r="CK80" s="360"/>
      <c r="CL80" s="360"/>
      <c r="CM80" s="360"/>
      <c r="CN80" s="360"/>
      <c r="CO80" s="360"/>
      <c r="CP80" s="360"/>
      <c r="CQ80" s="360"/>
      <c r="CR80" s="360"/>
      <c r="CS80" s="360"/>
      <c r="CT80" s="360"/>
      <c r="CU80" s="360"/>
      <c r="CV80" s="360"/>
      <c r="CW80" s="360"/>
      <c r="CX80" s="360"/>
      <c r="CY80" s="360"/>
      <c r="CZ80" s="360"/>
      <c r="DA80" s="360"/>
      <c r="DB80" s="360"/>
      <c r="DC80" s="360"/>
      <c r="DD80" s="360"/>
      <c r="DE80" s="360"/>
      <c r="DF80" s="360"/>
      <c r="DG80" s="360"/>
      <c r="DH80" s="360"/>
      <c r="DI80" s="360"/>
      <c r="DJ80" s="360"/>
      <c r="DK80" s="360"/>
      <c r="DL80" s="360"/>
      <c r="DM80" s="360"/>
      <c r="DN80" s="360"/>
      <c r="DO80" s="360"/>
      <c r="DP80" s="360"/>
      <c r="DQ80" s="360"/>
      <c r="DR80" s="360"/>
      <c r="DS80" s="360"/>
      <c r="DT80" s="360"/>
      <c r="DU80" s="360"/>
      <c r="DV80" s="360"/>
      <c r="DW80" s="360"/>
      <c r="DX80" s="360"/>
      <c r="DY80" s="360"/>
      <c r="DZ80" s="360"/>
      <c r="EA80" s="360"/>
      <c r="EB80" s="360"/>
      <c r="EC80" s="360"/>
      <c r="ED80" s="360"/>
      <c r="EE80" s="360"/>
      <c r="EF80" s="360"/>
      <c r="EG80" s="360"/>
      <c r="EH80" s="360"/>
      <c r="EI80" s="360"/>
      <c r="EJ80" s="360"/>
      <c r="EK80" s="360"/>
      <c r="EL80" s="360"/>
      <c r="EM80" s="360"/>
      <c r="EN80" s="360"/>
      <c r="EO80" s="360"/>
      <c r="EP80" s="360"/>
      <c r="EQ80" s="360"/>
      <c r="ER80" s="360"/>
      <c r="ES80" s="360"/>
      <c r="ET80" s="360"/>
      <c r="EU80" s="360"/>
      <c r="EV80" s="360"/>
      <c r="EW80" s="360"/>
      <c r="EX80" s="360"/>
      <c r="EY80" s="360"/>
      <c r="EZ80" s="360"/>
      <c r="FA80" s="360"/>
      <c r="FB80" s="360"/>
      <c r="FC80" s="360"/>
      <c r="FD80" s="360"/>
      <c r="FE80" s="360"/>
      <c r="FF80" s="360"/>
      <c r="FG80" s="360"/>
      <c r="FH80" s="360"/>
      <c r="FI80" s="360"/>
      <c r="FJ80" s="360"/>
      <c r="FK80" s="360"/>
      <c r="FL80" s="360"/>
      <c r="FM80" s="360"/>
      <c r="FN80" s="360"/>
      <c r="FO80" s="360"/>
      <c r="FP80" s="360"/>
      <c r="FQ80" s="360"/>
      <c r="FR80" s="360"/>
      <c r="FS80" s="360"/>
      <c r="FT80" s="360"/>
      <c r="FU80" s="360"/>
      <c r="FV80" s="360"/>
      <c r="FW80" s="360"/>
      <c r="FX80" s="360"/>
      <c r="FY80" s="360"/>
      <c r="FZ80" s="360"/>
      <c r="GA80" s="360"/>
      <c r="GB80" s="360"/>
      <c r="GC80" s="360"/>
      <c r="GD80" s="360"/>
      <c r="GE80" s="360"/>
      <c r="GF80" s="360"/>
      <c r="GG80" s="360"/>
      <c r="GH80" s="360"/>
      <c r="GI80" s="360"/>
      <c r="GJ80" s="360"/>
      <c r="GK80" s="360"/>
      <c r="GL80" s="360"/>
      <c r="GM80" s="360"/>
      <c r="GN80" s="360"/>
      <c r="GO80" s="360"/>
      <c r="GP80" s="360"/>
      <c r="GQ80" s="360"/>
      <c r="GR80" s="360"/>
      <c r="GS80" s="360"/>
      <c r="GT80" s="360"/>
      <c r="GU80" s="360"/>
      <c r="GV80" s="360"/>
      <c r="GW80" s="360"/>
      <c r="GX80" s="360"/>
      <c r="GY80" s="360"/>
      <c r="GZ80" s="360"/>
      <c r="HA80" s="360"/>
      <c r="HB80" s="360"/>
      <c r="HC80" s="360"/>
      <c r="HD80" s="360"/>
      <c r="HE80" s="360"/>
      <c r="HF80" s="360"/>
      <c r="HG80" s="360"/>
      <c r="HH80" s="360"/>
      <c r="HI80" s="360"/>
      <c r="HJ80" s="360"/>
      <c r="HK80" s="360"/>
      <c r="HL80" s="360"/>
      <c r="HM80" s="360"/>
      <c r="HN80" s="360"/>
      <c r="HO80" s="360"/>
      <c r="HP80" s="360"/>
      <c r="HQ80" s="360"/>
      <c r="HR80" s="360"/>
      <c r="HS80" s="360"/>
      <c r="HT80" s="360"/>
      <c r="HU80" s="360"/>
      <c r="HV80" s="360"/>
      <c r="HW80" s="360"/>
      <c r="HX80" s="360"/>
      <c r="HY80" s="360"/>
      <c r="HZ80" s="360"/>
      <c r="IA80" s="360"/>
      <c r="IB80" s="360"/>
      <c r="IC80" s="360"/>
      <c r="ID80" s="360"/>
      <c r="IE80" s="360"/>
      <c r="IF80" s="360"/>
      <c r="IG80" s="360"/>
      <c r="IH80" s="360"/>
      <c r="II80" s="360"/>
      <c r="IJ80" s="360"/>
      <c r="IK80" s="360"/>
      <c r="IL80" s="360"/>
      <c r="IM80" s="360"/>
      <c r="IN80" s="360"/>
      <c r="IO80" s="360"/>
      <c r="IP80" s="360"/>
      <c r="IQ80" s="360"/>
      <c r="IR80" s="360"/>
      <c r="IS80" s="360"/>
      <c r="IT80" s="360"/>
      <c r="IU80" s="360"/>
    </row>
    <row r="81" spans="1:255">
      <c r="A81" s="360"/>
      <c r="B81" s="360"/>
      <c r="C81" s="360"/>
      <c r="D81" s="360"/>
      <c r="E81" s="389"/>
      <c r="F81" s="360"/>
      <c r="G81" s="360"/>
      <c r="H81" s="360"/>
      <c r="I81" s="360"/>
      <c r="J81" s="360"/>
      <c r="K81" s="360"/>
      <c r="L81" s="360"/>
      <c r="M81" s="360"/>
      <c r="N81" s="360"/>
      <c r="O81" s="360"/>
      <c r="P81" s="360"/>
      <c r="Q81" s="360"/>
      <c r="R81" s="361"/>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360"/>
      <c r="BV81" s="360"/>
      <c r="BW81" s="360"/>
      <c r="BX81" s="360"/>
      <c r="BY81" s="360"/>
      <c r="BZ81" s="360"/>
      <c r="CA81" s="360"/>
      <c r="CB81" s="360"/>
      <c r="CC81" s="360"/>
      <c r="CD81" s="360"/>
      <c r="CE81" s="360"/>
      <c r="CF81" s="360"/>
      <c r="CG81" s="360"/>
      <c r="CH81" s="360"/>
      <c r="CI81" s="360"/>
      <c r="CJ81" s="360"/>
      <c r="CK81" s="360"/>
      <c r="CL81" s="360"/>
      <c r="CM81" s="360"/>
      <c r="CN81" s="360"/>
      <c r="CO81" s="360"/>
      <c r="CP81" s="360"/>
      <c r="CQ81" s="360"/>
      <c r="CR81" s="360"/>
      <c r="CS81" s="360"/>
      <c r="CT81" s="360"/>
      <c r="CU81" s="360"/>
      <c r="CV81" s="360"/>
      <c r="CW81" s="360"/>
      <c r="CX81" s="360"/>
      <c r="CY81" s="360"/>
      <c r="CZ81" s="360"/>
      <c r="DA81" s="360"/>
      <c r="DB81" s="360"/>
      <c r="DC81" s="360"/>
      <c r="DD81" s="360"/>
      <c r="DE81" s="360"/>
      <c r="DF81" s="360"/>
      <c r="DG81" s="360"/>
      <c r="DH81" s="360"/>
      <c r="DI81" s="360"/>
      <c r="DJ81" s="360"/>
      <c r="DK81" s="360"/>
      <c r="DL81" s="360"/>
      <c r="DM81" s="360"/>
      <c r="DN81" s="360"/>
      <c r="DO81" s="360"/>
      <c r="DP81" s="360"/>
      <c r="DQ81" s="360"/>
      <c r="DR81" s="360"/>
      <c r="DS81" s="360"/>
      <c r="DT81" s="360"/>
      <c r="DU81" s="360"/>
      <c r="DV81" s="360"/>
      <c r="DW81" s="360"/>
      <c r="DX81" s="360"/>
      <c r="DY81" s="360"/>
      <c r="DZ81" s="360"/>
      <c r="EA81" s="360"/>
      <c r="EB81" s="360"/>
      <c r="EC81" s="360"/>
      <c r="ED81" s="360"/>
      <c r="EE81" s="360"/>
      <c r="EF81" s="360"/>
      <c r="EG81" s="360"/>
      <c r="EH81" s="360"/>
      <c r="EI81" s="360"/>
      <c r="EJ81" s="360"/>
      <c r="EK81" s="360"/>
      <c r="EL81" s="360"/>
      <c r="EM81" s="360"/>
      <c r="EN81" s="360"/>
      <c r="EO81" s="360"/>
      <c r="EP81" s="360"/>
      <c r="EQ81" s="360"/>
      <c r="ER81" s="360"/>
      <c r="ES81" s="360"/>
      <c r="ET81" s="360"/>
      <c r="EU81" s="360"/>
      <c r="EV81" s="360"/>
      <c r="EW81" s="360"/>
      <c r="EX81" s="360"/>
      <c r="EY81" s="360"/>
      <c r="EZ81" s="360"/>
      <c r="FA81" s="360"/>
      <c r="FB81" s="360"/>
      <c r="FC81" s="360"/>
      <c r="FD81" s="360"/>
      <c r="FE81" s="360"/>
      <c r="FF81" s="360"/>
      <c r="FG81" s="360"/>
      <c r="FH81" s="360"/>
      <c r="FI81" s="360"/>
      <c r="FJ81" s="360"/>
      <c r="FK81" s="360"/>
      <c r="FL81" s="360"/>
      <c r="FM81" s="360"/>
      <c r="FN81" s="360"/>
      <c r="FO81" s="360"/>
      <c r="FP81" s="360"/>
      <c r="FQ81" s="360"/>
      <c r="FR81" s="360"/>
      <c r="FS81" s="360"/>
      <c r="FT81" s="360"/>
      <c r="FU81" s="360"/>
      <c r="FV81" s="360"/>
      <c r="FW81" s="360"/>
      <c r="FX81" s="360"/>
      <c r="FY81" s="360"/>
      <c r="FZ81" s="360"/>
      <c r="GA81" s="360"/>
      <c r="GB81" s="360"/>
      <c r="GC81" s="360"/>
      <c r="GD81" s="360"/>
      <c r="GE81" s="360"/>
      <c r="GF81" s="360"/>
      <c r="GG81" s="360"/>
      <c r="GH81" s="360"/>
      <c r="GI81" s="360"/>
      <c r="GJ81" s="360"/>
      <c r="GK81" s="360"/>
      <c r="GL81" s="360"/>
      <c r="GM81" s="360"/>
      <c r="GN81" s="360"/>
      <c r="GO81" s="360"/>
      <c r="GP81" s="360"/>
      <c r="GQ81" s="360"/>
      <c r="GR81" s="360"/>
      <c r="GS81" s="360"/>
      <c r="GT81" s="360"/>
      <c r="GU81" s="360"/>
      <c r="GV81" s="360"/>
      <c r="GW81" s="360"/>
      <c r="GX81" s="360"/>
      <c r="GY81" s="360"/>
      <c r="GZ81" s="360"/>
      <c r="HA81" s="360"/>
      <c r="HB81" s="360"/>
      <c r="HC81" s="360"/>
      <c r="HD81" s="360"/>
      <c r="HE81" s="360"/>
      <c r="HF81" s="360"/>
      <c r="HG81" s="360"/>
      <c r="HH81" s="360"/>
      <c r="HI81" s="360"/>
      <c r="HJ81" s="360"/>
      <c r="HK81" s="360"/>
      <c r="HL81" s="360"/>
      <c r="HM81" s="360"/>
      <c r="HN81" s="360"/>
      <c r="HO81" s="360"/>
      <c r="HP81" s="360"/>
      <c r="HQ81" s="360"/>
      <c r="HR81" s="360"/>
      <c r="HS81" s="360"/>
      <c r="HT81" s="360"/>
      <c r="HU81" s="360"/>
      <c r="HV81" s="360"/>
      <c r="HW81" s="360"/>
      <c r="HX81" s="360"/>
      <c r="HY81" s="360"/>
      <c r="HZ81" s="360"/>
      <c r="IA81" s="360"/>
      <c r="IB81" s="360"/>
      <c r="IC81" s="360"/>
      <c r="ID81" s="360"/>
      <c r="IE81" s="360"/>
      <c r="IF81" s="360"/>
      <c r="IG81" s="360"/>
      <c r="IH81" s="360"/>
      <c r="II81" s="360"/>
      <c r="IJ81" s="360"/>
      <c r="IK81" s="360"/>
      <c r="IL81" s="360"/>
      <c r="IM81" s="360"/>
      <c r="IN81" s="360"/>
      <c r="IO81" s="360"/>
      <c r="IP81" s="360"/>
      <c r="IQ81" s="360"/>
      <c r="IR81" s="360"/>
      <c r="IS81" s="360"/>
      <c r="IT81" s="360"/>
      <c r="IU81" s="360"/>
    </row>
    <row r="82" spans="1:255">
      <c r="A82" s="360"/>
      <c r="B82" s="360"/>
      <c r="C82" s="360"/>
      <c r="D82" s="360"/>
      <c r="E82" s="389"/>
      <c r="F82" s="360"/>
      <c r="G82" s="360"/>
      <c r="H82" s="360"/>
      <c r="I82" s="360"/>
      <c r="J82" s="360"/>
      <c r="K82" s="360"/>
      <c r="L82" s="360"/>
      <c r="M82" s="360"/>
      <c r="N82" s="360"/>
      <c r="O82" s="360"/>
      <c r="P82" s="360"/>
      <c r="Q82" s="360"/>
      <c r="R82" s="361"/>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60"/>
      <c r="BS82" s="360"/>
      <c r="BT82" s="360"/>
      <c r="BU82" s="360"/>
      <c r="BV82" s="360"/>
      <c r="BW82" s="360"/>
      <c r="BX82" s="360"/>
      <c r="BY82" s="360"/>
      <c r="BZ82" s="360"/>
      <c r="CA82" s="360"/>
      <c r="CB82" s="360"/>
      <c r="CC82" s="360"/>
      <c r="CD82" s="360"/>
      <c r="CE82" s="360"/>
      <c r="CF82" s="360"/>
      <c r="CG82" s="360"/>
      <c r="CH82" s="360"/>
      <c r="CI82" s="360"/>
      <c r="CJ82" s="360"/>
      <c r="CK82" s="360"/>
      <c r="CL82" s="360"/>
      <c r="CM82" s="360"/>
      <c r="CN82" s="360"/>
      <c r="CO82" s="360"/>
      <c r="CP82" s="360"/>
      <c r="CQ82" s="360"/>
      <c r="CR82" s="360"/>
      <c r="CS82" s="360"/>
      <c r="CT82" s="360"/>
      <c r="CU82" s="360"/>
      <c r="CV82" s="360"/>
      <c r="CW82" s="360"/>
      <c r="CX82" s="360"/>
      <c r="CY82" s="360"/>
      <c r="CZ82" s="360"/>
      <c r="DA82" s="360"/>
      <c r="DB82" s="360"/>
      <c r="DC82" s="360"/>
      <c r="DD82" s="360"/>
      <c r="DE82" s="360"/>
      <c r="DF82" s="360"/>
      <c r="DG82" s="360"/>
      <c r="DH82" s="360"/>
      <c r="DI82" s="360"/>
      <c r="DJ82" s="360"/>
      <c r="DK82" s="360"/>
      <c r="DL82" s="360"/>
      <c r="DM82" s="360"/>
      <c r="DN82" s="360"/>
      <c r="DO82" s="360"/>
      <c r="DP82" s="360"/>
      <c r="DQ82" s="360"/>
      <c r="DR82" s="360"/>
      <c r="DS82" s="360"/>
      <c r="DT82" s="360"/>
      <c r="DU82" s="360"/>
      <c r="DV82" s="360"/>
      <c r="DW82" s="360"/>
      <c r="DX82" s="360"/>
      <c r="DY82" s="360"/>
      <c r="DZ82" s="360"/>
      <c r="EA82" s="360"/>
      <c r="EB82" s="360"/>
      <c r="EC82" s="360"/>
      <c r="ED82" s="360"/>
      <c r="EE82" s="360"/>
      <c r="EF82" s="360"/>
      <c r="EG82" s="360"/>
      <c r="EH82" s="360"/>
      <c r="EI82" s="360"/>
      <c r="EJ82" s="360"/>
      <c r="EK82" s="360"/>
      <c r="EL82" s="360"/>
      <c r="EM82" s="360"/>
      <c r="EN82" s="360"/>
      <c r="EO82" s="360"/>
      <c r="EP82" s="360"/>
      <c r="EQ82" s="360"/>
      <c r="ER82" s="360"/>
      <c r="ES82" s="360"/>
      <c r="ET82" s="360"/>
      <c r="EU82" s="360"/>
      <c r="EV82" s="360"/>
      <c r="EW82" s="360"/>
      <c r="EX82" s="360"/>
      <c r="EY82" s="360"/>
      <c r="EZ82" s="360"/>
      <c r="FA82" s="360"/>
      <c r="FB82" s="360"/>
      <c r="FC82" s="360"/>
      <c r="FD82" s="360"/>
      <c r="FE82" s="360"/>
      <c r="FF82" s="360"/>
      <c r="FG82" s="360"/>
      <c r="FH82" s="360"/>
      <c r="FI82" s="360"/>
      <c r="FJ82" s="360"/>
      <c r="FK82" s="360"/>
      <c r="FL82" s="360"/>
      <c r="FM82" s="360"/>
      <c r="FN82" s="360"/>
      <c r="FO82" s="360"/>
      <c r="FP82" s="360"/>
      <c r="FQ82" s="360"/>
      <c r="FR82" s="360"/>
      <c r="FS82" s="360"/>
      <c r="FT82" s="360"/>
      <c r="FU82" s="360"/>
      <c r="FV82" s="360"/>
      <c r="FW82" s="360"/>
      <c r="FX82" s="360"/>
      <c r="FY82" s="360"/>
      <c r="FZ82" s="360"/>
      <c r="GA82" s="360"/>
      <c r="GB82" s="360"/>
      <c r="GC82" s="360"/>
      <c r="GD82" s="360"/>
      <c r="GE82" s="360"/>
      <c r="GF82" s="360"/>
      <c r="GG82" s="360"/>
      <c r="GH82" s="360"/>
      <c r="GI82" s="360"/>
      <c r="GJ82" s="360"/>
      <c r="GK82" s="360"/>
      <c r="GL82" s="360"/>
      <c r="GM82" s="360"/>
      <c r="GN82" s="360"/>
      <c r="GO82" s="360"/>
      <c r="GP82" s="360"/>
      <c r="GQ82" s="360"/>
      <c r="GR82" s="360"/>
      <c r="GS82" s="360"/>
      <c r="GT82" s="360"/>
      <c r="GU82" s="360"/>
      <c r="GV82" s="360"/>
      <c r="GW82" s="360"/>
      <c r="GX82" s="360"/>
      <c r="GY82" s="360"/>
      <c r="GZ82" s="360"/>
      <c r="HA82" s="360"/>
      <c r="HB82" s="360"/>
      <c r="HC82" s="360"/>
      <c r="HD82" s="360"/>
      <c r="HE82" s="360"/>
      <c r="HF82" s="360"/>
      <c r="HG82" s="360"/>
      <c r="HH82" s="360"/>
      <c r="HI82" s="360"/>
      <c r="HJ82" s="360"/>
      <c r="HK82" s="360"/>
      <c r="HL82" s="360"/>
      <c r="HM82" s="360"/>
      <c r="HN82" s="360"/>
      <c r="HO82" s="360"/>
      <c r="HP82" s="360"/>
      <c r="HQ82" s="360"/>
      <c r="HR82" s="360"/>
      <c r="HS82" s="360"/>
      <c r="HT82" s="360"/>
      <c r="HU82" s="360"/>
      <c r="HV82" s="360"/>
      <c r="HW82" s="360"/>
      <c r="HX82" s="360"/>
      <c r="HY82" s="360"/>
      <c r="HZ82" s="360"/>
      <c r="IA82" s="360"/>
      <c r="IB82" s="360"/>
      <c r="IC82" s="360"/>
      <c r="ID82" s="360"/>
      <c r="IE82" s="360"/>
      <c r="IF82" s="360"/>
      <c r="IG82" s="360"/>
      <c r="IH82" s="360"/>
      <c r="II82" s="360"/>
      <c r="IJ82" s="360"/>
      <c r="IK82" s="360"/>
      <c r="IL82" s="360"/>
      <c r="IM82" s="360"/>
      <c r="IN82" s="360"/>
      <c r="IO82" s="360"/>
      <c r="IP82" s="360"/>
      <c r="IQ82" s="360"/>
      <c r="IR82" s="360"/>
      <c r="IS82" s="360"/>
      <c r="IT82" s="360"/>
      <c r="IU82" s="360"/>
    </row>
    <row r="83" spans="1:255">
      <c r="A83" s="360"/>
      <c r="B83" s="360"/>
      <c r="C83" s="360"/>
      <c r="D83" s="360"/>
      <c r="E83" s="389"/>
      <c r="F83" s="360"/>
      <c r="G83" s="360"/>
      <c r="H83" s="360"/>
      <c r="I83" s="360"/>
      <c r="J83" s="360"/>
      <c r="K83" s="360"/>
      <c r="L83" s="360"/>
      <c r="M83" s="360"/>
      <c r="N83" s="360"/>
      <c r="O83" s="360"/>
      <c r="P83" s="360"/>
      <c r="Q83" s="360"/>
      <c r="R83" s="361"/>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N83" s="360"/>
      <c r="BO83" s="360"/>
      <c r="BP83" s="360"/>
      <c r="BQ83" s="360"/>
      <c r="BR83" s="360"/>
      <c r="BS83" s="360"/>
      <c r="BT83" s="360"/>
      <c r="BU83" s="360"/>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0"/>
      <c r="CX83" s="360"/>
      <c r="CY83" s="360"/>
      <c r="CZ83" s="360"/>
      <c r="DA83" s="360"/>
      <c r="DB83" s="360"/>
      <c r="DC83" s="360"/>
      <c r="DD83" s="360"/>
      <c r="DE83" s="360"/>
      <c r="DF83" s="360"/>
      <c r="DG83" s="360"/>
      <c r="DH83" s="360"/>
      <c r="DI83" s="360"/>
      <c r="DJ83" s="360"/>
      <c r="DK83" s="360"/>
      <c r="DL83" s="360"/>
      <c r="DM83" s="360"/>
      <c r="DN83" s="360"/>
      <c r="DO83" s="360"/>
      <c r="DP83" s="360"/>
      <c r="DQ83" s="360"/>
      <c r="DR83" s="360"/>
      <c r="DS83" s="360"/>
      <c r="DT83" s="360"/>
      <c r="DU83" s="360"/>
      <c r="DV83" s="360"/>
      <c r="DW83" s="360"/>
      <c r="DX83" s="360"/>
      <c r="DY83" s="360"/>
      <c r="DZ83" s="360"/>
      <c r="EA83" s="360"/>
      <c r="EB83" s="360"/>
      <c r="EC83" s="360"/>
      <c r="ED83" s="360"/>
      <c r="EE83" s="360"/>
      <c r="EF83" s="360"/>
      <c r="EG83" s="360"/>
      <c r="EH83" s="360"/>
      <c r="EI83" s="360"/>
      <c r="EJ83" s="360"/>
      <c r="EK83" s="360"/>
      <c r="EL83" s="360"/>
      <c r="EM83" s="360"/>
      <c r="EN83" s="360"/>
      <c r="EO83" s="360"/>
      <c r="EP83" s="360"/>
      <c r="EQ83" s="360"/>
      <c r="ER83" s="360"/>
      <c r="ES83" s="360"/>
      <c r="ET83" s="360"/>
      <c r="EU83" s="360"/>
      <c r="EV83" s="360"/>
      <c r="EW83" s="360"/>
      <c r="EX83" s="360"/>
      <c r="EY83" s="360"/>
      <c r="EZ83" s="360"/>
      <c r="FA83" s="360"/>
      <c r="FB83" s="360"/>
      <c r="FC83" s="360"/>
      <c r="FD83" s="360"/>
      <c r="FE83" s="360"/>
      <c r="FF83" s="360"/>
      <c r="FG83" s="360"/>
      <c r="FH83" s="360"/>
      <c r="FI83" s="360"/>
      <c r="FJ83" s="360"/>
      <c r="FK83" s="360"/>
      <c r="FL83" s="360"/>
      <c r="FM83" s="360"/>
      <c r="FN83" s="360"/>
      <c r="FO83" s="360"/>
      <c r="FP83" s="360"/>
      <c r="FQ83" s="360"/>
      <c r="FR83" s="360"/>
      <c r="FS83" s="360"/>
      <c r="FT83" s="360"/>
      <c r="FU83" s="360"/>
      <c r="FV83" s="360"/>
      <c r="FW83" s="360"/>
      <c r="FX83" s="360"/>
      <c r="FY83" s="360"/>
      <c r="FZ83" s="360"/>
      <c r="GA83" s="360"/>
      <c r="GB83" s="360"/>
      <c r="GC83" s="360"/>
      <c r="GD83" s="360"/>
      <c r="GE83" s="360"/>
      <c r="GF83" s="360"/>
      <c r="GG83" s="360"/>
      <c r="GH83" s="360"/>
      <c r="GI83" s="360"/>
      <c r="GJ83" s="360"/>
      <c r="GK83" s="360"/>
      <c r="GL83" s="360"/>
      <c r="GM83" s="360"/>
      <c r="GN83" s="360"/>
      <c r="GO83" s="360"/>
      <c r="GP83" s="360"/>
      <c r="GQ83" s="360"/>
      <c r="GR83" s="360"/>
      <c r="GS83" s="360"/>
      <c r="GT83" s="360"/>
      <c r="GU83" s="360"/>
      <c r="GV83" s="360"/>
      <c r="GW83" s="360"/>
      <c r="GX83" s="360"/>
      <c r="GY83" s="360"/>
      <c r="GZ83" s="360"/>
      <c r="HA83" s="360"/>
      <c r="HB83" s="360"/>
      <c r="HC83" s="360"/>
      <c r="HD83" s="360"/>
      <c r="HE83" s="360"/>
      <c r="HF83" s="360"/>
      <c r="HG83" s="360"/>
      <c r="HH83" s="360"/>
      <c r="HI83" s="360"/>
      <c r="HJ83" s="360"/>
      <c r="HK83" s="360"/>
      <c r="HL83" s="360"/>
      <c r="HM83" s="360"/>
      <c r="HN83" s="360"/>
      <c r="HO83" s="360"/>
      <c r="HP83" s="360"/>
      <c r="HQ83" s="360"/>
      <c r="HR83" s="360"/>
      <c r="HS83" s="360"/>
      <c r="HT83" s="360"/>
      <c r="HU83" s="360"/>
      <c r="HV83" s="360"/>
      <c r="HW83" s="360"/>
      <c r="HX83" s="360"/>
      <c r="HY83" s="360"/>
      <c r="HZ83" s="360"/>
      <c r="IA83" s="360"/>
      <c r="IB83" s="360"/>
      <c r="IC83" s="360"/>
      <c r="ID83" s="360"/>
      <c r="IE83" s="360"/>
      <c r="IF83" s="360"/>
      <c r="IG83" s="360"/>
      <c r="IH83" s="360"/>
      <c r="II83" s="360"/>
      <c r="IJ83" s="360"/>
      <c r="IK83" s="360"/>
      <c r="IL83" s="360"/>
      <c r="IM83" s="360"/>
      <c r="IN83" s="360"/>
      <c r="IO83" s="360"/>
      <c r="IP83" s="360"/>
      <c r="IQ83" s="360"/>
      <c r="IR83" s="360"/>
      <c r="IS83" s="360"/>
      <c r="IT83" s="360"/>
      <c r="IU83" s="360"/>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AK126"/>
  <sheetViews>
    <sheetView tabSelected="1" topLeftCell="B1" zoomScale="120" zoomScaleNormal="120" workbookViewId="0">
      <selection activeCell="F113" sqref="F113"/>
    </sheetView>
  </sheetViews>
  <sheetFormatPr defaultRowHeight="12.75"/>
  <cols>
    <col min="1" max="1" width="64.140625" customWidth="1"/>
    <col min="2" max="2" width="16.42578125" customWidth="1"/>
    <col min="3" max="3" width="14.28515625" bestFit="1" customWidth="1"/>
    <col min="5" max="5" width="16.28515625" customWidth="1"/>
    <col min="6" max="6" width="18.28515625" customWidth="1"/>
    <col min="7" max="7" width="22.85546875" bestFit="1" customWidth="1"/>
    <col min="8" max="8" width="3.5703125" customWidth="1"/>
    <col min="9" max="9" width="64.140625" customWidth="1"/>
    <col min="10" max="10" width="16.42578125" customWidth="1"/>
    <col min="11" max="11" width="14.28515625" bestFit="1" customWidth="1"/>
    <col min="13" max="13" width="16.28515625" customWidth="1"/>
    <col min="14" max="14" width="18.28515625" customWidth="1"/>
    <col min="15" max="15" width="22.85546875" bestFit="1" customWidth="1"/>
    <col min="16" max="16" width="5" customWidth="1"/>
    <col min="17" max="17" width="64.140625" customWidth="1"/>
    <col min="18" max="18" width="16.42578125" customWidth="1"/>
    <col min="19" max="19" width="14.28515625" bestFit="1" customWidth="1"/>
    <col min="21" max="21" width="14" bestFit="1" customWidth="1"/>
    <col min="22" max="22" width="15.5703125" bestFit="1" customWidth="1"/>
    <col min="25" max="25" width="73.140625" bestFit="1" customWidth="1"/>
    <col min="27" max="27" width="13.42578125" bestFit="1" customWidth="1"/>
    <col min="29" max="29" width="14" bestFit="1" customWidth="1"/>
    <col min="30" max="30" width="14.28515625" bestFit="1" customWidth="1"/>
    <col min="32" max="32" width="7.7109375" customWidth="1"/>
    <col min="33" max="33" width="13.42578125" customWidth="1"/>
    <col min="34" max="34" width="14" bestFit="1" customWidth="1"/>
    <col min="35" max="35" width="12.28515625" bestFit="1" customWidth="1"/>
    <col min="36" max="36" width="14.5703125" bestFit="1" customWidth="1"/>
    <col min="273" max="273" width="64.140625" customWidth="1"/>
    <col min="274" max="274" width="16.42578125" customWidth="1"/>
    <col min="275" max="275" width="14.28515625" bestFit="1" customWidth="1"/>
    <col min="277" max="277" width="14" bestFit="1" customWidth="1"/>
    <col min="278" max="278" width="15.5703125" bestFit="1" customWidth="1"/>
    <col min="281" max="281" width="73.140625" bestFit="1" customWidth="1"/>
    <col min="283" max="283" width="13.42578125" bestFit="1" customWidth="1"/>
    <col min="285" max="285" width="14" bestFit="1" customWidth="1"/>
    <col min="286" max="286" width="14.28515625" bestFit="1" customWidth="1"/>
    <col min="288" max="288" width="7.7109375" customWidth="1"/>
    <col min="289" max="289" width="13.42578125" customWidth="1"/>
    <col min="290" max="290" width="14" bestFit="1" customWidth="1"/>
    <col min="291" max="291" width="12.28515625" bestFit="1" customWidth="1"/>
    <col min="292" max="292" width="14.5703125" bestFit="1" customWidth="1"/>
    <col min="529" max="529" width="64.140625" customWidth="1"/>
    <col min="530" max="530" width="16.42578125" customWidth="1"/>
    <col min="531" max="531" width="14.28515625" bestFit="1" customWidth="1"/>
    <col min="533" max="533" width="14" bestFit="1" customWidth="1"/>
    <col min="534" max="534" width="15.5703125" bestFit="1" customWidth="1"/>
    <col min="537" max="537" width="73.140625" bestFit="1" customWidth="1"/>
    <col min="539" max="539" width="13.42578125" bestFit="1" customWidth="1"/>
    <col min="541" max="541" width="14" bestFit="1" customWidth="1"/>
    <col min="542" max="542" width="14.28515625" bestFit="1" customWidth="1"/>
    <col min="544" max="544" width="7.7109375" customWidth="1"/>
    <col min="545" max="545" width="13.42578125" customWidth="1"/>
    <col min="546" max="546" width="14" bestFit="1" customWidth="1"/>
    <col min="547" max="547" width="12.28515625" bestFit="1" customWidth="1"/>
    <col min="548" max="548" width="14.5703125" bestFit="1" customWidth="1"/>
    <col min="785" max="785" width="64.140625" customWidth="1"/>
    <col min="786" max="786" width="16.42578125" customWidth="1"/>
    <col min="787" max="787" width="14.28515625" bestFit="1" customWidth="1"/>
    <col min="789" max="789" width="14" bestFit="1" customWidth="1"/>
    <col min="790" max="790" width="15.5703125" bestFit="1" customWidth="1"/>
    <col min="793" max="793" width="73.140625" bestFit="1" customWidth="1"/>
    <col min="795" max="795" width="13.42578125" bestFit="1" customWidth="1"/>
    <col min="797" max="797" width="14" bestFit="1" customWidth="1"/>
    <col min="798" max="798" width="14.28515625" bestFit="1" customWidth="1"/>
    <col min="800" max="800" width="7.7109375" customWidth="1"/>
    <col min="801" max="801" width="13.42578125" customWidth="1"/>
    <col min="802" max="802" width="14" bestFit="1" customWidth="1"/>
    <col min="803" max="803" width="12.28515625" bestFit="1" customWidth="1"/>
    <col min="804" max="804" width="14.5703125" bestFit="1" customWidth="1"/>
    <col min="1041" max="1041" width="64.140625" customWidth="1"/>
    <col min="1042" max="1042" width="16.42578125" customWidth="1"/>
    <col min="1043" max="1043" width="14.28515625" bestFit="1" customWidth="1"/>
    <col min="1045" max="1045" width="14" bestFit="1" customWidth="1"/>
    <col min="1046" max="1046" width="15.5703125" bestFit="1" customWidth="1"/>
    <col min="1049" max="1049" width="73.140625" bestFit="1" customWidth="1"/>
    <col min="1051" max="1051" width="13.42578125" bestFit="1" customWidth="1"/>
    <col min="1053" max="1053" width="14" bestFit="1" customWidth="1"/>
    <col min="1054" max="1054" width="14.28515625" bestFit="1" customWidth="1"/>
    <col min="1056" max="1056" width="7.7109375" customWidth="1"/>
    <col min="1057" max="1057" width="13.42578125" customWidth="1"/>
    <col min="1058" max="1058" width="14" bestFit="1" customWidth="1"/>
    <col min="1059" max="1059" width="12.28515625" bestFit="1" customWidth="1"/>
    <col min="1060" max="1060" width="14.5703125" bestFit="1" customWidth="1"/>
    <col min="1297" max="1297" width="64.140625" customWidth="1"/>
    <col min="1298" max="1298" width="16.42578125" customWidth="1"/>
    <col min="1299" max="1299" width="14.28515625" bestFit="1" customWidth="1"/>
    <col min="1301" max="1301" width="14" bestFit="1" customWidth="1"/>
    <col min="1302" max="1302" width="15.5703125" bestFit="1" customWidth="1"/>
    <col min="1305" max="1305" width="73.140625" bestFit="1" customWidth="1"/>
    <col min="1307" max="1307" width="13.42578125" bestFit="1" customWidth="1"/>
    <col min="1309" max="1309" width="14" bestFit="1" customWidth="1"/>
    <col min="1310" max="1310" width="14.28515625" bestFit="1" customWidth="1"/>
    <col min="1312" max="1312" width="7.7109375" customWidth="1"/>
    <col min="1313" max="1313" width="13.42578125" customWidth="1"/>
    <col min="1314" max="1314" width="14" bestFit="1" customWidth="1"/>
    <col min="1315" max="1315" width="12.28515625" bestFit="1" customWidth="1"/>
    <col min="1316" max="1316" width="14.5703125" bestFit="1" customWidth="1"/>
    <col min="1553" max="1553" width="64.140625" customWidth="1"/>
    <col min="1554" max="1554" width="16.42578125" customWidth="1"/>
    <col min="1555" max="1555" width="14.28515625" bestFit="1" customWidth="1"/>
    <col min="1557" max="1557" width="14" bestFit="1" customWidth="1"/>
    <col min="1558" max="1558" width="15.5703125" bestFit="1" customWidth="1"/>
    <col min="1561" max="1561" width="73.140625" bestFit="1" customWidth="1"/>
    <col min="1563" max="1563" width="13.42578125" bestFit="1" customWidth="1"/>
    <col min="1565" max="1565" width="14" bestFit="1" customWidth="1"/>
    <col min="1566" max="1566" width="14.28515625" bestFit="1" customWidth="1"/>
    <col min="1568" max="1568" width="7.7109375" customWidth="1"/>
    <col min="1569" max="1569" width="13.42578125" customWidth="1"/>
    <col min="1570" max="1570" width="14" bestFit="1" customWidth="1"/>
    <col min="1571" max="1571" width="12.28515625" bestFit="1" customWidth="1"/>
    <col min="1572" max="1572" width="14.5703125" bestFit="1" customWidth="1"/>
    <col min="1809" max="1809" width="64.140625" customWidth="1"/>
    <col min="1810" max="1810" width="16.42578125" customWidth="1"/>
    <col min="1811" max="1811" width="14.28515625" bestFit="1" customWidth="1"/>
    <col min="1813" max="1813" width="14" bestFit="1" customWidth="1"/>
    <col min="1814" max="1814" width="15.5703125" bestFit="1" customWidth="1"/>
    <col min="1817" max="1817" width="73.140625" bestFit="1" customWidth="1"/>
    <col min="1819" max="1819" width="13.42578125" bestFit="1" customWidth="1"/>
    <col min="1821" max="1821" width="14" bestFit="1" customWidth="1"/>
    <col min="1822" max="1822" width="14.28515625" bestFit="1" customWidth="1"/>
    <col min="1824" max="1824" width="7.7109375" customWidth="1"/>
    <col min="1825" max="1825" width="13.42578125" customWidth="1"/>
    <col min="1826" max="1826" width="14" bestFit="1" customWidth="1"/>
    <col min="1827" max="1827" width="12.28515625" bestFit="1" customWidth="1"/>
    <col min="1828" max="1828" width="14.5703125" bestFit="1" customWidth="1"/>
    <col min="2065" max="2065" width="64.140625" customWidth="1"/>
    <col min="2066" max="2066" width="16.42578125" customWidth="1"/>
    <col min="2067" max="2067" width="14.28515625" bestFit="1" customWidth="1"/>
    <col min="2069" max="2069" width="14" bestFit="1" customWidth="1"/>
    <col min="2070" max="2070" width="15.5703125" bestFit="1" customWidth="1"/>
    <col min="2073" max="2073" width="73.140625" bestFit="1" customWidth="1"/>
    <col min="2075" max="2075" width="13.42578125" bestFit="1" customWidth="1"/>
    <col min="2077" max="2077" width="14" bestFit="1" customWidth="1"/>
    <col min="2078" max="2078" width="14.28515625" bestFit="1" customWidth="1"/>
    <col min="2080" max="2080" width="7.7109375" customWidth="1"/>
    <col min="2081" max="2081" width="13.42578125" customWidth="1"/>
    <col min="2082" max="2082" width="14" bestFit="1" customWidth="1"/>
    <col min="2083" max="2083" width="12.28515625" bestFit="1" customWidth="1"/>
    <col min="2084" max="2084" width="14.5703125" bestFit="1" customWidth="1"/>
    <col min="2321" max="2321" width="64.140625" customWidth="1"/>
    <col min="2322" max="2322" width="16.42578125" customWidth="1"/>
    <col min="2323" max="2323" width="14.28515625" bestFit="1" customWidth="1"/>
    <col min="2325" max="2325" width="14" bestFit="1" customWidth="1"/>
    <col min="2326" max="2326" width="15.5703125" bestFit="1" customWidth="1"/>
    <col min="2329" max="2329" width="73.140625" bestFit="1" customWidth="1"/>
    <col min="2331" max="2331" width="13.42578125" bestFit="1" customWidth="1"/>
    <col min="2333" max="2333" width="14" bestFit="1" customWidth="1"/>
    <col min="2334" max="2334" width="14.28515625" bestFit="1" customWidth="1"/>
    <col min="2336" max="2336" width="7.7109375" customWidth="1"/>
    <col min="2337" max="2337" width="13.42578125" customWidth="1"/>
    <col min="2338" max="2338" width="14" bestFit="1" customWidth="1"/>
    <col min="2339" max="2339" width="12.28515625" bestFit="1" customWidth="1"/>
    <col min="2340" max="2340" width="14.5703125" bestFit="1" customWidth="1"/>
    <col min="2577" max="2577" width="64.140625" customWidth="1"/>
    <col min="2578" max="2578" width="16.42578125" customWidth="1"/>
    <col min="2579" max="2579" width="14.28515625" bestFit="1" customWidth="1"/>
    <col min="2581" max="2581" width="14" bestFit="1" customWidth="1"/>
    <col min="2582" max="2582" width="15.5703125" bestFit="1" customWidth="1"/>
    <col min="2585" max="2585" width="73.140625" bestFit="1" customWidth="1"/>
    <col min="2587" max="2587" width="13.42578125" bestFit="1" customWidth="1"/>
    <col min="2589" max="2589" width="14" bestFit="1" customWidth="1"/>
    <col min="2590" max="2590" width="14.28515625" bestFit="1" customWidth="1"/>
    <col min="2592" max="2592" width="7.7109375" customWidth="1"/>
    <col min="2593" max="2593" width="13.42578125" customWidth="1"/>
    <col min="2594" max="2594" width="14" bestFit="1" customWidth="1"/>
    <col min="2595" max="2595" width="12.28515625" bestFit="1" customWidth="1"/>
    <col min="2596" max="2596" width="14.5703125" bestFit="1" customWidth="1"/>
    <col min="2833" max="2833" width="64.140625" customWidth="1"/>
    <col min="2834" max="2834" width="16.42578125" customWidth="1"/>
    <col min="2835" max="2835" width="14.28515625" bestFit="1" customWidth="1"/>
    <col min="2837" max="2837" width="14" bestFit="1" customWidth="1"/>
    <col min="2838" max="2838" width="15.5703125" bestFit="1" customWidth="1"/>
    <col min="2841" max="2841" width="73.140625" bestFit="1" customWidth="1"/>
    <col min="2843" max="2843" width="13.42578125" bestFit="1" customWidth="1"/>
    <col min="2845" max="2845" width="14" bestFit="1" customWidth="1"/>
    <col min="2846" max="2846" width="14.28515625" bestFit="1" customWidth="1"/>
    <col min="2848" max="2848" width="7.7109375" customWidth="1"/>
    <col min="2849" max="2849" width="13.42578125" customWidth="1"/>
    <col min="2850" max="2850" width="14" bestFit="1" customWidth="1"/>
    <col min="2851" max="2851" width="12.28515625" bestFit="1" customWidth="1"/>
    <col min="2852" max="2852" width="14.5703125" bestFit="1" customWidth="1"/>
    <col min="3089" max="3089" width="64.140625" customWidth="1"/>
    <col min="3090" max="3090" width="16.42578125" customWidth="1"/>
    <col min="3091" max="3091" width="14.28515625" bestFit="1" customWidth="1"/>
    <col min="3093" max="3093" width="14" bestFit="1" customWidth="1"/>
    <col min="3094" max="3094" width="15.5703125" bestFit="1" customWidth="1"/>
    <col min="3097" max="3097" width="73.140625" bestFit="1" customWidth="1"/>
    <col min="3099" max="3099" width="13.42578125" bestFit="1" customWidth="1"/>
    <col min="3101" max="3101" width="14" bestFit="1" customWidth="1"/>
    <col min="3102" max="3102" width="14.28515625" bestFit="1" customWidth="1"/>
    <col min="3104" max="3104" width="7.7109375" customWidth="1"/>
    <col min="3105" max="3105" width="13.42578125" customWidth="1"/>
    <col min="3106" max="3106" width="14" bestFit="1" customWidth="1"/>
    <col min="3107" max="3107" width="12.28515625" bestFit="1" customWidth="1"/>
    <col min="3108" max="3108" width="14.5703125" bestFit="1" customWidth="1"/>
    <col min="3345" max="3345" width="64.140625" customWidth="1"/>
    <col min="3346" max="3346" width="16.42578125" customWidth="1"/>
    <col min="3347" max="3347" width="14.28515625" bestFit="1" customWidth="1"/>
    <col min="3349" max="3349" width="14" bestFit="1" customWidth="1"/>
    <col min="3350" max="3350" width="15.5703125" bestFit="1" customWidth="1"/>
    <col min="3353" max="3353" width="73.140625" bestFit="1" customWidth="1"/>
    <col min="3355" max="3355" width="13.42578125" bestFit="1" customWidth="1"/>
    <col min="3357" max="3357" width="14" bestFit="1" customWidth="1"/>
    <col min="3358" max="3358" width="14.28515625" bestFit="1" customWidth="1"/>
    <col min="3360" max="3360" width="7.7109375" customWidth="1"/>
    <col min="3361" max="3361" width="13.42578125" customWidth="1"/>
    <col min="3362" max="3362" width="14" bestFit="1" customWidth="1"/>
    <col min="3363" max="3363" width="12.28515625" bestFit="1" customWidth="1"/>
    <col min="3364" max="3364" width="14.5703125" bestFit="1" customWidth="1"/>
    <col min="3601" max="3601" width="64.140625" customWidth="1"/>
    <col min="3602" max="3602" width="16.42578125" customWidth="1"/>
    <col min="3603" max="3603" width="14.28515625" bestFit="1" customWidth="1"/>
    <col min="3605" max="3605" width="14" bestFit="1" customWidth="1"/>
    <col min="3606" max="3606" width="15.5703125" bestFit="1" customWidth="1"/>
    <col min="3609" max="3609" width="73.140625" bestFit="1" customWidth="1"/>
    <col min="3611" max="3611" width="13.42578125" bestFit="1" customWidth="1"/>
    <col min="3613" max="3613" width="14" bestFit="1" customWidth="1"/>
    <col min="3614" max="3614" width="14.28515625" bestFit="1" customWidth="1"/>
    <col min="3616" max="3616" width="7.7109375" customWidth="1"/>
    <col min="3617" max="3617" width="13.42578125" customWidth="1"/>
    <col min="3618" max="3618" width="14" bestFit="1" customWidth="1"/>
    <col min="3619" max="3619" width="12.28515625" bestFit="1" customWidth="1"/>
    <col min="3620" max="3620" width="14.5703125" bestFit="1" customWidth="1"/>
    <col min="3857" max="3857" width="64.140625" customWidth="1"/>
    <col min="3858" max="3858" width="16.42578125" customWidth="1"/>
    <col min="3859" max="3859" width="14.28515625" bestFit="1" customWidth="1"/>
    <col min="3861" max="3861" width="14" bestFit="1" customWidth="1"/>
    <col min="3862" max="3862" width="15.5703125" bestFit="1" customWidth="1"/>
    <col min="3865" max="3865" width="73.140625" bestFit="1" customWidth="1"/>
    <col min="3867" max="3867" width="13.42578125" bestFit="1" customWidth="1"/>
    <col min="3869" max="3869" width="14" bestFit="1" customWidth="1"/>
    <col min="3870" max="3870" width="14.28515625" bestFit="1" customWidth="1"/>
    <col min="3872" max="3872" width="7.7109375" customWidth="1"/>
    <col min="3873" max="3873" width="13.42578125" customWidth="1"/>
    <col min="3874" max="3874" width="14" bestFit="1" customWidth="1"/>
    <col min="3875" max="3875" width="12.28515625" bestFit="1" customWidth="1"/>
    <col min="3876" max="3876" width="14.5703125" bestFit="1" customWidth="1"/>
    <col min="4113" max="4113" width="64.140625" customWidth="1"/>
    <col min="4114" max="4114" width="16.42578125" customWidth="1"/>
    <col min="4115" max="4115" width="14.28515625" bestFit="1" customWidth="1"/>
    <col min="4117" max="4117" width="14" bestFit="1" customWidth="1"/>
    <col min="4118" max="4118" width="15.5703125" bestFit="1" customWidth="1"/>
    <col min="4121" max="4121" width="73.140625" bestFit="1" customWidth="1"/>
    <col min="4123" max="4123" width="13.42578125" bestFit="1" customWidth="1"/>
    <col min="4125" max="4125" width="14" bestFit="1" customWidth="1"/>
    <col min="4126" max="4126" width="14.28515625" bestFit="1" customWidth="1"/>
    <col min="4128" max="4128" width="7.7109375" customWidth="1"/>
    <col min="4129" max="4129" width="13.42578125" customWidth="1"/>
    <col min="4130" max="4130" width="14" bestFit="1" customWidth="1"/>
    <col min="4131" max="4131" width="12.28515625" bestFit="1" customWidth="1"/>
    <col min="4132" max="4132" width="14.5703125" bestFit="1" customWidth="1"/>
    <col min="4369" max="4369" width="64.140625" customWidth="1"/>
    <col min="4370" max="4370" width="16.42578125" customWidth="1"/>
    <col min="4371" max="4371" width="14.28515625" bestFit="1" customWidth="1"/>
    <col min="4373" max="4373" width="14" bestFit="1" customWidth="1"/>
    <col min="4374" max="4374" width="15.5703125" bestFit="1" customWidth="1"/>
    <col min="4377" max="4377" width="73.140625" bestFit="1" customWidth="1"/>
    <col min="4379" max="4379" width="13.42578125" bestFit="1" customWidth="1"/>
    <col min="4381" max="4381" width="14" bestFit="1" customWidth="1"/>
    <col min="4382" max="4382" width="14.28515625" bestFit="1" customWidth="1"/>
    <col min="4384" max="4384" width="7.7109375" customWidth="1"/>
    <col min="4385" max="4385" width="13.42578125" customWidth="1"/>
    <col min="4386" max="4386" width="14" bestFit="1" customWidth="1"/>
    <col min="4387" max="4387" width="12.28515625" bestFit="1" customWidth="1"/>
    <col min="4388" max="4388" width="14.5703125" bestFit="1" customWidth="1"/>
    <col min="4625" max="4625" width="64.140625" customWidth="1"/>
    <col min="4626" max="4626" width="16.42578125" customWidth="1"/>
    <col min="4627" max="4627" width="14.28515625" bestFit="1" customWidth="1"/>
    <col min="4629" max="4629" width="14" bestFit="1" customWidth="1"/>
    <col min="4630" max="4630" width="15.5703125" bestFit="1" customWidth="1"/>
    <col min="4633" max="4633" width="73.140625" bestFit="1" customWidth="1"/>
    <col min="4635" max="4635" width="13.42578125" bestFit="1" customWidth="1"/>
    <col min="4637" max="4637" width="14" bestFit="1" customWidth="1"/>
    <col min="4638" max="4638" width="14.28515625" bestFit="1" customWidth="1"/>
    <col min="4640" max="4640" width="7.7109375" customWidth="1"/>
    <col min="4641" max="4641" width="13.42578125" customWidth="1"/>
    <col min="4642" max="4642" width="14" bestFit="1" customWidth="1"/>
    <col min="4643" max="4643" width="12.28515625" bestFit="1" customWidth="1"/>
    <col min="4644" max="4644" width="14.5703125" bestFit="1" customWidth="1"/>
    <col min="4881" max="4881" width="64.140625" customWidth="1"/>
    <col min="4882" max="4882" width="16.42578125" customWidth="1"/>
    <col min="4883" max="4883" width="14.28515625" bestFit="1" customWidth="1"/>
    <col min="4885" max="4885" width="14" bestFit="1" customWidth="1"/>
    <col min="4886" max="4886" width="15.5703125" bestFit="1" customWidth="1"/>
    <col min="4889" max="4889" width="73.140625" bestFit="1" customWidth="1"/>
    <col min="4891" max="4891" width="13.42578125" bestFit="1" customWidth="1"/>
    <col min="4893" max="4893" width="14" bestFit="1" customWidth="1"/>
    <col min="4894" max="4894" width="14.28515625" bestFit="1" customWidth="1"/>
    <col min="4896" max="4896" width="7.7109375" customWidth="1"/>
    <col min="4897" max="4897" width="13.42578125" customWidth="1"/>
    <col min="4898" max="4898" width="14" bestFit="1" customWidth="1"/>
    <col min="4899" max="4899" width="12.28515625" bestFit="1" customWidth="1"/>
    <col min="4900" max="4900" width="14.5703125" bestFit="1" customWidth="1"/>
    <col min="5137" max="5137" width="64.140625" customWidth="1"/>
    <col min="5138" max="5138" width="16.42578125" customWidth="1"/>
    <col min="5139" max="5139" width="14.28515625" bestFit="1" customWidth="1"/>
    <col min="5141" max="5141" width="14" bestFit="1" customWidth="1"/>
    <col min="5142" max="5142" width="15.5703125" bestFit="1" customWidth="1"/>
    <col min="5145" max="5145" width="73.140625" bestFit="1" customWidth="1"/>
    <col min="5147" max="5147" width="13.42578125" bestFit="1" customWidth="1"/>
    <col min="5149" max="5149" width="14" bestFit="1" customWidth="1"/>
    <col min="5150" max="5150" width="14.28515625" bestFit="1" customWidth="1"/>
    <col min="5152" max="5152" width="7.7109375" customWidth="1"/>
    <col min="5153" max="5153" width="13.42578125" customWidth="1"/>
    <col min="5154" max="5154" width="14" bestFit="1" customWidth="1"/>
    <col min="5155" max="5155" width="12.28515625" bestFit="1" customWidth="1"/>
    <col min="5156" max="5156" width="14.5703125" bestFit="1" customWidth="1"/>
    <col min="5393" max="5393" width="64.140625" customWidth="1"/>
    <col min="5394" max="5394" width="16.42578125" customWidth="1"/>
    <col min="5395" max="5395" width="14.28515625" bestFit="1" customWidth="1"/>
    <col min="5397" max="5397" width="14" bestFit="1" customWidth="1"/>
    <col min="5398" max="5398" width="15.5703125" bestFit="1" customWidth="1"/>
    <col min="5401" max="5401" width="73.140625" bestFit="1" customWidth="1"/>
    <col min="5403" max="5403" width="13.42578125" bestFit="1" customWidth="1"/>
    <col min="5405" max="5405" width="14" bestFit="1" customWidth="1"/>
    <col min="5406" max="5406" width="14.28515625" bestFit="1" customWidth="1"/>
    <col min="5408" max="5408" width="7.7109375" customWidth="1"/>
    <col min="5409" max="5409" width="13.42578125" customWidth="1"/>
    <col min="5410" max="5410" width="14" bestFit="1" customWidth="1"/>
    <col min="5411" max="5411" width="12.28515625" bestFit="1" customWidth="1"/>
    <col min="5412" max="5412" width="14.5703125" bestFit="1" customWidth="1"/>
    <col min="5649" max="5649" width="64.140625" customWidth="1"/>
    <col min="5650" max="5650" width="16.42578125" customWidth="1"/>
    <col min="5651" max="5651" width="14.28515625" bestFit="1" customWidth="1"/>
    <col min="5653" max="5653" width="14" bestFit="1" customWidth="1"/>
    <col min="5654" max="5654" width="15.5703125" bestFit="1" customWidth="1"/>
    <col min="5657" max="5657" width="73.140625" bestFit="1" customWidth="1"/>
    <col min="5659" max="5659" width="13.42578125" bestFit="1" customWidth="1"/>
    <col min="5661" max="5661" width="14" bestFit="1" customWidth="1"/>
    <col min="5662" max="5662" width="14.28515625" bestFit="1" customWidth="1"/>
    <col min="5664" max="5664" width="7.7109375" customWidth="1"/>
    <col min="5665" max="5665" width="13.42578125" customWidth="1"/>
    <col min="5666" max="5666" width="14" bestFit="1" customWidth="1"/>
    <col min="5667" max="5667" width="12.28515625" bestFit="1" customWidth="1"/>
    <col min="5668" max="5668" width="14.5703125" bestFit="1" customWidth="1"/>
    <col min="5905" max="5905" width="64.140625" customWidth="1"/>
    <col min="5906" max="5906" width="16.42578125" customWidth="1"/>
    <col min="5907" max="5907" width="14.28515625" bestFit="1" customWidth="1"/>
    <col min="5909" max="5909" width="14" bestFit="1" customWidth="1"/>
    <col min="5910" max="5910" width="15.5703125" bestFit="1" customWidth="1"/>
    <col min="5913" max="5913" width="73.140625" bestFit="1" customWidth="1"/>
    <col min="5915" max="5915" width="13.42578125" bestFit="1" customWidth="1"/>
    <col min="5917" max="5917" width="14" bestFit="1" customWidth="1"/>
    <col min="5918" max="5918" width="14.28515625" bestFit="1" customWidth="1"/>
    <col min="5920" max="5920" width="7.7109375" customWidth="1"/>
    <col min="5921" max="5921" width="13.42578125" customWidth="1"/>
    <col min="5922" max="5922" width="14" bestFit="1" customWidth="1"/>
    <col min="5923" max="5923" width="12.28515625" bestFit="1" customWidth="1"/>
    <col min="5924" max="5924" width="14.5703125" bestFit="1" customWidth="1"/>
    <col min="6161" max="6161" width="64.140625" customWidth="1"/>
    <col min="6162" max="6162" width="16.42578125" customWidth="1"/>
    <col min="6163" max="6163" width="14.28515625" bestFit="1" customWidth="1"/>
    <col min="6165" max="6165" width="14" bestFit="1" customWidth="1"/>
    <col min="6166" max="6166" width="15.5703125" bestFit="1" customWidth="1"/>
    <col min="6169" max="6169" width="73.140625" bestFit="1" customWidth="1"/>
    <col min="6171" max="6171" width="13.42578125" bestFit="1" customWidth="1"/>
    <col min="6173" max="6173" width="14" bestFit="1" customWidth="1"/>
    <col min="6174" max="6174" width="14.28515625" bestFit="1" customWidth="1"/>
    <col min="6176" max="6176" width="7.7109375" customWidth="1"/>
    <col min="6177" max="6177" width="13.42578125" customWidth="1"/>
    <col min="6178" max="6178" width="14" bestFit="1" customWidth="1"/>
    <col min="6179" max="6179" width="12.28515625" bestFit="1" customWidth="1"/>
    <col min="6180" max="6180" width="14.5703125" bestFit="1" customWidth="1"/>
    <col min="6417" max="6417" width="64.140625" customWidth="1"/>
    <col min="6418" max="6418" width="16.42578125" customWidth="1"/>
    <col min="6419" max="6419" width="14.28515625" bestFit="1" customWidth="1"/>
    <col min="6421" max="6421" width="14" bestFit="1" customWidth="1"/>
    <col min="6422" max="6422" width="15.5703125" bestFit="1" customWidth="1"/>
    <col min="6425" max="6425" width="73.140625" bestFit="1" customWidth="1"/>
    <col min="6427" max="6427" width="13.42578125" bestFit="1" customWidth="1"/>
    <col min="6429" max="6429" width="14" bestFit="1" customWidth="1"/>
    <col min="6430" max="6430" width="14.28515625" bestFit="1" customWidth="1"/>
    <col min="6432" max="6432" width="7.7109375" customWidth="1"/>
    <col min="6433" max="6433" width="13.42578125" customWidth="1"/>
    <col min="6434" max="6434" width="14" bestFit="1" customWidth="1"/>
    <col min="6435" max="6435" width="12.28515625" bestFit="1" customWidth="1"/>
    <col min="6436" max="6436" width="14.5703125" bestFit="1" customWidth="1"/>
    <col min="6673" max="6673" width="64.140625" customWidth="1"/>
    <col min="6674" max="6674" width="16.42578125" customWidth="1"/>
    <col min="6675" max="6675" width="14.28515625" bestFit="1" customWidth="1"/>
    <col min="6677" max="6677" width="14" bestFit="1" customWidth="1"/>
    <col min="6678" max="6678" width="15.5703125" bestFit="1" customWidth="1"/>
    <col min="6681" max="6681" width="73.140625" bestFit="1" customWidth="1"/>
    <col min="6683" max="6683" width="13.42578125" bestFit="1" customWidth="1"/>
    <col min="6685" max="6685" width="14" bestFit="1" customWidth="1"/>
    <col min="6686" max="6686" width="14.28515625" bestFit="1" customWidth="1"/>
    <col min="6688" max="6688" width="7.7109375" customWidth="1"/>
    <col min="6689" max="6689" width="13.42578125" customWidth="1"/>
    <col min="6690" max="6690" width="14" bestFit="1" customWidth="1"/>
    <col min="6691" max="6691" width="12.28515625" bestFit="1" customWidth="1"/>
    <col min="6692" max="6692" width="14.5703125" bestFit="1" customWidth="1"/>
    <col min="6929" max="6929" width="64.140625" customWidth="1"/>
    <col min="6930" max="6930" width="16.42578125" customWidth="1"/>
    <col min="6931" max="6931" width="14.28515625" bestFit="1" customWidth="1"/>
    <col min="6933" max="6933" width="14" bestFit="1" customWidth="1"/>
    <col min="6934" max="6934" width="15.5703125" bestFit="1" customWidth="1"/>
    <col min="6937" max="6937" width="73.140625" bestFit="1" customWidth="1"/>
    <col min="6939" max="6939" width="13.42578125" bestFit="1" customWidth="1"/>
    <col min="6941" max="6941" width="14" bestFit="1" customWidth="1"/>
    <col min="6942" max="6942" width="14.28515625" bestFit="1" customWidth="1"/>
    <col min="6944" max="6944" width="7.7109375" customWidth="1"/>
    <col min="6945" max="6945" width="13.42578125" customWidth="1"/>
    <col min="6946" max="6946" width="14" bestFit="1" customWidth="1"/>
    <col min="6947" max="6947" width="12.28515625" bestFit="1" customWidth="1"/>
    <col min="6948" max="6948" width="14.5703125" bestFit="1" customWidth="1"/>
    <col min="7185" max="7185" width="64.140625" customWidth="1"/>
    <col min="7186" max="7186" width="16.42578125" customWidth="1"/>
    <col min="7187" max="7187" width="14.28515625" bestFit="1" customWidth="1"/>
    <col min="7189" max="7189" width="14" bestFit="1" customWidth="1"/>
    <col min="7190" max="7190" width="15.5703125" bestFit="1" customWidth="1"/>
    <col min="7193" max="7193" width="73.140625" bestFit="1" customWidth="1"/>
    <col min="7195" max="7195" width="13.42578125" bestFit="1" customWidth="1"/>
    <col min="7197" max="7197" width="14" bestFit="1" customWidth="1"/>
    <col min="7198" max="7198" width="14.28515625" bestFit="1" customWidth="1"/>
    <col min="7200" max="7200" width="7.7109375" customWidth="1"/>
    <col min="7201" max="7201" width="13.42578125" customWidth="1"/>
    <col min="7202" max="7202" width="14" bestFit="1" customWidth="1"/>
    <col min="7203" max="7203" width="12.28515625" bestFit="1" customWidth="1"/>
    <col min="7204" max="7204" width="14.5703125" bestFit="1" customWidth="1"/>
    <col min="7441" max="7441" width="64.140625" customWidth="1"/>
    <col min="7442" max="7442" width="16.42578125" customWidth="1"/>
    <col min="7443" max="7443" width="14.28515625" bestFit="1" customWidth="1"/>
    <col min="7445" max="7445" width="14" bestFit="1" customWidth="1"/>
    <col min="7446" max="7446" width="15.5703125" bestFit="1" customWidth="1"/>
    <col min="7449" max="7449" width="73.140625" bestFit="1" customWidth="1"/>
    <col min="7451" max="7451" width="13.42578125" bestFit="1" customWidth="1"/>
    <col min="7453" max="7453" width="14" bestFit="1" customWidth="1"/>
    <col min="7454" max="7454" width="14.28515625" bestFit="1" customWidth="1"/>
    <col min="7456" max="7456" width="7.7109375" customWidth="1"/>
    <col min="7457" max="7457" width="13.42578125" customWidth="1"/>
    <col min="7458" max="7458" width="14" bestFit="1" customWidth="1"/>
    <col min="7459" max="7459" width="12.28515625" bestFit="1" customWidth="1"/>
    <col min="7460" max="7460" width="14.5703125" bestFit="1" customWidth="1"/>
    <col min="7697" max="7697" width="64.140625" customWidth="1"/>
    <col min="7698" max="7698" width="16.42578125" customWidth="1"/>
    <col min="7699" max="7699" width="14.28515625" bestFit="1" customWidth="1"/>
    <col min="7701" max="7701" width="14" bestFit="1" customWidth="1"/>
    <col min="7702" max="7702" width="15.5703125" bestFit="1" customWidth="1"/>
    <col min="7705" max="7705" width="73.140625" bestFit="1" customWidth="1"/>
    <col min="7707" max="7707" width="13.42578125" bestFit="1" customWidth="1"/>
    <col min="7709" max="7709" width="14" bestFit="1" customWidth="1"/>
    <col min="7710" max="7710" width="14.28515625" bestFit="1" customWidth="1"/>
    <col min="7712" max="7712" width="7.7109375" customWidth="1"/>
    <col min="7713" max="7713" width="13.42578125" customWidth="1"/>
    <col min="7714" max="7714" width="14" bestFit="1" customWidth="1"/>
    <col min="7715" max="7715" width="12.28515625" bestFit="1" customWidth="1"/>
    <col min="7716" max="7716" width="14.5703125" bestFit="1" customWidth="1"/>
    <col min="7953" max="7953" width="64.140625" customWidth="1"/>
    <col min="7954" max="7954" width="16.42578125" customWidth="1"/>
    <col min="7955" max="7955" width="14.28515625" bestFit="1" customWidth="1"/>
    <col min="7957" max="7957" width="14" bestFit="1" customWidth="1"/>
    <col min="7958" max="7958" width="15.5703125" bestFit="1" customWidth="1"/>
    <col min="7961" max="7961" width="73.140625" bestFit="1" customWidth="1"/>
    <col min="7963" max="7963" width="13.42578125" bestFit="1" customWidth="1"/>
    <col min="7965" max="7965" width="14" bestFit="1" customWidth="1"/>
    <col min="7966" max="7966" width="14.28515625" bestFit="1" customWidth="1"/>
    <col min="7968" max="7968" width="7.7109375" customWidth="1"/>
    <col min="7969" max="7969" width="13.42578125" customWidth="1"/>
    <col min="7970" max="7970" width="14" bestFit="1" customWidth="1"/>
    <col min="7971" max="7971" width="12.28515625" bestFit="1" customWidth="1"/>
    <col min="7972" max="7972" width="14.5703125" bestFit="1" customWidth="1"/>
    <col min="8209" max="8209" width="64.140625" customWidth="1"/>
    <col min="8210" max="8210" width="16.42578125" customWidth="1"/>
    <col min="8211" max="8211" width="14.28515625" bestFit="1" customWidth="1"/>
    <col min="8213" max="8213" width="14" bestFit="1" customWidth="1"/>
    <col min="8214" max="8214" width="15.5703125" bestFit="1" customWidth="1"/>
    <col min="8217" max="8217" width="73.140625" bestFit="1" customWidth="1"/>
    <col min="8219" max="8219" width="13.42578125" bestFit="1" customWidth="1"/>
    <col min="8221" max="8221" width="14" bestFit="1" customWidth="1"/>
    <col min="8222" max="8222" width="14.28515625" bestFit="1" customWidth="1"/>
    <col min="8224" max="8224" width="7.7109375" customWidth="1"/>
    <col min="8225" max="8225" width="13.42578125" customWidth="1"/>
    <col min="8226" max="8226" width="14" bestFit="1" customWidth="1"/>
    <col min="8227" max="8227" width="12.28515625" bestFit="1" customWidth="1"/>
    <col min="8228" max="8228" width="14.5703125" bestFit="1" customWidth="1"/>
    <col min="8465" max="8465" width="64.140625" customWidth="1"/>
    <col min="8466" max="8466" width="16.42578125" customWidth="1"/>
    <col min="8467" max="8467" width="14.28515625" bestFit="1" customWidth="1"/>
    <col min="8469" max="8469" width="14" bestFit="1" customWidth="1"/>
    <col min="8470" max="8470" width="15.5703125" bestFit="1" customWidth="1"/>
    <col min="8473" max="8473" width="73.140625" bestFit="1" customWidth="1"/>
    <col min="8475" max="8475" width="13.42578125" bestFit="1" customWidth="1"/>
    <col min="8477" max="8477" width="14" bestFit="1" customWidth="1"/>
    <col min="8478" max="8478" width="14.28515625" bestFit="1" customWidth="1"/>
    <col min="8480" max="8480" width="7.7109375" customWidth="1"/>
    <col min="8481" max="8481" width="13.42578125" customWidth="1"/>
    <col min="8482" max="8482" width="14" bestFit="1" customWidth="1"/>
    <col min="8483" max="8483" width="12.28515625" bestFit="1" customWidth="1"/>
    <col min="8484" max="8484" width="14.5703125" bestFit="1" customWidth="1"/>
    <col min="8721" max="8721" width="64.140625" customWidth="1"/>
    <col min="8722" max="8722" width="16.42578125" customWidth="1"/>
    <col min="8723" max="8723" width="14.28515625" bestFit="1" customWidth="1"/>
    <col min="8725" max="8725" width="14" bestFit="1" customWidth="1"/>
    <col min="8726" max="8726" width="15.5703125" bestFit="1" customWidth="1"/>
    <col min="8729" max="8729" width="73.140625" bestFit="1" customWidth="1"/>
    <col min="8731" max="8731" width="13.42578125" bestFit="1" customWidth="1"/>
    <col min="8733" max="8733" width="14" bestFit="1" customWidth="1"/>
    <col min="8734" max="8734" width="14.28515625" bestFit="1" customWidth="1"/>
    <col min="8736" max="8736" width="7.7109375" customWidth="1"/>
    <col min="8737" max="8737" width="13.42578125" customWidth="1"/>
    <col min="8738" max="8738" width="14" bestFit="1" customWidth="1"/>
    <col min="8739" max="8739" width="12.28515625" bestFit="1" customWidth="1"/>
    <col min="8740" max="8740" width="14.5703125" bestFit="1" customWidth="1"/>
    <col min="8977" max="8977" width="64.140625" customWidth="1"/>
    <col min="8978" max="8978" width="16.42578125" customWidth="1"/>
    <col min="8979" max="8979" width="14.28515625" bestFit="1" customWidth="1"/>
    <col min="8981" max="8981" width="14" bestFit="1" customWidth="1"/>
    <col min="8982" max="8982" width="15.5703125" bestFit="1" customWidth="1"/>
    <col min="8985" max="8985" width="73.140625" bestFit="1" customWidth="1"/>
    <col min="8987" max="8987" width="13.42578125" bestFit="1" customWidth="1"/>
    <col min="8989" max="8989" width="14" bestFit="1" customWidth="1"/>
    <col min="8990" max="8990" width="14.28515625" bestFit="1" customWidth="1"/>
    <col min="8992" max="8992" width="7.7109375" customWidth="1"/>
    <col min="8993" max="8993" width="13.42578125" customWidth="1"/>
    <col min="8994" max="8994" width="14" bestFit="1" customWidth="1"/>
    <col min="8995" max="8995" width="12.28515625" bestFit="1" customWidth="1"/>
    <col min="8996" max="8996" width="14.5703125" bestFit="1" customWidth="1"/>
    <col min="9233" max="9233" width="64.140625" customWidth="1"/>
    <col min="9234" max="9234" width="16.42578125" customWidth="1"/>
    <col min="9235" max="9235" width="14.28515625" bestFit="1" customWidth="1"/>
    <col min="9237" max="9237" width="14" bestFit="1" customWidth="1"/>
    <col min="9238" max="9238" width="15.5703125" bestFit="1" customWidth="1"/>
    <col min="9241" max="9241" width="73.140625" bestFit="1" customWidth="1"/>
    <col min="9243" max="9243" width="13.42578125" bestFit="1" customWidth="1"/>
    <col min="9245" max="9245" width="14" bestFit="1" customWidth="1"/>
    <col min="9246" max="9246" width="14.28515625" bestFit="1" customWidth="1"/>
    <col min="9248" max="9248" width="7.7109375" customWidth="1"/>
    <col min="9249" max="9249" width="13.42578125" customWidth="1"/>
    <col min="9250" max="9250" width="14" bestFit="1" customWidth="1"/>
    <col min="9251" max="9251" width="12.28515625" bestFit="1" customWidth="1"/>
    <col min="9252" max="9252" width="14.5703125" bestFit="1" customWidth="1"/>
    <col min="9489" max="9489" width="64.140625" customWidth="1"/>
    <col min="9490" max="9490" width="16.42578125" customWidth="1"/>
    <col min="9491" max="9491" width="14.28515625" bestFit="1" customWidth="1"/>
    <col min="9493" max="9493" width="14" bestFit="1" customWidth="1"/>
    <col min="9494" max="9494" width="15.5703125" bestFit="1" customWidth="1"/>
    <col min="9497" max="9497" width="73.140625" bestFit="1" customWidth="1"/>
    <col min="9499" max="9499" width="13.42578125" bestFit="1" customWidth="1"/>
    <col min="9501" max="9501" width="14" bestFit="1" customWidth="1"/>
    <col min="9502" max="9502" width="14.28515625" bestFit="1" customWidth="1"/>
    <col min="9504" max="9504" width="7.7109375" customWidth="1"/>
    <col min="9505" max="9505" width="13.42578125" customWidth="1"/>
    <col min="9506" max="9506" width="14" bestFit="1" customWidth="1"/>
    <col min="9507" max="9507" width="12.28515625" bestFit="1" customWidth="1"/>
    <col min="9508" max="9508" width="14.5703125" bestFit="1" customWidth="1"/>
    <col min="9745" max="9745" width="64.140625" customWidth="1"/>
    <col min="9746" max="9746" width="16.42578125" customWidth="1"/>
    <col min="9747" max="9747" width="14.28515625" bestFit="1" customWidth="1"/>
    <col min="9749" max="9749" width="14" bestFit="1" customWidth="1"/>
    <col min="9750" max="9750" width="15.5703125" bestFit="1" customWidth="1"/>
    <col min="9753" max="9753" width="73.140625" bestFit="1" customWidth="1"/>
    <col min="9755" max="9755" width="13.42578125" bestFit="1" customWidth="1"/>
    <col min="9757" max="9757" width="14" bestFit="1" customWidth="1"/>
    <col min="9758" max="9758" width="14.28515625" bestFit="1" customWidth="1"/>
    <col min="9760" max="9760" width="7.7109375" customWidth="1"/>
    <col min="9761" max="9761" width="13.42578125" customWidth="1"/>
    <col min="9762" max="9762" width="14" bestFit="1" customWidth="1"/>
    <col min="9763" max="9763" width="12.28515625" bestFit="1" customWidth="1"/>
    <col min="9764" max="9764" width="14.5703125" bestFit="1" customWidth="1"/>
    <col min="10001" max="10001" width="64.140625" customWidth="1"/>
    <col min="10002" max="10002" width="16.42578125" customWidth="1"/>
    <col min="10003" max="10003" width="14.28515625" bestFit="1" customWidth="1"/>
    <col min="10005" max="10005" width="14" bestFit="1" customWidth="1"/>
    <col min="10006" max="10006" width="15.5703125" bestFit="1" customWidth="1"/>
    <col min="10009" max="10009" width="73.140625" bestFit="1" customWidth="1"/>
    <col min="10011" max="10011" width="13.42578125" bestFit="1" customWidth="1"/>
    <col min="10013" max="10013" width="14" bestFit="1" customWidth="1"/>
    <col min="10014" max="10014" width="14.28515625" bestFit="1" customWidth="1"/>
    <col min="10016" max="10016" width="7.7109375" customWidth="1"/>
    <col min="10017" max="10017" width="13.42578125" customWidth="1"/>
    <col min="10018" max="10018" width="14" bestFit="1" customWidth="1"/>
    <col min="10019" max="10019" width="12.28515625" bestFit="1" customWidth="1"/>
    <col min="10020" max="10020" width="14.5703125" bestFit="1" customWidth="1"/>
    <col min="10257" max="10257" width="64.140625" customWidth="1"/>
    <col min="10258" max="10258" width="16.42578125" customWidth="1"/>
    <col min="10259" max="10259" width="14.28515625" bestFit="1" customWidth="1"/>
    <col min="10261" max="10261" width="14" bestFit="1" customWidth="1"/>
    <col min="10262" max="10262" width="15.5703125" bestFit="1" customWidth="1"/>
    <col min="10265" max="10265" width="73.140625" bestFit="1" customWidth="1"/>
    <col min="10267" max="10267" width="13.42578125" bestFit="1" customWidth="1"/>
    <col min="10269" max="10269" width="14" bestFit="1" customWidth="1"/>
    <col min="10270" max="10270" width="14.28515625" bestFit="1" customWidth="1"/>
    <col min="10272" max="10272" width="7.7109375" customWidth="1"/>
    <col min="10273" max="10273" width="13.42578125" customWidth="1"/>
    <col min="10274" max="10274" width="14" bestFit="1" customWidth="1"/>
    <col min="10275" max="10275" width="12.28515625" bestFit="1" customWidth="1"/>
    <col min="10276" max="10276" width="14.5703125" bestFit="1" customWidth="1"/>
    <col min="10513" max="10513" width="64.140625" customWidth="1"/>
    <col min="10514" max="10514" width="16.42578125" customWidth="1"/>
    <col min="10515" max="10515" width="14.28515625" bestFit="1" customWidth="1"/>
    <col min="10517" max="10517" width="14" bestFit="1" customWidth="1"/>
    <col min="10518" max="10518" width="15.5703125" bestFit="1" customWidth="1"/>
    <col min="10521" max="10521" width="73.140625" bestFit="1" customWidth="1"/>
    <col min="10523" max="10523" width="13.42578125" bestFit="1" customWidth="1"/>
    <col min="10525" max="10525" width="14" bestFit="1" customWidth="1"/>
    <col min="10526" max="10526" width="14.28515625" bestFit="1" customWidth="1"/>
    <col min="10528" max="10528" width="7.7109375" customWidth="1"/>
    <col min="10529" max="10529" width="13.42578125" customWidth="1"/>
    <col min="10530" max="10530" width="14" bestFit="1" customWidth="1"/>
    <col min="10531" max="10531" width="12.28515625" bestFit="1" customWidth="1"/>
    <col min="10532" max="10532" width="14.5703125" bestFit="1" customWidth="1"/>
    <col min="10769" max="10769" width="64.140625" customWidth="1"/>
    <col min="10770" max="10770" width="16.42578125" customWidth="1"/>
    <col min="10771" max="10771" width="14.28515625" bestFit="1" customWidth="1"/>
    <col min="10773" max="10773" width="14" bestFit="1" customWidth="1"/>
    <col min="10774" max="10774" width="15.5703125" bestFit="1" customWidth="1"/>
    <col min="10777" max="10777" width="73.140625" bestFit="1" customWidth="1"/>
    <col min="10779" max="10779" width="13.42578125" bestFit="1" customWidth="1"/>
    <col min="10781" max="10781" width="14" bestFit="1" customWidth="1"/>
    <col min="10782" max="10782" width="14.28515625" bestFit="1" customWidth="1"/>
    <col min="10784" max="10784" width="7.7109375" customWidth="1"/>
    <col min="10785" max="10785" width="13.42578125" customWidth="1"/>
    <col min="10786" max="10786" width="14" bestFit="1" customWidth="1"/>
    <col min="10787" max="10787" width="12.28515625" bestFit="1" customWidth="1"/>
    <col min="10788" max="10788" width="14.5703125" bestFit="1" customWidth="1"/>
    <col min="11025" max="11025" width="64.140625" customWidth="1"/>
    <col min="11026" max="11026" width="16.42578125" customWidth="1"/>
    <col min="11027" max="11027" width="14.28515625" bestFit="1" customWidth="1"/>
    <col min="11029" max="11029" width="14" bestFit="1" customWidth="1"/>
    <col min="11030" max="11030" width="15.5703125" bestFit="1" customWidth="1"/>
    <col min="11033" max="11033" width="73.140625" bestFit="1" customWidth="1"/>
    <col min="11035" max="11035" width="13.42578125" bestFit="1" customWidth="1"/>
    <col min="11037" max="11037" width="14" bestFit="1" customWidth="1"/>
    <col min="11038" max="11038" width="14.28515625" bestFit="1" customWidth="1"/>
    <col min="11040" max="11040" width="7.7109375" customWidth="1"/>
    <col min="11041" max="11041" width="13.42578125" customWidth="1"/>
    <col min="11042" max="11042" width="14" bestFit="1" customWidth="1"/>
    <col min="11043" max="11043" width="12.28515625" bestFit="1" customWidth="1"/>
    <col min="11044" max="11044" width="14.5703125" bestFit="1" customWidth="1"/>
    <col min="11281" max="11281" width="64.140625" customWidth="1"/>
    <col min="11282" max="11282" width="16.42578125" customWidth="1"/>
    <col min="11283" max="11283" width="14.28515625" bestFit="1" customWidth="1"/>
    <col min="11285" max="11285" width="14" bestFit="1" customWidth="1"/>
    <col min="11286" max="11286" width="15.5703125" bestFit="1" customWidth="1"/>
    <col min="11289" max="11289" width="73.140625" bestFit="1" customWidth="1"/>
    <col min="11291" max="11291" width="13.42578125" bestFit="1" customWidth="1"/>
    <col min="11293" max="11293" width="14" bestFit="1" customWidth="1"/>
    <col min="11294" max="11294" width="14.28515625" bestFit="1" customWidth="1"/>
    <col min="11296" max="11296" width="7.7109375" customWidth="1"/>
    <col min="11297" max="11297" width="13.42578125" customWidth="1"/>
    <col min="11298" max="11298" width="14" bestFit="1" customWidth="1"/>
    <col min="11299" max="11299" width="12.28515625" bestFit="1" customWidth="1"/>
    <col min="11300" max="11300" width="14.5703125" bestFit="1" customWidth="1"/>
    <col min="11537" max="11537" width="64.140625" customWidth="1"/>
    <col min="11538" max="11538" width="16.42578125" customWidth="1"/>
    <col min="11539" max="11539" width="14.28515625" bestFit="1" customWidth="1"/>
    <col min="11541" max="11541" width="14" bestFit="1" customWidth="1"/>
    <col min="11542" max="11542" width="15.5703125" bestFit="1" customWidth="1"/>
    <col min="11545" max="11545" width="73.140625" bestFit="1" customWidth="1"/>
    <col min="11547" max="11547" width="13.42578125" bestFit="1" customWidth="1"/>
    <col min="11549" max="11549" width="14" bestFit="1" customWidth="1"/>
    <col min="11550" max="11550" width="14.28515625" bestFit="1" customWidth="1"/>
    <col min="11552" max="11552" width="7.7109375" customWidth="1"/>
    <col min="11553" max="11553" width="13.42578125" customWidth="1"/>
    <col min="11554" max="11554" width="14" bestFit="1" customWidth="1"/>
    <col min="11555" max="11555" width="12.28515625" bestFit="1" customWidth="1"/>
    <col min="11556" max="11556" width="14.5703125" bestFit="1" customWidth="1"/>
    <col min="11793" max="11793" width="64.140625" customWidth="1"/>
    <col min="11794" max="11794" width="16.42578125" customWidth="1"/>
    <col min="11795" max="11795" width="14.28515625" bestFit="1" customWidth="1"/>
    <col min="11797" max="11797" width="14" bestFit="1" customWidth="1"/>
    <col min="11798" max="11798" width="15.5703125" bestFit="1" customWidth="1"/>
    <col min="11801" max="11801" width="73.140625" bestFit="1" customWidth="1"/>
    <col min="11803" max="11803" width="13.42578125" bestFit="1" customWidth="1"/>
    <col min="11805" max="11805" width="14" bestFit="1" customWidth="1"/>
    <col min="11806" max="11806" width="14.28515625" bestFit="1" customWidth="1"/>
    <col min="11808" max="11808" width="7.7109375" customWidth="1"/>
    <col min="11809" max="11809" width="13.42578125" customWidth="1"/>
    <col min="11810" max="11810" width="14" bestFit="1" customWidth="1"/>
    <col min="11811" max="11811" width="12.28515625" bestFit="1" customWidth="1"/>
    <col min="11812" max="11812" width="14.5703125" bestFit="1" customWidth="1"/>
    <col min="12049" max="12049" width="64.140625" customWidth="1"/>
    <col min="12050" max="12050" width="16.42578125" customWidth="1"/>
    <col min="12051" max="12051" width="14.28515625" bestFit="1" customWidth="1"/>
    <col min="12053" max="12053" width="14" bestFit="1" customWidth="1"/>
    <col min="12054" max="12054" width="15.5703125" bestFit="1" customWidth="1"/>
    <col min="12057" max="12057" width="73.140625" bestFit="1" customWidth="1"/>
    <col min="12059" max="12059" width="13.42578125" bestFit="1" customWidth="1"/>
    <col min="12061" max="12061" width="14" bestFit="1" customWidth="1"/>
    <col min="12062" max="12062" width="14.28515625" bestFit="1" customWidth="1"/>
    <col min="12064" max="12064" width="7.7109375" customWidth="1"/>
    <col min="12065" max="12065" width="13.42578125" customWidth="1"/>
    <col min="12066" max="12066" width="14" bestFit="1" customWidth="1"/>
    <col min="12067" max="12067" width="12.28515625" bestFit="1" customWidth="1"/>
    <col min="12068" max="12068" width="14.5703125" bestFit="1" customWidth="1"/>
    <col min="12305" max="12305" width="64.140625" customWidth="1"/>
    <col min="12306" max="12306" width="16.42578125" customWidth="1"/>
    <col min="12307" max="12307" width="14.28515625" bestFit="1" customWidth="1"/>
    <col min="12309" max="12309" width="14" bestFit="1" customWidth="1"/>
    <col min="12310" max="12310" width="15.5703125" bestFit="1" customWidth="1"/>
    <col min="12313" max="12313" width="73.140625" bestFit="1" customWidth="1"/>
    <col min="12315" max="12315" width="13.42578125" bestFit="1" customWidth="1"/>
    <col min="12317" max="12317" width="14" bestFit="1" customWidth="1"/>
    <col min="12318" max="12318" width="14.28515625" bestFit="1" customWidth="1"/>
    <col min="12320" max="12320" width="7.7109375" customWidth="1"/>
    <col min="12321" max="12321" width="13.42578125" customWidth="1"/>
    <col min="12322" max="12322" width="14" bestFit="1" customWidth="1"/>
    <col min="12323" max="12323" width="12.28515625" bestFit="1" customWidth="1"/>
    <col min="12324" max="12324" width="14.5703125" bestFit="1" customWidth="1"/>
    <col min="12561" max="12561" width="64.140625" customWidth="1"/>
    <col min="12562" max="12562" width="16.42578125" customWidth="1"/>
    <col min="12563" max="12563" width="14.28515625" bestFit="1" customWidth="1"/>
    <col min="12565" max="12565" width="14" bestFit="1" customWidth="1"/>
    <col min="12566" max="12566" width="15.5703125" bestFit="1" customWidth="1"/>
    <col min="12569" max="12569" width="73.140625" bestFit="1" customWidth="1"/>
    <col min="12571" max="12571" width="13.42578125" bestFit="1" customWidth="1"/>
    <col min="12573" max="12573" width="14" bestFit="1" customWidth="1"/>
    <col min="12574" max="12574" width="14.28515625" bestFit="1" customWidth="1"/>
    <col min="12576" max="12576" width="7.7109375" customWidth="1"/>
    <col min="12577" max="12577" width="13.42578125" customWidth="1"/>
    <col min="12578" max="12578" width="14" bestFit="1" customWidth="1"/>
    <col min="12579" max="12579" width="12.28515625" bestFit="1" customWidth="1"/>
    <col min="12580" max="12580" width="14.5703125" bestFit="1" customWidth="1"/>
    <col min="12817" max="12817" width="64.140625" customWidth="1"/>
    <col min="12818" max="12818" width="16.42578125" customWidth="1"/>
    <col min="12819" max="12819" width="14.28515625" bestFit="1" customWidth="1"/>
    <col min="12821" max="12821" width="14" bestFit="1" customWidth="1"/>
    <col min="12822" max="12822" width="15.5703125" bestFit="1" customWidth="1"/>
    <col min="12825" max="12825" width="73.140625" bestFit="1" customWidth="1"/>
    <col min="12827" max="12827" width="13.42578125" bestFit="1" customWidth="1"/>
    <col min="12829" max="12829" width="14" bestFit="1" customWidth="1"/>
    <col min="12830" max="12830" width="14.28515625" bestFit="1" customWidth="1"/>
    <col min="12832" max="12832" width="7.7109375" customWidth="1"/>
    <col min="12833" max="12833" width="13.42578125" customWidth="1"/>
    <col min="12834" max="12834" width="14" bestFit="1" customWidth="1"/>
    <col min="12835" max="12835" width="12.28515625" bestFit="1" customWidth="1"/>
    <col min="12836" max="12836" width="14.5703125" bestFit="1" customWidth="1"/>
    <col min="13073" max="13073" width="64.140625" customWidth="1"/>
    <col min="13074" max="13074" width="16.42578125" customWidth="1"/>
    <col min="13075" max="13075" width="14.28515625" bestFit="1" customWidth="1"/>
    <col min="13077" max="13077" width="14" bestFit="1" customWidth="1"/>
    <col min="13078" max="13078" width="15.5703125" bestFit="1" customWidth="1"/>
    <col min="13081" max="13081" width="73.140625" bestFit="1" customWidth="1"/>
    <col min="13083" max="13083" width="13.42578125" bestFit="1" customWidth="1"/>
    <col min="13085" max="13085" width="14" bestFit="1" customWidth="1"/>
    <col min="13086" max="13086" width="14.28515625" bestFit="1" customWidth="1"/>
    <col min="13088" max="13088" width="7.7109375" customWidth="1"/>
    <col min="13089" max="13089" width="13.42578125" customWidth="1"/>
    <col min="13090" max="13090" width="14" bestFit="1" customWidth="1"/>
    <col min="13091" max="13091" width="12.28515625" bestFit="1" customWidth="1"/>
    <col min="13092" max="13092" width="14.5703125" bestFit="1" customWidth="1"/>
    <col min="13329" max="13329" width="64.140625" customWidth="1"/>
    <col min="13330" max="13330" width="16.42578125" customWidth="1"/>
    <col min="13331" max="13331" width="14.28515625" bestFit="1" customWidth="1"/>
    <col min="13333" max="13333" width="14" bestFit="1" customWidth="1"/>
    <col min="13334" max="13334" width="15.5703125" bestFit="1" customWidth="1"/>
    <col min="13337" max="13337" width="73.140625" bestFit="1" customWidth="1"/>
    <col min="13339" max="13339" width="13.42578125" bestFit="1" customWidth="1"/>
    <col min="13341" max="13341" width="14" bestFit="1" customWidth="1"/>
    <col min="13342" max="13342" width="14.28515625" bestFit="1" customWidth="1"/>
    <col min="13344" max="13344" width="7.7109375" customWidth="1"/>
    <col min="13345" max="13345" width="13.42578125" customWidth="1"/>
    <col min="13346" max="13346" width="14" bestFit="1" customWidth="1"/>
    <col min="13347" max="13347" width="12.28515625" bestFit="1" customWidth="1"/>
    <col min="13348" max="13348" width="14.5703125" bestFit="1" customWidth="1"/>
    <col min="13585" max="13585" width="64.140625" customWidth="1"/>
    <col min="13586" max="13586" width="16.42578125" customWidth="1"/>
    <col min="13587" max="13587" width="14.28515625" bestFit="1" customWidth="1"/>
    <col min="13589" max="13589" width="14" bestFit="1" customWidth="1"/>
    <col min="13590" max="13590" width="15.5703125" bestFit="1" customWidth="1"/>
    <col min="13593" max="13593" width="73.140625" bestFit="1" customWidth="1"/>
    <col min="13595" max="13595" width="13.42578125" bestFit="1" customWidth="1"/>
    <col min="13597" max="13597" width="14" bestFit="1" customWidth="1"/>
    <col min="13598" max="13598" width="14.28515625" bestFit="1" customWidth="1"/>
    <col min="13600" max="13600" width="7.7109375" customWidth="1"/>
    <col min="13601" max="13601" width="13.42578125" customWidth="1"/>
    <col min="13602" max="13602" width="14" bestFit="1" customWidth="1"/>
    <col min="13603" max="13603" width="12.28515625" bestFit="1" customWidth="1"/>
    <col min="13604" max="13604" width="14.5703125" bestFit="1" customWidth="1"/>
    <col min="13841" max="13841" width="64.140625" customWidth="1"/>
    <col min="13842" max="13842" width="16.42578125" customWidth="1"/>
    <col min="13843" max="13843" width="14.28515625" bestFit="1" customWidth="1"/>
    <col min="13845" max="13845" width="14" bestFit="1" customWidth="1"/>
    <col min="13846" max="13846" width="15.5703125" bestFit="1" customWidth="1"/>
    <col min="13849" max="13849" width="73.140625" bestFit="1" customWidth="1"/>
    <col min="13851" max="13851" width="13.42578125" bestFit="1" customWidth="1"/>
    <col min="13853" max="13853" width="14" bestFit="1" customWidth="1"/>
    <col min="13854" max="13854" width="14.28515625" bestFit="1" customWidth="1"/>
    <col min="13856" max="13856" width="7.7109375" customWidth="1"/>
    <col min="13857" max="13857" width="13.42578125" customWidth="1"/>
    <col min="13858" max="13858" width="14" bestFit="1" customWidth="1"/>
    <col min="13859" max="13859" width="12.28515625" bestFit="1" customWidth="1"/>
    <col min="13860" max="13860" width="14.5703125" bestFit="1" customWidth="1"/>
    <col min="14097" max="14097" width="64.140625" customWidth="1"/>
    <col min="14098" max="14098" width="16.42578125" customWidth="1"/>
    <col min="14099" max="14099" width="14.28515625" bestFit="1" customWidth="1"/>
    <col min="14101" max="14101" width="14" bestFit="1" customWidth="1"/>
    <col min="14102" max="14102" width="15.5703125" bestFit="1" customWidth="1"/>
    <col min="14105" max="14105" width="73.140625" bestFit="1" customWidth="1"/>
    <col min="14107" max="14107" width="13.42578125" bestFit="1" customWidth="1"/>
    <col min="14109" max="14109" width="14" bestFit="1" customWidth="1"/>
    <col min="14110" max="14110" width="14.28515625" bestFit="1" customWidth="1"/>
    <col min="14112" max="14112" width="7.7109375" customWidth="1"/>
    <col min="14113" max="14113" width="13.42578125" customWidth="1"/>
    <col min="14114" max="14114" width="14" bestFit="1" customWidth="1"/>
    <col min="14115" max="14115" width="12.28515625" bestFit="1" customWidth="1"/>
    <col min="14116" max="14116" width="14.5703125" bestFit="1" customWidth="1"/>
    <col min="14353" max="14353" width="64.140625" customWidth="1"/>
    <col min="14354" max="14354" width="16.42578125" customWidth="1"/>
    <col min="14355" max="14355" width="14.28515625" bestFit="1" customWidth="1"/>
    <col min="14357" max="14357" width="14" bestFit="1" customWidth="1"/>
    <col min="14358" max="14358" width="15.5703125" bestFit="1" customWidth="1"/>
    <col min="14361" max="14361" width="73.140625" bestFit="1" customWidth="1"/>
    <col min="14363" max="14363" width="13.42578125" bestFit="1" customWidth="1"/>
    <col min="14365" max="14365" width="14" bestFit="1" customWidth="1"/>
    <col min="14366" max="14366" width="14.28515625" bestFit="1" customWidth="1"/>
    <col min="14368" max="14368" width="7.7109375" customWidth="1"/>
    <col min="14369" max="14369" width="13.42578125" customWidth="1"/>
    <col min="14370" max="14370" width="14" bestFit="1" customWidth="1"/>
    <col min="14371" max="14371" width="12.28515625" bestFit="1" customWidth="1"/>
    <col min="14372" max="14372" width="14.5703125" bestFit="1" customWidth="1"/>
    <col min="14609" max="14609" width="64.140625" customWidth="1"/>
    <col min="14610" max="14610" width="16.42578125" customWidth="1"/>
    <col min="14611" max="14611" width="14.28515625" bestFit="1" customWidth="1"/>
    <col min="14613" max="14613" width="14" bestFit="1" customWidth="1"/>
    <col min="14614" max="14614" width="15.5703125" bestFit="1" customWidth="1"/>
    <col min="14617" max="14617" width="73.140625" bestFit="1" customWidth="1"/>
    <col min="14619" max="14619" width="13.42578125" bestFit="1" customWidth="1"/>
    <col min="14621" max="14621" width="14" bestFit="1" customWidth="1"/>
    <col min="14622" max="14622" width="14.28515625" bestFit="1" customWidth="1"/>
    <col min="14624" max="14624" width="7.7109375" customWidth="1"/>
    <col min="14625" max="14625" width="13.42578125" customWidth="1"/>
    <col min="14626" max="14626" width="14" bestFit="1" customWidth="1"/>
    <col min="14627" max="14627" width="12.28515625" bestFit="1" customWidth="1"/>
    <col min="14628" max="14628" width="14.5703125" bestFit="1" customWidth="1"/>
    <col min="14865" max="14865" width="64.140625" customWidth="1"/>
    <col min="14866" max="14866" width="16.42578125" customWidth="1"/>
    <col min="14867" max="14867" width="14.28515625" bestFit="1" customWidth="1"/>
    <col min="14869" max="14869" width="14" bestFit="1" customWidth="1"/>
    <col min="14870" max="14870" width="15.5703125" bestFit="1" customWidth="1"/>
    <col min="14873" max="14873" width="73.140625" bestFit="1" customWidth="1"/>
    <col min="14875" max="14875" width="13.42578125" bestFit="1" customWidth="1"/>
    <col min="14877" max="14877" width="14" bestFit="1" customWidth="1"/>
    <col min="14878" max="14878" width="14.28515625" bestFit="1" customWidth="1"/>
    <col min="14880" max="14880" width="7.7109375" customWidth="1"/>
    <col min="14881" max="14881" width="13.42578125" customWidth="1"/>
    <col min="14882" max="14882" width="14" bestFit="1" customWidth="1"/>
    <col min="14883" max="14883" width="12.28515625" bestFit="1" customWidth="1"/>
    <col min="14884" max="14884" width="14.5703125" bestFit="1" customWidth="1"/>
    <col min="15121" max="15121" width="64.140625" customWidth="1"/>
    <col min="15122" max="15122" width="16.42578125" customWidth="1"/>
    <col min="15123" max="15123" width="14.28515625" bestFit="1" customWidth="1"/>
    <col min="15125" max="15125" width="14" bestFit="1" customWidth="1"/>
    <col min="15126" max="15126" width="15.5703125" bestFit="1" customWidth="1"/>
    <col min="15129" max="15129" width="73.140625" bestFit="1" customWidth="1"/>
    <col min="15131" max="15131" width="13.42578125" bestFit="1" customWidth="1"/>
    <col min="15133" max="15133" width="14" bestFit="1" customWidth="1"/>
    <col min="15134" max="15134" width="14.28515625" bestFit="1" customWidth="1"/>
    <col min="15136" max="15136" width="7.7109375" customWidth="1"/>
    <col min="15137" max="15137" width="13.42578125" customWidth="1"/>
    <col min="15138" max="15138" width="14" bestFit="1" customWidth="1"/>
    <col min="15139" max="15139" width="12.28515625" bestFit="1" customWidth="1"/>
    <col min="15140" max="15140" width="14.5703125" bestFit="1" customWidth="1"/>
    <col min="15377" max="15377" width="64.140625" customWidth="1"/>
    <col min="15378" max="15378" width="16.42578125" customWidth="1"/>
    <col min="15379" max="15379" width="14.28515625" bestFit="1" customWidth="1"/>
    <col min="15381" max="15381" width="14" bestFit="1" customWidth="1"/>
    <col min="15382" max="15382" width="15.5703125" bestFit="1" customWidth="1"/>
    <col min="15385" max="15385" width="73.140625" bestFit="1" customWidth="1"/>
    <col min="15387" max="15387" width="13.42578125" bestFit="1" customWidth="1"/>
    <col min="15389" max="15389" width="14" bestFit="1" customWidth="1"/>
    <col min="15390" max="15390" width="14.28515625" bestFit="1" customWidth="1"/>
    <col min="15392" max="15392" width="7.7109375" customWidth="1"/>
    <col min="15393" max="15393" width="13.42578125" customWidth="1"/>
    <col min="15394" max="15394" width="14" bestFit="1" customWidth="1"/>
    <col min="15395" max="15395" width="12.28515625" bestFit="1" customWidth="1"/>
    <col min="15396" max="15396" width="14.5703125" bestFit="1" customWidth="1"/>
    <col min="15633" max="15633" width="64.140625" customWidth="1"/>
    <col min="15634" max="15634" width="16.42578125" customWidth="1"/>
    <col min="15635" max="15635" width="14.28515625" bestFit="1" customWidth="1"/>
    <col min="15637" max="15637" width="14" bestFit="1" customWidth="1"/>
    <col min="15638" max="15638" width="15.5703125" bestFit="1" customWidth="1"/>
    <col min="15641" max="15641" width="73.140625" bestFit="1" customWidth="1"/>
    <col min="15643" max="15643" width="13.42578125" bestFit="1" customWidth="1"/>
    <col min="15645" max="15645" width="14" bestFit="1" customWidth="1"/>
    <col min="15646" max="15646" width="14.28515625" bestFit="1" customWidth="1"/>
    <col min="15648" max="15648" width="7.7109375" customWidth="1"/>
    <col min="15649" max="15649" width="13.42578125" customWidth="1"/>
    <col min="15650" max="15650" width="14" bestFit="1" customWidth="1"/>
    <col min="15651" max="15651" width="12.28515625" bestFit="1" customWidth="1"/>
    <col min="15652" max="15652" width="14.5703125" bestFit="1" customWidth="1"/>
    <col min="15889" max="15889" width="64.140625" customWidth="1"/>
    <col min="15890" max="15890" width="16.42578125" customWidth="1"/>
    <col min="15891" max="15891" width="14.28515625" bestFit="1" customWidth="1"/>
    <col min="15893" max="15893" width="14" bestFit="1" customWidth="1"/>
    <col min="15894" max="15894" width="15.5703125" bestFit="1" customWidth="1"/>
    <col min="15897" max="15897" width="73.140625" bestFit="1" customWidth="1"/>
    <col min="15899" max="15899" width="13.42578125" bestFit="1" customWidth="1"/>
    <col min="15901" max="15901" width="14" bestFit="1" customWidth="1"/>
    <col min="15902" max="15902" width="14.28515625" bestFit="1" customWidth="1"/>
    <col min="15904" max="15904" width="7.7109375" customWidth="1"/>
    <col min="15905" max="15905" width="13.42578125" customWidth="1"/>
    <col min="15906" max="15906" width="14" bestFit="1" customWidth="1"/>
    <col min="15907" max="15907" width="12.28515625" bestFit="1" customWidth="1"/>
    <col min="15908" max="15908" width="14.5703125" bestFit="1" customWidth="1"/>
    <col min="16145" max="16145" width="64.140625" customWidth="1"/>
    <col min="16146" max="16146" width="16.42578125" customWidth="1"/>
    <col min="16147" max="16147" width="14.28515625" bestFit="1" customWidth="1"/>
    <col min="16149" max="16149" width="14" bestFit="1" customWidth="1"/>
    <col min="16150" max="16150" width="15.5703125" bestFit="1" customWidth="1"/>
    <col min="16153" max="16153" width="73.140625" bestFit="1" customWidth="1"/>
    <col min="16155" max="16155" width="13.42578125" bestFit="1" customWidth="1"/>
    <col min="16157" max="16157" width="14" bestFit="1" customWidth="1"/>
    <col min="16158" max="16158" width="14.28515625" bestFit="1" customWidth="1"/>
    <col min="16160" max="16160" width="7.7109375" customWidth="1"/>
    <col min="16161" max="16161" width="13.42578125" customWidth="1"/>
    <col min="16162" max="16162" width="14" bestFit="1" customWidth="1"/>
    <col min="16163" max="16163" width="12.28515625" bestFit="1" customWidth="1"/>
    <col min="16164" max="16164" width="14.5703125" bestFit="1" customWidth="1"/>
  </cols>
  <sheetData>
    <row r="1" spans="1:37" ht="23.25">
      <c r="A1" s="241" t="s">
        <v>120</v>
      </c>
      <c r="B1" s="242"/>
      <c r="C1" s="243"/>
      <c r="D1" s="243"/>
      <c r="E1" s="243"/>
      <c r="F1" s="243"/>
      <c r="G1" s="244"/>
      <c r="I1" s="241" t="s">
        <v>120</v>
      </c>
      <c r="J1" s="242"/>
      <c r="K1" s="243"/>
      <c r="L1" s="243"/>
      <c r="M1" s="243"/>
      <c r="N1" s="243"/>
      <c r="O1" s="244"/>
      <c r="Q1" s="241" t="s">
        <v>120</v>
      </c>
      <c r="R1" s="242"/>
      <c r="S1" s="243"/>
      <c r="T1" s="243"/>
      <c r="U1" s="243"/>
      <c r="V1" s="243"/>
      <c r="W1" s="244"/>
      <c r="Y1" s="241" t="s">
        <v>120</v>
      </c>
      <c r="Z1" s="242"/>
      <c r="AA1" s="243"/>
      <c r="AB1" s="243"/>
      <c r="AC1" s="243"/>
      <c r="AD1" s="243"/>
      <c r="AE1" s="244"/>
    </row>
    <row r="2" spans="1:37" ht="15.75">
      <c r="A2" s="245" t="s">
        <v>303</v>
      </c>
      <c r="B2" s="392"/>
      <c r="C2" s="393"/>
      <c r="D2" s="393"/>
      <c r="E2" s="394"/>
      <c r="F2" s="394"/>
      <c r="G2" s="249"/>
      <c r="I2" s="245" t="s">
        <v>140</v>
      </c>
      <c r="J2" s="246"/>
      <c r="K2" s="247"/>
      <c r="L2" s="247"/>
      <c r="M2" s="248"/>
      <c r="N2" s="248"/>
      <c r="O2" s="249"/>
      <c r="Q2" s="245" t="s">
        <v>140</v>
      </c>
      <c r="R2" s="392"/>
      <c r="S2" s="393"/>
      <c r="T2" s="393"/>
      <c r="U2" s="394"/>
      <c r="V2" s="394"/>
      <c r="W2" s="249"/>
      <c r="Y2" s="245" t="s">
        <v>121</v>
      </c>
      <c r="Z2" s="392"/>
      <c r="AA2" s="393"/>
      <c r="AB2" s="393"/>
      <c r="AC2" s="394"/>
      <c r="AD2" s="394"/>
      <c r="AE2" s="249"/>
    </row>
    <row r="3" spans="1:37" ht="15.75">
      <c r="A3" s="245"/>
      <c r="B3" s="392"/>
      <c r="C3" s="393"/>
      <c r="D3" s="393"/>
      <c r="E3" s="394"/>
      <c r="F3" s="394"/>
      <c r="G3" s="249"/>
      <c r="I3" s="245"/>
      <c r="J3" s="246"/>
      <c r="K3" s="247"/>
      <c r="L3" s="247"/>
      <c r="M3" s="248"/>
      <c r="N3" s="248"/>
      <c r="O3" s="249"/>
      <c r="Q3" s="245"/>
      <c r="R3" s="392"/>
      <c r="S3" s="393"/>
      <c r="T3" s="393"/>
      <c r="U3" s="394"/>
      <c r="V3" s="394"/>
      <c r="W3" s="249"/>
      <c r="Y3" s="245" t="s">
        <v>167</v>
      </c>
      <c r="Z3" s="392"/>
      <c r="AA3" s="393"/>
      <c r="AB3" s="393"/>
      <c r="AC3" s="394"/>
      <c r="AD3" s="394"/>
      <c r="AE3" s="249"/>
    </row>
    <row r="4" spans="1:37" ht="42.75" customHeight="1">
      <c r="A4" s="569"/>
      <c r="B4" s="570"/>
      <c r="C4" s="570"/>
      <c r="D4" s="393"/>
      <c r="E4" s="394"/>
      <c r="F4" s="394"/>
      <c r="G4" s="249"/>
      <c r="I4" s="571"/>
      <c r="J4" s="572"/>
      <c r="K4" s="572"/>
      <c r="L4" s="247"/>
      <c r="M4" s="248"/>
      <c r="N4" s="248"/>
      <c r="O4" s="249"/>
      <c r="Q4" s="573" t="s">
        <v>165</v>
      </c>
      <c r="R4" s="574"/>
      <c r="S4" s="575"/>
      <c r="T4" s="393"/>
      <c r="U4" s="394"/>
      <c r="V4" s="394"/>
      <c r="W4" s="249"/>
      <c r="Y4" s="245"/>
      <c r="Z4" s="392"/>
      <c r="AA4" s="393"/>
      <c r="AB4" s="393"/>
      <c r="AC4" s="394"/>
      <c r="AD4" s="394"/>
      <c r="AE4" s="249"/>
    </row>
    <row r="5" spans="1:37" ht="15.75">
      <c r="A5" s="395"/>
      <c r="B5" s="393"/>
      <c r="C5" s="393"/>
      <c r="D5" s="393"/>
      <c r="E5" s="394"/>
      <c r="F5" s="394"/>
      <c r="G5" s="249"/>
      <c r="I5" s="396"/>
      <c r="J5" s="247"/>
      <c r="K5" s="247"/>
      <c r="L5" s="247"/>
      <c r="M5" s="248"/>
      <c r="N5" s="248"/>
      <c r="O5" s="249"/>
      <c r="Q5" s="396"/>
      <c r="R5" s="393"/>
      <c r="S5" s="393"/>
      <c r="T5" s="393"/>
      <c r="U5" s="394"/>
      <c r="V5" s="394"/>
      <c r="W5" s="249"/>
      <c r="Y5" s="245"/>
      <c r="Z5" s="392"/>
      <c r="AA5" s="393"/>
      <c r="AB5" s="393"/>
      <c r="AC5" s="394"/>
      <c r="AD5" s="394"/>
      <c r="AE5" s="249"/>
    </row>
    <row r="6" spans="1:37" ht="15">
      <c r="A6" s="550" t="s">
        <v>19</v>
      </c>
      <c r="B6" s="568"/>
      <c r="C6" s="568"/>
      <c r="D6" s="568"/>
      <c r="E6" s="568"/>
      <c r="F6" s="568"/>
      <c r="G6" s="552"/>
      <c r="I6" s="550" t="s">
        <v>19</v>
      </c>
      <c r="J6" s="551"/>
      <c r="K6" s="551"/>
      <c r="L6" s="551"/>
      <c r="M6" s="551"/>
      <c r="N6" s="551"/>
      <c r="O6" s="552"/>
      <c r="Q6" s="550" t="s">
        <v>19</v>
      </c>
      <c r="R6" s="568"/>
      <c r="S6" s="568"/>
      <c r="T6" s="568"/>
      <c r="U6" s="568"/>
      <c r="V6" s="568"/>
      <c r="W6" s="552"/>
      <c r="Y6" s="550" t="s">
        <v>19</v>
      </c>
      <c r="Z6" s="568"/>
      <c r="AA6" s="568"/>
      <c r="AB6" s="568"/>
      <c r="AC6" s="568"/>
      <c r="AD6" s="568"/>
      <c r="AE6" s="552"/>
    </row>
    <row r="7" spans="1:37" ht="15">
      <c r="A7" s="252"/>
      <c r="B7" s="394"/>
      <c r="C7" s="394"/>
      <c r="D7" s="394"/>
      <c r="E7" s="394"/>
      <c r="F7" s="394"/>
      <c r="G7" s="249"/>
      <c r="I7" s="252"/>
      <c r="J7" s="248"/>
      <c r="K7" s="248"/>
      <c r="L7" s="248"/>
      <c r="M7" s="248"/>
      <c r="N7" s="248"/>
      <c r="O7" s="249"/>
      <c r="Q7" s="252"/>
      <c r="R7" s="394"/>
      <c r="S7" s="394"/>
      <c r="T7" s="394"/>
      <c r="U7" s="394"/>
      <c r="V7" s="394"/>
      <c r="W7" s="249"/>
      <c r="Y7" s="252"/>
      <c r="Z7" s="394"/>
      <c r="AA7" s="394"/>
      <c r="AB7" s="394"/>
      <c r="AC7" s="394"/>
      <c r="AD7" s="394"/>
      <c r="AE7" s="249"/>
    </row>
    <row r="8" spans="1:37" ht="15.75">
      <c r="A8" s="252"/>
      <c r="B8" s="394"/>
      <c r="C8" s="397"/>
      <c r="D8" s="397"/>
      <c r="E8" s="397" t="s">
        <v>122</v>
      </c>
      <c r="F8" s="397" t="s">
        <v>80</v>
      </c>
      <c r="G8" s="249"/>
      <c r="I8" s="252"/>
      <c r="J8" s="248"/>
      <c r="K8" s="253"/>
      <c r="L8" s="253"/>
      <c r="M8" s="253" t="s">
        <v>122</v>
      </c>
      <c r="N8" s="253" t="s">
        <v>80</v>
      </c>
      <c r="O8" s="249"/>
      <c r="Q8" s="252"/>
      <c r="R8" s="394"/>
      <c r="S8" s="397"/>
      <c r="T8" s="397"/>
      <c r="U8" s="397" t="s">
        <v>122</v>
      </c>
      <c r="V8" s="397" t="s">
        <v>80</v>
      </c>
      <c r="W8" s="249"/>
      <c r="Y8" s="252"/>
      <c r="Z8" s="394"/>
      <c r="AA8" s="397"/>
      <c r="AB8" s="397"/>
      <c r="AC8" s="397" t="s">
        <v>122</v>
      </c>
      <c r="AD8" s="397" t="s">
        <v>80</v>
      </c>
      <c r="AE8" s="249"/>
    </row>
    <row r="9" spans="1:37" ht="15.75">
      <c r="A9" s="252"/>
      <c r="B9" s="394"/>
      <c r="C9" s="398" t="s">
        <v>96</v>
      </c>
      <c r="D9" s="398"/>
      <c r="E9" s="398" t="s">
        <v>264</v>
      </c>
      <c r="F9" s="398" t="s">
        <v>265</v>
      </c>
      <c r="G9" s="249"/>
      <c r="I9" s="252"/>
      <c r="J9" s="248"/>
      <c r="K9" s="254" t="s">
        <v>96</v>
      </c>
      <c r="L9" s="254"/>
      <c r="M9" s="254" t="s">
        <v>264</v>
      </c>
      <c r="N9" s="254" t="s">
        <v>265</v>
      </c>
      <c r="O9" s="249"/>
      <c r="Q9" s="252"/>
      <c r="R9" s="394"/>
      <c r="S9" s="398" t="s">
        <v>96</v>
      </c>
      <c r="T9" s="398"/>
      <c r="U9" s="398" t="s">
        <v>123</v>
      </c>
      <c r="V9" s="398" t="s">
        <v>124</v>
      </c>
      <c r="W9" s="249"/>
      <c r="Y9" s="252"/>
      <c r="Z9" s="394"/>
      <c r="AA9" s="398" t="s">
        <v>96</v>
      </c>
      <c r="AB9" s="398"/>
      <c r="AC9" s="398" t="s">
        <v>123</v>
      </c>
      <c r="AD9" s="398" t="s">
        <v>124</v>
      </c>
      <c r="AE9" s="249"/>
    </row>
    <row r="10" spans="1:37" ht="15.75">
      <c r="A10" s="255" t="s">
        <v>274</v>
      </c>
      <c r="B10" s="392"/>
      <c r="C10" s="399"/>
      <c r="D10" s="399"/>
      <c r="E10" s="399"/>
      <c r="F10" s="399"/>
      <c r="G10" s="249"/>
      <c r="I10" s="255" t="s">
        <v>266</v>
      </c>
      <c r="J10" s="246"/>
      <c r="K10" s="256"/>
      <c r="L10" s="256"/>
      <c r="M10" s="256"/>
      <c r="N10" s="256"/>
      <c r="O10" s="249"/>
      <c r="Q10" s="255" t="s">
        <v>139</v>
      </c>
      <c r="R10" s="392"/>
      <c r="S10" s="399"/>
      <c r="T10" s="399"/>
      <c r="U10" s="399"/>
      <c r="V10" s="399"/>
      <c r="W10" s="249"/>
      <c r="Y10" s="255" t="s">
        <v>125</v>
      </c>
      <c r="Z10" s="392"/>
      <c r="AA10" s="399"/>
      <c r="AB10" s="399"/>
      <c r="AC10" s="399"/>
      <c r="AD10" s="399"/>
      <c r="AE10" s="249"/>
    </row>
    <row r="11" spans="1:37" ht="15.75">
      <c r="A11" s="252" t="s">
        <v>126</v>
      </c>
      <c r="B11" s="394"/>
      <c r="C11" s="400">
        <f>SUM('Customer Counts - Enspire'!G$18:H$20)</f>
        <v>314616</v>
      </c>
      <c r="D11" s="400"/>
      <c r="E11" s="401">
        <f>+M12</f>
        <v>0.44</v>
      </c>
      <c r="F11" s="402">
        <f>C11*E11</f>
        <v>138431.04000000001</v>
      </c>
      <c r="G11" s="249"/>
      <c r="I11" s="252" t="s">
        <v>126</v>
      </c>
      <c r="J11" s="248"/>
      <c r="K11" s="257">
        <v>305514</v>
      </c>
      <c r="L11" s="257"/>
      <c r="M11" s="258">
        <f>+U12</f>
        <v>0.73</v>
      </c>
      <c r="N11" s="259">
        <f>K11*M11</f>
        <v>223025.22</v>
      </c>
      <c r="O11" s="249"/>
      <c r="Q11" s="252" t="s">
        <v>126</v>
      </c>
      <c r="R11" s="394"/>
      <c r="S11" s="400">
        <v>299451</v>
      </c>
      <c r="T11" s="400"/>
      <c r="U11" s="258">
        <f>+AC12</f>
        <v>2.4500000000000002</v>
      </c>
      <c r="V11" s="259">
        <f>S11*U11</f>
        <v>733654.95000000007</v>
      </c>
      <c r="W11" s="249"/>
      <c r="Y11" s="252" t="s">
        <v>126</v>
      </c>
      <c r="Z11" s="394"/>
      <c r="AA11" s="400">
        <v>291373</v>
      </c>
      <c r="AB11" s="400"/>
      <c r="AC11" s="401">
        <v>1.79</v>
      </c>
      <c r="AD11" s="402">
        <f>AA11*AC11</f>
        <v>521557.67</v>
      </c>
      <c r="AE11" s="249"/>
      <c r="AH11" s="278"/>
      <c r="AI11" s="239"/>
      <c r="AJ11" s="289"/>
    </row>
    <row r="12" spans="1:37" ht="17.25">
      <c r="A12" s="260" t="s">
        <v>127</v>
      </c>
      <c r="B12" s="317"/>
      <c r="C12" s="403">
        <f>SUM('Customer Counts - Enspire'!G$21:H$29)</f>
        <v>909275</v>
      </c>
      <c r="D12" s="403"/>
      <c r="E12" s="401">
        <f>+O33</f>
        <v>0.23</v>
      </c>
      <c r="F12" s="404">
        <f>C12*E12</f>
        <v>209133.25</v>
      </c>
      <c r="G12" s="249"/>
      <c r="I12" s="260" t="s">
        <v>127</v>
      </c>
      <c r="J12" s="261"/>
      <c r="K12" s="262">
        <v>931767</v>
      </c>
      <c r="L12" s="262"/>
      <c r="M12" s="258">
        <f>+W33</f>
        <v>0.44</v>
      </c>
      <c r="N12" s="263">
        <f>K12*M12</f>
        <v>409977.48</v>
      </c>
      <c r="O12" s="249"/>
      <c r="Q12" s="260" t="s">
        <v>127</v>
      </c>
      <c r="R12" s="317"/>
      <c r="S12" s="403">
        <v>706622</v>
      </c>
      <c r="T12" s="403"/>
      <c r="U12" s="258">
        <f>+AE31</f>
        <v>0.73</v>
      </c>
      <c r="V12" s="263">
        <f>S12*U12</f>
        <v>515834.06</v>
      </c>
      <c r="W12" s="249"/>
      <c r="Y12" s="260" t="s">
        <v>127</v>
      </c>
      <c r="Z12" s="317"/>
      <c r="AA12" s="403">
        <v>885244</v>
      </c>
      <c r="AB12" s="403"/>
      <c r="AC12" s="401">
        <v>2.4500000000000002</v>
      </c>
      <c r="AD12" s="404">
        <f>AA12*AC12</f>
        <v>2168847.8000000003</v>
      </c>
      <c r="AE12" s="249"/>
    </row>
    <row r="13" spans="1:37" ht="17.25">
      <c r="A13" s="252" t="s">
        <v>80</v>
      </c>
      <c r="B13" s="394"/>
      <c r="C13" s="400">
        <f>SUM(C11:C12)</f>
        <v>1223891</v>
      </c>
      <c r="D13" s="403"/>
      <c r="E13" s="394"/>
      <c r="F13" s="402">
        <f>SUM(F11:F12)</f>
        <v>347564.29000000004</v>
      </c>
      <c r="G13" s="249" t="s">
        <v>267</v>
      </c>
      <c r="I13" s="252" t="s">
        <v>80</v>
      </c>
      <c r="J13" s="248"/>
      <c r="K13" s="257">
        <f>SUM(K11:K12)</f>
        <v>1237281</v>
      </c>
      <c r="L13" s="262"/>
      <c r="M13" s="248"/>
      <c r="N13" s="259">
        <f>SUM(N11:N12)</f>
        <v>633002.69999999995</v>
      </c>
      <c r="O13" s="249" t="s">
        <v>267</v>
      </c>
      <c r="Q13" s="252" t="s">
        <v>80</v>
      </c>
      <c r="R13" s="394"/>
      <c r="S13" s="400">
        <f>SUM(S11:S12)</f>
        <v>1006073</v>
      </c>
      <c r="T13" s="403"/>
      <c r="U13" s="394"/>
      <c r="V13" s="259">
        <f>SUM(V11:V12)</f>
        <v>1249489.01</v>
      </c>
      <c r="W13" s="249"/>
      <c r="Y13" s="252" t="s">
        <v>80</v>
      </c>
      <c r="Z13" s="394"/>
      <c r="AA13" s="400">
        <f>SUM(AA11:AA12)</f>
        <v>1176617</v>
      </c>
      <c r="AB13" s="403"/>
      <c r="AC13" s="394"/>
      <c r="AD13" s="402">
        <f>SUM(AD11:AD12)</f>
        <v>2690405.47</v>
      </c>
      <c r="AE13" s="249"/>
      <c r="AJ13" s="291"/>
    </row>
    <row r="14" spans="1:37" ht="15">
      <c r="A14" s="252"/>
      <c r="B14" s="394"/>
      <c r="C14" s="394"/>
      <c r="D14" s="394"/>
      <c r="E14" s="394"/>
      <c r="F14" s="394"/>
      <c r="G14" s="249"/>
      <c r="I14" s="252"/>
      <c r="J14" s="248"/>
      <c r="K14" s="248"/>
      <c r="L14" s="248"/>
      <c r="M14" s="248"/>
      <c r="N14" s="248"/>
      <c r="O14" s="249"/>
      <c r="Q14" s="252"/>
      <c r="R14" s="394"/>
      <c r="S14" s="394"/>
      <c r="T14" s="394"/>
      <c r="U14" s="394"/>
      <c r="V14" s="394"/>
      <c r="W14" s="249"/>
      <c r="Y14" s="252"/>
      <c r="Z14" s="394"/>
      <c r="AA14" s="394"/>
      <c r="AB14" s="394"/>
      <c r="AC14" s="394"/>
      <c r="AD14" s="394"/>
      <c r="AE14" s="249"/>
      <c r="AJ14" s="290"/>
      <c r="AK14" s="325"/>
    </row>
    <row r="15" spans="1:37" ht="15.75">
      <c r="A15" s="245"/>
      <c r="B15" s="394"/>
      <c r="C15" s="394"/>
      <c r="D15" s="394"/>
      <c r="E15" s="394"/>
      <c r="F15" s="405"/>
      <c r="G15" s="249"/>
      <c r="I15" s="245"/>
      <c r="J15" s="248"/>
      <c r="K15" s="248"/>
      <c r="L15" s="248"/>
      <c r="M15" s="248"/>
      <c r="N15" s="287"/>
      <c r="O15" s="249"/>
      <c r="Q15" s="245"/>
      <c r="R15" s="394"/>
      <c r="S15" s="394"/>
      <c r="T15" s="394"/>
      <c r="U15" s="394"/>
      <c r="V15" s="287"/>
      <c r="W15" s="249"/>
      <c r="Y15" s="252"/>
      <c r="Z15" s="394"/>
      <c r="AA15" s="394"/>
      <c r="AB15" s="394"/>
      <c r="AC15" s="394"/>
      <c r="AD15" s="394"/>
      <c r="AE15" s="249"/>
      <c r="AJ15" s="290"/>
      <c r="AK15" s="325"/>
    </row>
    <row r="16" spans="1:37" ht="15.75">
      <c r="A16" s="245" t="s">
        <v>275</v>
      </c>
      <c r="B16" s="394"/>
      <c r="C16" s="394"/>
      <c r="D16" s="394"/>
      <c r="E16" s="394"/>
      <c r="F16" s="402">
        <f>SUM('2020-2021 Recy. Tons &amp; Revenue'!O86:O97)</f>
        <v>1789368.6842237888</v>
      </c>
      <c r="G16" s="249"/>
      <c r="I16" s="245" t="s">
        <v>268</v>
      </c>
      <c r="J16" s="248"/>
      <c r="K16" s="248"/>
      <c r="L16" s="248"/>
      <c r="M16" s="248"/>
      <c r="N16" s="259">
        <v>281606.83174170979</v>
      </c>
      <c r="O16" s="249"/>
      <c r="Q16" s="245" t="s">
        <v>141</v>
      </c>
      <c r="R16" s="394"/>
      <c r="S16" s="394"/>
      <c r="T16" s="394"/>
      <c r="U16" s="394"/>
      <c r="V16" s="259">
        <v>528491.43671045091</v>
      </c>
      <c r="W16" s="249"/>
      <c r="Y16" s="252"/>
      <c r="Z16" s="394"/>
      <c r="AA16" s="394"/>
      <c r="AB16" s="394"/>
      <c r="AC16" s="394"/>
      <c r="AD16" s="394"/>
      <c r="AE16" s="249"/>
      <c r="AJ16" s="290"/>
      <c r="AK16" s="325"/>
    </row>
    <row r="17" spans="1:37" ht="15.75">
      <c r="A17" s="245" t="s">
        <v>168</v>
      </c>
      <c r="B17" s="394"/>
      <c r="C17" s="394"/>
      <c r="D17" s="394"/>
      <c r="E17" s="394"/>
      <c r="F17" s="312">
        <f>-F16*50%</f>
        <v>-894684.3421118944</v>
      </c>
      <c r="G17" s="249"/>
      <c r="I17" s="245" t="s">
        <v>168</v>
      </c>
      <c r="J17" s="248"/>
      <c r="K17" s="248"/>
      <c r="L17" s="248"/>
      <c r="M17" s="248"/>
      <c r="N17" s="312">
        <f>-N16*50%</f>
        <v>-140803.41587085489</v>
      </c>
      <c r="O17" s="249"/>
      <c r="Q17" s="245" t="s">
        <v>168</v>
      </c>
      <c r="R17" s="394"/>
      <c r="S17" s="394"/>
      <c r="T17" s="394"/>
      <c r="U17" s="394"/>
      <c r="V17" s="312">
        <f>-V16*50%</f>
        <v>-264245.71835522546</v>
      </c>
      <c r="W17" s="249"/>
      <c r="Y17" s="245"/>
      <c r="Z17" s="394"/>
      <c r="AA17" s="394"/>
      <c r="AB17" s="394"/>
      <c r="AC17" s="394"/>
      <c r="AD17" s="402"/>
      <c r="AE17" s="249"/>
    </row>
    <row r="18" spans="1:37" ht="15.75">
      <c r="A18" s="316" t="s">
        <v>171</v>
      </c>
      <c r="B18" s="394"/>
      <c r="C18" s="394"/>
      <c r="D18" s="394"/>
      <c r="E18" s="394"/>
      <c r="F18" s="406">
        <f>SUM(F16:F17)</f>
        <v>894684.3421118944</v>
      </c>
      <c r="G18" s="249" t="s">
        <v>269</v>
      </c>
      <c r="I18" s="316" t="s">
        <v>171</v>
      </c>
      <c r="J18" s="248"/>
      <c r="K18" s="248"/>
      <c r="L18" s="248"/>
      <c r="M18" s="248"/>
      <c r="N18" s="286">
        <f>SUM(N16:N17)</f>
        <v>140803.41587085489</v>
      </c>
      <c r="O18" s="249" t="s">
        <v>269</v>
      </c>
      <c r="Q18" s="316" t="s">
        <v>171</v>
      </c>
      <c r="R18" s="394"/>
      <c r="S18" s="394"/>
      <c r="T18" s="394"/>
      <c r="U18" s="394"/>
      <c r="V18" s="406">
        <f>SUM(V16:V17)</f>
        <v>264245.71835522546</v>
      </c>
      <c r="W18" s="249"/>
      <c r="Y18" s="252"/>
      <c r="Z18" s="394"/>
      <c r="AA18" s="394"/>
      <c r="AB18" s="394"/>
      <c r="AC18" s="394"/>
      <c r="AD18" s="394"/>
      <c r="AE18" s="249"/>
      <c r="AJ18" s="290"/>
      <c r="AK18" s="325"/>
    </row>
    <row r="19" spans="1:37" ht="17.25">
      <c r="A19" s="317"/>
      <c r="B19" s="317"/>
      <c r="C19" s="317"/>
      <c r="D19" s="317"/>
      <c r="E19" s="317"/>
      <c r="F19" s="317"/>
      <c r="G19" s="249"/>
      <c r="I19" s="260"/>
      <c r="J19" s="261"/>
      <c r="K19" s="261"/>
      <c r="L19" s="261"/>
      <c r="M19" s="261"/>
      <c r="N19" s="261"/>
      <c r="O19" s="249"/>
      <c r="Q19" s="260"/>
      <c r="R19" s="317"/>
      <c r="S19" s="317"/>
      <c r="T19" s="317"/>
      <c r="U19" s="317"/>
      <c r="V19" s="317"/>
      <c r="W19" s="249"/>
      <c r="Y19" s="252"/>
      <c r="Z19" s="394"/>
      <c r="AA19" s="394"/>
      <c r="AB19" s="394"/>
      <c r="AC19" s="394"/>
      <c r="AD19" s="394"/>
      <c r="AE19" s="249"/>
      <c r="AJ19" s="292"/>
      <c r="AK19" s="325"/>
    </row>
    <row r="20" spans="1:37" ht="15.75">
      <c r="A20" s="252"/>
      <c r="B20" s="394"/>
      <c r="C20" s="394"/>
      <c r="D20" s="394"/>
      <c r="E20" s="394"/>
      <c r="F20" s="405"/>
      <c r="G20" s="249"/>
      <c r="I20" s="252"/>
      <c r="J20" s="248"/>
      <c r="K20" s="248"/>
      <c r="L20" s="248"/>
      <c r="M20" s="248"/>
      <c r="N20" s="287"/>
      <c r="O20" s="490"/>
      <c r="Q20" s="252" t="s">
        <v>129</v>
      </c>
      <c r="R20" s="394"/>
      <c r="S20" s="394"/>
      <c r="T20" s="394"/>
      <c r="U20" s="394"/>
      <c r="V20" s="287">
        <f>V18-V13</f>
        <v>-985243.29164477461</v>
      </c>
      <c r="W20" s="249"/>
      <c r="Y20" s="245" t="s">
        <v>128</v>
      </c>
      <c r="Z20" s="394"/>
      <c r="AA20" s="394"/>
      <c r="AB20" s="394"/>
      <c r="AC20" s="394"/>
      <c r="AD20" s="402">
        <v>1226082</v>
      </c>
      <c r="AE20" s="249"/>
      <c r="AG20" s="289"/>
      <c r="AJ20" s="290"/>
    </row>
    <row r="21" spans="1:37" ht="17.25">
      <c r="A21" s="245"/>
      <c r="B21" s="394"/>
      <c r="C21" s="407"/>
      <c r="D21" s="394"/>
      <c r="E21" s="408"/>
      <c r="F21" s="409"/>
      <c r="G21" s="249"/>
      <c r="I21" s="245"/>
      <c r="J21" s="248"/>
      <c r="K21" s="284"/>
      <c r="L21" s="248"/>
      <c r="M21" s="285"/>
      <c r="N21" s="265"/>
      <c r="O21" s="249"/>
      <c r="Q21" s="245" t="s">
        <v>169</v>
      </c>
      <c r="R21" s="394"/>
      <c r="S21" s="284">
        <f>SUM('[1]Customer Counts'!G21:H22)</f>
        <v>199583</v>
      </c>
      <c r="T21" s="394"/>
      <c r="U21" s="408">
        <f>AE38</f>
        <v>-0.90024999999999988</v>
      </c>
      <c r="V21" s="265">
        <f>U21*S21</f>
        <v>-179674.59574999998</v>
      </c>
      <c r="W21" s="249"/>
      <c r="Y21" s="245"/>
      <c r="Z21" s="394"/>
      <c r="AA21" s="394"/>
      <c r="AB21" s="394"/>
      <c r="AC21" s="394"/>
      <c r="AD21" s="402"/>
      <c r="AE21" s="249"/>
    </row>
    <row r="22" spans="1:37" ht="15">
      <c r="A22" s="317" t="s">
        <v>172</v>
      </c>
      <c r="B22" s="317"/>
      <c r="C22" s="317"/>
      <c r="D22" s="317"/>
      <c r="E22" s="317"/>
      <c r="F22" s="400">
        <f>F18-F13</f>
        <v>547120.05211189436</v>
      </c>
      <c r="G22" s="249" t="s">
        <v>301</v>
      </c>
      <c r="I22" s="260" t="s">
        <v>172</v>
      </c>
      <c r="J22" s="261"/>
      <c r="K22" s="261"/>
      <c r="L22" s="261"/>
      <c r="M22" s="261"/>
      <c r="N22" s="491">
        <f>N18-N13</f>
        <v>-492199.28412914509</v>
      </c>
      <c r="O22" s="249" t="s">
        <v>270</v>
      </c>
      <c r="Q22" s="260" t="s">
        <v>172</v>
      </c>
      <c r="R22" s="317"/>
      <c r="S22" s="317"/>
      <c r="T22" s="317"/>
      <c r="U22" s="317"/>
      <c r="V22" s="313">
        <f>SUM(V20:V21)</f>
        <v>-1164917.8873947747</v>
      </c>
      <c r="W22" s="249"/>
      <c r="Y22" s="252" t="s">
        <v>129</v>
      </c>
      <c r="Z22" s="394"/>
      <c r="AA22" s="394"/>
      <c r="AB22" s="394"/>
      <c r="AC22" s="394"/>
      <c r="AD22" s="400">
        <f>AD20-AD13</f>
        <v>-1464323.4700000002</v>
      </c>
      <c r="AE22" s="249"/>
      <c r="AJ22" s="290"/>
      <c r="AK22" s="325"/>
    </row>
    <row r="23" spans="1:37" ht="17.25">
      <c r="A23" s="317"/>
      <c r="B23" s="317"/>
      <c r="C23" s="317"/>
      <c r="D23" s="317"/>
      <c r="E23" s="317"/>
      <c r="F23" s="317"/>
      <c r="G23" s="249"/>
      <c r="I23" s="260"/>
      <c r="J23" s="261"/>
      <c r="K23" s="261"/>
      <c r="L23" s="261"/>
      <c r="M23" s="261"/>
      <c r="N23" s="261"/>
      <c r="O23" s="249"/>
      <c r="Q23" s="260"/>
      <c r="R23" s="317"/>
      <c r="S23" s="317"/>
      <c r="T23" s="317"/>
      <c r="U23" s="317"/>
      <c r="V23" s="317"/>
      <c r="W23" s="249"/>
      <c r="Y23" s="252"/>
      <c r="Z23" s="394"/>
      <c r="AA23" s="410"/>
      <c r="AB23" s="394"/>
      <c r="AC23" s="394"/>
      <c r="AD23" s="409"/>
      <c r="AE23" s="249"/>
    </row>
    <row r="24" spans="1:37" ht="17.25">
      <c r="A24" s="252" t="s">
        <v>130</v>
      </c>
      <c r="B24" s="394"/>
      <c r="C24" s="394"/>
      <c r="D24" s="394"/>
      <c r="E24" s="394"/>
      <c r="F24" s="400">
        <f>+C13</f>
        <v>1223891</v>
      </c>
      <c r="G24" s="249"/>
      <c r="I24" s="252" t="s">
        <v>130</v>
      </c>
      <c r="J24" s="248"/>
      <c r="K24" s="248"/>
      <c r="L24" s="248"/>
      <c r="M24" s="248"/>
      <c r="N24" s="257">
        <f>+K13</f>
        <v>1237281</v>
      </c>
      <c r="O24" s="249"/>
      <c r="Q24" s="252" t="s">
        <v>130</v>
      </c>
      <c r="R24" s="394"/>
      <c r="S24" s="394"/>
      <c r="T24" s="394"/>
      <c r="U24" s="394"/>
      <c r="V24" s="400">
        <f>SUM('[1]Customer Counts'!G18:H29)</f>
        <v>1205656</v>
      </c>
      <c r="W24" s="249"/>
      <c r="Y24" s="252" t="s">
        <v>130</v>
      </c>
      <c r="Z24" s="394"/>
      <c r="AA24" s="394"/>
      <c r="AB24" s="394"/>
      <c r="AC24" s="394"/>
      <c r="AD24" s="400">
        <f>+AA13</f>
        <v>1176617</v>
      </c>
      <c r="AE24" s="249"/>
      <c r="AJ24" s="291"/>
    </row>
    <row r="25" spans="1:37" ht="15">
      <c r="A25" s="252"/>
      <c r="B25" s="394"/>
      <c r="C25" s="394"/>
      <c r="D25" s="394"/>
      <c r="E25" s="394"/>
      <c r="F25" s="394"/>
      <c r="G25" s="249"/>
      <c r="I25" s="252"/>
      <c r="J25" s="248"/>
      <c r="K25" s="248"/>
      <c r="L25" s="248"/>
      <c r="M25" s="248"/>
      <c r="N25" s="248"/>
      <c r="O25" s="249"/>
      <c r="Q25" s="252"/>
      <c r="R25" s="394"/>
      <c r="S25" s="394"/>
      <c r="T25" s="394"/>
      <c r="U25" s="394"/>
      <c r="V25" s="394"/>
      <c r="W25" s="249"/>
      <c r="Y25" s="252"/>
      <c r="Z25" s="394"/>
      <c r="AA25" s="394"/>
      <c r="AB25" s="394"/>
      <c r="AC25" s="394"/>
      <c r="AD25" s="394"/>
      <c r="AE25" s="249"/>
    </row>
    <row r="26" spans="1:37" ht="15">
      <c r="A26" s="252" t="s">
        <v>131</v>
      </c>
      <c r="B26" s="394"/>
      <c r="C26" s="394"/>
      <c r="D26" s="394"/>
      <c r="E26" s="394"/>
      <c r="F26" s="411"/>
      <c r="G26" s="267">
        <f>F22/F24</f>
        <v>0.44703331596677676</v>
      </c>
      <c r="I26" s="252" t="s">
        <v>131</v>
      </c>
      <c r="J26" s="248"/>
      <c r="K26" s="248"/>
      <c r="L26" s="248"/>
      <c r="M26" s="248"/>
      <c r="N26" s="266"/>
      <c r="O26" s="267">
        <f>N22/N24</f>
        <v>-0.39780719507463952</v>
      </c>
      <c r="Q26" s="252" t="s">
        <v>131</v>
      </c>
      <c r="R26" s="394"/>
      <c r="S26" s="394"/>
      <c r="T26" s="394"/>
      <c r="U26" s="394"/>
      <c r="V26" s="266"/>
      <c r="W26" s="267">
        <f>V22/V24</f>
        <v>-0.96621083243875094</v>
      </c>
      <c r="Y26" s="252" t="s">
        <v>131</v>
      </c>
      <c r="Z26" s="394"/>
      <c r="AA26" s="394"/>
      <c r="AB26" s="394"/>
      <c r="AC26" s="394"/>
      <c r="AD26" s="411"/>
      <c r="AE26" s="267">
        <f>ROUND(AD22/AD24,2)</f>
        <v>-1.24</v>
      </c>
    </row>
    <row r="27" spans="1:37" ht="15">
      <c r="A27" s="252"/>
      <c r="B27" s="394"/>
      <c r="C27" s="394"/>
      <c r="D27" s="394"/>
      <c r="E27" s="394"/>
      <c r="F27" s="394"/>
      <c r="G27" s="267"/>
      <c r="I27" s="252"/>
      <c r="J27" s="248"/>
      <c r="K27" s="248"/>
      <c r="L27" s="248"/>
      <c r="M27" s="248"/>
      <c r="N27" s="248"/>
      <c r="O27" s="267"/>
      <c r="Q27" s="252"/>
      <c r="R27" s="394"/>
      <c r="S27" s="394"/>
      <c r="T27" s="394"/>
      <c r="U27" s="394"/>
      <c r="V27" s="394"/>
      <c r="W27" s="267"/>
      <c r="Y27" s="252"/>
      <c r="Z27" s="394"/>
      <c r="AA27" s="394"/>
      <c r="AB27" s="394"/>
      <c r="AC27" s="394"/>
      <c r="AD27" s="394"/>
      <c r="AE27" s="267"/>
    </row>
    <row r="28" spans="1:37" ht="15">
      <c r="A28" s="252"/>
      <c r="B28" s="394"/>
      <c r="C28" s="394"/>
      <c r="D28" s="394"/>
      <c r="E28" s="394"/>
      <c r="F28" s="394"/>
      <c r="G28" s="267"/>
      <c r="I28" s="252"/>
      <c r="J28" s="248"/>
      <c r="K28" s="248"/>
      <c r="L28" s="248"/>
      <c r="M28" s="248"/>
      <c r="N28" s="248"/>
      <c r="O28" s="267"/>
      <c r="Q28" s="252"/>
      <c r="R28" s="394"/>
      <c r="S28" s="394"/>
      <c r="T28" s="394"/>
      <c r="U28" s="394"/>
      <c r="V28" s="394"/>
      <c r="W28" s="267"/>
      <c r="Y28" s="252"/>
      <c r="Z28" s="394"/>
      <c r="AA28" s="394"/>
      <c r="AB28" s="394"/>
      <c r="AC28" s="394"/>
      <c r="AD28" s="394"/>
      <c r="AE28" s="267"/>
    </row>
    <row r="29" spans="1:37" ht="15.75">
      <c r="A29" s="268" t="s">
        <v>276</v>
      </c>
      <c r="B29" s="392"/>
      <c r="C29" s="394"/>
      <c r="D29" s="394"/>
      <c r="E29" s="394"/>
      <c r="F29" s="412">
        <f>F16</f>
        <v>1789368.6842237888</v>
      </c>
      <c r="G29" s="267"/>
      <c r="I29" s="268" t="s">
        <v>271</v>
      </c>
      <c r="J29" s="246"/>
      <c r="K29" s="248"/>
      <c r="L29" s="248"/>
      <c r="M29" s="248"/>
      <c r="N29" s="269">
        <f>N16</f>
        <v>281606.83174170979</v>
      </c>
      <c r="O29" s="267"/>
      <c r="Q29" s="268" t="s">
        <v>142</v>
      </c>
      <c r="R29" s="392"/>
      <c r="S29" s="394"/>
      <c r="T29" s="394"/>
      <c r="U29" s="394"/>
      <c r="V29" s="269">
        <f>V16</f>
        <v>528491.43671045091</v>
      </c>
      <c r="W29" s="267"/>
      <c r="Y29" s="268" t="s">
        <v>132</v>
      </c>
      <c r="Z29" s="392"/>
      <c r="AA29" s="394"/>
      <c r="AB29" s="394"/>
      <c r="AC29" s="394"/>
      <c r="AD29" s="412">
        <f>431654*2</f>
        <v>863308</v>
      </c>
      <c r="AE29" s="267"/>
    </row>
    <row r="30" spans="1:37" ht="17.25">
      <c r="A30" s="245" t="s">
        <v>168</v>
      </c>
      <c r="B30" s="317"/>
      <c r="C30" s="317"/>
      <c r="D30" s="317"/>
      <c r="E30" s="317"/>
      <c r="F30" s="315">
        <f>F29*50%</f>
        <v>894684.3421118944</v>
      </c>
      <c r="G30" s="267"/>
      <c r="I30" s="245" t="s">
        <v>168</v>
      </c>
      <c r="J30" s="261"/>
      <c r="K30" s="261"/>
      <c r="L30" s="261"/>
      <c r="M30" s="261"/>
      <c r="N30" s="315">
        <f>N29*50%</f>
        <v>140803.41587085489</v>
      </c>
      <c r="O30" s="267"/>
      <c r="Q30" s="245" t="s">
        <v>168</v>
      </c>
      <c r="R30" s="317"/>
      <c r="S30" s="317"/>
      <c r="T30" s="317"/>
      <c r="U30" s="317"/>
      <c r="V30" s="315">
        <f>V29*50%</f>
        <v>264245.71835522546</v>
      </c>
      <c r="W30" s="267"/>
      <c r="Y30" s="252" t="s">
        <v>130</v>
      </c>
      <c r="Z30" s="394"/>
      <c r="AA30" s="394"/>
      <c r="AB30" s="394"/>
      <c r="AC30" s="394"/>
      <c r="AD30" s="413">
        <f>+AA13</f>
        <v>1176617</v>
      </c>
      <c r="AE30" s="267"/>
    </row>
    <row r="31" spans="1:37" ht="17.25">
      <c r="A31" s="317" t="s">
        <v>170</v>
      </c>
      <c r="B31" s="317"/>
      <c r="C31" s="317"/>
      <c r="D31" s="317"/>
      <c r="E31" s="317"/>
      <c r="F31" s="313">
        <f>F29-F30</f>
        <v>894684.3421118944</v>
      </c>
      <c r="G31" s="267"/>
      <c r="I31" s="260" t="s">
        <v>170</v>
      </c>
      <c r="J31" s="261"/>
      <c r="K31" s="261"/>
      <c r="L31" s="261"/>
      <c r="M31" s="261"/>
      <c r="N31" s="492">
        <f>N29-N30</f>
        <v>140803.41587085489</v>
      </c>
      <c r="O31" s="267"/>
      <c r="Q31" s="260" t="s">
        <v>170</v>
      </c>
      <c r="R31" s="317"/>
      <c r="S31" s="317"/>
      <c r="T31" s="317"/>
      <c r="U31" s="317"/>
      <c r="V31" s="313">
        <f>V29-V30</f>
        <v>264245.71835522546</v>
      </c>
      <c r="W31" s="267"/>
      <c r="Y31" s="252" t="s">
        <v>133</v>
      </c>
      <c r="Z31" s="394"/>
      <c r="AA31" s="394"/>
      <c r="AB31" s="394"/>
      <c r="AC31" s="394"/>
      <c r="AD31" s="394"/>
      <c r="AE31" s="414">
        <f>ROUND(+AD29/AD30,2)</f>
        <v>0.73</v>
      </c>
    </row>
    <row r="32" spans="1:37" ht="17.25">
      <c r="A32" s="252" t="s">
        <v>130</v>
      </c>
      <c r="B32" s="394"/>
      <c r="C32" s="394"/>
      <c r="D32" s="394"/>
      <c r="E32" s="394"/>
      <c r="F32" s="413">
        <f>F24</f>
        <v>1223891</v>
      </c>
      <c r="G32" s="267"/>
      <c r="I32" s="252" t="s">
        <v>130</v>
      </c>
      <c r="J32" s="248"/>
      <c r="K32" s="248"/>
      <c r="L32" s="248"/>
      <c r="M32" s="248"/>
      <c r="N32" s="270">
        <f>N24</f>
        <v>1237281</v>
      </c>
      <c r="O32" s="267"/>
      <c r="Q32" s="252" t="s">
        <v>130</v>
      </c>
      <c r="R32" s="394"/>
      <c r="S32" s="394"/>
      <c r="T32" s="394"/>
      <c r="U32" s="394"/>
      <c r="V32" s="413">
        <f>V24</f>
        <v>1205656</v>
      </c>
      <c r="W32" s="267"/>
      <c r="Y32" s="245" t="s">
        <v>134</v>
      </c>
      <c r="Z32" s="392"/>
      <c r="AA32" s="394"/>
      <c r="AB32" s="394"/>
      <c r="AC32" s="394"/>
      <c r="AD32" s="394"/>
      <c r="AE32" s="275">
        <f>SUM(AE26:AE31)</f>
        <v>-0.51</v>
      </c>
      <c r="AF32" s="273"/>
    </row>
    <row r="33" spans="1:32" ht="17.25">
      <c r="A33" s="252" t="s">
        <v>133</v>
      </c>
      <c r="B33" s="394"/>
      <c r="C33" s="394"/>
      <c r="D33" s="394"/>
      <c r="E33" s="394"/>
      <c r="F33" s="394"/>
      <c r="G33" s="414">
        <f>ROUND(+F29/F32,2)</f>
        <v>1.46</v>
      </c>
      <c r="I33" s="252" t="s">
        <v>133</v>
      </c>
      <c r="J33" s="248"/>
      <c r="K33" s="248"/>
      <c r="L33" s="248"/>
      <c r="M33" s="248"/>
      <c r="N33" s="248"/>
      <c r="O33" s="414">
        <f>ROUND(+N29/N32,2)</f>
        <v>0.23</v>
      </c>
      <c r="Q33" s="252" t="s">
        <v>133</v>
      </c>
      <c r="R33" s="394"/>
      <c r="S33" s="394"/>
      <c r="T33" s="394"/>
      <c r="U33" s="394"/>
      <c r="V33" s="394"/>
      <c r="W33" s="414">
        <f>ROUND(+V29/V32,2)</f>
        <v>0.44</v>
      </c>
      <c r="Y33" s="245"/>
      <c r="Z33" s="392"/>
      <c r="AA33" s="394"/>
      <c r="AB33" s="394"/>
      <c r="AC33" s="394"/>
      <c r="AD33" s="394"/>
      <c r="AE33" s="275"/>
      <c r="AF33" s="273"/>
    </row>
    <row r="34" spans="1:32" ht="18">
      <c r="A34" s="245" t="s">
        <v>272</v>
      </c>
      <c r="B34" s="392"/>
      <c r="C34" s="394"/>
      <c r="D34" s="394"/>
      <c r="E34" s="394"/>
      <c r="F34" s="394"/>
      <c r="G34" s="415">
        <f>SUM(G26:G33)</f>
        <v>1.9070333159667767</v>
      </c>
      <c r="I34" s="245" t="s">
        <v>272</v>
      </c>
      <c r="J34" s="246"/>
      <c r="K34" s="248"/>
      <c r="L34" s="248"/>
      <c r="M34" s="248"/>
      <c r="N34" s="248"/>
      <c r="O34" s="415">
        <f>SUM(O26:O33)</f>
        <v>-0.16780719507463951</v>
      </c>
      <c r="Q34" s="245" t="s">
        <v>134</v>
      </c>
      <c r="R34" s="392"/>
      <c r="S34" s="394"/>
      <c r="T34" s="394"/>
      <c r="U34" s="394"/>
      <c r="V34" s="394"/>
      <c r="W34" s="275">
        <f>SUM(W26:W33)</f>
        <v>-0.52621083243875089</v>
      </c>
      <c r="Y34" s="260" t="s">
        <v>135</v>
      </c>
      <c r="Z34" s="392"/>
      <c r="AA34" s="394"/>
      <c r="AB34" s="394"/>
      <c r="AC34" s="416">
        <f>+AA13/12*0.5</f>
        <v>49025.708333333336</v>
      </c>
      <c r="AD34" s="394"/>
      <c r="AE34" s="275">
        <f>ROUND(-AC34/AA13*2,2)</f>
        <v>-0.08</v>
      </c>
    </row>
    <row r="35" spans="1:32" ht="15.75">
      <c r="A35" s="260"/>
      <c r="B35" s="392"/>
      <c r="C35" s="394"/>
      <c r="D35" s="394"/>
      <c r="E35" s="394"/>
      <c r="F35" s="394"/>
      <c r="G35" s="275"/>
      <c r="I35" s="260"/>
      <c r="J35" s="246"/>
      <c r="K35" s="248"/>
      <c r="L35" s="248"/>
      <c r="M35" s="248"/>
      <c r="N35" s="248"/>
      <c r="O35" s="275"/>
      <c r="Q35" s="260"/>
      <c r="R35" s="392"/>
      <c r="S35" s="394"/>
      <c r="T35" s="394"/>
      <c r="U35" s="394"/>
      <c r="V35" s="394"/>
      <c r="W35" s="275"/>
      <c r="Y35" s="260"/>
      <c r="Z35" s="392"/>
      <c r="AA35" s="394"/>
      <c r="AB35" s="394"/>
      <c r="AC35" s="394"/>
      <c r="AD35" s="394"/>
      <c r="AE35" s="275"/>
    </row>
    <row r="36" spans="1:32" ht="20.25">
      <c r="A36" s="260"/>
      <c r="B36" s="394"/>
      <c r="C36" s="394"/>
      <c r="D36" s="394"/>
      <c r="E36" s="417"/>
      <c r="F36" s="394"/>
      <c r="G36" s="418"/>
      <c r="I36" s="260"/>
      <c r="J36" s="248"/>
      <c r="K36" s="248"/>
      <c r="L36" s="248"/>
      <c r="M36" s="276"/>
      <c r="N36" s="248"/>
      <c r="O36" s="418"/>
      <c r="Q36" s="260"/>
      <c r="R36" s="394"/>
      <c r="S36" s="394"/>
      <c r="T36" s="394"/>
      <c r="U36" s="276"/>
      <c r="V36" s="394"/>
      <c r="W36" s="418"/>
      <c r="Y36" s="260" t="s">
        <v>136</v>
      </c>
      <c r="Z36" s="394"/>
      <c r="AA36" s="394"/>
      <c r="AB36" s="394"/>
      <c r="AC36" s="417">
        <v>0.42499999999999999</v>
      </c>
      <c r="AD36" s="394"/>
      <c r="AE36" s="418">
        <f>-AC36*AE31</f>
        <v>-0.31024999999999997</v>
      </c>
      <c r="AF36" s="278"/>
    </row>
    <row r="37" spans="1:32" ht="20.25">
      <c r="A37" s="245" t="s">
        <v>300</v>
      </c>
      <c r="B37" s="394"/>
      <c r="C37" s="394"/>
      <c r="D37" s="394"/>
      <c r="E37" s="417">
        <v>0.5</v>
      </c>
      <c r="F37" s="394"/>
      <c r="G37" s="415">
        <f>ROUND(+G33*E37,2)</f>
        <v>0.73</v>
      </c>
      <c r="I37" s="245" t="s">
        <v>163</v>
      </c>
      <c r="J37" s="248"/>
      <c r="K37" s="248"/>
      <c r="L37" s="276">
        <v>0.5</v>
      </c>
      <c r="M37" s="279"/>
      <c r="N37" s="248"/>
      <c r="O37" s="415">
        <f>+O33*L37</f>
        <v>0.115</v>
      </c>
      <c r="Q37" s="245" t="s">
        <v>163</v>
      </c>
      <c r="R37" s="394"/>
      <c r="S37" s="394"/>
      <c r="T37" s="276">
        <v>0.5</v>
      </c>
      <c r="U37" s="279"/>
      <c r="V37" s="394"/>
      <c r="W37" s="415">
        <f>+W33*T37</f>
        <v>0.22</v>
      </c>
      <c r="Y37" s="260"/>
      <c r="Z37" s="394"/>
      <c r="AA37" s="394"/>
      <c r="AB37" s="394"/>
      <c r="AC37" s="419"/>
      <c r="AD37" s="394"/>
      <c r="AE37" s="418"/>
      <c r="AF37" s="278"/>
    </row>
    <row r="38" spans="1:32" ht="18">
      <c r="A38" s="245"/>
      <c r="B38" s="394"/>
      <c r="C38" s="394"/>
      <c r="D38" s="394"/>
      <c r="E38" s="419"/>
      <c r="F38" s="394"/>
      <c r="G38" s="415"/>
      <c r="I38" s="245"/>
      <c r="J38" s="248"/>
      <c r="K38" s="248"/>
      <c r="L38" s="248"/>
      <c r="M38" s="279"/>
      <c r="N38" s="248"/>
      <c r="O38" s="415"/>
      <c r="Q38" s="245"/>
      <c r="R38" s="394"/>
      <c r="S38" s="394"/>
      <c r="T38" s="394"/>
      <c r="U38" s="279"/>
      <c r="V38" s="394"/>
      <c r="W38" s="415"/>
      <c r="Y38" s="245" t="s">
        <v>162</v>
      </c>
      <c r="Z38" s="394"/>
      <c r="AA38" s="394"/>
      <c r="AB38" s="394"/>
      <c r="AC38" s="419"/>
      <c r="AD38" s="394"/>
      <c r="AE38" s="415">
        <f>+AE32+AE36+AE34</f>
        <v>-0.90024999999999988</v>
      </c>
      <c r="AF38" s="273"/>
    </row>
    <row r="39" spans="1:32" ht="18">
      <c r="A39" s="245" t="s">
        <v>163</v>
      </c>
      <c r="B39" s="394"/>
      <c r="C39" s="394"/>
      <c r="D39" s="394"/>
      <c r="E39" s="419"/>
      <c r="F39" s="394"/>
      <c r="G39" s="415">
        <f>+G34+G37</f>
        <v>2.6370333159667769</v>
      </c>
      <c r="I39" s="245" t="s">
        <v>163</v>
      </c>
      <c r="J39" s="248"/>
      <c r="K39" s="248"/>
      <c r="L39" s="248"/>
      <c r="M39" s="279"/>
      <c r="N39" s="248"/>
      <c r="O39" s="415">
        <f>+O34+O37</f>
        <v>-5.2807195074639504E-2</v>
      </c>
      <c r="Q39" s="245" t="s">
        <v>163</v>
      </c>
      <c r="R39" s="394"/>
      <c r="S39" s="394"/>
      <c r="T39" s="394"/>
      <c r="U39" s="279"/>
      <c r="V39" s="394"/>
      <c r="W39" s="415">
        <f>+W34+W37</f>
        <v>-0.30621083243875091</v>
      </c>
      <c r="Y39" s="245"/>
      <c r="Z39" s="394"/>
      <c r="AA39" s="394"/>
      <c r="AB39" s="394"/>
      <c r="AC39" s="419"/>
      <c r="AD39" s="394"/>
      <c r="AE39" s="415"/>
      <c r="AF39" s="273"/>
    </row>
    <row r="40" spans="1:32" ht="18">
      <c r="A40" s="245"/>
      <c r="B40" s="394"/>
      <c r="C40" s="394"/>
      <c r="D40" s="394"/>
      <c r="E40" s="419"/>
      <c r="F40" s="394"/>
      <c r="G40" s="415"/>
      <c r="I40" s="245"/>
      <c r="J40" s="248"/>
      <c r="K40" s="248"/>
      <c r="L40" s="248"/>
      <c r="M40" s="279"/>
      <c r="N40" s="248"/>
      <c r="O40" s="415"/>
      <c r="Q40" s="245"/>
      <c r="R40" s="394"/>
      <c r="S40" s="394"/>
      <c r="T40" s="394"/>
      <c r="U40" s="279"/>
      <c r="V40" s="394"/>
      <c r="W40" s="415"/>
      <c r="Y40" s="245" t="s">
        <v>163</v>
      </c>
      <c r="Z40" s="394"/>
      <c r="AA40" s="394"/>
      <c r="AB40" s="394"/>
      <c r="AC40" s="419"/>
      <c r="AD40" s="394"/>
      <c r="AE40" s="415">
        <f>+AE32+AE34</f>
        <v>-0.59</v>
      </c>
      <c r="AF40" s="273"/>
    </row>
    <row r="41" spans="1:32" ht="13.5" thickBot="1">
      <c r="A41" s="281"/>
      <c r="B41" s="282"/>
      <c r="C41" s="282"/>
      <c r="D41" s="282"/>
      <c r="E41" s="282"/>
      <c r="F41" s="282"/>
      <c r="G41" s="283"/>
      <c r="I41" s="281"/>
      <c r="J41" s="282"/>
      <c r="K41" s="282"/>
      <c r="L41" s="282"/>
      <c r="M41" s="282"/>
      <c r="N41" s="282"/>
      <c r="O41" s="283"/>
      <c r="Q41" s="281"/>
      <c r="R41" s="282"/>
      <c r="S41" s="282"/>
      <c r="T41" s="282"/>
      <c r="U41" s="282"/>
      <c r="V41" s="282"/>
      <c r="W41" s="283"/>
      <c r="Y41" s="281"/>
      <c r="Z41" s="282"/>
      <c r="AA41" s="282"/>
      <c r="AB41" s="282"/>
      <c r="AC41" s="282"/>
      <c r="AD41" s="282"/>
      <c r="AE41" s="283"/>
    </row>
    <row r="42" spans="1:32">
      <c r="Q42" s="420"/>
      <c r="W42" s="421"/>
    </row>
    <row r="43" spans="1:32">
      <c r="Q43" s="420"/>
      <c r="W43" s="421"/>
    </row>
    <row r="44" spans="1:32" ht="13.5" thickBot="1">
      <c r="Q44" s="420"/>
      <c r="W44" s="421"/>
    </row>
    <row r="45" spans="1:32" ht="23.25">
      <c r="A45" s="241" t="s">
        <v>137</v>
      </c>
      <c r="B45" s="242"/>
      <c r="C45" s="243"/>
      <c r="D45" s="243"/>
      <c r="E45" s="243"/>
      <c r="F45" s="243"/>
      <c r="G45" s="244"/>
      <c r="I45" s="241" t="s">
        <v>137</v>
      </c>
      <c r="J45" s="242"/>
      <c r="K45" s="243"/>
      <c r="L45" s="243"/>
      <c r="M45" s="243"/>
      <c r="N45" s="243"/>
      <c r="O45" s="244"/>
      <c r="Q45" s="241" t="s">
        <v>137</v>
      </c>
      <c r="R45" s="242"/>
      <c r="S45" s="243"/>
      <c r="T45" s="243"/>
      <c r="U45" s="243"/>
      <c r="V45" s="243"/>
      <c r="W45" s="244"/>
      <c r="Y45" s="241" t="s">
        <v>137</v>
      </c>
      <c r="Z45" s="242"/>
      <c r="AA45" s="243"/>
      <c r="AB45" s="243"/>
      <c r="AC45" s="243"/>
      <c r="AD45" s="243"/>
      <c r="AE45" s="244"/>
    </row>
    <row r="46" spans="1:32" ht="15.75">
      <c r="A46" s="245" t="s">
        <v>273</v>
      </c>
      <c r="B46" s="392"/>
      <c r="C46" s="393"/>
      <c r="D46" s="393"/>
      <c r="E46" s="394"/>
      <c r="F46" s="394"/>
      <c r="G46" s="249"/>
      <c r="I46" s="245" t="s">
        <v>140</v>
      </c>
      <c r="J46" s="246"/>
      <c r="K46" s="247"/>
      <c r="L46" s="247"/>
      <c r="M46" s="248"/>
      <c r="N46" s="248"/>
      <c r="O46" s="249"/>
      <c r="Q46" s="245" t="s">
        <v>140</v>
      </c>
      <c r="R46" s="392"/>
      <c r="S46" s="393"/>
      <c r="T46" s="393"/>
      <c r="U46" s="394"/>
      <c r="V46" s="394"/>
      <c r="W46" s="249"/>
      <c r="Y46" s="245" t="s">
        <v>121</v>
      </c>
      <c r="Z46" s="392"/>
      <c r="AA46" s="393"/>
      <c r="AB46" s="393"/>
      <c r="AC46" s="394"/>
      <c r="AD46" s="394"/>
      <c r="AE46" s="249"/>
    </row>
    <row r="47" spans="1:32" ht="15.75">
      <c r="A47" s="250"/>
      <c r="B47" s="422"/>
      <c r="C47" s="394"/>
      <c r="D47" s="394"/>
      <c r="E47" s="394"/>
      <c r="F47" s="394"/>
      <c r="G47" s="249"/>
      <c r="I47" s="250"/>
      <c r="J47" s="251"/>
      <c r="K47" s="248"/>
      <c r="L47" s="248"/>
      <c r="M47" s="248"/>
      <c r="N47" s="248"/>
      <c r="O47" s="249"/>
      <c r="Q47" s="250"/>
      <c r="R47" s="422"/>
      <c r="S47" s="394"/>
      <c r="T47" s="394"/>
      <c r="U47" s="394"/>
      <c r="V47" s="394"/>
      <c r="W47" s="249"/>
      <c r="Y47" s="250"/>
      <c r="Z47" s="422"/>
      <c r="AA47" s="394"/>
      <c r="AB47" s="394"/>
      <c r="AC47" s="394"/>
      <c r="AD47" s="394"/>
      <c r="AE47" s="249"/>
    </row>
    <row r="48" spans="1:32" ht="15">
      <c r="A48" s="550" t="s">
        <v>19</v>
      </c>
      <c r="B48" s="568"/>
      <c r="C48" s="568"/>
      <c r="D48" s="568"/>
      <c r="E48" s="568"/>
      <c r="F48" s="568"/>
      <c r="G48" s="552"/>
      <c r="I48" s="550" t="s">
        <v>19</v>
      </c>
      <c r="J48" s="551"/>
      <c r="K48" s="551"/>
      <c r="L48" s="551"/>
      <c r="M48" s="551"/>
      <c r="N48" s="551"/>
      <c r="O48" s="552"/>
      <c r="Q48" s="550" t="s">
        <v>19</v>
      </c>
      <c r="R48" s="568"/>
      <c r="S48" s="568"/>
      <c r="T48" s="568"/>
      <c r="U48" s="568"/>
      <c r="V48" s="568"/>
      <c r="W48" s="552"/>
      <c r="Y48" s="550" t="s">
        <v>19</v>
      </c>
      <c r="Z48" s="568"/>
      <c r="AA48" s="568"/>
      <c r="AB48" s="568"/>
      <c r="AC48" s="568"/>
      <c r="AD48" s="568"/>
      <c r="AE48" s="552"/>
    </row>
    <row r="49" spans="1:33" ht="15">
      <c r="A49" s="252"/>
      <c r="B49" s="394"/>
      <c r="C49" s="394"/>
      <c r="D49" s="394"/>
      <c r="E49" s="394"/>
      <c r="F49" s="394"/>
      <c r="G49" s="249"/>
      <c r="I49" s="252"/>
      <c r="J49" s="248"/>
      <c r="K49" s="248"/>
      <c r="L49" s="248"/>
      <c r="M49" s="248"/>
      <c r="N49" s="248"/>
      <c r="O49" s="249"/>
      <c r="Q49" s="252"/>
      <c r="R49" s="394"/>
      <c r="S49" s="394"/>
      <c r="T49" s="394"/>
      <c r="U49" s="394"/>
      <c r="V49" s="394"/>
      <c r="W49" s="249"/>
      <c r="Y49" s="252"/>
      <c r="Z49" s="394"/>
      <c r="AA49" s="394"/>
      <c r="AB49" s="394"/>
      <c r="AC49" s="394"/>
      <c r="AD49" s="394"/>
      <c r="AE49" s="249"/>
    </row>
    <row r="50" spans="1:33" ht="15.75">
      <c r="A50" s="252"/>
      <c r="B50" s="394"/>
      <c r="C50" s="397"/>
      <c r="D50" s="397"/>
      <c r="E50" s="397" t="s">
        <v>122</v>
      </c>
      <c r="F50" s="397" t="s">
        <v>80</v>
      </c>
      <c r="G50" s="249"/>
      <c r="I50" s="252"/>
      <c r="J50" s="248"/>
      <c r="K50" s="253"/>
      <c r="L50" s="253"/>
      <c r="M50" s="253" t="s">
        <v>122</v>
      </c>
      <c r="N50" s="253" t="s">
        <v>80</v>
      </c>
      <c r="O50" s="249"/>
      <c r="Q50" s="252"/>
      <c r="R50" s="394"/>
      <c r="S50" s="397"/>
      <c r="T50" s="397"/>
      <c r="U50" s="397" t="s">
        <v>122</v>
      </c>
      <c r="V50" s="397" t="s">
        <v>80</v>
      </c>
      <c r="W50" s="249"/>
      <c r="Y50" s="252"/>
      <c r="Z50" s="394"/>
      <c r="AA50" s="397"/>
      <c r="AB50" s="397"/>
      <c r="AC50" s="397" t="s">
        <v>122</v>
      </c>
      <c r="AD50" s="397" t="s">
        <v>80</v>
      </c>
      <c r="AE50" s="249"/>
    </row>
    <row r="51" spans="1:33" ht="15.75">
      <c r="A51" s="252"/>
      <c r="B51" s="394"/>
      <c r="C51" s="398" t="s">
        <v>96</v>
      </c>
      <c r="D51" s="398"/>
      <c r="E51" s="398" t="s">
        <v>123</v>
      </c>
      <c r="F51" s="398" t="s">
        <v>124</v>
      </c>
      <c r="G51" s="249"/>
      <c r="I51" s="252"/>
      <c r="J51" s="248"/>
      <c r="K51" s="254" t="s">
        <v>96</v>
      </c>
      <c r="L51" s="254"/>
      <c r="M51" s="254" t="s">
        <v>123</v>
      </c>
      <c r="N51" s="254" t="s">
        <v>124</v>
      </c>
      <c r="O51" s="249"/>
      <c r="Q51" s="252"/>
      <c r="R51" s="394"/>
      <c r="S51" s="398" t="s">
        <v>96</v>
      </c>
      <c r="T51" s="398"/>
      <c r="U51" s="398" t="s">
        <v>123</v>
      </c>
      <c r="V51" s="398" t="s">
        <v>124</v>
      </c>
      <c r="W51" s="249"/>
      <c r="Y51" s="252"/>
      <c r="Z51" s="394"/>
      <c r="AA51" s="398" t="s">
        <v>96</v>
      </c>
      <c r="AB51" s="398"/>
      <c r="AC51" s="398" t="s">
        <v>123</v>
      </c>
      <c r="AD51" s="398" t="s">
        <v>124</v>
      </c>
      <c r="AE51" s="249"/>
    </row>
    <row r="52" spans="1:33" ht="15.75">
      <c r="A52" s="255" t="s">
        <v>274</v>
      </c>
      <c r="B52" s="392"/>
      <c r="C52" s="399"/>
      <c r="D52" s="399"/>
      <c r="E52" s="399"/>
      <c r="F52" s="399"/>
      <c r="G52" s="249"/>
      <c r="I52" s="255" t="s">
        <v>266</v>
      </c>
      <c r="J52" s="246"/>
      <c r="K52" s="256"/>
      <c r="L52" s="256"/>
      <c r="M52" s="256"/>
      <c r="N52" s="256"/>
      <c r="O52" s="249"/>
      <c r="Q52" s="255" t="s">
        <v>139</v>
      </c>
      <c r="R52" s="392"/>
      <c r="S52" s="399"/>
      <c r="T52" s="399"/>
      <c r="U52" s="399"/>
      <c r="V52" s="399"/>
      <c r="W52" s="249"/>
      <c r="Y52" s="255" t="s">
        <v>125</v>
      </c>
      <c r="Z52" s="392"/>
      <c r="AA52" s="399"/>
      <c r="AB52" s="399"/>
      <c r="AC52" s="399"/>
      <c r="AD52" s="399"/>
      <c r="AE52" s="249"/>
    </row>
    <row r="53" spans="1:33" ht="15.75">
      <c r="A53" s="252" t="s">
        <v>126</v>
      </c>
      <c r="B53" s="394"/>
      <c r="C53" s="400">
        <f>SUM('Customer Counts - Enspire'!F$18:F$20)</f>
        <v>64357</v>
      </c>
      <c r="D53" s="400"/>
      <c r="E53" s="401">
        <f>+M54</f>
        <v>0.61</v>
      </c>
      <c r="F53" s="402">
        <f>C53*E53</f>
        <v>39257.769999999997</v>
      </c>
      <c r="G53" s="249"/>
      <c r="I53" s="252" t="s">
        <v>126</v>
      </c>
      <c r="J53" s="248"/>
      <c r="K53" s="257">
        <v>63872</v>
      </c>
      <c r="L53" s="257"/>
      <c r="M53" s="258">
        <f>+U54</f>
        <v>0.72</v>
      </c>
      <c r="N53" s="259">
        <f>K53*M53</f>
        <v>45987.839999999997</v>
      </c>
      <c r="O53" s="249"/>
      <c r="Q53" s="252" t="s">
        <v>126</v>
      </c>
      <c r="R53" s="394"/>
      <c r="S53" s="400">
        <v>63231</v>
      </c>
      <c r="T53" s="400"/>
      <c r="U53" s="258">
        <f>+AC54</f>
        <v>2.7</v>
      </c>
      <c r="V53" s="259">
        <f>S53*U53</f>
        <v>170723.7</v>
      </c>
      <c r="W53" s="249"/>
      <c r="Y53" s="252" t="s">
        <v>126</v>
      </c>
      <c r="Z53" s="394"/>
      <c r="AA53" s="400">
        <v>62533</v>
      </c>
      <c r="AB53" s="400"/>
      <c r="AC53" s="401">
        <v>1.94</v>
      </c>
      <c r="AD53" s="402">
        <f>AA53*AC53</f>
        <v>121314.01999999999</v>
      </c>
      <c r="AE53" s="249"/>
    </row>
    <row r="54" spans="1:33" ht="17.25">
      <c r="A54" s="260" t="s">
        <v>127</v>
      </c>
      <c r="B54" s="317"/>
      <c r="C54" s="403">
        <f>SUM('Customer Counts - Enspire'!F$21:F$29)</f>
        <v>193756</v>
      </c>
      <c r="D54" s="403"/>
      <c r="E54" s="401">
        <f>+O75</f>
        <v>0.26</v>
      </c>
      <c r="F54" s="404">
        <f>C54*E54</f>
        <v>50376.560000000005</v>
      </c>
      <c r="G54" s="249"/>
      <c r="I54" s="260" t="s">
        <v>127</v>
      </c>
      <c r="J54" s="261"/>
      <c r="K54" s="262">
        <v>192670</v>
      </c>
      <c r="L54" s="262"/>
      <c r="M54" s="258">
        <f>+W75</f>
        <v>0.61</v>
      </c>
      <c r="N54" s="263">
        <f>K54*M54</f>
        <v>117528.7</v>
      </c>
      <c r="O54" s="249"/>
      <c r="Q54" s="260" t="s">
        <v>127</v>
      </c>
      <c r="R54" s="317"/>
      <c r="S54" s="403">
        <v>148568</v>
      </c>
      <c r="T54" s="403"/>
      <c r="U54" s="258">
        <f>+AE73</f>
        <v>0.72</v>
      </c>
      <c r="V54" s="263">
        <f>S54*U54</f>
        <v>106968.95999999999</v>
      </c>
      <c r="W54" s="249"/>
      <c r="Y54" s="260" t="s">
        <v>127</v>
      </c>
      <c r="Z54" s="317"/>
      <c r="AA54" s="403">
        <v>188839</v>
      </c>
      <c r="AB54" s="403"/>
      <c r="AC54" s="401">
        <v>2.7</v>
      </c>
      <c r="AD54" s="404">
        <f>AA54*AC54</f>
        <v>509865.30000000005</v>
      </c>
      <c r="AE54" s="249"/>
    </row>
    <row r="55" spans="1:33" ht="17.25">
      <c r="A55" s="252" t="s">
        <v>80</v>
      </c>
      <c r="B55" s="394"/>
      <c r="C55" s="400">
        <f>SUM(C53:C54)</f>
        <v>258113</v>
      </c>
      <c r="D55" s="403"/>
      <c r="E55" s="394"/>
      <c r="F55" s="402">
        <f>SUM(F53:F54)</f>
        <v>89634.33</v>
      </c>
      <c r="G55" s="249"/>
      <c r="I55" s="252" t="s">
        <v>80</v>
      </c>
      <c r="J55" s="248"/>
      <c r="K55" s="257">
        <f>SUM(K53:K54)</f>
        <v>256542</v>
      </c>
      <c r="L55" s="262"/>
      <c r="M55" s="248"/>
      <c r="N55" s="259">
        <f>SUM(N53:N54)</f>
        <v>163516.53999999998</v>
      </c>
      <c r="O55" s="249"/>
      <c r="Q55" s="252" t="s">
        <v>80</v>
      </c>
      <c r="R55" s="394"/>
      <c r="S55" s="400">
        <f>SUM(S53:S54)</f>
        <v>211799</v>
      </c>
      <c r="T55" s="403"/>
      <c r="U55" s="394"/>
      <c r="V55" s="259">
        <f>SUM(V53:V54)</f>
        <v>277692.66000000003</v>
      </c>
      <c r="W55" s="249"/>
      <c r="Y55" s="252" t="s">
        <v>80</v>
      </c>
      <c r="Z55" s="394"/>
      <c r="AA55" s="400">
        <f>SUM(AA53:AA54)</f>
        <v>251372</v>
      </c>
      <c r="AB55" s="403"/>
      <c r="AC55" s="394"/>
      <c r="AD55" s="402">
        <f>SUM(AD53:AD54)</f>
        <v>631179.32000000007</v>
      </c>
      <c r="AE55" s="249"/>
    </row>
    <row r="56" spans="1:33" ht="15">
      <c r="A56" s="252"/>
      <c r="B56" s="394"/>
      <c r="C56" s="394"/>
      <c r="D56" s="394"/>
      <c r="E56" s="394"/>
      <c r="F56" s="394"/>
      <c r="G56" s="249"/>
      <c r="I56" s="252"/>
      <c r="J56" s="248"/>
      <c r="K56" s="248"/>
      <c r="L56" s="248"/>
      <c r="M56" s="248"/>
      <c r="N56" s="248"/>
      <c r="O56" s="249"/>
      <c r="Q56" s="252"/>
      <c r="R56" s="394"/>
      <c r="S56" s="394"/>
      <c r="T56" s="394"/>
      <c r="U56" s="394"/>
      <c r="V56" s="394"/>
      <c r="W56" s="249"/>
      <c r="Y56" s="252"/>
      <c r="Z56" s="394"/>
      <c r="AA56" s="394"/>
      <c r="AB56" s="394"/>
      <c r="AC56" s="394"/>
      <c r="AD56" s="394"/>
      <c r="AE56" s="249"/>
    </row>
    <row r="57" spans="1:33" ht="15.75">
      <c r="A57" s="245" t="str">
        <f>+A16</f>
        <v xml:space="preserve">Actual Commodity Revenue (Oct. 2020 - Sept. 2021) </v>
      </c>
      <c r="B57" s="394"/>
      <c r="C57" s="394"/>
      <c r="D57" s="394"/>
      <c r="E57" s="394"/>
      <c r="F57" s="402">
        <f>SUM('2020-2021 Recy. Tons &amp; Revenue'!J86:J97)</f>
        <v>372608.53427144117</v>
      </c>
      <c r="G57" s="249"/>
      <c r="I57" s="245" t="str">
        <f>+I16</f>
        <v xml:space="preserve">Actual Commodity Revenue (Oct. 2019 - Sept. 2020) </v>
      </c>
      <c r="J57" s="248"/>
      <c r="K57" s="248"/>
      <c r="L57" s="248"/>
      <c r="M57" s="248"/>
      <c r="N57" s="259">
        <v>66311.043460356566</v>
      </c>
      <c r="O57" s="249"/>
      <c r="Q57" s="245" t="s">
        <v>141</v>
      </c>
      <c r="R57" s="394"/>
      <c r="S57" s="394"/>
      <c r="T57" s="394"/>
      <c r="U57" s="394"/>
      <c r="V57" s="259">
        <v>153774.15208976623</v>
      </c>
      <c r="W57" s="249"/>
      <c r="Y57" s="252"/>
      <c r="Z57" s="394"/>
      <c r="AA57" s="394"/>
      <c r="AB57" s="394"/>
      <c r="AC57" s="394"/>
      <c r="AD57" s="394"/>
      <c r="AE57" s="249"/>
    </row>
    <row r="58" spans="1:33" ht="15.75">
      <c r="A58" s="245" t="str">
        <f t="shared" ref="A58:A59" si="0">+A17</f>
        <v>Less: 50% retained by company</v>
      </c>
      <c r="B58" s="394"/>
      <c r="C58" s="394"/>
      <c r="D58" s="394"/>
      <c r="E58" s="394"/>
      <c r="F58" s="312">
        <f>-F57*50%</f>
        <v>-186304.26713572058</v>
      </c>
      <c r="G58" s="249"/>
      <c r="I58" s="245" t="str">
        <f t="shared" ref="I58:I59" si="1">+I17</f>
        <v>Less: 50% retained by company</v>
      </c>
      <c r="J58" s="248"/>
      <c r="K58" s="248"/>
      <c r="L58" s="248"/>
      <c r="M58" s="248"/>
      <c r="N58" s="312">
        <f>-N57*50%</f>
        <v>-33155.521730178283</v>
      </c>
      <c r="O58" s="249"/>
      <c r="Q58" s="245" t="s">
        <v>168</v>
      </c>
      <c r="R58" s="394"/>
      <c r="S58" s="394"/>
      <c r="T58" s="394"/>
      <c r="U58" s="394"/>
      <c r="V58" s="312">
        <f>-V57*50%</f>
        <v>-76887.076044883113</v>
      </c>
      <c r="W58" s="249"/>
      <c r="Y58" s="252"/>
      <c r="Z58" s="394"/>
      <c r="AA58" s="394"/>
      <c r="AB58" s="394"/>
      <c r="AC58" s="394"/>
      <c r="AD58" s="394"/>
      <c r="AE58" s="249"/>
    </row>
    <row r="59" spans="1:33" ht="15.75">
      <c r="A59" s="245" t="str">
        <f t="shared" si="0"/>
        <v>Net Commodity Revenue</v>
      </c>
      <c r="B59" s="317"/>
      <c r="C59" s="317"/>
      <c r="D59" s="317"/>
      <c r="E59" s="317"/>
      <c r="F59" s="313">
        <f>SUM(F57:F58)</f>
        <v>186304.26713572058</v>
      </c>
      <c r="G59" s="249"/>
      <c r="I59" s="245" t="str">
        <f t="shared" si="1"/>
        <v>Net Commodity Revenue</v>
      </c>
      <c r="J59" s="261"/>
      <c r="K59" s="261"/>
      <c r="L59" s="261"/>
      <c r="M59" s="261"/>
      <c r="N59" s="492">
        <f>SUM(N57:N58)</f>
        <v>33155.521730178283</v>
      </c>
      <c r="O59" s="249"/>
      <c r="Q59" s="316" t="s">
        <v>171</v>
      </c>
      <c r="R59" s="317"/>
      <c r="S59" s="317"/>
      <c r="T59" s="317"/>
      <c r="U59" s="317"/>
      <c r="V59" s="313">
        <f>SUM(V57:V58)</f>
        <v>76887.076044883113</v>
      </c>
      <c r="W59" s="249"/>
      <c r="Y59" s="252"/>
      <c r="Z59" s="394"/>
      <c r="AA59" s="394"/>
      <c r="AB59" s="394"/>
      <c r="AC59" s="394"/>
      <c r="AD59" s="394"/>
      <c r="AE59" s="249"/>
    </row>
    <row r="60" spans="1:33" ht="15">
      <c r="A60" s="317"/>
      <c r="B60" s="317"/>
      <c r="C60" s="317"/>
      <c r="D60" s="317"/>
      <c r="E60" s="317"/>
      <c r="F60" s="317"/>
      <c r="G60" s="249"/>
      <c r="I60" s="260"/>
      <c r="J60" s="261"/>
      <c r="K60" s="261"/>
      <c r="L60" s="261"/>
      <c r="M60" s="261"/>
      <c r="N60" s="261"/>
      <c r="O60" s="249"/>
      <c r="Q60" s="260"/>
      <c r="R60" s="317"/>
      <c r="S60" s="317"/>
      <c r="T60" s="317"/>
      <c r="U60" s="317"/>
      <c r="V60" s="317"/>
      <c r="W60" s="249"/>
      <c r="Y60" s="252"/>
      <c r="Z60" s="394"/>
      <c r="AA60" s="394"/>
      <c r="AB60" s="394"/>
      <c r="AC60" s="394"/>
      <c r="AD60" s="394"/>
      <c r="AE60" s="249"/>
    </row>
    <row r="61" spans="1:33" ht="15">
      <c r="A61" s="252"/>
      <c r="B61" s="394"/>
      <c r="C61" s="394"/>
      <c r="D61" s="394"/>
      <c r="E61" s="394"/>
      <c r="F61" s="405"/>
      <c r="G61" s="249"/>
      <c r="I61" s="252"/>
      <c r="J61" s="248"/>
      <c r="K61" s="248"/>
      <c r="L61" s="248"/>
      <c r="M61" s="248"/>
      <c r="N61" s="287"/>
      <c r="O61" s="249"/>
      <c r="Q61" s="252" t="s">
        <v>129</v>
      </c>
      <c r="R61" s="394"/>
      <c r="S61" s="394"/>
      <c r="T61" s="394"/>
      <c r="U61" s="394"/>
      <c r="V61" s="287">
        <f>V59-V55</f>
        <v>-200805.58395511692</v>
      </c>
      <c r="W61" s="249"/>
      <c r="Y61" s="252"/>
      <c r="Z61" s="394"/>
      <c r="AA61" s="394"/>
      <c r="AB61" s="394"/>
      <c r="AC61" s="394"/>
      <c r="AD61" s="394"/>
      <c r="AE61" s="249"/>
    </row>
    <row r="62" spans="1:33" ht="15.75">
      <c r="A62" s="245"/>
      <c r="B62" s="394"/>
      <c r="C62" s="407"/>
      <c r="D62" s="394"/>
      <c r="E62" s="408"/>
      <c r="F62" s="402"/>
      <c r="G62" s="249"/>
      <c r="I62" s="245"/>
      <c r="J62" s="248"/>
      <c r="K62" s="284"/>
      <c r="L62" s="248"/>
      <c r="M62" s="285"/>
      <c r="N62" s="259"/>
      <c r="O62" s="249"/>
      <c r="Q62" s="245" t="s">
        <v>169</v>
      </c>
      <c r="R62" s="394"/>
      <c r="S62" s="284">
        <v>42056</v>
      </c>
      <c r="T62" s="394"/>
      <c r="U62" s="408">
        <f>AE80</f>
        <v>-1.1600000000000001</v>
      </c>
      <c r="V62" s="259">
        <f>U62*S62</f>
        <v>-48784.960000000006</v>
      </c>
      <c r="W62" s="249"/>
      <c r="Y62" s="245" t="s">
        <v>128</v>
      </c>
      <c r="Z62" s="394"/>
      <c r="AA62" s="394"/>
      <c r="AB62" s="394"/>
      <c r="AC62" s="394"/>
      <c r="AD62" s="402">
        <v>269162</v>
      </c>
      <c r="AE62" s="249"/>
      <c r="AG62" s="289"/>
    </row>
    <row r="63" spans="1:33" ht="15.75">
      <c r="A63" s="245"/>
      <c r="B63" s="317"/>
      <c r="C63" s="317"/>
      <c r="D63" s="317"/>
      <c r="E63" s="317"/>
      <c r="F63" s="287"/>
      <c r="G63" s="249"/>
      <c r="I63" s="245"/>
      <c r="J63" s="261"/>
      <c r="K63" s="261"/>
      <c r="L63" s="261"/>
      <c r="M63" s="261"/>
      <c r="N63" s="287"/>
      <c r="O63" s="249"/>
      <c r="Q63" s="245" t="s">
        <v>166</v>
      </c>
      <c r="R63" s="317"/>
      <c r="S63" s="317"/>
      <c r="T63" s="317"/>
      <c r="U63" s="317"/>
      <c r="V63" s="314">
        <v>4957.7399619857606</v>
      </c>
      <c r="W63" s="249"/>
      <c r="Y63" s="252"/>
      <c r="Z63" s="394"/>
      <c r="AA63" s="394"/>
      <c r="AB63" s="394"/>
      <c r="AC63" s="394"/>
      <c r="AD63" s="402"/>
      <c r="AE63" s="249"/>
    </row>
    <row r="64" spans="1:33" ht="15">
      <c r="A64" s="317" t="s">
        <v>172</v>
      </c>
      <c r="B64" s="317"/>
      <c r="C64" s="317"/>
      <c r="D64" s="317"/>
      <c r="E64" s="317"/>
      <c r="F64" s="313">
        <f>+F59-F55</f>
        <v>96669.937135720582</v>
      </c>
      <c r="G64" s="249"/>
      <c r="I64" s="260" t="s">
        <v>172</v>
      </c>
      <c r="J64" s="261"/>
      <c r="K64" s="261"/>
      <c r="L64" s="261"/>
      <c r="M64" s="261"/>
      <c r="N64" s="492">
        <f>+N59-N55</f>
        <v>-130361.0182698217</v>
      </c>
      <c r="O64" s="249"/>
      <c r="Q64" s="260" t="s">
        <v>172</v>
      </c>
      <c r="R64" s="317"/>
      <c r="S64" s="317"/>
      <c r="T64" s="317"/>
      <c r="U64" s="317"/>
      <c r="V64" s="313">
        <f>SUM(V61:V63)</f>
        <v>-244632.80399313118</v>
      </c>
      <c r="W64" s="249"/>
      <c r="Y64" s="252" t="s">
        <v>129</v>
      </c>
      <c r="Z64" s="394"/>
      <c r="AA64" s="394"/>
      <c r="AB64" s="394"/>
      <c r="AC64" s="394"/>
      <c r="AD64" s="400">
        <f>AD62-AD55</f>
        <v>-362017.32000000007</v>
      </c>
      <c r="AE64" s="249"/>
    </row>
    <row r="65" spans="1:31" ht="17.25">
      <c r="A65" s="317"/>
      <c r="B65" s="317"/>
      <c r="C65" s="317"/>
      <c r="D65" s="317"/>
      <c r="E65" s="317"/>
      <c r="F65" s="317"/>
      <c r="G65" s="249"/>
      <c r="I65" s="260"/>
      <c r="J65" s="261"/>
      <c r="K65" s="261"/>
      <c r="L65" s="261"/>
      <c r="M65" s="261"/>
      <c r="N65" s="261"/>
      <c r="O65" s="249"/>
      <c r="Q65" s="260"/>
      <c r="R65" s="317"/>
      <c r="S65" s="317"/>
      <c r="T65" s="317"/>
      <c r="U65" s="317"/>
      <c r="V65" s="317"/>
      <c r="W65" s="249"/>
      <c r="Y65" s="252"/>
      <c r="Z65" s="394"/>
      <c r="AA65" s="410"/>
      <c r="AB65" s="394"/>
      <c r="AC65" s="394"/>
      <c r="AD65" s="409"/>
      <c r="AE65" s="249"/>
    </row>
    <row r="66" spans="1:31" ht="15">
      <c r="A66" s="252" t="s">
        <v>130</v>
      </c>
      <c r="B66" s="394"/>
      <c r="C66" s="394"/>
      <c r="D66" s="394"/>
      <c r="E66" s="394"/>
      <c r="F66" s="400">
        <f>+C55</f>
        <v>258113</v>
      </c>
      <c r="G66" s="249"/>
      <c r="I66" s="252" t="s">
        <v>130</v>
      </c>
      <c r="J66" s="248"/>
      <c r="K66" s="248"/>
      <c r="L66" s="248"/>
      <c r="M66" s="248"/>
      <c r="N66" s="257">
        <f>+K55</f>
        <v>256542</v>
      </c>
      <c r="O66" s="249"/>
      <c r="Q66" s="252" t="s">
        <v>130</v>
      </c>
      <c r="R66" s="394"/>
      <c r="S66" s="394"/>
      <c r="T66" s="394"/>
      <c r="U66" s="394"/>
      <c r="V66" s="400">
        <v>253855</v>
      </c>
      <c r="W66" s="249"/>
      <c r="Y66" s="252" t="s">
        <v>130</v>
      </c>
      <c r="Z66" s="394"/>
      <c r="AA66" s="394"/>
      <c r="AB66" s="394"/>
      <c r="AC66" s="394"/>
      <c r="AD66" s="400">
        <f>+AA55</f>
        <v>251372</v>
      </c>
      <c r="AE66" s="249"/>
    </row>
    <row r="67" spans="1:31" ht="15">
      <c r="A67" s="252"/>
      <c r="B67" s="394"/>
      <c r="C67" s="394"/>
      <c r="D67" s="394"/>
      <c r="E67" s="394"/>
      <c r="F67" s="394"/>
      <c r="G67" s="249"/>
      <c r="I67" s="252"/>
      <c r="J67" s="248"/>
      <c r="K67" s="248"/>
      <c r="L67" s="248"/>
      <c r="M67" s="248"/>
      <c r="N67" s="248"/>
      <c r="O67" s="249"/>
      <c r="Q67" s="252"/>
      <c r="R67" s="394"/>
      <c r="S67" s="394"/>
      <c r="T67" s="394"/>
      <c r="U67" s="394"/>
      <c r="V67" s="394"/>
      <c r="W67" s="249"/>
      <c r="Y67" s="252"/>
      <c r="Z67" s="394"/>
      <c r="AA67" s="394"/>
      <c r="AB67" s="394"/>
      <c r="AC67" s="394"/>
      <c r="AD67" s="394"/>
      <c r="AE67" s="249"/>
    </row>
    <row r="68" spans="1:31" ht="15">
      <c r="A68" s="252" t="s">
        <v>131</v>
      </c>
      <c r="B68" s="394"/>
      <c r="C68" s="394"/>
      <c r="D68" s="394"/>
      <c r="E68" s="394"/>
      <c r="F68" s="411"/>
      <c r="G68" s="267">
        <f>F64/F66</f>
        <v>0.37452564239585212</v>
      </c>
      <c r="I68" s="252" t="s">
        <v>131</v>
      </c>
      <c r="J68" s="248"/>
      <c r="K68" s="248"/>
      <c r="L68" s="248"/>
      <c r="M68" s="248"/>
      <c r="N68" s="266"/>
      <c r="O68" s="267">
        <f>N64/N66</f>
        <v>-0.508146885382595</v>
      </c>
      <c r="Q68" s="252" t="s">
        <v>131</v>
      </c>
      <c r="R68" s="394"/>
      <c r="S68" s="394"/>
      <c r="T68" s="394"/>
      <c r="U68" s="394"/>
      <c r="V68" s="266"/>
      <c r="W68" s="267">
        <f>V64/V66</f>
        <v>-0.96367140293920217</v>
      </c>
      <c r="Y68" s="252" t="s">
        <v>131</v>
      </c>
      <c r="Z68" s="394"/>
      <c r="AA68" s="394"/>
      <c r="AB68" s="394"/>
      <c r="AC68" s="394"/>
      <c r="AD68" s="411"/>
      <c r="AE68" s="267">
        <f>ROUND(AD64/AD66,2)</f>
        <v>-1.44</v>
      </c>
    </row>
    <row r="69" spans="1:31" ht="15">
      <c r="A69" s="252"/>
      <c r="B69" s="394"/>
      <c r="C69" s="394"/>
      <c r="D69" s="394"/>
      <c r="E69" s="394"/>
      <c r="F69" s="394"/>
      <c r="G69" s="267"/>
      <c r="I69" s="252"/>
      <c r="J69" s="248"/>
      <c r="K69" s="248"/>
      <c r="L69" s="248"/>
      <c r="M69" s="248"/>
      <c r="N69" s="248"/>
      <c r="O69" s="267"/>
      <c r="Q69" s="252"/>
      <c r="R69" s="394"/>
      <c r="S69" s="394"/>
      <c r="T69" s="394"/>
      <c r="U69" s="394"/>
      <c r="V69" s="394"/>
      <c r="W69" s="267"/>
      <c r="Y69" s="252"/>
      <c r="Z69" s="394"/>
      <c r="AA69" s="394"/>
      <c r="AB69" s="394"/>
      <c r="AC69" s="394"/>
      <c r="AD69" s="394"/>
      <c r="AE69" s="267"/>
    </row>
    <row r="70" spans="1:31" ht="15">
      <c r="A70" s="252"/>
      <c r="B70" s="394"/>
      <c r="C70" s="394"/>
      <c r="D70" s="394"/>
      <c r="E70" s="394"/>
      <c r="F70" s="394"/>
      <c r="G70" s="267"/>
      <c r="I70" s="252"/>
      <c r="J70" s="248"/>
      <c r="K70" s="248"/>
      <c r="L70" s="248"/>
      <c r="M70" s="248"/>
      <c r="N70" s="248"/>
      <c r="O70" s="267"/>
      <c r="Q70" s="252"/>
      <c r="R70" s="394"/>
      <c r="S70" s="394"/>
      <c r="T70" s="394"/>
      <c r="U70" s="394"/>
      <c r="V70" s="394"/>
      <c r="W70" s="267"/>
      <c r="Y70" s="252"/>
      <c r="Z70" s="394"/>
      <c r="AA70" s="394"/>
      <c r="AB70" s="394"/>
      <c r="AC70" s="394"/>
      <c r="AD70" s="394"/>
      <c r="AE70" s="267"/>
    </row>
    <row r="71" spans="1:31" ht="15.75">
      <c r="A71" s="268" t="str">
        <f>+A29</f>
        <v>Projected Revenue Oct. 2021 - Sep. 2022 (based on most recent 12 months)</v>
      </c>
      <c r="B71" s="392"/>
      <c r="C71" s="394"/>
      <c r="D71" s="394"/>
      <c r="E71" s="394"/>
      <c r="F71" s="412">
        <f>F57</f>
        <v>372608.53427144117</v>
      </c>
      <c r="G71" s="267"/>
      <c r="I71" s="268" t="str">
        <f>+I29</f>
        <v>Projected Revenue Oct. 2020 - Sep. 2021 (based on most recent 12 months)</v>
      </c>
      <c r="J71" s="246"/>
      <c r="K71" s="248"/>
      <c r="L71" s="248"/>
      <c r="M71" s="248"/>
      <c r="N71" s="269">
        <f>N57</f>
        <v>66311.043460356566</v>
      </c>
      <c r="O71" s="267"/>
      <c r="Q71" s="268" t="s">
        <v>142</v>
      </c>
      <c r="R71" s="392"/>
      <c r="S71" s="394"/>
      <c r="T71" s="394"/>
      <c r="U71" s="394"/>
      <c r="V71" s="269">
        <f>V57</f>
        <v>153774.15208976623</v>
      </c>
      <c r="W71" s="267"/>
      <c r="Y71" s="268" t="s">
        <v>132</v>
      </c>
      <c r="Z71" s="392"/>
      <c r="AA71" s="394"/>
      <c r="AB71" s="394"/>
      <c r="AC71" s="394"/>
      <c r="AD71" s="412">
        <v>91522</v>
      </c>
      <c r="AE71" s="267"/>
    </row>
    <row r="72" spans="1:31" ht="17.25">
      <c r="A72" s="245" t="s">
        <v>168</v>
      </c>
      <c r="B72" s="317"/>
      <c r="C72" s="317"/>
      <c r="D72" s="317"/>
      <c r="E72" s="317"/>
      <c r="F72" s="315">
        <f>F71*50%</f>
        <v>186304.26713572058</v>
      </c>
      <c r="G72" s="267"/>
      <c r="I72" s="245" t="s">
        <v>168</v>
      </c>
      <c r="J72" s="261"/>
      <c r="K72" s="261"/>
      <c r="L72" s="261"/>
      <c r="M72" s="261"/>
      <c r="N72" s="315">
        <f>N71*50%</f>
        <v>33155.521730178283</v>
      </c>
      <c r="O72" s="267"/>
      <c r="Q72" s="245" t="s">
        <v>168</v>
      </c>
      <c r="R72" s="317"/>
      <c r="S72" s="317"/>
      <c r="T72" s="317"/>
      <c r="U72" s="317"/>
      <c r="V72" s="315">
        <f>V71*50%</f>
        <v>76887.076044883113</v>
      </c>
      <c r="W72" s="267"/>
      <c r="Y72" s="252" t="s">
        <v>130</v>
      </c>
      <c r="Z72" s="394"/>
      <c r="AA72" s="394"/>
      <c r="AB72" s="394"/>
      <c r="AC72" s="394"/>
      <c r="AD72" s="413">
        <v>126406</v>
      </c>
      <c r="AE72" s="267"/>
    </row>
    <row r="73" spans="1:31" ht="17.25">
      <c r="A73" s="317" t="s">
        <v>170</v>
      </c>
      <c r="B73" s="317"/>
      <c r="C73" s="317"/>
      <c r="D73" s="317"/>
      <c r="E73" s="317"/>
      <c r="F73" s="313">
        <f>F71-F72</f>
        <v>186304.26713572058</v>
      </c>
      <c r="G73" s="267"/>
      <c r="I73" s="260" t="s">
        <v>170</v>
      </c>
      <c r="J73" s="261"/>
      <c r="K73" s="261"/>
      <c r="L73" s="261"/>
      <c r="M73" s="261"/>
      <c r="N73" s="492">
        <f>N71-N72</f>
        <v>33155.521730178283</v>
      </c>
      <c r="O73" s="267"/>
      <c r="Q73" s="260" t="s">
        <v>170</v>
      </c>
      <c r="R73" s="317"/>
      <c r="S73" s="317"/>
      <c r="T73" s="317"/>
      <c r="U73" s="317"/>
      <c r="V73" s="313">
        <f>V71-V72</f>
        <v>76887.076044883113</v>
      </c>
      <c r="W73" s="267"/>
      <c r="Y73" s="252" t="s">
        <v>133</v>
      </c>
      <c r="Z73" s="394"/>
      <c r="AA73" s="394"/>
      <c r="AB73" s="394"/>
      <c r="AC73" s="394"/>
      <c r="AD73" s="394"/>
      <c r="AE73" s="414">
        <f>ROUND(+AD71/AD72,2)</f>
        <v>0.72</v>
      </c>
    </row>
    <row r="74" spans="1:31" ht="17.25">
      <c r="A74" s="252" t="s">
        <v>130</v>
      </c>
      <c r="B74" s="394"/>
      <c r="C74" s="394"/>
      <c r="D74" s="394"/>
      <c r="E74" s="394"/>
      <c r="F74" s="413">
        <f>+F66</f>
        <v>258113</v>
      </c>
      <c r="G74" s="267"/>
      <c r="I74" s="252" t="s">
        <v>130</v>
      </c>
      <c r="J74" s="248"/>
      <c r="K74" s="248"/>
      <c r="L74" s="248"/>
      <c r="M74" s="248"/>
      <c r="N74" s="270">
        <f>+N66</f>
        <v>256542</v>
      </c>
      <c r="O74" s="267"/>
      <c r="Q74" s="252" t="s">
        <v>130</v>
      </c>
      <c r="R74" s="394"/>
      <c r="S74" s="394"/>
      <c r="T74" s="394"/>
      <c r="U74" s="394"/>
      <c r="V74" s="413">
        <f>+V66</f>
        <v>253855</v>
      </c>
      <c r="W74" s="267"/>
      <c r="Y74" s="245" t="s">
        <v>134</v>
      </c>
      <c r="Z74" s="392"/>
      <c r="AA74" s="394"/>
      <c r="AB74" s="394"/>
      <c r="AC74" s="394"/>
      <c r="AD74" s="394"/>
      <c r="AE74" s="275">
        <f>SUM(AE68:AE73)</f>
        <v>-0.72</v>
      </c>
    </row>
    <row r="75" spans="1:31" ht="17.25">
      <c r="A75" s="252" t="s">
        <v>133</v>
      </c>
      <c r="B75" s="394"/>
      <c r="C75" s="394"/>
      <c r="D75" s="394"/>
      <c r="E75" s="394"/>
      <c r="F75" s="394"/>
      <c r="G75" s="414">
        <f>ROUND(+F71/F74,2)</f>
        <v>1.44</v>
      </c>
      <c r="I75" s="252" t="s">
        <v>133</v>
      </c>
      <c r="J75" s="248"/>
      <c r="K75" s="248"/>
      <c r="L75" s="248"/>
      <c r="M75" s="248"/>
      <c r="N75" s="248"/>
      <c r="O75" s="414">
        <f>ROUND(+N71/N74,2)</f>
        <v>0.26</v>
      </c>
      <c r="Q75" s="252" t="s">
        <v>133</v>
      </c>
      <c r="R75" s="394"/>
      <c r="S75" s="394"/>
      <c r="T75" s="394"/>
      <c r="U75" s="394"/>
      <c r="V75" s="394"/>
      <c r="W75" s="414">
        <f>ROUND(+V71/V74,2)</f>
        <v>0.61</v>
      </c>
      <c r="Y75" s="245"/>
      <c r="Z75" s="392"/>
      <c r="AA75" s="394"/>
      <c r="AB75" s="394"/>
      <c r="AC75" s="394"/>
      <c r="AD75" s="394"/>
      <c r="AE75" s="275"/>
    </row>
    <row r="76" spans="1:31" ht="18">
      <c r="A76" s="245" t="s">
        <v>272</v>
      </c>
      <c r="B76" s="392"/>
      <c r="C76" s="394"/>
      <c r="D76" s="394"/>
      <c r="E76" s="394"/>
      <c r="F76" s="394"/>
      <c r="G76" s="415">
        <f>SUM(G68:G75)</f>
        <v>1.814525642395852</v>
      </c>
      <c r="I76" s="245" t="s">
        <v>272</v>
      </c>
      <c r="J76" s="246"/>
      <c r="K76" s="248"/>
      <c r="L76" s="248"/>
      <c r="M76" s="248"/>
      <c r="N76" s="248"/>
      <c r="O76" s="415">
        <f>SUM(O68:O75)</f>
        <v>-0.24814688538259499</v>
      </c>
      <c r="Q76" s="245" t="s">
        <v>134</v>
      </c>
      <c r="R76" s="392"/>
      <c r="S76" s="394"/>
      <c r="T76" s="394"/>
      <c r="U76" s="394"/>
      <c r="V76" s="394"/>
      <c r="W76" s="275">
        <f>SUM(W68:W75)</f>
        <v>-0.35367140293920218</v>
      </c>
      <c r="Y76" s="260" t="s">
        <v>135</v>
      </c>
      <c r="Z76" s="392"/>
      <c r="AA76" s="394"/>
      <c r="AB76" s="394"/>
      <c r="AC76" s="416">
        <f>+AA55/12*0.5</f>
        <v>10473.833333333334</v>
      </c>
      <c r="AD76" s="394"/>
      <c r="AE76" s="275">
        <f>ROUND(-AC76/AA55*2,2)</f>
        <v>-0.08</v>
      </c>
    </row>
    <row r="77" spans="1:31" ht="15.75">
      <c r="A77" s="245"/>
      <c r="B77" s="392"/>
      <c r="C77" s="394"/>
      <c r="D77" s="394"/>
      <c r="E77" s="394"/>
      <c r="F77" s="394"/>
      <c r="G77" s="275"/>
      <c r="I77" s="245"/>
      <c r="J77" s="246"/>
      <c r="K77" s="248"/>
      <c r="L77" s="248"/>
      <c r="M77" s="248"/>
      <c r="N77" s="248"/>
      <c r="O77" s="275"/>
      <c r="Q77" s="245"/>
      <c r="R77" s="392"/>
      <c r="S77" s="394"/>
      <c r="T77" s="394"/>
      <c r="U77" s="394"/>
      <c r="V77" s="394"/>
      <c r="W77" s="275"/>
      <c r="Y77" s="245"/>
      <c r="Z77" s="392"/>
      <c r="AA77" s="394"/>
      <c r="AB77" s="394"/>
      <c r="AC77" s="394"/>
      <c r="AD77" s="394"/>
      <c r="AE77" s="275"/>
    </row>
    <row r="78" spans="1:31" ht="20.25">
      <c r="A78" s="260"/>
      <c r="B78" s="394"/>
      <c r="C78" s="394"/>
      <c r="D78" s="394"/>
      <c r="E78" s="417"/>
      <c r="F78" s="394"/>
      <c r="G78" s="418"/>
      <c r="I78" s="260"/>
      <c r="J78" s="248"/>
      <c r="K78" s="248"/>
      <c r="L78" s="248"/>
      <c r="M78" s="276"/>
      <c r="N78" s="248"/>
      <c r="O78" s="418"/>
      <c r="Q78" s="260"/>
      <c r="R78" s="394"/>
      <c r="S78" s="394"/>
      <c r="T78" s="394"/>
      <c r="U78" s="276"/>
      <c r="V78" s="394"/>
      <c r="W78" s="418"/>
      <c r="Y78" s="260" t="s">
        <v>136</v>
      </c>
      <c r="Z78" s="394"/>
      <c r="AA78" s="394"/>
      <c r="AB78" s="394"/>
      <c r="AC78" s="417">
        <v>0.5</v>
      </c>
      <c r="AD78" s="394"/>
      <c r="AE78" s="418">
        <f>-AC78*AE73</f>
        <v>-0.36</v>
      </c>
    </row>
    <row r="79" spans="1:31" ht="20.25">
      <c r="A79" s="260"/>
      <c r="B79" s="394"/>
      <c r="C79" s="394"/>
      <c r="D79" s="394"/>
      <c r="E79" s="419"/>
      <c r="F79" s="394"/>
      <c r="G79" s="418"/>
      <c r="I79" s="260"/>
      <c r="J79" s="248"/>
      <c r="K79" s="248"/>
      <c r="L79" s="248"/>
      <c r="M79" s="279"/>
      <c r="N79" s="248"/>
      <c r="O79" s="418"/>
      <c r="Q79" s="260"/>
      <c r="R79" s="394"/>
      <c r="S79" s="394"/>
      <c r="T79" s="394"/>
      <c r="U79" s="279"/>
      <c r="V79" s="394"/>
      <c r="W79" s="418"/>
      <c r="Y79" s="260"/>
      <c r="Z79" s="394"/>
      <c r="AA79" s="394"/>
      <c r="AB79" s="394"/>
      <c r="AC79" s="419"/>
      <c r="AD79" s="394"/>
      <c r="AE79" s="418"/>
    </row>
    <row r="80" spans="1:31" ht="18">
      <c r="A80" s="245"/>
      <c r="B80" s="394"/>
      <c r="C80" s="394"/>
      <c r="D80" s="394"/>
      <c r="E80" s="419"/>
      <c r="F80" s="394"/>
      <c r="G80" s="415"/>
      <c r="I80" s="245"/>
      <c r="J80" s="248"/>
      <c r="K80" s="248"/>
      <c r="L80" s="248"/>
      <c r="M80" s="279"/>
      <c r="N80" s="248"/>
      <c r="O80" s="415"/>
      <c r="Q80" s="245"/>
      <c r="R80" s="394"/>
      <c r="S80" s="394"/>
      <c r="T80" s="394"/>
      <c r="U80" s="279"/>
      <c r="V80" s="394"/>
      <c r="W80" s="415"/>
      <c r="Y80" s="245" t="s">
        <v>164</v>
      </c>
      <c r="Z80" s="394"/>
      <c r="AA80" s="394"/>
      <c r="AB80" s="394"/>
      <c r="AC80" s="419"/>
      <c r="AD80" s="394"/>
      <c r="AE80" s="415">
        <f>+AE74+AE78+AE76</f>
        <v>-1.1600000000000001</v>
      </c>
    </row>
    <row r="81" spans="1:31" ht="13.5" thickBot="1">
      <c r="A81" s="281"/>
      <c r="B81" s="282"/>
      <c r="C81" s="282"/>
      <c r="D81" s="282"/>
      <c r="E81" s="282"/>
      <c r="F81" s="282"/>
      <c r="G81" s="283"/>
      <c r="I81" s="281"/>
      <c r="J81" s="282"/>
      <c r="K81" s="282"/>
      <c r="L81" s="282"/>
      <c r="M81" s="282"/>
      <c r="N81" s="282"/>
      <c r="O81" s="283"/>
      <c r="Q81" s="281"/>
      <c r="R81" s="282"/>
      <c r="S81" s="282"/>
      <c r="T81" s="282"/>
      <c r="U81" s="282"/>
      <c r="V81" s="282"/>
      <c r="W81" s="283"/>
      <c r="Y81" s="281"/>
      <c r="Z81" s="282"/>
      <c r="AA81" s="282"/>
      <c r="AB81" s="282"/>
      <c r="AC81" s="282"/>
      <c r="AD81" s="282"/>
      <c r="AE81" s="283"/>
    </row>
    <row r="83" spans="1:31" ht="13.5" thickBot="1"/>
    <row r="84" spans="1:31" ht="23.25">
      <c r="A84" s="241" t="s">
        <v>138</v>
      </c>
      <c r="B84" s="242"/>
      <c r="C84" s="243"/>
      <c r="D84" s="243"/>
      <c r="E84" s="243"/>
      <c r="F84" s="243"/>
      <c r="G84" s="244"/>
      <c r="I84" s="241" t="s">
        <v>138</v>
      </c>
      <c r="J84" s="242"/>
      <c r="K84" s="243"/>
      <c r="L84" s="243"/>
      <c r="M84" s="243"/>
      <c r="N84" s="243"/>
      <c r="O84" s="244"/>
      <c r="Q84" s="241" t="s">
        <v>138</v>
      </c>
      <c r="R84" s="242"/>
      <c r="S84" s="243"/>
      <c r="T84" s="243"/>
      <c r="U84" s="243"/>
      <c r="V84" s="243"/>
      <c r="W84" s="244"/>
      <c r="Y84" s="241" t="s">
        <v>138</v>
      </c>
      <c r="Z84" s="242"/>
      <c r="AA84" s="243"/>
      <c r="AB84" s="243"/>
      <c r="AC84" s="243"/>
      <c r="AD84" s="243"/>
      <c r="AE84" s="244"/>
    </row>
    <row r="85" spans="1:31" ht="15.75">
      <c r="A85" s="245" t="s">
        <v>273</v>
      </c>
      <c r="B85" s="392"/>
      <c r="C85" s="393"/>
      <c r="D85" s="393"/>
      <c r="E85" s="394"/>
      <c r="F85" s="394"/>
      <c r="G85" s="249"/>
      <c r="I85" s="245" t="s">
        <v>121</v>
      </c>
      <c r="J85" s="246"/>
      <c r="K85" s="247"/>
      <c r="L85" s="247"/>
      <c r="M85" s="248"/>
      <c r="N85" s="248"/>
      <c r="O85" s="249"/>
      <c r="Q85" s="245" t="s">
        <v>121</v>
      </c>
      <c r="R85" s="392"/>
      <c r="S85" s="393"/>
      <c r="T85" s="393"/>
      <c r="U85" s="394"/>
      <c r="V85" s="394"/>
      <c r="W85" s="249"/>
      <c r="Y85" s="245" t="s">
        <v>121</v>
      </c>
      <c r="Z85" s="392"/>
      <c r="AA85" s="393"/>
      <c r="AB85" s="393"/>
      <c r="AC85" s="394"/>
      <c r="AD85" s="394"/>
      <c r="AE85" s="249"/>
    </row>
    <row r="86" spans="1:31" ht="15.75">
      <c r="A86" s="250"/>
      <c r="B86" s="422"/>
      <c r="C86" s="394"/>
      <c r="D86" s="394"/>
      <c r="E86" s="394"/>
      <c r="F86" s="394"/>
      <c r="G86" s="249"/>
      <c r="I86" s="250"/>
      <c r="J86" s="251"/>
      <c r="K86" s="248"/>
      <c r="L86" s="248"/>
      <c r="M86" s="248"/>
      <c r="N86" s="248"/>
      <c r="O86" s="249"/>
      <c r="Q86" s="250"/>
      <c r="R86" s="422"/>
      <c r="S86" s="394"/>
      <c r="T86" s="394"/>
      <c r="U86" s="394"/>
      <c r="V86" s="394"/>
      <c r="W86" s="249"/>
      <c r="Y86" s="250"/>
      <c r="Z86" s="422"/>
      <c r="AA86" s="394"/>
      <c r="AB86" s="394"/>
      <c r="AC86" s="394"/>
      <c r="AD86" s="394"/>
      <c r="AE86" s="249"/>
    </row>
    <row r="87" spans="1:31" ht="15">
      <c r="A87" s="550" t="s">
        <v>19</v>
      </c>
      <c r="B87" s="568"/>
      <c r="C87" s="568"/>
      <c r="D87" s="568"/>
      <c r="E87" s="568"/>
      <c r="F87" s="568"/>
      <c r="G87" s="552"/>
      <c r="I87" s="550" t="s">
        <v>19</v>
      </c>
      <c r="J87" s="551"/>
      <c r="K87" s="551"/>
      <c r="L87" s="551"/>
      <c r="M87" s="551"/>
      <c r="N87" s="551"/>
      <c r="O87" s="552"/>
      <c r="Q87" s="550" t="s">
        <v>19</v>
      </c>
      <c r="R87" s="568"/>
      <c r="S87" s="568"/>
      <c r="T87" s="568"/>
      <c r="U87" s="568"/>
      <c r="V87" s="568"/>
      <c r="W87" s="552"/>
      <c r="Y87" s="550" t="s">
        <v>19</v>
      </c>
      <c r="Z87" s="568"/>
      <c r="AA87" s="568"/>
      <c r="AB87" s="568"/>
      <c r="AC87" s="568"/>
      <c r="AD87" s="568"/>
      <c r="AE87" s="552"/>
    </row>
    <row r="88" spans="1:31" ht="15">
      <c r="A88" s="252"/>
      <c r="B88" s="394"/>
      <c r="C88" s="394"/>
      <c r="D88" s="394"/>
      <c r="E88" s="394"/>
      <c r="F88" s="394"/>
      <c r="G88" s="249"/>
      <c r="I88" s="252"/>
      <c r="J88" s="248"/>
      <c r="K88" s="248"/>
      <c r="L88" s="248"/>
      <c r="M88" s="248"/>
      <c r="N88" s="248"/>
      <c r="O88" s="249"/>
      <c r="Q88" s="252"/>
      <c r="R88" s="394"/>
      <c r="S88" s="394"/>
      <c r="T88" s="394"/>
      <c r="U88" s="394"/>
      <c r="V88" s="394"/>
      <c r="W88" s="249"/>
      <c r="Y88" s="252"/>
      <c r="Z88" s="394"/>
      <c r="AA88" s="394"/>
      <c r="AB88" s="394"/>
      <c r="AC88" s="394"/>
      <c r="AD88" s="394"/>
      <c r="AE88" s="249"/>
    </row>
    <row r="89" spans="1:31" ht="15.75">
      <c r="A89" s="252"/>
      <c r="B89" s="394"/>
      <c r="C89" s="397"/>
      <c r="D89" s="397"/>
      <c r="E89" s="397" t="s">
        <v>122</v>
      </c>
      <c r="F89" s="397" t="s">
        <v>80</v>
      </c>
      <c r="G89" s="249"/>
      <c r="I89" s="252"/>
      <c r="J89" s="248"/>
      <c r="K89" s="253"/>
      <c r="L89" s="253"/>
      <c r="M89" s="253" t="s">
        <v>122</v>
      </c>
      <c r="N89" s="253" t="s">
        <v>80</v>
      </c>
      <c r="O89" s="249"/>
      <c r="Q89" s="252"/>
      <c r="R89" s="394"/>
      <c r="S89" s="397"/>
      <c r="T89" s="397"/>
      <c r="U89" s="397" t="s">
        <v>122</v>
      </c>
      <c r="V89" s="397" t="s">
        <v>80</v>
      </c>
      <c r="W89" s="249"/>
      <c r="Y89" s="252"/>
      <c r="Z89" s="394"/>
      <c r="AA89" s="397"/>
      <c r="AB89" s="397"/>
      <c r="AC89" s="397" t="s">
        <v>122</v>
      </c>
      <c r="AD89" s="397" t="s">
        <v>80</v>
      </c>
      <c r="AE89" s="249"/>
    </row>
    <row r="90" spans="1:31" ht="15.75">
      <c r="A90" s="252"/>
      <c r="B90" s="394"/>
      <c r="C90" s="398" t="s">
        <v>96</v>
      </c>
      <c r="D90" s="398"/>
      <c r="E90" s="398" t="s">
        <v>123</v>
      </c>
      <c r="F90" s="398" t="s">
        <v>124</v>
      </c>
      <c r="G90" s="249"/>
      <c r="I90" s="252"/>
      <c r="J90" s="248"/>
      <c r="K90" s="254" t="s">
        <v>96</v>
      </c>
      <c r="L90" s="254"/>
      <c r="M90" s="254" t="s">
        <v>123</v>
      </c>
      <c r="N90" s="254" t="s">
        <v>124</v>
      </c>
      <c r="O90" s="249"/>
      <c r="Q90" s="252"/>
      <c r="R90" s="394"/>
      <c r="S90" s="398" t="s">
        <v>96</v>
      </c>
      <c r="T90" s="398"/>
      <c r="U90" s="398" t="s">
        <v>123</v>
      </c>
      <c r="V90" s="398" t="s">
        <v>124</v>
      </c>
      <c r="W90" s="249"/>
      <c r="Y90" s="252"/>
      <c r="Z90" s="394"/>
      <c r="AA90" s="398" t="s">
        <v>96</v>
      </c>
      <c r="AB90" s="398"/>
      <c r="AC90" s="398" t="s">
        <v>123</v>
      </c>
      <c r="AD90" s="398" t="s">
        <v>124</v>
      </c>
      <c r="AE90" s="249"/>
    </row>
    <row r="91" spans="1:31" ht="15.75">
      <c r="A91" s="255" t="str">
        <f>+A10</f>
        <v>Projected Revenue Oct. 2020 - Sep. 2021</v>
      </c>
      <c r="B91" s="392"/>
      <c r="C91" s="399"/>
      <c r="D91" s="399"/>
      <c r="E91" s="399"/>
      <c r="F91" s="399"/>
      <c r="G91" s="249"/>
      <c r="I91" s="255" t="str">
        <f>+I10</f>
        <v>Projected Revenue Oct. 2019 - Sep. 2020</v>
      </c>
      <c r="J91" s="246"/>
      <c r="K91" s="256"/>
      <c r="L91" s="256"/>
      <c r="M91" s="256"/>
      <c r="N91" s="256"/>
      <c r="O91" s="249"/>
      <c r="Q91" s="255" t="s">
        <v>139</v>
      </c>
      <c r="R91" s="392"/>
      <c r="S91" s="399"/>
      <c r="T91" s="399"/>
      <c r="U91" s="399"/>
      <c r="V91" s="399"/>
      <c r="W91" s="249"/>
      <c r="Y91" s="255" t="s">
        <v>125</v>
      </c>
      <c r="Z91" s="392"/>
      <c r="AA91" s="399"/>
      <c r="AB91" s="399"/>
      <c r="AC91" s="399"/>
      <c r="AD91" s="399"/>
      <c r="AE91" s="249"/>
    </row>
    <row r="92" spans="1:31" ht="15.75">
      <c r="A92" s="252" t="s">
        <v>126</v>
      </c>
      <c r="B92" s="394"/>
      <c r="C92" s="400">
        <f>SUM('Customer Counts - Enspire'!D$18:D$20)</f>
        <v>55107</v>
      </c>
      <c r="D92" s="400"/>
      <c r="E92" s="401">
        <f>+M93</f>
        <v>0.69</v>
      </c>
      <c r="F92" s="402">
        <f>C92*E92</f>
        <v>38023.829999999994</v>
      </c>
      <c r="G92" s="249"/>
      <c r="I92" s="252" t="s">
        <v>126</v>
      </c>
      <c r="J92" s="248"/>
      <c r="K92" s="257">
        <v>53609</v>
      </c>
      <c r="L92" s="257"/>
      <c r="M92" s="258">
        <f>+U93</f>
        <v>0.81</v>
      </c>
      <c r="N92" s="259">
        <f>K92*M92</f>
        <v>43423.29</v>
      </c>
      <c r="O92" s="249"/>
      <c r="Q92" s="252" t="s">
        <v>126</v>
      </c>
      <c r="R92" s="394"/>
      <c r="S92" s="400">
        <v>52930</v>
      </c>
      <c r="T92" s="400"/>
      <c r="U92" s="258">
        <f>+AC93</f>
        <v>2.33</v>
      </c>
      <c r="V92" s="259">
        <f>S92*U92</f>
        <v>123326.90000000001</v>
      </c>
      <c r="W92" s="249"/>
      <c r="Y92" s="252" t="s">
        <v>126</v>
      </c>
      <c r="Z92" s="394"/>
      <c r="AA92" s="400">
        <v>51847</v>
      </c>
      <c r="AB92" s="400"/>
      <c r="AC92" s="401">
        <v>1.67</v>
      </c>
      <c r="AD92" s="402">
        <f>AA92*AC92</f>
        <v>86584.489999999991</v>
      </c>
      <c r="AE92" s="249"/>
    </row>
    <row r="93" spans="1:31" ht="17.25">
      <c r="A93" s="260" t="s">
        <v>127</v>
      </c>
      <c r="B93" s="317"/>
      <c r="C93" s="403">
        <f>SUM('Customer Counts - Enspire'!D$21:D$29)</f>
        <v>166768</v>
      </c>
      <c r="D93" s="403"/>
      <c r="E93" s="401">
        <f>+O114</f>
        <v>0.3</v>
      </c>
      <c r="F93" s="404">
        <f>C93*E93</f>
        <v>50030.400000000001</v>
      </c>
      <c r="G93" s="249"/>
      <c r="I93" s="260" t="s">
        <v>127</v>
      </c>
      <c r="J93" s="261"/>
      <c r="K93" s="262">
        <v>163351</v>
      </c>
      <c r="L93" s="262"/>
      <c r="M93" s="258">
        <f>+W114</f>
        <v>0.69</v>
      </c>
      <c r="N93" s="263">
        <f>K93*M93</f>
        <v>112712.18999999999</v>
      </c>
      <c r="O93" s="249"/>
      <c r="Q93" s="260" t="s">
        <v>127</v>
      </c>
      <c r="R93" s="317"/>
      <c r="S93" s="403">
        <v>124468</v>
      </c>
      <c r="T93" s="403"/>
      <c r="U93" s="258">
        <f>+AE112</f>
        <v>0.81</v>
      </c>
      <c r="V93" s="263">
        <f>S93*U93</f>
        <v>100819.08</v>
      </c>
      <c r="W93" s="249"/>
      <c r="Y93" s="260" t="s">
        <v>127</v>
      </c>
      <c r="Z93" s="317"/>
      <c r="AA93" s="403">
        <v>157300</v>
      </c>
      <c r="AB93" s="403"/>
      <c r="AC93" s="401">
        <v>2.33</v>
      </c>
      <c r="AD93" s="404">
        <f>AA93*AC93</f>
        <v>366509</v>
      </c>
      <c r="AE93" s="249"/>
    </row>
    <row r="94" spans="1:31" ht="17.25">
      <c r="A94" s="252" t="s">
        <v>80</v>
      </c>
      <c r="B94" s="394"/>
      <c r="C94" s="400">
        <f>SUM(C92:C93)</f>
        <v>221875</v>
      </c>
      <c r="D94" s="403"/>
      <c r="E94" s="394"/>
      <c r="F94" s="402">
        <f>SUM(F92:F93)</f>
        <v>88054.23</v>
      </c>
      <c r="G94" s="249"/>
      <c r="I94" s="252" t="s">
        <v>80</v>
      </c>
      <c r="J94" s="248"/>
      <c r="K94" s="257">
        <f>SUM(K92:K93)</f>
        <v>216960</v>
      </c>
      <c r="L94" s="262"/>
      <c r="M94" s="248"/>
      <c r="N94" s="259">
        <f>SUM(N92:N93)</f>
        <v>156135.47999999998</v>
      </c>
      <c r="O94" s="249"/>
      <c r="Q94" s="252" t="s">
        <v>80</v>
      </c>
      <c r="R94" s="394"/>
      <c r="S94" s="400">
        <f>SUM(S92:S93)</f>
        <v>177398</v>
      </c>
      <c r="T94" s="403"/>
      <c r="U94" s="394"/>
      <c r="V94" s="259">
        <f>SUM(V92:V93)</f>
        <v>224145.98</v>
      </c>
      <c r="W94" s="249"/>
      <c r="Y94" s="252" t="s">
        <v>80</v>
      </c>
      <c r="Z94" s="394"/>
      <c r="AA94" s="400">
        <f>SUM(AA92:AA93)</f>
        <v>209147</v>
      </c>
      <c r="AB94" s="403"/>
      <c r="AC94" s="394"/>
      <c r="AD94" s="402">
        <f>SUM(AD92:AD93)</f>
        <v>453093.49</v>
      </c>
      <c r="AE94" s="249"/>
    </row>
    <row r="95" spans="1:31" ht="15">
      <c r="A95" s="252"/>
      <c r="B95" s="394"/>
      <c r="C95" s="394"/>
      <c r="D95" s="394"/>
      <c r="E95" s="394"/>
      <c r="F95" s="394"/>
      <c r="G95" s="249"/>
      <c r="I95" s="252"/>
      <c r="J95" s="248"/>
      <c r="K95" s="248"/>
      <c r="L95" s="248"/>
      <c r="M95" s="248"/>
      <c r="N95" s="248"/>
      <c r="O95" s="249"/>
      <c r="Q95" s="252"/>
      <c r="R95" s="394"/>
      <c r="S95" s="394"/>
      <c r="T95" s="394"/>
      <c r="U95" s="394"/>
      <c r="V95" s="394"/>
      <c r="W95" s="249"/>
      <c r="Y95" s="252"/>
      <c r="Z95" s="394"/>
      <c r="AA95" s="394"/>
      <c r="AB95" s="394"/>
      <c r="AC95" s="394"/>
      <c r="AD95" s="394"/>
      <c r="AE95" s="249"/>
    </row>
    <row r="96" spans="1:31" ht="15.75">
      <c r="A96" s="245" t="str">
        <f>+A16</f>
        <v xml:space="preserve">Actual Commodity Revenue (Oct. 2020 - Sept. 2021) </v>
      </c>
      <c r="B96" s="394"/>
      <c r="C96" s="394"/>
      <c r="D96" s="394"/>
      <c r="E96" s="394"/>
      <c r="F96" s="402">
        <f>SUM('2020-2021 Recy. Tons &amp; Revenue'!L86:L97)</f>
        <v>377956.43417141476</v>
      </c>
      <c r="G96" s="249"/>
      <c r="I96" s="245" t="str">
        <f>+I16</f>
        <v xml:space="preserve">Actual Commodity Revenue (Oct. 2019 - Sept. 2020) </v>
      </c>
      <c r="J96" s="248"/>
      <c r="K96" s="248"/>
      <c r="L96" s="248"/>
      <c r="M96" s="248"/>
      <c r="N96" s="259">
        <v>65025.746670985172</v>
      </c>
      <c r="O96" s="249"/>
      <c r="Q96" s="245" t="s">
        <v>141</v>
      </c>
      <c r="R96" s="394"/>
      <c r="S96" s="394"/>
      <c r="T96" s="394"/>
      <c r="U96" s="394"/>
      <c r="V96" s="259">
        <v>145945.7483506508</v>
      </c>
      <c r="W96" s="249"/>
      <c r="Y96" s="252"/>
      <c r="Z96" s="394"/>
      <c r="AA96" s="394"/>
      <c r="AB96" s="394"/>
      <c r="AC96" s="394"/>
      <c r="AD96" s="394"/>
      <c r="AE96" s="249"/>
    </row>
    <row r="97" spans="1:33" ht="15.75">
      <c r="A97" s="245" t="str">
        <f t="shared" ref="A97:A98" si="2">+A17</f>
        <v>Less: 50% retained by company</v>
      </c>
      <c r="B97" s="394"/>
      <c r="C97" s="394"/>
      <c r="D97" s="394"/>
      <c r="E97" s="394"/>
      <c r="F97" s="312">
        <f>-F96*50%</f>
        <v>-188978.21708570738</v>
      </c>
      <c r="G97" s="249"/>
      <c r="I97" s="245" t="str">
        <f t="shared" ref="I97:I98" si="3">+I17</f>
        <v>Less: 50% retained by company</v>
      </c>
      <c r="J97" s="248"/>
      <c r="K97" s="248"/>
      <c r="L97" s="248"/>
      <c r="M97" s="248"/>
      <c r="N97" s="312">
        <f>-N96*50%</f>
        <v>-32512.873335492586</v>
      </c>
      <c r="O97" s="249"/>
      <c r="Q97" s="245" t="s">
        <v>168</v>
      </c>
      <c r="R97" s="394"/>
      <c r="S97" s="394"/>
      <c r="T97" s="394"/>
      <c r="U97" s="394"/>
      <c r="V97" s="312">
        <f>-V96*50%</f>
        <v>-72972.8741753254</v>
      </c>
      <c r="W97" s="249"/>
      <c r="Y97" s="252"/>
      <c r="Z97" s="394"/>
      <c r="AA97" s="394"/>
      <c r="AB97" s="394"/>
      <c r="AC97" s="394"/>
      <c r="AD97" s="394"/>
      <c r="AE97" s="249"/>
    </row>
    <row r="98" spans="1:33" ht="15.75">
      <c r="A98" s="245" t="str">
        <f t="shared" si="2"/>
        <v>Net Commodity Revenue</v>
      </c>
      <c r="B98" s="317"/>
      <c r="C98" s="317"/>
      <c r="D98" s="317"/>
      <c r="E98" s="317"/>
      <c r="F98" s="313">
        <f>SUM(F96:F97)</f>
        <v>188978.21708570738</v>
      </c>
      <c r="G98" s="249"/>
      <c r="I98" s="245" t="str">
        <f t="shared" si="3"/>
        <v>Net Commodity Revenue</v>
      </c>
      <c r="J98" s="261"/>
      <c r="K98" s="261"/>
      <c r="L98" s="261"/>
      <c r="M98" s="261"/>
      <c r="N98" s="492">
        <f>SUM(N96:N97)</f>
        <v>32512.873335492586</v>
      </c>
      <c r="O98" s="249"/>
      <c r="Q98" s="316" t="s">
        <v>171</v>
      </c>
      <c r="R98" s="317"/>
      <c r="S98" s="317"/>
      <c r="T98" s="317"/>
      <c r="U98" s="317"/>
      <c r="V98" s="313">
        <f>SUM(V96:V97)</f>
        <v>72972.8741753254</v>
      </c>
      <c r="W98" s="249"/>
      <c r="Y98" s="252"/>
      <c r="Z98" s="394"/>
      <c r="AA98" s="394"/>
      <c r="AB98" s="394"/>
      <c r="AC98" s="394"/>
      <c r="AD98" s="394"/>
      <c r="AE98" s="249"/>
    </row>
    <row r="99" spans="1:33" ht="15">
      <c r="A99" s="317"/>
      <c r="B99" s="317"/>
      <c r="C99" s="317"/>
      <c r="D99" s="317"/>
      <c r="E99" s="317"/>
      <c r="F99" s="317"/>
      <c r="G99" s="249"/>
      <c r="I99" s="260"/>
      <c r="J99" s="261"/>
      <c r="K99" s="261"/>
      <c r="L99" s="261"/>
      <c r="M99" s="261"/>
      <c r="N99" s="261"/>
      <c r="O99" s="249"/>
      <c r="Q99" s="260"/>
      <c r="R99" s="317"/>
      <c r="S99" s="317"/>
      <c r="T99" s="317"/>
      <c r="U99" s="317"/>
      <c r="V99" s="317"/>
      <c r="W99" s="249"/>
      <c r="Y99" s="252"/>
      <c r="Z99" s="394"/>
      <c r="AA99" s="394"/>
      <c r="AB99" s="394"/>
      <c r="AC99" s="394"/>
      <c r="AD99" s="394"/>
      <c r="AE99" s="249"/>
    </row>
    <row r="100" spans="1:33" ht="15">
      <c r="A100" s="252"/>
      <c r="B100" s="394"/>
      <c r="C100" s="394"/>
      <c r="D100" s="394"/>
      <c r="E100" s="394"/>
      <c r="F100" s="405"/>
      <c r="G100" s="249"/>
      <c r="I100" s="252"/>
      <c r="J100" s="248"/>
      <c r="K100" s="248"/>
      <c r="L100" s="248"/>
      <c r="M100" s="248"/>
      <c r="N100" s="287"/>
      <c r="O100" s="249"/>
      <c r="Q100" s="252" t="s">
        <v>129</v>
      </c>
      <c r="R100" s="394"/>
      <c r="S100" s="394"/>
      <c r="T100" s="394"/>
      <c r="U100" s="394"/>
      <c r="V100" s="287">
        <f>V98-V94</f>
        <v>-151173.1058246746</v>
      </c>
      <c r="W100" s="249"/>
      <c r="Y100" s="252"/>
      <c r="Z100" s="394"/>
      <c r="AA100" s="394"/>
      <c r="AB100" s="394"/>
      <c r="AC100" s="394"/>
      <c r="AD100" s="394"/>
      <c r="AE100" s="249"/>
    </row>
    <row r="101" spans="1:33" ht="15.75">
      <c r="A101" s="245"/>
      <c r="B101" s="394"/>
      <c r="C101" s="407"/>
      <c r="D101" s="394"/>
      <c r="E101" s="408"/>
      <c r="F101" s="402"/>
      <c r="G101" s="249"/>
      <c r="I101" s="245"/>
      <c r="J101" s="248"/>
      <c r="K101" s="284"/>
      <c r="L101" s="248"/>
      <c r="M101" s="285"/>
      <c r="N101" s="259"/>
      <c r="O101" s="249"/>
      <c r="Q101" s="245" t="s">
        <v>169</v>
      </c>
      <c r="R101" s="394"/>
      <c r="S101" s="284">
        <v>35317</v>
      </c>
      <c r="T101" s="394"/>
      <c r="U101" s="408">
        <f>AE119</f>
        <v>-0.77500000000000002</v>
      </c>
      <c r="V101" s="259">
        <f>U101*S101</f>
        <v>-27370.674999999999</v>
      </c>
      <c r="W101" s="249"/>
      <c r="Y101" s="245" t="s">
        <v>128</v>
      </c>
      <c r="Z101" s="394"/>
      <c r="AA101" s="394"/>
      <c r="AB101" s="394"/>
      <c r="AC101" s="394"/>
      <c r="AD101" s="402">
        <v>223798</v>
      </c>
      <c r="AE101" s="249"/>
      <c r="AG101" s="288"/>
    </row>
    <row r="102" spans="1:33" ht="15.75">
      <c r="A102" s="245"/>
      <c r="B102" s="394"/>
      <c r="C102" s="394"/>
      <c r="D102" s="394"/>
      <c r="E102" s="394"/>
      <c r="F102" s="287"/>
      <c r="G102" s="249"/>
      <c r="I102" s="245"/>
      <c r="J102" s="248"/>
      <c r="K102" s="248"/>
      <c r="L102" s="248"/>
      <c r="M102" s="248"/>
      <c r="N102" s="287"/>
      <c r="O102" s="249"/>
      <c r="Q102" s="245" t="s">
        <v>166</v>
      </c>
      <c r="R102" s="394"/>
      <c r="S102" s="394"/>
      <c r="T102" s="394"/>
      <c r="U102" s="394"/>
      <c r="V102" s="314">
        <v>4826.2600380142394</v>
      </c>
      <c r="W102" s="249"/>
      <c r="Y102" s="252"/>
      <c r="Z102" s="394"/>
      <c r="AA102" s="394"/>
      <c r="AB102" s="394"/>
      <c r="AC102" s="394"/>
      <c r="AD102" s="402"/>
      <c r="AE102" s="249"/>
    </row>
    <row r="103" spans="1:33" ht="15">
      <c r="A103" s="317" t="s">
        <v>172</v>
      </c>
      <c r="B103" s="317"/>
      <c r="C103" s="317"/>
      <c r="D103" s="317"/>
      <c r="E103" s="317"/>
      <c r="F103" s="313">
        <f>+F98-F94</f>
        <v>100923.98708570738</v>
      </c>
      <c r="G103" s="249"/>
      <c r="I103" s="260" t="s">
        <v>172</v>
      </c>
      <c r="J103" s="261"/>
      <c r="K103" s="261"/>
      <c r="L103" s="261"/>
      <c r="M103" s="261"/>
      <c r="N103" s="492">
        <f>+N98-N94</f>
        <v>-123622.60666450739</v>
      </c>
      <c r="O103" s="249"/>
      <c r="Q103" s="260" t="s">
        <v>172</v>
      </c>
      <c r="R103" s="317"/>
      <c r="S103" s="317"/>
      <c r="T103" s="317"/>
      <c r="U103" s="317"/>
      <c r="V103" s="313">
        <f>SUM(V100:V102)</f>
        <v>-173717.52078666035</v>
      </c>
      <c r="W103" s="249"/>
      <c r="Y103" s="252" t="s">
        <v>129</v>
      </c>
      <c r="Z103" s="394"/>
      <c r="AA103" s="394"/>
      <c r="AB103" s="394"/>
      <c r="AC103" s="394"/>
      <c r="AD103" s="400">
        <f>AD101-AD94</f>
        <v>-229295.49</v>
      </c>
      <c r="AE103" s="249"/>
    </row>
    <row r="104" spans="1:33" ht="17.25">
      <c r="A104" s="317"/>
      <c r="B104" s="317"/>
      <c r="C104" s="317"/>
      <c r="D104" s="317"/>
      <c r="E104" s="317"/>
      <c r="F104" s="317"/>
      <c r="G104" s="249"/>
      <c r="I104" s="260"/>
      <c r="J104" s="261"/>
      <c r="K104" s="261"/>
      <c r="L104" s="261"/>
      <c r="M104" s="261"/>
      <c r="N104" s="261"/>
      <c r="O104" s="249"/>
      <c r="Q104" s="260"/>
      <c r="R104" s="317"/>
      <c r="S104" s="317"/>
      <c r="T104" s="317"/>
      <c r="U104" s="317"/>
      <c r="V104" s="317"/>
      <c r="W104" s="249"/>
      <c r="Y104" s="252"/>
      <c r="Z104" s="394"/>
      <c r="AA104" s="410"/>
      <c r="AB104" s="394"/>
      <c r="AC104" s="394"/>
      <c r="AD104" s="409"/>
      <c r="AE104" s="249"/>
    </row>
    <row r="105" spans="1:33" ht="15">
      <c r="A105" s="252" t="s">
        <v>130</v>
      </c>
      <c r="B105" s="394"/>
      <c r="C105" s="394"/>
      <c r="D105" s="394"/>
      <c r="E105" s="394"/>
      <c r="F105" s="400">
        <f>+C94</f>
        <v>221875</v>
      </c>
      <c r="G105" s="249"/>
      <c r="I105" s="252" t="s">
        <v>130</v>
      </c>
      <c r="J105" s="248"/>
      <c r="K105" s="248"/>
      <c r="L105" s="248"/>
      <c r="M105" s="248"/>
      <c r="N105" s="257">
        <f>+K94</f>
        <v>216960</v>
      </c>
      <c r="O105" s="249"/>
      <c r="Q105" s="252" t="s">
        <v>130</v>
      </c>
      <c r="R105" s="394"/>
      <c r="S105" s="394"/>
      <c r="T105" s="394"/>
      <c r="U105" s="394"/>
      <c r="V105" s="400">
        <v>212715</v>
      </c>
      <c r="W105" s="249"/>
      <c r="Y105" s="252" t="s">
        <v>130</v>
      </c>
      <c r="Z105" s="394"/>
      <c r="AA105" s="394"/>
      <c r="AB105" s="394"/>
      <c r="AC105" s="394"/>
      <c r="AD105" s="400">
        <f>+AA94</f>
        <v>209147</v>
      </c>
      <c r="AE105" s="249"/>
    </row>
    <row r="106" spans="1:33" ht="15">
      <c r="A106" s="252"/>
      <c r="B106" s="394"/>
      <c r="C106" s="394"/>
      <c r="D106" s="394"/>
      <c r="E106" s="394"/>
      <c r="F106" s="394"/>
      <c r="G106" s="249"/>
      <c r="I106" s="252"/>
      <c r="J106" s="248"/>
      <c r="K106" s="248"/>
      <c r="L106" s="248"/>
      <c r="M106" s="248"/>
      <c r="N106" s="248"/>
      <c r="O106" s="249"/>
      <c r="Q106" s="252"/>
      <c r="R106" s="394"/>
      <c r="S106" s="394"/>
      <c r="T106" s="394"/>
      <c r="U106" s="394"/>
      <c r="V106" s="394"/>
      <c r="W106" s="249"/>
      <c r="Y106" s="252"/>
      <c r="Z106" s="394"/>
      <c r="AA106" s="394"/>
      <c r="AB106" s="394"/>
      <c r="AC106" s="394"/>
      <c r="AD106" s="394"/>
      <c r="AE106" s="249"/>
    </row>
    <row r="107" spans="1:33" ht="15">
      <c r="A107" s="252" t="s">
        <v>131</v>
      </c>
      <c r="B107" s="394"/>
      <c r="C107" s="394"/>
      <c r="D107" s="394"/>
      <c r="E107" s="394"/>
      <c r="F107" s="411"/>
      <c r="G107" s="267">
        <f>F103/F105</f>
        <v>0.45486867418910371</v>
      </c>
      <c r="I107" s="252" t="s">
        <v>131</v>
      </c>
      <c r="J107" s="248"/>
      <c r="K107" s="248"/>
      <c r="L107" s="248"/>
      <c r="M107" s="248"/>
      <c r="N107" s="266"/>
      <c r="O107" s="267">
        <f>N103/N105</f>
        <v>-0.56979446287107016</v>
      </c>
      <c r="Q107" s="252" t="s">
        <v>131</v>
      </c>
      <c r="R107" s="394"/>
      <c r="S107" s="394"/>
      <c r="T107" s="394"/>
      <c r="U107" s="394"/>
      <c r="V107" s="266"/>
      <c r="W107" s="267">
        <f>V103/V105</f>
        <v>-0.81666793966885431</v>
      </c>
      <c r="Y107" s="252" t="s">
        <v>131</v>
      </c>
      <c r="Z107" s="394"/>
      <c r="AA107" s="394"/>
      <c r="AB107" s="394"/>
      <c r="AC107" s="394"/>
      <c r="AD107" s="411"/>
      <c r="AE107" s="267">
        <f>ROUND(AD103/AD105,2)</f>
        <v>-1.1000000000000001</v>
      </c>
    </row>
    <row r="108" spans="1:33" ht="15">
      <c r="A108" s="252"/>
      <c r="B108" s="394"/>
      <c r="C108" s="394"/>
      <c r="D108" s="394"/>
      <c r="E108" s="394"/>
      <c r="F108" s="394"/>
      <c r="G108" s="267"/>
      <c r="I108" s="252"/>
      <c r="J108" s="248"/>
      <c r="K108" s="248"/>
      <c r="L108" s="248"/>
      <c r="M108" s="248"/>
      <c r="N108" s="248"/>
      <c r="O108" s="267"/>
      <c r="Q108" s="252"/>
      <c r="R108" s="394"/>
      <c r="S108" s="394"/>
      <c r="T108" s="394"/>
      <c r="U108" s="394"/>
      <c r="V108" s="394"/>
      <c r="W108" s="267"/>
      <c r="Y108" s="252"/>
      <c r="Z108" s="394"/>
      <c r="AA108" s="394"/>
      <c r="AB108" s="394"/>
      <c r="AC108" s="394"/>
      <c r="AD108" s="394"/>
      <c r="AE108" s="267"/>
    </row>
    <row r="109" spans="1:33" ht="15">
      <c r="A109" s="252"/>
      <c r="B109" s="394"/>
      <c r="C109" s="394"/>
      <c r="D109" s="394"/>
      <c r="E109" s="394"/>
      <c r="F109" s="394"/>
      <c r="G109" s="267"/>
      <c r="I109" s="252"/>
      <c r="J109" s="248"/>
      <c r="K109" s="248"/>
      <c r="L109" s="248"/>
      <c r="M109" s="248"/>
      <c r="N109" s="248"/>
      <c r="O109" s="267"/>
      <c r="Q109" s="252"/>
      <c r="R109" s="394"/>
      <c r="S109" s="394"/>
      <c r="T109" s="394"/>
      <c r="U109" s="394"/>
      <c r="V109" s="394"/>
      <c r="W109" s="267"/>
      <c r="Y109" s="252"/>
      <c r="Z109" s="394"/>
      <c r="AA109" s="394"/>
      <c r="AB109" s="394"/>
      <c r="AC109" s="394"/>
      <c r="AD109" s="394"/>
      <c r="AE109" s="267"/>
    </row>
    <row r="110" spans="1:33" ht="15.75">
      <c r="A110" s="268" t="str">
        <f>+A71</f>
        <v>Projected Revenue Oct. 2021 - Sep. 2022 (based on most recent 12 months)</v>
      </c>
      <c r="B110" s="392"/>
      <c r="C110" s="394"/>
      <c r="D110" s="394"/>
      <c r="E110" s="394"/>
      <c r="F110" s="412">
        <f>F96</f>
        <v>377956.43417141476</v>
      </c>
      <c r="G110" s="267"/>
      <c r="I110" s="268" t="str">
        <f>+I71</f>
        <v>Projected Revenue Oct. 2020 - Sep. 2021 (based on most recent 12 months)</v>
      </c>
      <c r="J110" s="246"/>
      <c r="K110" s="248"/>
      <c r="L110" s="248"/>
      <c r="M110" s="248"/>
      <c r="N110" s="269">
        <f>N96</f>
        <v>65025.746670985172</v>
      </c>
      <c r="O110" s="267"/>
      <c r="Q110" s="268" t="s">
        <v>142</v>
      </c>
      <c r="R110" s="392"/>
      <c r="S110" s="394"/>
      <c r="T110" s="394"/>
      <c r="U110" s="394"/>
      <c r="V110" s="269">
        <f>V96</f>
        <v>145945.7483506508</v>
      </c>
      <c r="W110" s="267"/>
      <c r="Y110" s="268" t="s">
        <v>132</v>
      </c>
      <c r="Z110" s="392"/>
      <c r="AA110" s="394"/>
      <c r="AB110" s="394"/>
      <c r="AC110" s="394"/>
      <c r="AD110" s="412">
        <v>85285</v>
      </c>
      <c r="AE110" s="267"/>
    </row>
    <row r="111" spans="1:33" ht="17.25">
      <c r="A111" s="245" t="s">
        <v>168</v>
      </c>
      <c r="B111" s="317"/>
      <c r="C111" s="317"/>
      <c r="D111" s="317"/>
      <c r="E111" s="317"/>
      <c r="F111" s="315">
        <f>F110*50%</f>
        <v>188978.21708570738</v>
      </c>
      <c r="G111" s="267"/>
      <c r="I111" s="245" t="s">
        <v>168</v>
      </c>
      <c r="J111" s="261"/>
      <c r="K111" s="261"/>
      <c r="L111" s="261"/>
      <c r="M111" s="261"/>
      <c r="N111" s="315">
        <f>N110*50%</f>
        <v>32512.873335492586</v>
      </c>
      <c r="O111" s="267"/>
      <c r="Q111" s="245" t="s">
        <v>168</v>
      </c>
      <c r="R111" s="317"/>
      <c r="S111" s="317"/>
      <c r="T111" s="317"/>
      <c r="U111" s="317"/>
      <c r="V111" s="315">
        <f>V110*50%</f>
        <v>72972.8741753254</v>
      </c>
      <c r="W111" s="267"/>
      <c r="Y111" s="252" t="s">
        <v>130</v>
      </c>
      <c r="Z111" s="394"/>
      <c r="AA111" s="394"/>
      <c r="AB111" s="394"/>
      <c r="AC111" s="394"/>
      <c r="AD111" s="413">
        <v>105335</v>
      </c>
      <c r="AE111" s="267"/>
    </row>
    <row r="112" spans="1:33" ht="17.25">
      <c r="A112" s="317" t="s">
        <v>170</v>
      </c>
      <c r="B112" s="317"/>
      <c r="C112" s="317"/>
      <c r="D112" s="317"/>
      <c r="E112" s="317"/>
      <c r="F112" s="313">
        <f>F110-F111</f>
        <v>188978.21708570738</v>
      </c>
      <c r="G112" s="267"/>
      <c r="I112" s="260" t="s">
        <v>170</v>
      </c>
      <c r="J112" s="261"/>
      <c r="K112" s="261"/>
      <c r="L112" s="261"/>
      <c r="M112" s="261"/>
      <c r="N112" s="492">
        <f>N110-N111</f>
        <v>32512.873335492586</v>
      </c>
      <c r="O112" s="267"/>
      <c r="Q112" s="260" t="s">
        <v>170</v>
      </c>
      <c r="R112" s="317"/>
      <c r="S112" s="317"/>
      <c r="T112" s="317"/>
      <c r="U112" s="317"/>
      <c r="V112" s="313">
        <f>V110-V111</f>
        <v>72972.8741753254</v>
      </c>
      <c r="W112" s="267"/>
      <c r="Y112" s="252" t="s">
        <v>133</v>
      </c>
      <c r="Z112" s="394"/>
      <c r="AA112" s="394"/>
      <c r="AB112" s="394"/>
      <c r="AC112" s="394"/>
      <c r="AD112" s="394"/>
      <c r="AE112" s="414">
        <f>ROUND(+AD110/AD111,2)</f>
        <v>0.81</v>
      </c>
    </row>
    <row r="113" spans="1:31" ht="17.25">
      <c r="A113" s="252" t="s">
        <v>130</v>
      </c>
      <c r="B113" s="394"/>
      <c r="C113" s="394"/>
      <c r="D113" s="394"/>
      <c r="E113" s="394"/>
      <c r="F113" s="413">
        <f>+F105</f>
        <v>221875</v>
      </c>
      <c r="G113" s="267"/>
      <c r="I113" s="252" t="s">
        <v>130</v>
      </c>
      <c r="J113" s="248"/>
      <c r="K113" s="248"/>
      <c r="L113" s="248"/>
      <c r="M113" s="248"/>
      <c r="N113" s="270">
        <f>+N105</f>
        <v>216960</v>
      </c>
      <c r="O113" s="267"/>
      <c r="Q113" s="252" t="s">
        <v>130</v>
      </c>
      <c r="R113" s="394"/>
      <c r="S113" s="394"/>
      <c r="T113" s="394"/>
      <c r="U113" s="394"/>
      <c r="V113" s="413">
        <f>+V105</f>
        <v>212715</v>
      </c>
      <c r="W113" s="267"/>
      <c r="Y113" s="245" t="s">
        <v>134</v>
      </c>
      <c r="Z113" s="392"/>
      <c r="AA113" s="394"/>
      <c r="AB113" s="394"/>
      <c r="AC113" s="394"/>
      <c r="AD113" s="394"/>
      <c r="AE113" s="275">
        <f>SUM(AE107:AE112)</f>
        <v>-0.29000000000000004</v>
      </c>
    </row>
    <row r="114" spans="1:31" ht="17.25">
      <c r="A114" s="252" t="s">
        <v>133</v>
      </c>
      <c r="B114" s="394"/>
      <c r="C114" s="394"/>
      <c r="D114" s="394"/>
      <c r="E114" s="394"/>
      <c r="F114" s="394"/>
      <c r="G114" s="414">
        <f>ROUND(+F110/F113,2)</f>
        <v>1.7</v>
      </c>
      <c r="I114" s="252" t="s">
        <v>133</v>
      </c>
      <c r="J114" s="248"/>
      <c r="K114" s="248"/>
      <c r="L114" s="248"/>
      <c r="M114" s="248"/>
      <c r="N114" s="248"/>
      <c r="O114" s="414">
        <f>ROUND(+N110/N113,2)</f>
        <v>0.3</v>
      </c>
      <c r="Q114" s="252" t="s">
        <v>133</v>
      </c>
      <c r="R114" s="394"/>
      <c r="S114" s="394"/>
      <c r="T114" s="394"/>
      <c r="U114" s="394"/>
      <c r="V114" s="394"/>
      <c r="W114" s="414">
        <f>ROUND(+V110/V113,2)</f>
        <v>0.69</v>
      </c>
      <c r="Y114" s="245"/>
      <c r="Z114" s="392"/>
      <c r="AA114" s="394"/>
      <c r="AB114" s="394"/>
      <c r="AC114" s="394"/>
      <c r="AD114" s="394"/>
      <c r="AE114" s="275"/>
    </row>
    <row r="115" spans="1:31" ht="18">
      <c r="A115" s="245" t="str">
        <f>+A76</f>
        <v>Residential Commodity Rebate (charge)</v>
      </c>
      <c r="B115" s="392"/>
      <c r="C115" s="394"/>
      <c r="D115" s="394"/>
      <c r="E115" s="394"/>
      <c r="F115" s="394"/>
      <c r="G115" s="415">
        <f>SUM(G107:G114)</f>
        <v>2.1548686741891037</v>
      </c>
      <c r="I115" s="245" t="str">
        <f>+I76</f>
        <v>Residential Commodity Rebate (charge)</v>
      </c>
      <c r="J115" s="246"/>
      <c r="K115" s="248"/>
      <c r="L115" s="248"/>
      <c r="M115" s="248"/>
      <c r="N115" s="248"/>
      <c r="O115" s="415">
        <f>SUM(O107:O114)</f>
        <v>-0.26979446287107017</v>
      </c>
      <c r="Q115" s="245" t="s">
        <v>134</v>
      </c>
      <c r="R115" s="392"/>
      <c r="S115" s="394"/>
      <c r="T115" s="394"/>
      <c r="U115" s="394"/>
      <c r="V115" s="394"/>
      <c r="W115" s="415">
        <f>SUM(W107:W114)</f>
        <v>-0.12666793966885437</v>
      </c>
      <c r="Y115" s="260" t="s">
        <v>135</v>
      </c>
      <c r="Z115" s="392"/>
      <c r="AA115" s="394"/>
      <c r="AB115" s="394"/>
      <c r="AC115" s="416">
        <f>+AA94/12*0.5</f>
        <v>8714.4583333333339</v>
      </c>
      <c r="AD115" s="394"/>
      <c r="AE115" s="275">
        <f>ROUND(-AC115/AA94*2,2)</f>
        <v>-0.08</v>
      </c>
    </row>
    <row r="116" spans="1:31" ht="15.75">
      <c r="A116" s="245"/>
      <c r="B116" s="392"/>
      <c r="C116" s="394"/>
      <c r="D116" s="394"/>
      <c r="E116" s="394"/>
      <c r="F116" s="394"/>
      <c r="G116" s="275"/>
      <c r="I116" s="245"/>
      <c r="J116" s="246"/>
      <c r="K116" s="248"/>
      <c r="L116" s="248"/>
      <c r="M116" s="248"/>
      <c r="N116" s="248"/>
      <c r="O116" s="275"/>
      <c r="Q116" s="245"/>
      <c r="R116" s="392"/>
      <c r="S116" s="394"/>
      <c r="T116" s="394"/>
      <c r="U116" s="394"/>
      <c r="V116" s="394"/>
      <c r="W116" s="275"/>
      <c r="Y116" s="245"/>
      <c r="Z116" s="392"/>
      <c r="AA116" s="394"/>
      <c r="AB116" s="394"/>
      <c r="AC116" s="394"/>
      <c r="AD116" s="394"/>
      <c r="AE116" s="275"/>
    </row>
    <row r="117" spans="1:31" ht="20.25">
      <c r="A117" s="260"/>
      <c r="B117" s="394"/>
      <c r="C117" s="394"/>
      <c r="D117" s="394"/>
      <c r="E117" s="417"/>
      <c r="F117" s="394"/>
      <c r="G117" s="418"/>
      <c r="I117" s="260"/>
      <c r="J117" s="248"/>
      <c r="K117" s="248"/>
      <c r="L117" s="248"/>
      <c r="M117" s="276"/>
      <c r="N117" s="248"/>
      <c r="O117" s="418"/>
      <c r="Q117" s="260"/>
      <c r="R117" s="394"/>
      <c r="S117" s="394"/>
      <c r="T117" s="394"/>
      <c r="U117" s="276"/>
      <c r="V117" s="394"/>
      <c r="W117" s="418"/>
      <c r="Y117" s="260" t="s">
        <v>136</v>
      </c>
      <c r="Z117" s="394"/>
      <c r="AA117" s="394"/>
      <c r="AB117" s="394"/>
      <c r="AC117" s="417">
        <v>0.5</v>
      </c>
      <c r="AD117" s="394"/>
      <c r="AE117" s="418">
        <f>-AC117*AE112</f>
        <v>-0.40500000000000003</v>
      </c>
    </row>
    <row r="118" spans="1:31" ht="20.25">
      <c r="A118" s="260"/>
      <c r="B118" s="394"/>
      <c r="C118" s="394"/>
      <c r="D118" s="394"/>
      <c r="E118" s="419"/>
      <c r="F118" s="394"/>
      <c r="G118" s="418"/>
      <c r="I118" s="260"/>
      <c r="J118" s="248"/>
      <c r="K118" s="248"/>
      <c r="L118" s="248"/>
      <c r="M118" s="279"/>
      <c r="N118" s="248"/>
      <c r="O118" s="418"/>
      <c r="Q118" s="260"/>
      <c r="R118" s="394"/>
      <c r="S118" s="394"/>
      <c r="T118" s="394"/>
      <c r="U118" s="279"/>
      <c r="V118" s="394"/>
      <c r="W118" s="418"/>
      <c r="Y118" s="260"/>
      <c r="Z118" s="394"/>
      <c r="AA118" s="394"/>
      <c r="AB118" s="394"/>
      <c r="AC118" s="419"/>
      <c r="AD118" s="394"/>
      <c r="AE118" s="418"/>
    </row>
    <row r="119" spans="1:31" ht="18">
      <c r="A119" s="245"/>
      <c r="B119" s="394"/>
      <c r="C119" s="394"/>
      <c r="D119" s="394"/>
      <c r="E119" s="419"/>
      <c r="F119" s="394"/>
      <c r="G119" s="415"/>
      <c r="I119" s="245"/>
      <c r="J119" s="248"/>
      <c r="K119" s="248"/>
      <c r="L119" s="248"/>
      <c r="M119" s="279"/>
      <c r="N119" s="248"/>
      <c r="O119" s="415"/>
      <c r="Q119" s="245"/>
      <c r="R119" s="394"/>
      <c r="S119" s="394"/>
      <c r="T119" s="394"/>
      <c r="U119" s="279"/>
      <c r="V119" s="394"/>
      <c r="W119" s="415"/>
      <c r="Y119" s="245" t="s">
        <v>164</v>
      </c>
      <c r="Z119" s="394"/>
      <c r="AA119" s="394"/>
      <c r="AB119" s="394"/>
      <c r="AC119" s="419"/>
      <c r="AD119" s="394"/>
      <c r="AE119" s="415">
        <f>+AE113+AE117+AE115</f>
        <v>-0.77500000000000002</v>
      </c>
    </row>
    <row r="120" spans="1:31" ht="13.5" thickBot="1">
      <c r="A120" s="281"/>
      <c r="B120" s="282"/>
      <c r="C120" s="282"/>
      <c r="D120" s="282"/>
      <c r="E120" s="282"/>
      <c r="F120" s="282"/>
      <c r="G120" s="283"/>
      <c r="I120" s="281"/>
      <c r="J120" s="282"/>
      <c r="K120" s="282"/>
      <c r="L120" s="282"/>
      <c r="M120" s="282"/>
      <c r="N120" s="282"/>
      <c r="O120" s="283"/>
      <c r="Q120" s="281"/>
      <c r="R120" s="282"/>
      <c r="S120" s="282"/>
      <c r="T120" s="282"/>
      <c r="U120" s="282"/>
      <c r="V120" s="282"/>
      <c r="W120" s="283"/>
      <c r="Y120" s="281"/>
      <c r="Z120" s="282"/>
      <c r="AA120" s="282"/>
      <c r="AB120" s="282"/>
      <c r="AC120" s="282"/>
      <c r="AD120" s="282"/>
      <c r="AE120" s="283"/>
    </row>
    <row r="126" spans="1:31" ht="81" customHeight="1">
      <c r="A126" s="566" t="s">
        <v>302</v>
      </c>
      <c r="B126" s="567"/>
      <c r="C126" s="567"/>
      <c r="D126" s="567"/>
      <c r="E126" s="567"/>
      <c r="F126" s="567"/>
      <c r="G126" s="567"/>
    </row>
  </sheetData>
  <mergeCells count="16">
    <mergeCell ref="A126:G126"/>
    <mergeCell ref="I87:O87"/>
    <mergeCell ref="Q87:W87"/>
    <mergeCell ref="Y87:AE87"/>
    <mergeCell ref="A4:C4"/>
    <mergeCell ref="A6:G6"/>
    <mergeCell ref="A48:G48"/>
    <mergeCell ref="A87:G87"/>
    <mergeCell ref="I4:K4"/>
    <mergeCell ref="Q4:S4"/>
    <mergeCell ref="I6:O6"/>
    <mergeCell ref="Q6:W6"/>
    <mergeCell ref="Y6:AE6"/>
    <mergeCell ref="I48:O48"/>
    <mergeCell ref="Q48:W48"/>
    <mergeCell ref="Y48:AE4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F52" activePane="bottomRight" state="frozen"/>
      <selection pane="topRight" activeCell="C1" sqref="C1"/>
      <selection pane="bottomLeft" activeCell="A7" sqref="A7"/>
      <selection pane="bottomRight" activeCell="P59" sqref="P59"/>
    </sheetView>
  </sheetViews>
  <sheetFormatPr defaultRowHeight="12.75"/>
  <cols>
    <col min="2" max="2" width="21.85546875" customWidth="1"/>
    <col min="3" max="4" width="12.28515625" bestFit="1" customWidth="1"/>
    <col min="5" max="5" width="13.28515625" customWidth="1"/>
    <col min="6" max="6" width="5.28515625" customWidth="1"/>
    <col min="7" max="7" width="12.85546875" bestFit="1" customWidth="1"/>
    <col min="8" max="8" width="11.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0.425781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80" t="s">
        <v>89</v>
      </c>
      <c r="B1" s="68"/>
      <c r="C1" s="68"/>
      <c r="D1" s="68"/>
      <c r="E1" s="68"/>
      <c r="F1" s="68"/>
      <c r="G1" s="68"/>
      <c r="H1" s="68"/>
      <c r="I1" s="68"/>
      <c r="J1" s="68"/>
    </row>
    <row r="2" spans="1:24" ht="15.75">
      <c r="A2" s="81"/>
      <c r="B2" s="68"/>
      <c r="C2" s="68"/>
      <c r="D2" s="68"/>
      <c r="E2" s="68"/>
      <c r="F2" s="68"/>
      <c r="G2" s="68"/>
      <c r="H2" s="68"/>
      <c r="I2" s="68"/>
      <c r="J2" s="68"/>
    </row>
    <row r="3" spans="1:24" ht="15">
      <c r="A3" s="69" t="s">
        <v>90</v>
      </c>
      <c r="B3" s="68"/>
      <c r="C3" s="68"/>
      <c r="D3" s="68"/>
      <c r="E3" s="68"/>
      <c r="F3" s="68"/>
      <c r="G3" s="68"/>
      <c r="H3" s="68"/>
      <c r="I3" s="68"/>
      <c r="J3" s="68"/>
      <c r="R3" s="13" t="s">
        <v>91</v>
      </c>
      <c r="S3" s="13" t="s">
        <v>40</v>
      </c>
      <c r="V3" s="114" t="s">
        <v>225</v>
      </c>
      <c r="X3" s="114" t="s">
        <v>226</v>
      </c>
    </row>
    <row r="4" spans="1:24" ht="15">
      <c r="A4" s="68"/>
      <c r="B4" s="68"/>
      <c r="C4" s="576" t="s">
        <v>92</v>
      </c>
      <c r="D4" s="576"/>
      <c r="E4" s="576"/>
      <c r="F4" s="68"/>
      <c r="G4" s="576" t="s">
        <v>93</v>
      </c>
      <c r="H4" s="576"/>
      <c r="I4" s="576"/>
      <c r="J4" s="576"/>
      <c r="L4" s="13" t="s">
        <v>52</v>
      </c>
      <c r="N4" s="13" t="s">
        <v>91</v>
      </c>
      <c r="O4" s="13" t="s">
        <v>40</v>
      </c>
      <c r="R4" s="13" t="s">
        <v>15</v>
      </c>
      <c r="S4" s="13" t="s">
        <v>15</v>
      </c>
      <c r="V4" s="13" t="s">
        <v>52</v>
      </c>
      <c r="X4" s="13" t="s">
        <v>52</v>
      </c>
    </row>
    <row r="5" spans="1:24" ht="15">
      <c r="A5" s="68"/>
      <c r="B5" s="68"/>
      <c r="C5" s="13" t="s">
        <v>91</v>
      </c>
      <c r="D5" s="13" t="s">
        <v>40</v>
      </c>
      <c r="E5" s="68"/>
      <c r="F5" s="68"/>
      <c r="G5" s="13" t="s">
        <v>91</v>
      </c>
      <c r="H5" s="13" t="s">
        <v>40</v>
      </c>
      <c r="I5" s="13"/>
      <c r="J5" s="68"/>
      <c r="L5" s="13" t="s">
        <v>94</v>
      </c>
      <c r="N5" s="13" t="s">
        <v>15</v>
      </c>
      <c r="O5" s="13" t="s">
        <v>15</v>
      </c>
      <c r="P5" s="13" t="s">
        <v>80</v>
      </c>
      <c r="R5" s="13" t="s">
        <v>52</v>
      </c>
      <c r="S5" s="13" t="s">
        <v>52</v>
      </c>
      <c r="T5" s="13" t="s">
        <v>52</v>
      </c>
      <c r="V5" s="13" t="s">
        <v>94</v>
      </c>
      <c r="X5" s="13" t="s">
        <v>94</v>
      </c>
    </row>
    <row r="6" spans="1:24" ht="15">
      <c r="A6" s="69"/>
      <c r="B6" s="69"/>
      <c r="C6" s="14" t="s">
        <v>15</v>
      </c>
      <c r="D6" s="14" t="s">
        <v>15</v>
      </c>
      <c r="E6" s="14" t="s">
        <v>80</v>
      </c>
      <c r="F6" s="69"/>
      <c r="G6" s="14" t="s">
        <v>15</v>
      </c>
      <c r="H6" s="14" t="s">
        <v>15</v>
      </c>
      <c r="I6" s="14"/>
      <c r="J6" s="14" t="s">
        <v>80</v>
      </c>
      <c r="L6" s="14" t="s">
        <v>95</v>
      </c>
      <c r="M6" s="14"/>
      <c r="N6" s="14" t="s">
        <v>96</v>
      </c>
      <c r="O6" s="14" t="s">
        <v>96</v>
      </c>
      <c r="P6" s="14" t="s">
        <v>96</v>
      </c>
      <c r="R6" s="69" t="s">
        <v>97</v>
      </c>
      <c r="S6" s="69" t="s">
        <v>97</v>
      </c>
      <c r="T6" s="69" t="s">
        <v>97</v>
      </c>
      <c r="V6" s="14" t="s">
        <v>95</v>
      </c>
      <c r="X6" s="14" t="s">
        <v>95</v>
      </c>
    </row>
    <row r="7" spans="1:24">
      <c r="A7" s="11" t="s">
        <v>174</v>
      </c>
      <c r="C7" s="102">
        <f>+'KC Tonnage - Enspire'!T3+'KC Tonnage - Enspire'!T4</f>
        <v>3771.4</v>
      </c>
      <c r="D7" s="102">
        <f>+'SC Tonnage - Enspire'!Q3+'SC Tonnage - Enspire'!Q4</f>
        <v>3507.7</v>
      </c>
      <c r="E7" s="102">
        <f t="shared" ref="E7:E30" si="0">+D7+C7</f>
        <v>7279.1</v>
      </c>
      <c r="F7" s="11"/>
      <c r="G7" s="156">
        <f>+'Prices - Recy. Acct. Analysis'!M75</f>
        <v>35460.206139564521</v>
      </c>
      <c r="H7" s="156">
        <f>+'Prices - Recy. Acct. Analysis'!M172</f>
        <v>29219.705603047641</v>
      </c>
      <c r="I7" s="156"/>
      <c r="J7" s="156">
        <f>+H7+G7</f>
        <v>64679.911742612167</v>
      </c>
      <c r="K7" s="11"/>
      <c r="L7" s="157">
        <f t="shared" ref="L7:L30" si="1">+J7/E7</f>
        <v>8.8857017684345809</v>
      </c>
      <c r="M7" s="11"/>
      <c r="N7" s="70">
        <f>+'Customer Counts - Enspire'!D6+'Customer Counts - Enspire'!F6+'Customer Counts - Enspire'!O6+'Customer Counts - Enspire'!Q6</f>
        <v>125324</v>
      </c>
      <c r="O7" s="150">
        <f>+'Customer Counts - Enspire'!G6+'Customer Counts - Enspire'!H6+'Customer Counts - Enspire'!R6+'Customer Counts - Enspire'!S6</f>
        <v>137320</v>
      </c>
      <c r="P7" s="70">
        <f>+O7+N7</f>
        <v>262644</v>
      </c>
      <c r="Q7" s="11"/>
      <c r="R7" s="102">
        <f t="shared" ref="R7:R12" si="2">+C7*2000/N7</f>
        <v>60.18639685934059</v>
      </c>
      <c r="S7" s="102">
        <f t="shared" ref="S7:T9" si="3">+D7*2000/O7</f>
        <v>51.087969705796681</v>
      </c>
      <c r="T7" s="102">
        <f t="shared" si="3"/>
        <v>55.42940253727479</v>
      </c>
      <c r="V7" s="239">
        <f>+G7/C7</f>
        <v>9.4023986157831363</v>
      </c>
      <c r="W7" s="239"/>
      <c r="X7" s="239">
        <f>+H7/D7</f>
        <v>8.3301609610421767</v>
      </c>
    </row>
    <row r="8" spans="1:24">
      <c r="A8" t="s">
        <v>56</v>
      </c>
      <c r="C8" s="102">
        <f>+'KC Tonnage - Enspire'!T7+'KC Tonnage - Enspire'!T8</f>
        <v>3448.7000000000007</v>
      </c>
      <c r="D8" s="102">
        <f>+'SC Tonnage - Enspire'!Q7+'SC Tonnage - Enspire'!Q8</f>
        <v>3267.8</v>
      </c>
      <c r="E8" s="102">
        <f t="shared" si="0"/>
        <v>6716.5000000000009</v>
      </c>
      <c r="F8" s="11"/>
      <c r="G8" s="156">
        <f>+'Prices - Recy. Acct. Analysis'!M79</f>
        <v>42168.642958792399</v>
      </c>
      <c r="H8" s="156">
        <f>+'Prices - Recy. Acct. Analysis'!M176</f>
        <v>36905.810880583929</v>
      </c>
      <c r="I8" s="156"/>
      <c r="J8" s="156">
        <f t="shared" ref="J8:J30" si="4">+H8+G8</f>
        <v>79074.453839376336</v>
      </c>
      <c r="K8" s="11"/>
      <c r="L8" s="157">
        <f t="shared" si="1"/>
        <v>11.773163677417751</v>
      </c>
      <c r="M8" s="11"/>
      <c r="N8" s="70">
        <f>+'Customer Counts - Enspire'!D7+'Customer Counts - Enspire'!F7+'Customer Counts - Enspire'!O7+'Customer Counts - Enspire'!Q7</f>
        <v>125324</v>
      </c>
      <c r="O8" s="150">
        <f>+'Customer Counts - Enspire'!G7+'Customer Counts - Enspire'!H7+'Customer Counts - Enspire'!R7+'Customer Counts - Enspire'!S7</f>
        <v>137320</v>
      </c>
      <c r="P8" s="70">
        <f t="shared" ref="P8:P29" si="5">+O8+N8</f>
        <v>262644</v>
      </c>
      <c r="Q8" s="11"/>
      <c r="R8" s="102">
        <f t="shared" si="2"/>
        <v>55.036545274648127</v>
      </c>
      <c r="S8" s="102">
        <f t="shared" si="3"/>
        <v>47.593941159335856</v>
      </c>
      <c r="T8" s="102">
        <f t="shared" si="3"/>
        <v>51.145276495941282</v>
      </c>
      <c r="V8" s="239">
        <f t="shared" ref="V8:V13" si="6">+G8/C8</f>
        <v>12.227402487543825</v>
      </c>
      <c r="W8" s="239"/>
      <c r="X8" s="239">
        <f t="shared" ref="X8:X13" si="7">+H8/D8</f>
        <v>11.293778958499274</v>
      </c>
    </row>
    <row r="9" spans="1:24">
      <c r="A9" t="s">
        <v>73</v>
      </c>
      <c r="C9" s="102">
        <f>+'KC Tonnage - Enspire'!T11+'KC Tonnage - Enspire'!T12</f>
        <v>4002.8000000000006</v>
      </c>
      <c r="D9" s="102">
        <f>+'SC Tonnage - Enspire'!Q11+'SC Tonnage - Enspire'!Q12</f>
        <v>3676.18</v>
      </c>
      <c r="E9" s="102">
        <f t="shared" si="0"/>
        <v>7678.9800000000005</v>
      </c>
      <c r="F9" s="11"/>
      <c r="G9" s="156">
        <f>+'Prices - Recy. Acct. Analysis'!M83</f>
        <v>14469.441457644751</v>
      </c>
      <c r="H9" s="156">
        <f>+'Prices - Recy. Acct. Analysis'!M180</f>
        <v>8845.8614513809189</v>
      </c>
      <c r="I9" s="156"/>
      <c r="J9" s="156">
        <f t="shared" si="4"/>
        <v>23315.302909025668</v>
      </c>
      <c r="K9" s="11"/>
      <c r="L9" s="157">
        <f t="shared" si="1"/>
        <v>3.0362499848971694</v>
      </c>
      <c r="M9" s="11"/>
      <c r="N9" s="70">
        <f>+'Customer Counts - Enspire'!D8+'Customer Counts - Enspire'!F8+'Customer Counts - Enspire'!O8+'Customer Counts - Enspire'!Q8</f>
        <v>125402</v>
      </c>
      <c r="O9" s="150">
        <f>+'Customer Counts - Enspire'!G8+'Customer Counts - Enspire'!H8+'Customer Counts - Enspire'!R8+'Customer Counts - Enspire'!S8</f>
        <v>137541</v>
      </c>
      <c r="P9" s="70">
        <f t="shared" si="5"/>
        <v>262943</v>
      </c>
      <c r="Q9" s="11"/>
      <c r="R9" s="102">
        <f t="shared" si="2"/>
        <v>63.839492193106977</v>
      </c>
      <c r="S9" s="102">
        <f t="shared" si="3"/>
        <v>53.455769552351661</v>
      </c>
      <c r="T9" s="102">
        <f t="shared" si="3"/>
        <v>58.407943927010805</v>
      </c>
      <c r="V9" s="239">
        <f t="shared" si="6"/>
        <v>3.614829983422791</v>
      </c>
      <c r="W9" s="239"/>
      <c r="X9" s="239">
        <f t="shared" si="7"/>
        <v>2.4062645059221581</v>
      </c>
    </row>
    <row r="10" spans="1:24">
      <c r="A10" s="11" t="s">
        <v>175</v>
      </c>
      <c r="C10" s="102">
        <f>+'KC Tonnage - Enspire'!T15+'KC Tonnage - Enspire'!T16</f>
        <v>3999.7000000000003</v>
      </c>
      <c r="D10" s="102">
        <f>+'SC Tonnage - Enspire'!Q15+'SC Tonnage - Enspire'!Q16</f>
        <v>3784.5</v>
      </c>
      <c r="E10" s="102">
        <f t="shared" si="0"/>
        <v>7784.2000000000007</v>
      </c>
      <c r="F10" s="11"/>
      <c r="G10" s="156">
        <f>+'Prices - Recy. Acct. Analysis'!M87</f>
        <v>39489.235831608152</v>
      </c>
      <c r="H10" s="156">
        <f>+'Prices - Recy. Acct. Analysis'!M184</f>
        <v>35248.709827798797</v>
      </c>
      <c r="I10" s="156"/>
      <c r="J10" s="156">
        <f t="shared" si="4"/>
        <v>74737.945659406949</v>
      </c>
      <c r="K10" s="11"/>
      <c r="L10" s="157">
        <f t="shared" si="1"/>
        <v>9.6012365637325541</v>
      </c>
      <c r="M10" s="11"/>
      <c r="N10" s="70">
        <f>+'Customer Counts - Enspire'!D9+'Customer Counts - Enspire'!F9+'Customer Counts - Enspire'!O9+'Customer Counts - Enspire'!Q9</f>
        <v>125347</v>
      </c>
      <c r="O10" s="150">
        <f>+'Customer Counts - Enspire'!G9+'Customer Counts - Enspire'!H9+'Customer Counts - Enspire'!R9+'Customer Counts - Enspire'!S9</f>
        <v>137496</v>
      </c>
      <c r="P10" s="70">
        <f t="shared" si="5"/>
        <v>262843</v>
      </c>
      <c r="Q10" s="11"/>
      <c r="R10" s="102">
        <f t="shared" si="2"/>
        <v>63.818041117856836</v>
      </c>
      <c r="S10" s="102">
        <f t="shared" ref="S10:T12" si="8">+D10*2000/O10</f>
        <v>55.048874149066158</v>
      </c>
      <c r="T10" s="102">
        <f t="shared" si="8"/>
        <v>59.230795569979044</v>
      </c>
      <c r="V10" s="239">
        <f t="shared" si="6"/>
        <v>9.873049436609783</v>
      </c>
      <c r="W10" s="239"/>
      <c r="X10" s="239">
        <f t="shared" si="7"/>
        <v>9.3139674535074111</v>
      </c>
    </row>
    <row r="11" spans="1:24">
      <c r="A11" t="s">
        <v>84</v>
      </c>
      <c r="C11" s="102">
        <f>+'KC Tonnage - Enspire'!T19+'KC Tonnage - Enspire'!T20</f>
        <v>3465.9000000000005</v>
      </c>
      <c r="D11" s="102">
        <f>+'SC Tonnage - Enspire'!Q19+'SC Tonnage - Enspire'!Q20</f>
        <v>3254.7</v>
      </c>
      <c r="E11" s="102">
        <f t="shared" si="0"/>
        <v>6720.6</v>
      </c>
      <c r="F11" s="11"/>
      <c r="G11" s="156">
        <f>+'Prices - Recy. Acct. Analysis'!M91</f>
        <v>33992.746377088384</v>
      </c>
      <c r="H11" s="156">
        <f>+'Prices - Recy. Acct. Analysis'!M188</f>
        <v>27656.413188686456</v>
      </c>
      <c r="I11" s="156"/>
      <c r="J11" s="156">
        <f t="shared" si="4"/>
        <v>61649.15956577484</v>
      </c>
      <c r="K11" s="11"/>
      <c r="L11" s="157">
        <f t="shared" si="1"/>
        <v>9.1731630458254969</v>
      </c>
      <c r="M11" s="11"/>
      <c r="N11" s="70">
        <f>+'Customer Counts - Enspire'!D10+'Customer Counts - Enspire'!F10+'Customer Counts - Enspire'!O10+'Customer Counts - Enspire'!Q10</f>
        <v>125513</v>
      </c>
      <c r="O11" s="150">
        <f>+'Customer Counts - Enspire'!G10+'Customer Counts - Enspire'!H10+'Customer Counts - Enspire'!R10+'Customer Counts - Enspire'!S10</f>
        <v>137717</v>
      </c>
      <c r="P11" s="70">
        <f t="shared" si="5"/>
        <v>263230</v>
      </c>
      <c r="Q11" s="11"/>
      <c r="R11" s="102">
        <f t="shared" si="2"/>
        <v>55.227745333152747</v>
      </c>
      <c r="S11" s="102">
        <f t="shared" si="8"/>
        <v>47.266495784834113</v>
      </c>
      <c r="T11" s="102">
        <f t="shared" si="8"/>
        <v>51.062568856133417</v>
      </c>
      <c r="V11" s="239">
        <f t="shared" si="6"/>
        <v>9.8077689422915775</v>
      </c>
      <c r="W11" s="239"/>
      <c r="X11" s="239">
        <f t="shared" si="7"/>
        <v>8.4973770819695993</v>
      </c>
    </row>
    <row r="12" spans="1:24">
      <c r="A12" t="s">
        <v>85</v>
      </c>
      <c r="C12" s="102">
        <f>+'KC Tonnage - Enspire'!T23+'KC Tonnage - Enspire'!T24</f>
        <v>3545.2400000000002</v>
      </c>
      <c r="D12" s="102">
        <f>+'SC Tonnage - Enspire'!Q23+'SC Tonnage - Enspire'!Q24</f>
        <v>3349.8499999999995</v>
      </c>
      <c r="E12" s="102">
        <f t="shared" si="0"/>
        <v>6895.09</v>
      </c>
      <c r="F12" s="11"/>
      <c r="G12" s="156">
        <f>+'Prices - Recy. Acct. Analysis'!M95</f>
        <v>15886.089648566554</v>
      </c>
      <c r="H12" s="156">
        <f>+'Prices - Recy. Acct. Analysis'!M192</f>
        <v>12970.046767280002</v>
      </c>
      <c r="I12" s="156"/>
      <c r="J12" s="156">
        <f t="shared" si="4"/>
        <v>28856.136415846559</v>
      </c>
      <c r="K12" s="11"/>
      <c r="L12" s="157">
        <f t="shared" si="1"/>
        <v>4.1850267967273176</v>
      </c>
      <c r="M12" s="11"/>
      <c r="N12" s="70">
        <f>+'Customer Counts - Enspire'!D11+'Customer Counts - Enspire'!F11+'Customer Counts - Enspire'!O11+'Customer Counts - Enspire'!Q11</f>
        <v>125593</v>
      </c>
      <c r="O12" s="150">
        <f>+'Customer Counts - Enspire'!G11+'Customer Counts - Enspire'!H11+'Customer Counts - Enspire'!R11+'Customer Counts - Enspire'!S11</f>
        <v>138052</v>
      </c>
      <c r="P12" s="70">
        <f t="shared" si="5"/>
        <v>263645</v>
      </c>
      <c r="Q12" s="11"/>
      <c r="R12" s="102">
        <f t="shared" si="2"/>
        <v>56.456012675865701</v>
      </c>
      <c r="S12" s="102">
        <f t="shared" si="8"/>
        <v>48.530263958508378</v>
      </c>
      <c r="T12" s="102">
        <f t="shared" si="8"/>
        <v>52.305865842325858</v>
      </c>
      <c r="V12" s="239">
        <f t="shared" si="6"/>
        <v>4.480963107876069</v>
      </c>
      <c r="W12" s="239"/>
      <c r="X12" s="239">
        <f t="shared" si="7"/>
        <v>3.8718291169097139</v>
      </c>
    </row>
    <row r="13" spans="1:24">
      <c r="A13" t="s">
        <v>86</v>
      </c>
      <c r="C13" s="102">
        <f>+'KC Tonnage - Enspire'!T27+'KC Tonnage - Enspire'!T28</f>
        <v>3780.5</v>
      </c>
      <c r="D13" s="102">
        <f>+'SC Tonnage - Enspire'!Q27+'SC Tonnage - Enspire'!Q28</f>
        <v>3726.0099999999998</v>
      </c>
      <c r="E13" s="102">
        <f t="shared" si="0"/>
        <v>7506.51</v>
      </c>
      <c r="F13" s="11"/>
      <c r="G13" s="156">
        <f>+'Prices - Recy. Acct. Analysis'!M99</f>
        <v>25372.220727662567</v>
      </c>
      <c r="H13" s="156">
        <f>+'Prices - Recy. Acct. Analysis'!M196</f>
        <v>23493.772796823087</v>
      </c>
      <c r="I13" s="156"/>
      <c r="J13" s="156">
        <f t="shared" si="4"/>
        <v>48865.993524485653</v>
      </c>
      <c r="K13" s="11"/>
      <c r="L13" s="157">
        <f t="shared" si="1"/>
        <v>6.5098152835985896</v>
      </c>
      <c r="M13" s="11"/>
      <c r="N13" s="70">
        <f>+'Customer Counts - Enspire'!D12+'Customer Counts - Enspire'!F12+'Customer Counts - Enspire'!O12+'Customer Counts - Enspire'!Q12</f>
        <v>126036</v>
      </c>
      <c r="O13" s="150">
        <f>+'Customer Counts - Enspire'!G12+'Customer Counts - Enspire'!H12+'Customer Counts - Enspire'!R12+'Customer Counts - Enspire'!S12</f>
        <v>138997</v>
      </c>
      <c r="P13" s="70">
        <f t="shared" si="5"/>
        <v>265033</v>
      </c>
      <c r="Q13" s="11"/>
      <c r="R13" s="102">
        <f t="shared" ref="R13:T14" si="9">+C13*2000/N13</f>
        <v>59.990796280427816</v>
      </c>
      <c r="S13" s="102">
        <f t="shared" si="9"/>
        <v>53.612811787304757</v>
      </c>
      <c r="T13" s="102">
        <f t="shared" si="9"/>
        <v>56.645851648662621</v>
      </c>
      <c r="V13" s="239">
        <f t="shared" si="6"/>
        <v>6.7113399623495749</v>
      </c>
      <c r="W13" s="239"/>
      <c r="X13" s="239">
        <f t="shared" si="7"/>
        <v>6.3053434630672189</v>
      </c>
    </row>
    <row r="14" spans="1:24">
      <c r="A14" t="s">
        <v>61</v>
      </c>
      <c r="C14" s="102">
        <f>+'KC Tonnage - Enspire'!T31+'KC Tonnage - Enspire'!T32</f>
        <v>3586.21</v>
      </c>
      <c r="D14" s="102">
        <f>+'SC Tonnage - Enspire'!Q31+'SC Tonnage - Enspire'!Q32</f>
        <v>3594.7000000000003</v>
      </c>
      <c r="E14" s="102">
        <f t="shared" si="0"/>
        <v>7180.91</v>
      </c>
      <c r="F14" s="11"/>
      <c r="G14" s="156">
        <f>+'Prices - Recy. Acct. Analysis'!M103</f>
        <v>49521.417042266286</v>
      </c>
      <c r="H14" s="156">
        <f>+'Prices - Recy. Acct. Analysis'!M200</f>
        <v>50532.234786065135</v>
      </c>
      <c r="I14" s="156"/>
      <c r="J14" s="156">
        <f t="shared" si="4"/>
        <v>100053.65182833142</v>
      </c>
      <c r="K14" s="11"/>
      <c r="L14" s="157">
        <f t="shared" si="1"/>
        <v>13.933283083666474</v>
      </c>
      <c r="M14" s="11"/>
      <c r="N14" s="70">
        <f>+'Customer Counts - Enspire'!D13+'Customer Counts - Enspire'!F13+'Customer Counts - Enspire'!O13+'Customer Counts - Enspire'!Q13</f>
        <v>126465</v>
      </c>
      <c r="O14" s="150">
        <f>+'Customer Counts - Enspire'!G13+'Customer Counts - Enspire'!H13+'Customer Counts - Enspire'!R13+'Customer Counts - Enspire'!S13</f>
        <v>139630</v>
      </c>
      <c r="P14" s="70">
        <f t="shared" si="5"/>
        <v>266095</v>
      </c>
      <c r="Q14" s="11"/>
      <c r="R14" s="102">
        <f t="shared" si="9"/>
        <v>56.714664136322305</v>
      </c>
      <c r="S14" s="102">
        <f t="shared" si="9"/>
        <v>51.488935042612624</v>
      </c>
      <c r="T14" s="102">
        <f t="shared" si="9"/>
        <v>53.972528608203838</v>
      </c>
      <c r="V14" s="239">
        <f>+G14/C14</f>
        <v>13.808844725285548</v>
      </c>
      <c r="W14" s="239"/>
      <c r="X14" s="239">
        <f>+H14/D14</f>
        <v>14.057427542233047</v>
      </c>
    </row>
    <row r="15" spans="1:24">
      <c r="A15" t="s">
        <v>68</v>
      </c>
      <c r="C15" s="102">
        <f>+'KC Tonnage - Enspire'!T35+'KC Tonnage - Enspire'!T36</f>
        <v>3887.3</v>
      </c>
      <c r="D15" s="102">
        <f>+'SC Tonnage - Enspire'!Q35+'SC Tonnage - Enspire'!Q36</f>
        <v>3803.33</v>
      </c>
      <c r="E15" s="102">
        <f t="shared" si="0"/>
        <v>7690.63</v>
      </c>
      <c r="F15" s="11"/>
      <c r="G15" s="156">
        <f>+'Prices - Recy. Acct. Analysis'!M107</f>
        <v>44894.726988861308</v>
      </c>
      <c r="H15" s="156">
        <f>+'Prices - Recy. Acct. Analysis'!M204</f>
        <v>44976.782572432254</v>
      </c>
      <c r="I15" s="156"/>
      <c r="J15" s="156">
        <f t="shared" si="4"/>
        <v>89871.509561293555</v>
      </c>
      <c r="K15" s="11"/>
      <c r="L15" s="157">
        <f t="shared" si="1"/>
        <v>11.685844925746467</v>
      </c>
      <c r="M15" s="11"/>
      <c r="N15" s="70">
        <f>+'Customer Counts - Enspire'!D14+'Customer Counts - Enspire'!F14+'Customer Counts - Enspire'!O14+'Customer Counts - Enspire'!Q14</f>
        <v>126796</v>
      </c>
      <c r="O15" s="150">
        <f>+'Customer Counts - Enspire'!G14+'Customer Counts - Enspire'!H14+'Customer Counts - Enspire'!R14+'Customer Counts - Enspire'!S14</f>
        <v>140130</v>
      </c>
      <c r="P15" s="70">
        <f t="shared" si="5"/>
        <v>266926</v>
      </c>
      <c r="Q15" s="11"/>
      <c r="R15" s="102">
        <f t="shared" ref="R15" si="10">+C15*2000/N15</f>
        <v>61.315814379002489</v>
      </c>
      <c r="S15" s="102">
        <f t="shared" ref="S15" si="11">+D15*2000/O15</f>
        <v>54.282880182687506</v>
      </c>
      <c r="T15" s="102">
        <f t="shared" ref="T15" si="12">+E15*2000/P15</f>
        <v>57.62368596539865</v>
      </c>
      <c r="V15" s="239">
        <f>+G15/C15</f>
        <v>11.549076991449414</v>
      </c>
      <c r="W15" s="239"/>
      <c r="X15" s="239">
        <f>+H15/D15</f>
        <v>11.825632425383086</v>
      </c>
    </row>
    <row r="16" spans="1:24">
      <c r="A16" t="s">
        <v>69</v>
      </c>
      <c r="C16" s="102">
        <f>+'KC Tonnage - Enspire'!T39+'KC Tonnage - Enspire'!T40</f>
        <v>4121.54</v>
      </c>
      <c r="D16" s="102">
        <f>+'SC Tonnage - Enspire'!Q39+'SC Tonnage - Enspire'!Q40</f>
        <v>3892.9100000000003</v>
      </c>
      <c r="E16" s="102">
        <f t="shared" si="0"/>
        <v>8014.4500000000007</v>
      </c>
      <c r="F16" s="11"/>
      <c r="G16" s="156">
        <f>+'Prices - Recy. Acct. Analysis'!M111</f>
        <v>43912.159374805837</v>
      </c>
      <c r="H16" s="156">
        <f>+'Prices - Recy. Acct. Analysis'!M208</f>
        <v>40688.43242421373</v>
      </c>
      <c r="I16" s="156"/>
      <c r="J16" s="156">
        <f t="shared" si="4"/>
        <v>84600.591799019574</v>
      </c>
      <c r="K16" s="11"/>
      <c r="L16" s="157">
        <f t="shared" si="1"/>
        <v>10.556007186896114</v>
      </c>
      <c r="M16" s="11"/>
      <c r="N16" s="70">
        <f>+'Customer Counts - Enspire'!D15+'Customer Counts - Enspire'!F15+'Customer Counts - Enspire'!O15+'Customer Counts - Enspire'!Q15</f>
        <v>127064</v>
      </c>
      <c r="O16" s="150">
        <f>+'Customer Counts - Enspire'!G15+'Customer Counts - Enspire'!H15+'Customer Counts - Enspire'!R15+'Customer Counts - Enspire'!S15</f>
        <v>140574</v>
      </c>
      <c r="P16" s="70">
        <f t="shared" si="5"/>
        <v>267638</v>
      </c>
      <c r="Q16" s="11"/>
      <c r="R16" s="102">
        <f t="shared" ref="R16" si="13">+C16*2000/N16</f>
        <v>64.873449600201468</v>
      </c>
      <c r="S16" s="102">
        <f t="shared" ref="S16" si="14">+D16*2000/O16</f>
        <v>55.385917737277168</v>
      </c>
      <c r="T16" s="102">
        <f t="shared" ref="T16" si="15">+E16*2000/P16</f>
        <v>59.890224855962167</v>
      </c>
      <c r="V16" s="239">
        <f>+G16/C16</f>
        <v>10.654308674623039</v>
      </c>
      <c r="X16" s="239">
        <f>+H16/D16</f>
        <v>10.451932468054419</v>
      </c>
    </row>
    <row r="17" spans="1:27">
      <c r="A17" t="s">
        <v>70</v>
      </c>
      <c r="C17" s="102">
        <f>+'KC Tonnage - Enspire'!T43+'KC Tonnage - Enspire'!T44</f>
        <v>3903.49</v>
      </c>
      <c r="D17" s="102">
        <f>+'SC Tonnage - Enspire'!Q43+'SC Tonnage - Enspire'!Q44</f>
        <v>3535.7500000000005</v>
      </c>
      <c r="E17" s="102">
        <f t="shared" si="0"/>
        <v>7439.24</v>
      </c>
      <c r="F17" s="11"/>
      <c r="G17" s="156">
        <f>+'Prices - Recy. Acct. Analysis'!M115</f>
        <v>73326.678052609699</v>
      </c>
      <c r="H17" s="156">
        <f>+'Prices - Recy. Acct. Analysis'!M212</f>
        <v>66764.781596795248</v>
      </c>
      <c r="I17" s="156"/>
      <c r="J17" s="156">
        <f t="shared" si="4"/>
        <v>140091.45964940495</v>
      </c>
      <c r="K17" s="11"/>
      <c r="L17" s="157">
        <f t="shared" si="1"/>
        <v>18.831420904474779</v>
      </c>
      <c r="M17" s="11"/>
      <c r="N17" s="70">
        <f>+'Customer Counts - Enspire'!D16+'Customer Counts - Enspire'!F16+'Customer Counts - Enspire'!O16+'Customer Counts - Enspire'!Q16</f>
        <v>127283</v>
      </c>
      <c r="O17" s="150">
        <f>+'Customer Counts - Enspire'!G16+'Customer Counts - Enspire'!H16+'Customer Counts - Enspire'!R16+'Customer Counts - Enspire'!S16</f>
        <v>140940</v>
      </c>
      <c r="P17" s="70">
        <f t="shared" si="5"/>
        <v>268223</v>
      </c>
      <c r="Q17" s="11"/>
      <c r="R17" s="102">
        <f t="shared" ref="R17" si="16">+C17*2000/N17</f>
        <v>61.335606483191</v>
      </c>
      <c r="S17" s="102">
        <f t="shared" ref="S17" si="17">+D17*2000/O17</f>
        <v>50.17383283666809</v>
      </c>
      <c r="T17" s="102">
        <f t="shared" ref="T17" si="18">+E17*2000/P17</f>
        <v>55.470559944523771</v>
      </c>
      <c r="V17" s="239">
        <f>+G17/C17</f>
        <v>18.784902241996189</v>
      </c>
      <c r="X17" s="239">
        <f>+H17/D17</f>
        <v>18.88277779729767</v>
      </c>
    </row>
    <row r="18" spans="1:27">
      <c r="A18" t="s">
        <v>71</v>
      </c>
      <c r="C18" s="102">
        <f>+'KC Tonnage - Enspire'!T47+'KC Tonnage - Enspire'!T48</f>
        <v>4193.99</v>
      </c>
      <c r="D18" s="102">
        <f>+'SC Tonnage - Enspire'!Q47+'SC Tonnage - Enspire'!Q48</f>
        <v>3791.37</v>
      </c>
      <c r="E18" s="102">
        <f t="shared" si="0"/>
        <v>7985.36</v>
      </c>
      <c r="F18" s="11"/>
      <c r="G18" s="156">
        <f>+'Prices - Recy. Acct. Analysis'!M119</f>
        <v>106884.65730129993</v>
      </c>
      <c r="H18" s="156">
        <f>+'Prices - Recy. Acct. Analysis'!M216</f>
        <v>96189.79460019627</v>
      </c>
      <c r="I18" s="156"/>
      <c r="J18" s="156">
        <f t="shared" si="4"/>
        <v>203074.45190149621</v>
      </c>
      <c r="K18" s="11"/>
      <c r="L18" s="157">
        <f t="shared" si="1"/>
        <v>25.430844933916095</v>
      </c>
      <c r="M18" s="11"/>
      <c r="N18" s="70">
        <f>+'Customer Counts - Enspire'!D17+'Customer Counts - Enspire'!F17+'Customer Counts - Enspire'!O17+'Customer Counts - Enspire'!Q17</f>
        <v>126914</v>
      </c>
      <c r="O18" s="150">
        <f>+'Customer Counts - Enspire'!G17+'Customer Counts - Enspire'!H17+'Customer Counts - Enspire'!R17+'Customer Counts - Enspire'!S17</f>
        <v>140697</v>
      </c>
      <c r="P18" s="70">
        <f t="shared" si="5"/>
        <v>267611</v>
      </c>
      <c r="Q18" s="11"/>
      <c r="R18" s="102">
        <f t="shared" ref="R18" si="19">+C18*2000/N18</f>
        <v>66.091841719589638</v>
      </c>
      <c r="S18" s="102">
        <f t="shared" ref="S18" si="20">+D18*2000/O18</f>
        <v>53.89411288087166</v>
      </c>
      <c r="T18" s="102">
        <f t="shared" ref="T18" si="21">+E18*2000/P18</f>
        <v>59.678862229131092</v>
      </c>
      <c r="V18" s="239">
        <f>+G18/C18</f>
        <v>25.485196030820276</v>
      </c>
      <c r="X18" s="239">
        <f>+H18/D18</f>
        <v>25.370722087318377</v>
      </c>
    </row>
    <row r="19" spans="1:27" ht="15">
      <c r="A19" t="s">
        <v>55</v>
      </c>
      <c r="C19" s="102">
        <f>+'KC Tonnage - Enspire'!T51+'KC Tonnage - Enspire'!T52</f>
        <v>4249.8</v>
      </c>
      <c r="D19" s="102">
        <f>+'SC Tonnage - Enspire'!Q51+'SC Tonnage - Enspire'!Q52</f>
        <v>3842.7</v>
      </c>
      <c r="E19" s="102">
        <f t="shared" si="0"/>
        <v>8092.5</v>
      </c>
      <c r="F19" s="158"/>
      <c r="G19" s="156">
        <f>+'Prices - Recy. Acct. Analysis'!M123</f>
        <v>152091.11294657382</v>
      </c>
      <c r="H19" s="156">
        <f>+'Prices - Recy. Acct. Analysis'!M220</f>
        <v>136377.85210317667</v>
      </c>
      <c r="I19" s="159"/>
      <c r="J19" s="156">
        <f t="shared" si="4"/>
        <v>288468.96504975052</v>
      </c>
      <c r="K19" s="11"/>
      <c r="L19" s="157">
        <f t="shared" si="1"/>
        <v>35.646458455329075</v>
      </c>
      <c r="M19" s="11"/>
      <c r="N19" s="70">
        <f>+'Customer Counts - Enspire'!D18+'Customer Counts - Enspire'!F18+'Customer Counts - Enspire'!O18+'Customer Counts - Enspire'!Q18</f>
        <v>125688</v>
      </c>
      <c r="O19" s="150">
        <f>+'Customer Counts - Enspire'!G18+'Customer Counts - Enspire'!H18+'Customer Counts - Enspire'!R18+'Customer Counts - Enspire'!S18</f>
        <v>139547</v>
      </c>
      <c r="P19" s="70">
        <f t="shared" si="5"/>
        <v>265235</v>
      </c>
      <c r="Q19" s="11"/>
      <c r="R19" s="102">
        <f t="shared" ref="R19:R21" si="22">+C19*2000/N19</f>
        <v>67.624594233339693</v>
      </c>
      <c r="S19" s="102">
        <f t="shared" ref="S19:S21" si="23">+D19*2000/O19</f>
        <v>55.0739177481422</v>
      </c>
      <c r="T19" s="102">
        <f t="shared" ref="T19:T21" si="24">+E19*2000/P19</f>
        <v>61.02135841800667</v>
      </c>
      <c r="V19" s="239">
        <f t="shared" ref="V19:V21" si="25">+G19/C19</f>
        <v>35.787828355822349</v>
      </c>
      <c r="X19" s="239">
        <f t="shared" ref="X19:X21" si="26">+H19/D19</f>
        <v>35.490111667102994</v>
      </c>
    </row>
    <row r="20" spans="1:27" ht="15">
      <c r="A20" t="s">
        <v>56</v>
      </c>
      <c r="C20" s="102">
        <f>+'KC Tonnage - Enspire'!T55+'KC Tonnage - Enspire'!T56</f>
        <v>4028.5999999999995</v>
      </c>
      <c r="D20" s="102">
        <f>+'SC Tonnage - Enspire'!Q55+'SC Tonnage - Enspire'!Q56</f>
        <v>3614.3999999999996</v>
      </c>
      <c r="E20" s="102">
        <f t="shared" si="0"/>
        <v>7642.9999999999991</v>
      </c>
      <c r="F20" s="158"/>
      <c r="G20" s="156">
        <f>+'Prices - Recy. Acct. Analysis'!M127</f>
        <v>171018.24101288739</v>
      </c>
      <c r="H20" s="156">
        <f>+'Prices - Recy. Acct. Analysis'!M224</f>
        <v>152359.64880668718</v>
      </c>
      <c r="I20" s="159"/>
      <c r="J20" s="156">
        <f t="shared" si="4"/>
        <v>323377.88981957454</v>
      </c>
      <c r="K20" s="11"/>
      <c r="L20" s="157">
        <f t="shared" si="1"/>
        <v>42.310334923403715</v>
      </c>
      <c r="M20" s="11"/>
      <c r="N20" s="70">
        <f>+'Customer Counts - Enspire'!D19+'Customer Counts - Enspire'!F19+'Customer Counts - Enspire'!O19+'Customer Counts - Enspire'!Q19</f>
        <v>125803</v>
      </c>
      <c r="O20" s="150">
        <f>+'Customer Counts - Enspire'!G19+'Customer Counts - Enspire'!H19+'Customer Counts - Enspire'!R19+'Customer Counts - Enspire'!S19</f>
        <v>139738</v>
      </c>
      <c r="P20" s="70">
        <f t="shared" si="5"/>
        <v>265541</v>
      </c>
      <c r="Q20" s="11"/>
      <c r="R20" s="102">
        <f t="shared" si="22"/>
        <v>64.046167420490761</v>
      </c>
      <c r="S20" s="102">
        <f t="shared" si="23"/>
        <v>51.731096766806445</v>
      </c>
      <c r="T20" s="102">
        <f t="shared" si="24"/>
        <v>57.565498359951938</v>
      </c>
      <c r="V20" s="239">
        <f t="shared" si="25"/>
        <v>42.451035350466022</v>
      </c>
      <c r="X20" s="239">
        <f t="shared" si="26"/>
        <v>42.153510626020143</v>
      </c>
    </row>
    <row r="21" spans="1:27">
      <c r="A21" t="s">
        <v>73</v>
      </c>
      <c r="C21" s="102">
        <f>+'KC Tonnage - Enspire'!T59+'KC Tonnage - Enspire'!T60</f>
        <v>4582.08</v>
      </c>
      <c r="D21" s="102">
        <f>+'SC Tonnage - Enspire'!Q59+'SC Tonnage - Enspire'!Q60</f>
        <v>4210.3700000000008</v>
      </c>
      <c r="E21" s="102">
        <f t="shared" si="0"/>
        <v>8792.4500000000007</v>
      </c>
      <c r="F21" s="11"/>
      <c r="G21" s="156">
        <f>+'Prices - Recy. Acct. Analysis'!M131</f>
        <v>230396.23544762624</v>
      </c>
      <c r="H21" s="156">
        <f>+'Prices - Recy. Acct. Analysis'!M228</f>
        <v>211085.66187684907</v>
      </c>
      <c r="I21" s="156"/>
      <c r="J21" s="156">
        <f t="shared" si="4"/>
        <v>441481.89732447534</v>
      </c>
      <c r="K21" s="11"/>
      <c r="L21" s="157">
        <f t="shared" si="1"/>
        <v>50.211476587808328</v>
      </c>
      <c r="M21" s="11"/>
      <c r="N21" s="70">
        <f>+'Customer Counts - Enspire'!D20+'Customer Counts - Enspire'!F20+'Customer Counts - Enspire'!O20+'Customer Counts - Enspire'!Q20</f>
        <v>127678</v>
      </c>
      <c r="O21" s="150">
        <f>+'Customer Counts - Enspire'!G20+'Customer Counts - Enspire'!H20+'Customer Counts - Enspire'!R20+'Customer Counts - Enspire'!S20</f>
        <v>139968</v>
      </c>
      <c r="P21" s="70">
        <f t="shared" si="5"/>
        <v>267646</v>
      </c>
      <c r="Q21" s="11"/>
      <c r="R21" s="102">
        <f t="shared" si="22"/>
        <v>71.775560394116454</v>
      </c>
      <c r="S21" s="102">
        <f t="shared" si="23"/>
        <v>60.161894147233667</v>
      </c>
      <c r="T21" s="102">
        <f t="shared" si="24"/>
        <v>65.702084096156867</v>
      </c>
      <c r="V21" s="239">
        <f t="shared" si="25"/>
        <v>50.282019398968643</v>
      </c>
      <c r="X21" s="239">
        <f t="shared" si="26"/>
        <v>50.134705946709914</v>
      </c>
    </row>
    <row r="22" spans="1:27" ht="15">
      <c r="A22" s="11" t="s">
        <v>176</v>
      </c>
      <c r="C22" s="102">
        <f>+'KC Tonnage - Enspire'!T63+'KC Tonnage - Enspire'!T64</f>
        <v>4435.7800000000007</v>
      </c>
      <c r="D22" s="102">
        <f>+'SC Tonnage - Enspire'!Q63+'SC Tonnage - Enspire'!Q64</f>
        <v>3942.0599999999995</v>
      </c>
      <c r="E22" s="102">
        <f t="shared" si="0"/>
        <v>8377.84</v>
      </c>
      <c r="F22" s="158"/>
      <c r="G22" s="156">
        <f>+'Prices - Recy. Acct. Analysis'!M135</f>
        <v>212945.44295536165</v>
      </c>
      <c r="H22" s="156">
        <f>+'Prices - Recy. Acct. Analysis'!M232</f>
        <v>190002.14988599991</v>
      </c>
      <c r="I22" s="159"/>
      <c r="J22" s="156">
        <f t="shared" si="4"/>
        <v>402947.59284136153</v>
      </c>
      <c r="K22" s="11"/>
      <c r="L22" s="157">
        <f t="shared" si="1"/>
        <v>48.096835561596009</v>
      </c>
      <c r="M22" s="11"/>
      <c r="N22" s="70">
        <f>+'Customer Counts - Enspire'!D21+'Customer Counts - Enspire'!F21+'Customer Counts - Enspire'!O21+'Customer Counts - Enspire'!Q21</f>
        <v>127723</v>
      </c>
      <c r="O22" s="150">
        <f>+'Customer Counts - Enspire'!G21+'Customer Counts - Enspire'!H21+'Customer Counts - Enspire'!R21+'Customer Counts - Enspire'!S21</f>
        <v>140187</v>
      </c>
      <c r="P22" s="70">
        <f t="shared" si="5"/>
        <v>267910</v>
      </c>
      <c r="Q22" s="11"/>
      <c r="R22" s="102">
        <f t="shared" ref="R22" si="27">+C22*2000/N22</f>
        <v>69.459376932893861</v>
      </c>
      <c r="S22" s="102">
        <f t="shared" ref="S22" si="28">+D22*2000/O22</f>
        <v>56.240022255986638</v>
      </c>
      <c r="T22" s="102">
        <f t="shared" ref="T22" si="29">+E22*2000/P22</f>
        <v>62.542197006457393</v>
      </c>
      <c r="V22" s="239">
        <f t="shared" ref="V22" si="30">+G22/C22</f>
        <v>48.006312972095465</v>
      </c>
      <c r="X22" s="239">
        <f t="shared" ref="X22" si="31">+H22/D22</f>
        <v>48.19869557693184</v>
      </c>
    </row>
    <row r="23" spans="1:27" ht="15">
      <c r="A23" t="s">
        <v>84</v>
      </c>
      <c r="C23" s="102">
        <f>+'KC Tonnage - Enspire'!T67+'KC Tonnage - Enspire'!T68</f>
        <v>3577.49</v>
      </c>
      <c r="D23" s="102">
        <f>+'SC Tonnage - Enspire'!Q67+'SC Tonnage - Enspire'!Q68</f>
        <v>3315.53</v>
      </c>
      <c r="E23" s="102">
        <f t="shared" si="0"/>
        <v>6893.02</v>
      </c>
      <c r="F23" s="158"/>
      <c r="G23" s="156">
        <f>+'Prices - Recy. Acct. Analysis'!M139</f>
        <v>184268.54513484673</v>
      </c>
      <c r="H23" s="156">
        <f>+'Prices - Recy. Acct. Analysis'!M236</f>
        <v>170758.43689113646</v>
      </c>
      <c r="I23" s="159"/>
      <c r="J23" s="156">
        <f t="shared" si="4"/>
        <v>355026.98202598316</v>
      </c>
      <c r="K23" s="11"/>
      <c r="L23" s="157">
        <f t="shared" si="1"/>
        <v>51.505288251881346</v>
      </c>
      <c r="M23" s="11"/>
      <c r="N23" s="70">
        <f>+'Customer Counts - Enspire'!D22+'Customer Counts - Enspire'!F22+'Customer Counts - Enspire'!O22+'Customer Counts - Enspire'!Q22</f>
        <v>125928</v>
      </c>
      <c r="O23" s="150">
        <f>+'Customer Counts - Enspire'!G22+'Customer Counts - Enspire'!H22+'Customer Counts - Enspire'!R22+'Customer Counts - Enspire'!S22</f>
        <v>140295</v>
      </c>
      <c r="P23" s="70">
        <f t="shared" si="5"/>
        <v>266223</v>
      </c>
      <c r="Q23" s="11"/>
      <c r="R23" s="102">
        <f t="shared" ref="R23" si="32">+C23*2000/N23</f>
        <v>56.81802299726828</v>
      </c>
      <c r="S23" s="102">
        <f t="shared" ref="S23" si="33">+D23*2000/O23</f>
        <v>47.265119925870486</v>
      </c>
      <c r="T23" s="102">
        <f t="shared" ref="T23" si="34">+E23*2000/P23</f>
        <v>51.783805306077987</v>
      </c>
      <c r="V23" s="239">
        <f t="shared" ref="V23" si="35">+G23/C23</f>
        <v>51.507773644327933</v>
      </c>
      <c r="X23" s="239">
        <f t="shared" ref="X23" si="36">+H23/D23</f>
        <v>51.502606488596527</v>
      </c>
    </row>
    <row r="24" spans="1:27">
      <c r="A24" t="s">
        <v>85</v>
      </c>
      <c r="C24" s="102">
        <f>+'KC Tonnage - Enspire'!T71+'KC Tonnage - Enspire'!T72</f>
        <v>4181.4699999999993</v>
      </c>
      <c r="D24" s="102">
        <f>+'SC Tonnage - Enspire'!Q71+'SC Tonnage - Enspire'!Q72</f>
        <v>3794.4299999999994</v>
      </c>
      <c r="E24" s="102">
        <f t="shared" si="0"/>
        <v>7975.8999999999987</v>
      </c>
      <c r="F24" s="11"/>
      <c r="G24" s="156">
        <f>+'Prices - Recy. Acct. Analysis'!M143</f>
        <v>226342.45372033925</v>
      </c>
      <c r="H24" s="156">
        <f>+'Prices - Recy. Acct. Analysis'!M240</f>
        <v>203376.40002219036</v>
      </c>
      <c r="I24" s="156"/>
      <c r="J24" s="156">
        <f t="shared" si="4"/>
        <v>429718.85374252964</v>
      </c>
      <c r="K24" s="11"/>
      <c r="L24" s="157">
        <f t="shared" si="1"/>
        <v>53.877161667339074</v>
      </c>
      <c r="M24" s="11"/>
      <c r="N24" s="70">
        <f>+'Customer Counts - Enspire'!D23+'Customer Counts - Enspire'!F23+'Customer Counts - Enspire'!O23+'Customer Counts - Enspire'!Q23</f>
        <v>126121</v>
      </c>
      <c r="O24" s="150">
        <f>+'Customer Counts - Enspire'!G23+'Customer Counts - Enspire'!H23+'Customer Counts - Enspire'!R23+'Customer Counts - Enspire'!S23</f>
        <v>140795</v>
      </c>
      <c r="P24" s="70">
        <f t="shared" si="5"/>
        <v>266916</v>
      </c>
      <c r="Q24" s="11"/>
      <c r="R24" s="102">
        <f t="shared" ref="R24" si="37">+C24*2000/N24</f>
        <v>66.308862124467765</v>
      </c>
      <c r="S24" s="102">
        <f t="shared" ref="S24" si="38">+D24*2000/O24</f>
        <v>53.900067473986994</v>
      </c>
      <c r="T24" s="102">
        <f t="shared" ref="T24" si="39">+E24*2000/P24</f>
        <v>59.763371247883221</v>
      </c>
      <c r="V24" s="239">
        <f t="shared" ref="V24" si="40">+G24/C24</f>
        <v>54.129876268474796</v>
      </c>
      <c r="X24" s="239">
        <f t="shared" ref="X24" si="41">+H24/D24</f>
        <v>53.598669634751566</v>
      </c>
    </row>
    <row r="25" spans="1:27">
      <c r="A25" t="s">
        <v>86</v>
      </c>
      <c r="C25" s="102">
        <f>+'KC Tonnage - Enspire'!T75+'KC Tonnage - Enspire'!T76</f>
        <v>3875.96</v>
      </c>
      <c r="D25" s="102">
        <f>+'SC Tonnage - Enspire'!Q75+'SC Tonnage - Enspire'!Q76</f>
        <v>3708.0400000000004</v>
      </c>
      <c r="E25" s="102">
        <f t="shared" si="0"/>
        <v>7584</v>
      </c>
      <c r="F25" s="11"/>
      <c r="G25" s="156">
        <f>+'Prices - Recy. Acct. Analysis'!M147</f>
        <v>256799.50464788059</v>
      </c>
      <c r="H25" s="156">
        <f>+'Prices - Recy. Acct. Analysis'!M244</f>
        <v>245000.46988704431</v>
      </c>
      <c r="I25" s="156"/>
      <c r="J25" s="156">
        <f t="shared" si="4"/>
        <v>501799.9745349249</v>
      </c>
      <c r="K25" s="11"/>
      <c r="L25" s="157">
        <f t="shared" si="1"/>
        <v>66.165608456609291</v>
      </c>
      <c r="M25" s="11"/>
      <c r="N25" s="70">
        <f>+'Customer Counts - Enspire'!D24+'Customer Counts - Enspire'!F24+'Customer Counts - Enspire'!O24+'Customer Counts - Enspire'!Q24</f>
        <v>126174</v>
      </c>
      <c r="O25" s="150">
        <f>+'Customer Counts - Enspire'!G24+'Customer Counts - Enspire'!H24+'Customer Counts - Enspire'!R24+'Customer Counts - Enspire'!S24</f>
        <v>143374</v>
      </c>
      <c r="P25" s="70">
        <f t="shared" si="5"/>
        <v>269548</v>
      </c>
      <c r="Q25" s="11"/>
      <c r="R25" s="102">
        <f t="shared" ref="R25" si="42">+C25*2000/N25</f>
        <v>61.438331193431296</v>
      </c>
      <c r="S25" s="102">
        <f t="shared" ref="S25" si="43">+D25*2000/O25</f>
        <v>51.725417439703158</v>
      </c>
      <c r="T25" s="102">
        <f t="shared" ref="T25" si="44">+E25*2000/P25</f>
        <v>56.271981242672922</v>
      </c>
      <c r="V25" s="239">
        <f t="shared" ref="V25" si="45">+G25/C25</f>
        <v>66.2544259094213</v>
      </c>
      <c r="X25" s="239">
        <f t="shared" ref="X25" si="46">+H25/D25</f>
        <v>66.072768871706955</v>
      </c>
    </row>
    <row r="26" spans="1:27">
      <c r="A26" t="s">
        <v>61</v>
      </c>
      <c r="C26" s="102">
        <f>+'KC Tonnage - Enspire'!T79+'KC Tonnage - Enspire'!T80</f>
        <v>3774.93</v>
      </c>
      <c r="D26" s="102">
        <f>+'SC Tonnage - Enspire'!Q79+'SC Tonnage - Enspire'!Q80</f>
        <v>3595.98</v>
      </c>
      <c r="E26" s="102">
        <f t="shared" si="0"/>
        <v>7370.91</v>
      </c>
      <c r="F26" s="11"/>
      <c r="G26" s="156">
        <f>+'Prices - Recy. Acct. Analysis'!M151</f>
        <v>267871.03573575913</v>
      </c>
      <c r="H26" s="156">
        <f>+'Prices - Recy. Acct. Analysis'!M248</f>
        <v>255259.71043523407</v>
      </c>
      <c r="I26" s="156"/>
      <c r="J26" s="156">
        <f t="shared" si="4"/>
        <v>523130.7461709932</v>
      </c>
      <c r="K26" s="11"/>
      <c r="L26" s="157">
        <f t="shared" si="1"/>
        <v>70.972342108503994</v>
      </c>
      <c r="M26" s="11"/>
      <c r="N26" s="70">
        <f>+'Customer Counts - Enspire'!D25+'Customer Counts - Enspire'!F25+'Customer Counts - Enspire'!O25+'Customer Counts - Enspire'!Q25</f>
        <v>126287</v>
      </c>
      <c r="O26" s="150">
        <f>+'Customer Counts - Enspire'!G25+'Customer Counts - Enspire'!H25+'Customer Counts - Enspire'!R25+'Customer Counts - Enspire'!S25</f>
        <v>143580</v>
      </c>
      <c r="P26" s="70">
        <f t="shared" si="5"/>
        <v>269867</v>
      </c>
      <c r="Q26" s="11"/>
      <c r="R26" s="102">
        <f t="shared" ref="R26" si="47">+C26*2000/N26</f>
        <v>59.783350621995929</v>
      </c>
      <c r="S26" s="102">
        <f t="shared" ref="S26" si="48">+D26*2000/O26</f>
        <v>50.090263267864607</v>
      </c>
      <c r="T26" s="102">
        <f t="shared" ref="T26" si="49">+E26*2000/P26</f>
        <v>54.626241815412776</v>
      </c>
      <c r="V26" s="239">
        <f t="shared" ref="V26" si="50">+G26/C26</f>
        <v>70.960530588847774</v>
      </c>
      <c r="X26" s="239">
        <f t="shared" ref="X26" si="51">+H26/D26</f>
        <v>70.984741415478965</v>
      </c>
    </row>
    <row r="27" spans="1:27">
      <c r="A27" t="s">
        <v>68</v>
      </c>
      <c r="C27" s="102">
        <f>+'KC Tonnage - Enspire'!T83+'KC Tonnage - Enspire'!T84</f>
        <v>3961.3399999999997</v>
      </c>
      <c r="D27" s="102">
        <f>+'SC Tonnage - Enspire'!Q83+'SC Tonnage - Enspire'!Q84</f>
        <v>3847.6400000000003</v>
      </c>
      <c r="E27" s="102">
        <f t="shared" si="0"/>
        <v>7808.98</v>
      </c>
      <c r="F27" s="11"/>
      <c r="G27" s="156">
        <f>+'Prices - Recy. Acct. Analysis'!M155</f>
        <v>309184.52388262405</v>
      </c>
      <c r="H27" s="156">
        <f>+'Prices - Recy. Acct. Analysis'!M252</f>
        <v>302615.74063574971</v>
      </c>
      <c r="I27" s="156"/>
      <c r="J27" s="156">
        <f t="shared" si="4"/>
        <v>611800.26451837376</v>
      </c>
      <c r="K27" s="11"/>
      <c r="L27" s="157">
        <f t="shared" si="1"/>
        <v>78.345733311952884</v>
      </c>
      <c r="M27" s="11"/>
      <c r="N27" s="70">
        <f>+'Customer Counts - Enspire'!D26+'Customer Counts - Enspire'!F26+'Customer Counts - Enspire'!O26+'Customer Counts - Enspire'!Q26</f>
        <v>126397</v>
      </c>
      <c r="O27" s="150">
        <f>+'Customer Counts - Enspire'!G26+'Customer Counts - Enspire'!H26+'Customer Counts - Enspire'!R26+'Customer Counts - Enspire'!S26</f>
        <v>143907</v>
      </c>
      <c r="P27" s="70">
        <f t="shared" si="5"/>
        <v>270304</v>
      </c>
      <c r="Q27" s="11"/>
      <c r="R27" s="102">
        <f t="shared" ref="R27" si="52">+C27*2000/N27</f>
        <v>62.680918059764068</v>
      </c>
      <c r="S27" s="102">
        <f t="shared" ref="S27" si="53">+D27*2000/O27</f>
        <v>53.473979723015567</v>
      </c>
      <c r="T27" s="102">
        <f t="shared" ref="T27" si="54">+E27*2000/P27</f>
        <v>57.779241150704394</v>
      </c>
      <c r="V27" s="239">
        <f t="shared" ref="V27" si="55">+G27/C27</f>
        <v>78.050488946322218</v>
      </c>
      <c r="X27" s="239">
        <f t="shared" ref="X27" si="56">+H27/D27</f>
        <v>78.64970232031834</v>
      </c>
    </row>
    <row r="28" spans="1:27">
      <c r="A28" t="s">
        <v>69</v>
      </c>
      <c r="C28" s="102">
        <f>+'KC Tonnage - Enspire'!T87+'KC Tonnage - Enspire'!T88</f>
        <v>4001.8399999999997</v>
      </c>
      <c r="D28" s="102">
        <f>+'SC Tonnage - Enspire'!Q87+'SC Tonnage - Enspire'!Q88</f>
        <v>3702.63</v>
      </c>
      <c r="E28" s="102">
        <f t="shared" si="0"/>
        <v>7704.4699999999993</v>
      </c>
      <c r="F28" s="11"/>
      <c r="G28" s="156">
        <f>+'Prices - Recy. Acct. Analysis'!M159</f>
        <v>410350.70099423715</v>
      </c>
      <c r="H28" s="156">
        <f>+'Prices - Recy. Acct. Analysis'!M256</f>
        <v>377293.97129407094</v>
      </c>
      <c r="I28" s="156"/>
      <c r="J28" s="156">
        <f t="shared" si="4"/>
        <v>787644.67228830815</v>
      </c>
      <c r="K28" s="11"/>
      <c r="L28" s="157">
        <f t="shared" si="1"/>
        <v>102.23216811647112</v>
      </c>
      <c r="M28" s="11"/>
      <c r="N28" s="70">
        <f>+'Customer Counts - Enspire'!D27+'Customer Counts - Enspire'!F27+'Customer Counts - Enspire'!O27+'Customer Counts - Enspire'!Q27</f>
        <v>126382</v>
      </c>
      <c r="O28" s="150">
        <f>+'Customer Counts - Enspire'!G27+'Customer Counts - Enspire'!H27+'Customer Counts - Enspire'!R27+'Customer Counts - Enspire'!S27</f>
        <v>144091</v>
      </c>
      <c r="P28" s="70">
        <f t="shared" si="5"/>
        <v>270473</v>
      </c>
      <c r="Q28" s="11"/>
      <c r="R28" s="102">
        <f t="shared" ref="R28" si="57">+C28*2000/N28</f>
        <v>63.32927157348356</v>
      </c>
      <c r="S28" s="102">
        <f t="shared" ref="S28" si="58">+D28*2000/O28</f>
        <v>51.392939184265501</v>
      </c>
      <c r="T28" s="102">
        <f t="shared" ref="T28" si="59">+E28*2000/P28</f>
        <v>56.970344544557122</v>
      </c>
      <c r="V28" s="239">
        <f t="shared" ref="V28" si="60">+G28/C28</f>
        <v>102.54050661551616</v>
      </c>
      <c r="X28" s="239">
        <f t="shared" ref="X28" si="61">+H28/D28</f>
        <v>101.8989127442037</v>
      </c>
    </row>
    <row r="29" spans="1:27">
      <c r="A29" t="s">
        <v>70</v>
      </c>
      <c r="C29" s="102">
        <f>+'KC Tonnage - Enspire'!T91+'KC Tonnage - Enspire'!T92</f>
        <v>3898.31</v>
      </c>
      <c r="D29" s="102">
        <f>+'SC Tonnage - Enspire'!Q91+'SC Tonnage - Enspire'!Q92</f>
        <v>3650.83</v>
      </c>
      <c r="E29" s="461">
        <f t="shared" si="0"/>
        <v>7549.1399999999994</v>
      </c>
      <c r="F29" s="104"/>
      <c r="G29" s="495">
        <f>+'Prices - Recy. Acct. Analysis'!M163</f>
        <v>423123.33455153328</v>
      </c>
      <c r="H29" s="495">
        <f>+'Prices - Recy. Acct. Analysis'!M260</f>
        <v>393650.46678469033</v>
      </c>
      <c r="I29" s="487"/>
      <c r="J29" s="495">
        <f t="shared" si="4"/>
        <v>816773.80133622361</v>
      </c>
      <c r="K29" s="104"/>
      <c r="L29" s="496">
        <f t="shared" si="1"/>
        <v>108.19428455906549</v>
      </c>
      <c r="M29" s="104"/>
      <c r="N29" s="475">
        <f>+'Customer Counts - Enspire'!D28+'Customer Counts - Enspire'!F28+'Customer Counts - Enspire'!O28+'Customer Counts - Enspire'!Q28</f>
        <v>126518</v>
      </c>
      <c r="O29" s="453">
        <f>+'Customer Counts - Enspire'!G28+'Customer Counts - Enspire'!H28+'Customer Counts - Enspire'!R28+'Customer Counts - Enspire'!S28</f>
        <v>144321</v>
      </c>
      <c r="P29" s="475">
        <f t="shared" si="5"/>
        <v>270839</v>
      </c>
      <c r="Q29" s="104"/>
      <c r="R29" s="461">
        <f t="shared" ref="R29:R30" si="62">+C29*2000/N29</f>
        <v>61.624590967293194</v>
      </c>
      <c r="S29" s="461">
        <f t="shared" ref="S29:S30" si="63">+D29*2000/O29</f>
        <v>50.593191566022959</v>
      </c>
      <c r="T29" s="461">
        <f t="shared" ref="T29:T30" si="64">+E29*2000/P29</f>
        <v>55.746328999885534</v>
      </c>
      <c r="U29" s="325"/>
      <c r="V29" s="496">
        <f t="shared" ref="V29:V31" si="65">+G29/C29</f>
        <v>108.54019679079737</v>
      </c>
      <c r="W29" s="325"/>
      <c r="X29" s="496">
        <f t="shared" ref="X29:X31" si="66">+H29/D29</f>
        <v>107.82492386243412</v>
      </c>
    </row>
    <row r="30" spans="1:27" s="67" customFormat="1" ht="16.5">
      <c r="A30" s="89" t="s">
        <v>71</v>
      </c>
      <c r="C30" s="87">
        <f>+'KC Tonnage - Enspire'!T95+'KC Tonnage - Enspire'!T96</f>
        <v>3910.6299999999997</v>
      </c>
      <c r="D30" s="87">
        <f>+'SC Tonnage - Enspire'!Q95+'SC Tonnage - Enspire'!Q96</f>
        <v>3338.83</v>
      </c>
      <c r="E30" s="87">
        <f t="shared" si="0"/>
        <v>7249.4599999999991</v>
      </c>
      <c r="F30" s="161"/>
      <c r="G30" s="292">
        <f>+'Prices - Recy. Acct. Analysis'!M167</f>
        <v>424585.53674825927</v>
      </c>
      <c r="H30" s="292">
        <f>+'Prices - Recy. Acct. Analysis'!M264</f>
        <v>363405.92043530638</v>
      </c>
      <c r="I30" s="161"/>
      <c r="J30" s="292">
        <f t="shared" si="4"/>
        <v>787991.45718356571</v>
      </c>
      <c r="K30" s="161"/>
      <c r="L30" s="521">
        <f t="shared" si="1"/>
        <v>108.69657287350586</v>
      </c>
      <c r="M30" s="191"/>
      <c r="N30" s="522">
        <f>+'Customer Counts - Enspire'!D29+'Customer Counts - Enspire'!F29+'Customer Counts - Enspire'!O29+'Customer Counts - Enspire'!Q29</f>
        <v>130806</v>
      </c>
      <c r="O30" s="117">
        <f>+'Customer Counts - Enspire'!G29+'Customer Counts - Enspire'!H29+'Customer Counts - Enspire'!R29+'Customer Counts - Enspire'!S29</f>
        <v>144461</v>
      </c>
      <c r="P30" s="522">
        <f>+O30+N30</f>
        <v>275267</v>
      </c>
      <c r="Q30" s="191"/>
      <c r="R30" s="87">
        <f t="shared" si="62"/>
        <v>59.792822959191469</v>
      </c>
      <c r="S30" s="87">
        <f t="shared" si="63"/>
        <v>46.224655789451823</v>
      </c>
      <c r="T30" s="87">
        <f t="shared" si="64"/>
        <v>52.672205531356823</v>
      </c>
      <c r="U30" s="325"/>
      <c r="V30" s="521">
        <f t="shared" si="65"/>
        <v>108.57215761865973</v>
      </c>
      <c r="W30" s="207"/>
      <c r="X30" s="521">
        <f t="shared" si="66"/>
        <v>108.84229518583048</v>
      </c>
      <c r="Y30"/>
      <c r="Z30"/>
      <c r="AA30"/>
    </row>
    <row r="31" spans="1:27" ht="15">
      <c r="C31" s="163">
        <f>SUM(C7:C30)</f>
        <v>94185</v>
      </c>
      <c r="D31" s="163">
        <f>SUM(D7:D30)</f>
        <v>87748.239999999991</v>
      </c>
      <c r="E31" s="163">
        <f>SUM(E7:E30)</f>
        <v>181933.24000000002</v>
      </c>
      <c r="F31" s="163"/>
      <c r="G31" s="164">
        <f>SUM(G7:G30)</f>
        <v>3794354.8896786994</v>
      </c>
      <c r="H31" s="164">
        <f>SUM(H7:H30)</f>
        <v>3474678.7755534388</v>
      </c>
      <c r="I31" s="164"/>
      <c r="J31" s="164">
        <f>SUM(J7:J30)</f>
        <v>7269033.6652321378</v>
      </c>
      <c r="K31" s="11"/>
      <c r="L31" s="165">
        <f>+J31/E31</f>
        <v>39.954401214600132</v>
      </c>
      <c r="M31" s="11"/>
      <c r="N31" s="166">
        <f>SUM(N7:N30)</f>
        <v>3034566</v>
      </c>
      <c r="O31" s="166">
        <f>SUM(O7:O30)</f>
        <v>3370678</v>
      </c>
      <c r="P31" s="166">
        <f>SUM(P7:P30)</f>
        <v>6405244</v>
      </c>
      <c r="Q31" s="11"/>
      <c r="R31" s="163">
        <f>+C31*2000/N31</f>
        <v>62.074774448800916</v>
      </c>
      <c r="S31" s="163">
        <f>+D31*2000/O31</f>
        <v>52.065631899576282</v>
      </c>
      <c r="T31" s="163">
        <f>+E31*2000/P31</f>
        <v>56.807590780304395</v>
      </c>
      <c r="V31" s="336">
        <f t="shared" si="65"/>
        <v>40.286190897475173</v>
      </c>
      <c r="W31" s="337"/>
      <c r="X31" s="336">
        <f t="shared" si="66"/>
        <v>39.598273145460688</v>
      </c>
    </row>
    <row r="32" spans="1:27">
      <c r="C32" s="304">
        <f>+C31/E31</f>
        <v>0.51768989548034205</v>
      </c>
      <c r="D32" s="304">
        <f>+D31/E31</f>
        <v>0.48231010451965778</v>
      </c>
      <c r="E32" s="11"/>
      <c r="F32" s="11"/>
      <c r="G32" s="304">
        <f>+G31/J31</f>
        <v>0.52198890037160472</v>
      </c>
      <c r="H32" s="304">
        <f>+H31/J31</f>
        <v>0.47801109962839528</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69" t="s">
        <v>98</v>
      </c>
      <c r="C34" s="11"/>
      <c r="D34" s="11"/>
      <c r="E34" s="11"/>
      <c r="F34" s="11"/>
      <c r="G34" s="11"/>
      <c r="H34" s="11"/>
      <c r="I34" s="11"/>
      <c r="J34" s="11"/>
      <c r="K34" s="11"/>
      <c r="L34" s="11"/>
      <c r="M34" s="11"/>
      <c r="N34" s="11"/>
      <c r="O34" s="11"/>
      <c r="P34" s="11"/>
      <c r="Q34" s="11"/>
      <c r="R34" s="11"/>
      <c r="S34" s="11"/>
      <c r="T34" s="11"/>
    </row>
    <row r="35" spans="1:27">
      <c r="A35" t="str">
        <f>+A7</f>
        <v>Oct., 2019</v>
      </c>
      <c r="C35" s="102">
        <f>+'KC Tonnage - Enspire'!V3+'KC Tonnage - Enspire'!V4</f>
        <v>941.99999999999989</v>
      </c>
      <c r="D35" s="102">
        <f>+'SC Tonnage - Enspire'!S3+'SC Tonnage - Enspire'!S4</f>
        <v>2296.6999999999998</v>
      </c>
      <c r="E35" s="102">
        <f t="shared" ref="E35:E58" si="67">+D35+C35</f>
        <v>3238.7</v>
      </c>
      <c r="F35" s="11"/>
      <c r="G35" s="156">
        <f t="shared" ref="G35:H56" si="68">+C35/C7*G7</f>
        <v>8857.0594960677136</v>
      </c>
      <c r="H35" s="156">
        <f t="shared" si="68"/>
        <v>19131.880679225567</v>
      </c>
      <c r="I35" s="156"/>
      <c r="J35" s="156">
        <f>+H35+G35</f>
        <v>27988.940175293283</v>
      </c>
      <c r="K35" s="11"/>
      <c r="L35" s="157">
        <f t="shared" ref="L35:L58" si="69">+J35/E35</f>
        <v>8.6420292633752069</v>
      </c>
      <c r="M35" s="11"/>
      <c r="N35" s="70">
        <f>+'Customer Counts - Enspire'!D6+'Customer Counts - Enspire'!F6</f>
        <v>39152</v>
      </c>
      <c r="O35" s="150">
        <f>+'Customer Counts - Enspire'!G6+'Customer Counts - Enspire'!H6</f>
        <v>101778</v>
      </c>
      <c r="P35" s="70">
        <f>+O35+N35</f>
        <v>140930</v>
      </c>
      <c r="Q35" s="11"/>
      <c r="R35" s="102">
        <f t="shared" ref="R35:R40" si="70">+C35*2000/N35</f>
        <v>48.120147118921125</v>
      </c>
      <c r="S35" s="102">
        <f t="shared" ref="S35:T37" si="71">+D35*2000/O35</f>
        <v>45.131560848120422</v>
      </c>
      <c r="T35" s="102">
        <f t="shared" si="71"/>
        <v>45.961825019513235</v>
      </c>
      <c r="V35" s="239">
        <f>+G35/C35</f>
        <v>9.4023986157831363</v>
      </c>
      <c r="X35" s="239">
        <f>+H35/D35</f>
        <v>8.3301609610421767</v>
      </c>
      <c r="Z35" s="102"/>
      <c r="AA35" s="102"/>
    </row>
    <row r="36" spans="1:27">
      <c r="A36" t="str">
        <f t="shared" ref="A36:A58" si="72">+A8</f>
        <v>Nov</v>
      </c>
      <c r="C36" s="102">
        <f>+'KC Tonnage - Enspire'!V7+'KC Tonnage - Enspire'!V8</f>
        <v>845</v>
      </c>
      <c r="D36" s="102">
        <f>+'SC Tonnage - Enspire'!S7+'SC Tonnage - Enspire'!S8</f>
        <v>2149.7999999999997</v>
      </c>
      <c r="E36" s="102">
        <f t="shared" si="67"/>
        <v>2994.7999999999997</v>
      </c>
      <c r="F36" s="11"/>
      <c r="G36" s="156">
        <f t="shared" si="68"/>
        <v>10332.155101974533</v>
      </c>
      <c r="H36" s="156">
        <f t="shared" si="68"/>
        <v>24279.366004981737</v>
      </c>
      <c r="I36" s="156"/>
      <c r="J36" s="156">
        <f t="shared" ref="J36:J58" si="73">+H36+G36</f>
        <v>34611.521106956272</v>
      </c>
      <c r="K36" s="11"/>
      <c r="L36" s="157">
        <f t="shared" si="69"/>
        <v>11.557206193053384</v>
      </c>
      <c r="M36" s="11"/>
      <c r="N36" s="70">
        <f>+'Customer Counts - Enspire'!D7+'Customer Counts - Enspire'!F7</f>
        <v>39152</v>
      </c>
      <c r="O36" s="150">
        <f>+'Customer Counts - Enspire'!G7+'Customer Counts - Enspire'!H7</f>
        <v>101778</v>
      </c>
      <c r="P36" s="70">
        <f t="shared" ref="P36:P58" si="74">+O36+N36</f>
        <v>140930</v>
      </c>
      <c r="Q36" s="11"/>
      <c r="R36" s="102">
        <f t="shared" si="70"/>
        <v>43.1651001225991</v>
      </c>
      <c r="S36" s="102">
        <f t="shared" si="71"/>
        <v>42.244885928196652</v>
      </c>
      <c r="T36" s="102">
        <f t="shared" si="71"/>
        <v>42.500532179095998</v>
      </c>
      <c r="V36" s="239">
        <f t="shared" ref="V36:V51" si="75">+G36/C36</f>
        <v>12.227402487543825</v>
      </c>
      <c r="X36" s="239">
        <f t="shared" ref="X36:X51" si="76">+H36/D36</f>
        <v>11.293778958499274</v>
      </c>
      <c r="Z36" s="102"/>
      <c r="AA36" s="102"/>
    </row>
    <row r="37" spans="1:27">
      <c r="A37" t="str">
        <f t="shared" si="72"/>
        <v>Dec</v>
      </c>
      <c r="C37" s="102">
        <f>+'KC Tonnage - Enspire'!V11+'KC Tonnage - Enspire'!V12</f>
        <v>991.6</v>
      </c>
      <c r="D37" s="102">
        <f>+'SC Tonnage - Enspire'!S11+'SC Tonnage - Enspire'!S12</f>
        <v>2397.4899999999998</v>
      </c>
      <c r="E37" s="102">
        <f t="shared" si="67"/>
        <v>3389.0899999999997</v>
      </c>
      <c r="F37" s="11"/>
      <c r="G37" s="156">
        <f t="shared" si="68"/>
        <v>3584.4654115620397</v>
      </c>
      <c r="H37" s="156">
        <f t="shared" si="68"/>
        <v>5768.9950903033141</v>
      </c>
      <c r="I37" s="156"/>
      <c r="J37" s="156">
        <f t="shared" si="73"/>
        <v>9353.4605018653529</v>
      </c>
      <c r="K37" s="11"/>
      <c r="L37" s="157">
        <f t="shared" si="69"/>
        <v>2.7598737424693218</v>
      </c>
      <c r="M37" s="11"/>
      <c r="N37" s="70">
        <f>+'Customer Counts - Enspire'!D8+'Customer Counts - Enspire'!F8</f>
        <v>39177</v>
      </c>
      <c r="O37" s="150">
        <f>+'Customer Counts - Enspire'!G8+'Customer Counts - Enspire'!H8</f>
        <v>101958</v>
      </c>
      <c r="P37" s="70">
        <f t="shared" si="74"/>
        <v>141135</v>
      </c>
      <c r="Q37" s="11"/>
      <c r="R37" s="102">
        <f t="shared" si="70"/>
        <v>50.621538147382395</v>
      </c>
      <c r="S37" s="102">
        <f t="shared" si="71"/>
        <v>47.028972714254891</v>
      </c>
      <c r="T37" s="102">
        <f t="shared" si="71"/>
        <v>48.026216034293398</v>
      </c>
      <c r="V37" s="239">
        <f t="shared" si="75"/>
        <v>3.614829983422791</v>
      </c>
      <c r="X37" s="239">
        <f t="shared" si="76"/>
        <v>2.4062645059221581</v>
      </c>
      <c r="Z37" s="102"/>
      <c r="AA37" s="102"/>
    </row>
    <row r="38" spans="1:27">
      <c r="A38" t="str">
        <f t="shared" si="72"/>
        <v>Jan., 2020</v>
      </c>
      <c r="B38" s="22"/>
      <c r="C38" s="102">
        <f>+'KC Tonnage - Enspire'!V15+'KC Tonnage - Enspire'!V16</f>
        <v>941.7</v>
      </c>
      <c r="D38" s="102">
        <f>+'SC Tonnage - Enspire'!S15+'SC Tonnage - Enspire'!S16</f>
        <v>2513.5</v>
      </c>
      <c r="E38" s="151">
        <f t="shared" si="67"/>
        <v>3455.2</v>
      </c>
      <c r="F38" s="152"/>
      <c r="G38" s="156">
        <f t="shared" si="68"/>
        <v>9297.4506544554333</v>
      </c>
      <c r="H38" s="156">
        <f t="shared" si="68"/>
        <v>23410.657194390878</v>
      </c>
      <c r="I38" s="156"/>
      <c r="J38" s="167">
        <f t="shared" si="73"/>
        <v>32708.10784884631</v>
      </c>
      <c r="K38" s="11"/>
      <c r="L38" s="157">
        <f t="shared" si="69"/>
        <v>9.4663428597031469</v>
      </c>
      <c r="M38" s="11"/>
      <c r="N38" s="70">
        <f>+'Customer Counts - Enspire'!D9+'Customer Counts - Enspire'!F9</f>
        <v>39138</v>
      </c>
      <c r="O38" s="150">
        <f>+'Customer Counts - Enspire'!G9+'Customer Counts - Enspire'!H9</f>
        <v>102000</v>
      </c>
      <c r="P38" s="70">
        <f t="shared" si="74"/>
        <v>141138</v>
      </c>
      <c r="Q38" s="11"/>
      <c r="R38" s="102">
        <f t="shared" si="70"/>
        <v>48.122029740916759</v>
      </c>
      <c r="S38" s="102">
        <f t="shared" ref="S38:T40" si="77">+D38*2000/O38</f>
        <v>49.284313725490193</v>
      </c>
      <c r="T38" s="102">
        <f t="shared" si="77"/>
        <v>48.962008814068497</v>
      </c>
      <c r="V38" s="239">
        <f t="shared" si="75"/>
        <v>9.873049436609783</v>
      </c>
      <c r="X38" s="239">
        <f t="shared" si="76"/>
        <v>9.3139674535074111</v>
      </c>
      <c r="Z38" s="102"/>
      <c r="AA38" s="102"/>
    </row>
    <row r="39" spans="1:27">
      <c r="A39" t="str">
        <f t="shared" si="72"/>
        <v>Feb</v>
      </c>
      <c r="B39" s="22"/>
      <c r="C39" s="102">
        <f>+'KC Tonnage - Enspire'!V19+'KC Tonnage - Enspire'!V20</f>
        <v>853.6</v>
      </c>
      <c r="D39" s="102">
        <f>+'SC Tonnage - Enspire'!S19+'SC Tonnage - Enspire'!S20</f>
        <v>2146.8000000000002</v>
      </c>
      <c r="E39" s="151">
        <f t="shared" si="67"/>
        <v>3000.4</v>
      </c>
      <c r="F39" s="152"/>
      <c r="G39" s="156">
        <f t="shared" si="68"/>
        <v>8371.9115691400912</v>
      </c>
      <c r="H39" s="156">
        <f t="shared" si="68"/>
        <v>18242.16911957234</v>
      </c>
      <c r="I39" s="156"/>
      <c r="J39" s="167">
        <f t="shared" si="73"/>
        <v>26614.080688712431</v>
      </c>
      <c r="K39" s="11"/>
      <c r="L39" s="157">
        <f t="shared" si="69"/>
        <v>8.8701775392322464</v>
      </c>
      <c r="M39" s="11"/>
      <c r="N39" s="70">
        <f>+'Customer Counts - Enspire'!D10+'Customer Counts - Enspire'!F10</f>
        <v>39205</v>
      </c>
      <c r="O39" s="150">
        <f>+'Customer Counts - Enspire'!G10+'Customer Counts - Enspire'!H10</f>
        <v>102167</v>
      </c>
      <c r="P39" s="70">
        <f t="shared" si="74"/>
        <v>141372</v>
      </c>
      <c r="Q39" s="11"/>
      <c r="R39" s="102">
        <f t="shared" si="70"/>
        <v>43.545466139523022</v>
      </c>
      <c r="S39" s="102">
        <f t="shared" si="77"/>
        <v>42.025311499799351</v>
      </c>
      <c r="T39" s="102">
        <f t="shared" si="77"/>
        <v>42.44687774099539</v>
      </c>
      <c r="V39" s="239">
        <f t="shared" si="75"/>
        <v>9.8077689422915775</v>
      </c>
      <c r="X39" s="239">
        <f t="shared" si="76"/>
        <v>8.4973770819696011</v>
      </c>
      <c r="Z39" s="102"/>
      <c r="AA39" s="102"/>
    </row>
    <row r="40" spans="1:27">
      <c r="A40" t="str">
        <f t="shared" si="72"/>
        <v>Mar</v>
      </c>
      <c r="B40" s="22"/>
      <c r="C40" s="102">
        <f>+'KC Tonnage - Enspire'!V23+'KC Tonnage - Enspire'!V24</f>
        <v>929.76999999999987</v>
      </c>
      <c r="D40" s="102">
        <f>+'SC Tonnage - Enspire'!S23+'SC Tonnage - Enspire'!S24</f>
        <v>2251.8799999999997</v>
      </c>
      <c r="E40" s="151">
        <f t="shared" si="67"/>
        <v>3181.6499999999996</v>
      </c>
      <c r="F40" s="152"/>
      <c r="G40" s="156">
        <f t="shared" si="68"/>
        <v>4166.265068809932</v>
      </c>
      <c r="H40" s="156">
        <f t="shared" si="68"/>
        <v>8718.894551786645</v>
      </c>
      <c r="I40" s="156"/>
      <c r="J40" s="167">
        <f t="shared" si="73"/>
        <v>12885.159620596576</v>
      </c>
      <c r="K40" s="11"/>
      <c r="L40" s="157">
        <f t="shared" si="69"/>
        <v>4.0498356577865504</v>
      </c>
      <c r="M40" s="11"/>
      <c r="N40" s="70">
        <f>+'Customer Counts - Enspire'!D11+'Customer Counts - Enspire'!F11</f>
        <v>39266</v>
      </c>
      <c r="O40" s="150">
        <f>+'Customer Counts - Enspire'!G11+'Customer Counts - Enspire'!H11</f>
        <v>102368</v>
      </c>
      <c r="P40" s="70">
        <f t="shared" si="74"/>
        <v>141634</v>
      </c>
      <c r="Q40" s="11"/>
      <c r="R40" s="102">
        <f t="shared" si="70"/>
        <v>47.35751031426679</v>
      </c>
      <c r="S40" s="102">
        <f t="shared" si="77"/>
        <v>43.995779931228498</v>
      </c>
      <c r="T40" s="102">
        <f t="shared" si="77"/>
        <v>44.927771580270267</v>
      </c>
      <c r="V40" s="239">
        <f t="shared" si="75"/>
        <v>4.480963107876069</v>
      </c>
      <c r="X40" s="239">
        <f t="shared" si="76"/>
        <v>3.8718291169097139</v>
      </c>
      <c r="Z40" s="102"/>
      <c r="AA40" s="102"/>
    </row>
    <row r="41" spans="1:27">
      <c r="A41" t="str">
        <f t="shared" si="72"/>
        <v>Apr</v>
      </c>
      <c r="B41" s="22"/>
      <c r="C41" s="102">
        <f>+'KC Tonnage - Enspire'!V27+'KC Tonnage - Enspire'!V28</f>
        <v>1025.23</v>
      </c>
      <c r="D41" s="102">
        <f>+'SC Tonnage - Enspire'!S27+'SC Tonnage - Enspire'!S28</f>
        <v>2416.3099999999995</v>
      </c>
      <c r="E41" s="151">
        <f t="shared" si="67"/>
        <v>3441.5399999999995</v>
      </c>
      <c r="F41" s="152"/>
      <c r="G41" s="156">
        <f t="shared" si="68"/>
        <v>6880.6670695996545</v>
      </c>
      <c r="H41" s="156">
        <f t="shared" si="68"/>
        <v>15235.664463243947</v>
      </c>
      <c r="I41" s="156"/>
      <c r="J41" s="167">
        <f t="shared" si="73"/>
        <v>22116.3315328436</v>
      </c>
      <c r="K41" s="11"/>
      <c r="L41" s="157">
        <f t="shared" si="69"/>
        <v>6.4262892579611464</v>
      </c>
      <c r="M41" s="11"/>
      <c r="N41" s="70">
        <f>+'Customer Counts - Enspire'!D12+'Customer Counts - Enspire'!F12</f>
        <v>39454</v>
      </c>
      <c r="O41" s="150">
        <f>+'Customer Counts - Enspire'!G12+'Customer Counts - Enspire'!H12</f>
        <v>103205</v>
      </c>
      <c r="P41" s="70">
        <f t="shared" si="74"/>
        <v>142659</v>
      </c>
      <c r="Q41" s="11"/>
      <c r="R41" s="102">
        <f t="shared" ref="R41:T42" si="78">+C41*2000/N41</f>
        <v>51.970902823541337</v>
      </c>
      <c r="S41" s="102">
        <f t="shared" si="78"/>
        <v>46.825444503657756</v>
      </c>
      <c r="T41" s="102">
        <f t="shared" si="78"/>
        <v>48.248480642651352</v>
      </c>
      <c r="V41" s="239">
        <f t="shared" si="75"/>
        <v>6.7113399623495749</v>
      </c>
      <c r="X41" s="239">
        <f t="shared" si="76"/>
        <v>6.305343463067218</v>
      </c>
      <c r="Z41" s="102"/>
      <c r="AA41" s="151"/>
    </row>
    <row r="42" spans="1:27">
      <c r="A42" t="str">
        <f t="shared" si="72"/>
        <v>May</v>
      </c>
      <c r="B42" s="22"/>
      <c r="C42" s="102">
        <f>+'KC Tonnage - Enspire'!V31+'KC Tonnage - Enspire'!V32</f>
        <v>924.38999999999987</v>
      </c>
      <c r="D42" s="102">
        <f>+'SC Tonnage - Enspire'!S31+'SC Tonnage - Enspire'!S32</f>
        <v>2392.9799999999996</v>
      </c>
      <c r="E42" s="151">
        <f t="shared" si="67"/>
        <v>3317.3699999999994</v>
      </c>
      <c r="F42" s="152"/>
      <c r="G42" s="156">
        <f t="shared" si="68"/>
        <v>12764.757975606706</v>
      </c>
      <c r="H42" s="156">
        <f t="shared" si="68"/>
        <v>33639.142960012832</v>
      </c>
      <c r="I42" s="156"/>
      <c r="J42" s="167">
        <f t="shared" si="73"/>
        <v>46403.900935619538</v>
      </c>
      <c r="K42" s="11"/>
      <c r="L42" s="157">
        <f t="shared" si="69"/>
        <v>13.988159576899637</v>
      </c>
      <c r="M42" s="11"/>
      <c r="N42" s="70">
        <f>+'Customer Counts - Enspire'!D13+'Customer Counts - Enspire'!F13</f>
        <v>39612</v>
      </c>
      <c r="O42" s="150">
        <f>+'Customer Counts - Enspire'!G13+'Customer Counts - Enspire'!H13</f>
        <v>103778</v>
      </c>
      <c r="P42" s="70">
        <f t="shared" si="74"/>
        <v>143390</v>
      </c>
      <c r="Q42" s="11"/>
      <c r="R42" s="102">
        <f t="shared" si="78"/>
        <v>46.67222053923053</v>
      </c>
      <c r="S42" s="102">
        <f t="shared" si="78"/>
        <v>46.117288828075303</v>
      </c>
      <c r="T42" s="102">
        <f t="shared" si="78"/>
        <v>46.270590696701298</v>
      </c>
      <c r="V42" s="239">
        <f t="shared" si="75"/>
        <v>13.808844725285548</v>
      </c>
      <c r="X42" s="239">
        <f t="shared" si="76"/>
        <v>14.057427542233048</v>
      </c>
      <c r="Z42" s="102"/>
      <c r="AA42" s="151"/>
    </row>
    <row r="43" spans="1:27">
      <c r="A43" t="str">
        <f t="shared" si="72"/>
        <v>Jun</v>
      </c>
      <c r="B43" s="22"/>
      <c r="C43" s="102">
        <f>+'KC Tonnage - Enspire'!V35+'KC Tonnage - Enspire'!V36</f>
        <v>961.7</v>
      </c>
      <c r="D43" s="102">
        <f>+'SC Tonnage - Enspire'!S35+'SC Tonnage - Enspire'!S36</f>
        <v>2545.0699999999997</v>
      </c>
      <c r="E43" s="151">
        <f t="shared" si="67"/>
        <v>3506.7699999999995</v>
      </c>
      <c r="F43" s="152"/>
      <c r="G43" s="156">
        <f t="shared" si="68"/>
        <v>11106.747342676903</v>
      </c>
      <c r="H43" s="156">
        <f t="shared" si="68"/>
        <v>30097.062316869728</v>
      </c>
      <c r="I43" s="156"/>
      <c r="J43" s="167">
        <f t="shared" si="73"/>
        <v>41203.809659546634</v>
      </c>
      <c r="K43" s="11"/>
      <c r="L43" s="157">
        <f t="shared" si="69"/>
        <v>11.749789595424462</v>
      </c>
      <c r="M43" s="11"/>
      <c r="N43" s="70">
        <f>+'Customer Counts - Enspire'!D14+'Customer Counts - Enspire'!F14</f>
        <v>39725</v>
      </c>
      <c r="O43" s="150">
        <f>+'Customer Counts - Enspire'!G14+'Customer Counts - Enspire'!H14</f>
        <v>104222</v>
      </c>
      <c r="P43" s="70">
        <f>+O43+N43</f>
        <v>143947</v>
      </c>
      <c r="Q43" s="11"/>
      <c r="R43" s="102">
        <f t="shared" ref="R43" si="79">+C43*2000/N43</f>
        <v>48.417872876022656</v>
      </c>
      <c r="S43" s="102">
        <f t="shared" ref="S43" si="80">+D43*2000/O43</f>
        <v>48.83940051044884</v>
      </c>
      <c r="T43" s="102">
        <f t="shared" ref="T43" si="81">+E43*2000/P43</f>
        <v>48.723071686106685</v>
      </c>
      <c r="V43" s="239">
        <f t="shared" si="75"/>
        <v>11.549076991449414</v>
      </c>
      <c r="X43" s="239">
        <f t="shared" si="76"/>
        <v>11.825632425383086</v>
      </c>
      <c r="Z43" s="151"/>
      <c r="AA43" s="151"/>
    </row>
    <row r="44" spans="1:27" ht="15">
      <c r="A44" t="str">
        <f t="shared" si="72"/>
        <v>Jul</v>
      </c>
      <c r="B44" s="22"/>
      <c r="C44" s="102">
        <f>+'KC Tonnage - Enspire'!V39+'KC Tonnage - Enspire'!V40</f>
        <v>1078.19</v>
      </c>
      <c r="D44" s="102">
        <f>+'SC Tonnage - Enspire'!S39+'SC Tonnage - Enspire'!S40</f>
        <v>2621.5499999999997</v>
      </c>
      <c r="E44" s="151">
        <f t="shared" si="67"/>
        <v>3699.74</v>
      </c>
      <c r="F44" s="168"/>
      <c r="G44" s="156">
        <f t="shared" si="68"/>
        <v>11487.369069891814</v>
      </c>
      <c r="H44" s="156">
        <f t="shared" si="68"/>
        <v>27400.263561628057</v>
      </c>
      <c r="I44" s="156"/>
      <c r="J44" s="167">
        <f t="shared" si="73"/>
        <v>38887.632631519868</v>
      </c>
      <c r="K44" s="11"/>
      <c r="L44" s="157">
        <f t="shared" si="69"/>
        <v>10.510909585949248</v>
      </c>
      <c r="M44" s="11"/>
      <c r="N44" s="70">
        <f>+'Customer Counts - Enspire'!D15+'Customer Counts - Enspire'!F15</f>
        <v>39859</v>
      </c>
      <c r="O44" s="150">
        <f>+'Customer Counts - Enspire'!G15+'Customer Counts - Enspire'!H15</f>
        <v>104551</v>
      </c>
      <c r="P44" s="70">
        <f>+O44+N44</f>
        <v>144410</v>
      </c>
      <c r="Q44" s="11"/>
      <c r="R44" s="102">
        <f t="shared" ref="R44" si="82">+C44*2000/N44</f>
        <v>54.10020321633759</v>
      </c>
      <c r="S44" s="102">
        <f t="shared" ref="S44" si="83">+D44*2000/O44</f>
        <v>50.148731241212417</v>
      </c>
      <c r="T44" s="102">
        <f t="shared" ref="T44" si="84">+E44*2000/P44</f>
        <v>51.239387854026731</v>
      </c>
      <c r="V44" s="239">
        <f t="shared" si="75"/>
        <v>10.654308674623039</v>
      </c>
      <c r="X44" s="239">
        <f t="shared" si="76"/>
        <v>10.451932468054418</v>
      </c>
      <c r="Z44" s="151"/>
      <c r="AA44" s="151"/>
    </row>
    <row r="45" spans="1:27" ht="15">
      <c r="A45" t="str">
        <f t="shared" si="72"/>
        <v>Aug</v>
      </c>
      <c r="B45" s="22"/>
      <c r="C45" s="102">
        <f>+'KC Tonnage - Enspire'!V43+'KC Tonnage - Enspire'!V44</f>
        <v>1005.76</v>
      </c>
      <c r="D45" s="102">
        <f>+'SC Tonnage - Enspire'!S43+'SC Tonnage - Enspire'!S44</f>
        <v>2364.71</v>
      </c>
      <c r="E45" s="151">
        <f t="shared" si="67"/>
        <v>3370.4700000000003</v>
      </c>
      <c r="F45" s="168"/>
      <c r="G45" s="156">
        <f t="shared" si="68"/>
        <v>18893.103278910086</v>
      </c>
      <c r="H45" s="156">
        <f t="shared" si="68"/>
        <v>44652.293485047776</v>
      </c>
      <c r="I45" s="156"/>
      <c r="J45" s="167">
        <f t="shared" si="73"/>
        <v>63545.396763957862</v>
      </c>
      <c r="K45" s="11"/>
      <c r="L45" s="157">
        <f t="shared" si="69"/>
        <v>18.853571390327716</v>
      </c>
      <c r="M45" s="11"/>
      <c r="N45" s="70">
        <f>+'Customer Counts - Enspire'!D16+'Customer Counts - Enspire'!F16</f>
        <v>39938</v>
      </c>
      <c r="O45" s="150">
        <f>+'Customer Counts - Enspire'!G16+'Customer Counts - Enspire'!H16</f>
        <v>104870</v>
      </c>
      <c r="P45" s="70">
        <f t="shared" si="74"/>
        <v>144808</v>
      </c>
      <c r="Q45" s="11"/>
      <c r="R45" s="102">
        <f t="shared" ref="R45" si="85">+C45*2000/N45</f>
        <v>50.366067404476937</v>
      </c>
      <c r="S45" s="102">
        <f t="shared" ref="S45" si="86">+D45*2000/O45</f>
        <v>45.097930771431294</v>
      </c>
      <c r="T45" s="102">
        <f t="shared" ref="T45" si="87">+E45*2000/P45</f>
        <v>46.550881166786375</v>
      </c>
      <c r="V45" s="239">
        <f t="shared" si="75"/>
        <v>18.784902241996189</v>
      </c>
      <c r="X45" s="239">
        <f t="shared" si="76"/>
        <v>18.88277779729767</v>
      </c>
      <c r="Z45" s="151"/>
      <c r="AA45" s="151"/>
    </row>
    <row r="46" spans="1:27">
      <c r="A46" t="str">
        <f t="shared" si="72"/>
        <v>Sep</v>
      </c>
      <c r="B46" s="22"/>
      <c r="C46" s="102">
        <f>+'KC Tonnage - Enspire'!V47+'KC Tonnage - Enspire'!V48</f>
        <v>1010.1800000000001</v>
      </c>
      <c r="D46" s="102">
        <f>+'SC Tonnage - Enspire'!S47+'SC Tonnage - Enspire'!S48</f>
        <v>2550.84</v>
      </c>
      <c r="E46" s="151">
        <f t="shared" si="67"/>
        <v>3561.0200000000004</v>
      </c>
      <c r="F46" s="152"/>
      <c r="G46" s="156">
        <f t="shared" si="68"/>
        <v>25744.635326414031</v>
      </c>
      <c r="H46" s="156">
        <f t="shared" si="68"/>
        <v>64716.652729215217</v>
      </c>
      <c r="I46" s="156"/>
      <c r="J46" s="167">
        <f t="shared" si="73"/>
        <v>90461.288055629251</v>
      </c>
      <c r="K46" s="11"/>
      <c r="L46" s="157">
        <f t="shared" si="69"/>
        <v>25.403195729209394</v>
      </c>
      <c r="M46" s="11"/>
      <c r="N46" s="70">
        <f>+'Customer Counts - Enspire'!D17+'Customer Counts - Enspire'!F17</f>
        <v>39824</v>
      </c>
      <c r="O46" s="150">
        <f>+'Customer Counts - Enspire'!G17+'Customer Counts - Enspire'!H17</f>
        <v>104606</v>
      </c>
      <c r="P46" s="70">
        <f t="shared" si="74"/>
        <v>144430</v>
      </c>
      <c r="Q46" s="11"/>
      <c r="R46" s="102">
        <f t="shared" ref="R46" si="88">+C46*2000/N46</f>
        <v>50.732221775813585</v>
      </c>
      <c r="S46" s="102">
        <f t="shared" ref="S46" si="89">+D46*2000/O46</f>
        <v>48.770433818327824</v>
      </c>
      <c r="T46" s="102">
        <f t="shared" ref="T46" si="90">+E46*2000/P46</f>
        <v>49.311361905421315</v>
      </c>
      <c r="V46" s="239">
        <f t="shared" si="75"/>
        <v>25.48519603082028</v>
      </c>
      <c r="X46" s="239">
        <f t="shared" si="76"/>
        <v>25.370722087318377</v>
      </c>
      <c r="Z46" s="151"/>
      <c r="AA46" s="151"/>
    </row>
    <row r="47" spans="1:27" ht="15">
      <c r="A47" t="str">
        <f t="shared" si="72"/>
        <v>Oct</v>
      </c>
      <c r="B47" s="22"/>
      <c r="C47" s="102">
        <f>+'KC Tonnage - Enspire'!V51+'KC Tonnage - Enspire'!V52</f>
        <v>1078.6000000000001</v>
      </c>
      <c r="D47" s="102">
        <f>+'SC Tonnage - Enspire'!S51+'SC Tonnage - Enspire'!S52</f>
        <v>2607.7999999999997</v>
      </c>
      <c r="E47" s="151">
        <f t="shared" si="67"/>
        <v>3686.3999999999996</v>
      </c>
      <c r="F47" s="168"/>
      <c r="G47" s="156">
        <f t="shared" si="68"/>
        <v>38600.751664589989</v>
      </c>
      <c r="H47" s="156">
        <f t="shared" si="68"/>
        <v>92551.113205471192</v>
      </c>
      <c r="I47" s="159"/>
      <c r="J47" s="167">
        <f t="shared" si="73"/>
        <v>131151.86487006117</v>
      </c>
      <c r="K47" s="11"/>
      <c r="L47" s="157">
        <f t="shared" si="69"/>
        <v>35.577220288102531</v>
      </c>
      <c r="M47" s="11"/>
      <c r="N47" s="70">
        <f>+'Customer Counts - Enspire'!D18+'Customer Counts - Enspire'!F18</f>
        <v>39783</v>
      </c>
      <c r="O47" s="150">
        <f>+'Customer Counts - Enspire'!G18+'Customer Counts - Enspire'!H18</f>
        <v>104717</v>
      </c>
      <c r="P47" s="70">
        <f t="shared" si="74"/>
        <v>144500</v>
      </c>
      <c r="Q47" s="11"/>
      <c r="R47" s="102">
        <f t="shared" ref="R47:R49" si="91">+C47*2000/N47</f>
        <v>54.224166101098469</v>
      </c>
      <c r="S47" s="102">
        <f t="shared" ref="S47:S49" si="92">+D47*2000/O47</f>
        <v>49.806621656464557</v>
      </c>
      <c r="T47" s="102">
        <f t="shared" ref="T47:T49" si="93">+E47*2000/P47</f>
        <v>51.022837370242208</v>
      </c>
      <c r="V47" s="239">
        <f t="shared" si="75"/>
        <v>35.787828355822349</v>
      </c>
      <c r="X47" s="239">
        <f t="shared" si="76"/>
        <v>35.490111667103001</v>
      </c>
      <c r="Z47" s="151"/>
      <c r="AA47" s="151"/>
    </row>
    <row r="48" spans="1:27" ht="15">
      <c r="A48" t="str">
        <f t="shared" si="72"/>
        <v>Nov</v>
      </c>
      <c r="B48" s="22"/>
      <c r="C48" s="102">
        <f>+'KC Tonnage - Enspire'!V55+'KC Tonnage - Enspire'!V56</f>
        <v>1040.1000000000001</v>
      </c>
      <c r="D48" s="102">
        <f>+'SC Tonnage - Enspire'!S55+'SC Tonnage - Enspire'!S56</f>
        <v>2438.5</v>
      </c>
      <c r="E48" s="151">
        <f t="shared" si="67"/>
        <v>3478.6000000000004</v>
      </c>
      <c r="F48" s="168"/>
      <c r="G48" s="156">
        <f t="shared" si="68"/>
        <v>44153.32186801971</v>
      </c>
      <c r="H48" s="156">
        <f t="shared" si="68"/>
        <v>102791.33566155011</v>
      </c>
      <c r="I48" s="159"/>
      <c r="J48" s="167">
        <f t="shared" si="73"/>
        <v>146944.65752956981</v>
      </c>
      <c r="K48" s="11"/>
      <c r="L48" s="157">
        <f t="shared" si="69"/>
        <v>42.242470398887427</v>
      </c>
      <c r="M48" s="11"/>
      <c r="N48" s="70">
        <f>+'Customer Counts - Enspire'!D19+'Customer Counts - Enspire'!F19</f>
        <v>39808</v>
      </c>
      <c r="O48" s="150">
        <f>+'Customer Counts - Enspire'!G19+'Customer Counts - Enspire'!H19</f>
        <v>104868</v>
      </c>
      <c r="P48" s="70">
        <f t="shared" si="74"/>
        <v>144676</v>
      </c>
      <c r="Q48" s="11"/>
      <c r="R48" s="102">
        <f t="shared" si="91"/>
        <v>52.255827974276535</v>
      </c>
      <c r="S48" s="102">
        <f t="shared" si="92"/>
        <v>46.506083838730596</v>
      </c>
      <c r="T48" s="102">
        <f t="shared" si="93"/>
        <v>48.088141778871417</v>
      </c>
      <c r="V48" s="239">
        <f t="shared" si="75"/>
        <v>42.451035350466015</v>
      </c>
      <c r="X48" s="239">
        <f t="shared" si="76"/>
        <v>42.153510626020143</v>
      </c>
      <c r="Z48" s="151"/>
      <c r="AA48" s="151"/>
    </row>
    <row r="49" spans="1:27">
      <c r="A49" t="str">
        <f t="shared" si="72"/>
        <v>Dec</v>
      </c>
      <c r="B49" s="22"/>
      <c r="C49" s="102">
        <f>+'KC Tonnage - Enspire'!V59+'KC Tonnage - Enspire'!V60</f>
        <v>1132.6000000000001</v>
      </c>
      <c r="D49" s="102">
        <f>+'SC Tonnage - Enspire'!S59+'SC Tonnage - Enspire'!S60</f>
        <v>2787.29</v>
      </c>
      <c r="E49" s="151">
        <f t="shared" si="67"/>
        <v>3919.8900000000003</v>
      </c>
      <c r="F49" s="152"/>
      <c r="G49" s="156">
        <f t="shared" si="68"/>
        <v>56949.415171271889</v>
      </c>
      <c r="H49" s="156">
        <f t="shared" si="68"/>
        <v>139739.96453820509</v>
      </c>
      <c r="I49" s="156"/>
      <c r="J49" s="167">
        <f t="shared" si="73"/>
        <v>196689.37970947698</v>
      </c>
      <c r="K49" s="11"/>
      <c r="L49" s="157">
        <f t="shared" si="69"/>
        <v>50.177270206428489</v>
      </c>
      <c r="M49" s="11"/>
      <c r="N49" s="70">
        <f>+'Customer Counts - Enspire'!D20+'Customer Counts - Enspire'!F20</f>
        <v>39873</v>
      </c>
      <c r="O49" s="150">
        <f>+'Customer Counts - Enspire'!G20+'Customer Counts - Enspire'!H20</f>
        <v>105031</v>
      </c>
      <c r="P49" s="70">
        <f t="shared" si="74"/>
        <v>144904</v>
      </c>
      <c r="Q49" s="11"/>
      <c r="R49" s="102">
        <f t="shared" si="91"/>
        <v>56.810372934065668</v>
      </c>
      <c r="S49" s="102">
        <f t="shared" si="92"/>
        <v>53.07556816558921</v>
      </c>
      <c r="T49" s="102">
        <f t="shared" si="93"/>
        <v>54.103268370783418</v>
      </c>
      <c r="V49" s="239">
        <f t="shared" si="75"/>
        <v>50.282019398968643</v>
      </c>
      <c r="X49" s="239">
        <f t="shared" si="76"/>
        <v>50.134705946709921</v>
      </c>
      <c r="Z49" s="151"/>
      <c r="AA49" s="151"/>
    </row>
    <row r="50" spans="1:27" ht="15">
      <c r="A50" t="str">
        <f t="shared" si="72"/>
        <v>Jan. 2021</v>
      </c>
      <c r="B50" s="22"/>
      <c r="C50" s="102">
        <f>+'KC Tonnage - Enspire'!V63+'KC Tonnage - Enspire'!V64</f>
        <v>1115.24</v>
      </c>
      <c r="D50" s="102">
        <f>+'SC Tonnage - Enspire'!S63+'SC Tonnage - Enspire'!S64</f>
        <v>2633.1400000000003</v>
      </c>
      <c r="E50" s="151">
        <f t="shared" si="67"/>
        <v>3748.38</v>
      </c>
      <c r="F50" s="168"/>
      <c r="G50" s="156">
        <f t="shared" si="68"/>
        <v>53538.560478999738</v>
      </c>
      <c r="H50" s="156">
        <f t="shared" si="68"/>
        <v>126913.91327144232</v>
      </c>
      <c r="I50" s="159"/>
      <c r="J50" s="167">
        <f t="shared" si="73"/>
        <v>180452.47375044206</v>
      </c>
      <c r="K50" s="11"/>
      <c r="L50" s="157">
        <f t="shared" si="69"/>
        <v>48.141456776111831</v>
      </c>
      <c r="M50" s="11"/>
      <c r="N50" s="70">
        <f>+'Customer Counts - Enspire'!D21+'Customer Counts - Enspire'!F21</f>
        <v>39914</v>
      </c>
      <c r="O50" s="150">
        <f>+'Customer Counts - Enspire'!G21+'Customer Counts - Enspire'!H21</f>
        <v>105229</v>
      </c>
      <c r="P50" s="70">
        <f t="shared" si="74"/>
        <v>145143</v>
      </c>
      <c r="Q50" s="11"/>
      <c r="R50" s="102">
        <f t="shared" ref="R50" si="94">+C50*2000/N50</f>
        <v>55.88214661522273</v>
      </c>
      <c r="S50" s="102">
        <f t="shared" ref="S50" si="95">+D50*2000/O50</f>
        <v>50.045899894515777</v>
      </c>
      <c r="T50" s="102">
        <f t="shared" ref="T50" si="96">+E50*2000/P50</f>
        <v>51.650854674355635</v>
      </c>
      <c r="V50" s="239">
        <f t="shared" si="75"/>
        <v>48.006312972095458</v>
      </c>
      <c r="X50" s="239">
        <f t="shared" si="76"/>
        <v>48.19869557693184</v>
      </c>
      <c r="Z50" s="102"/>
      <c r="AA50" s="151"/>
    </row>
    <row r="51" spans="1:27" ht="15">
      <c r="A51" t="str">
        <f t="shared" si="72"/>
        <v>Feb</v>
      </c>
      <c r="B51" s="22"/>
      <c r="C51" s="102">
        <f>+'KC Tonnage - Enspire'!V67+'KC Tonnage - Enspire'!V68</f>
        <v>876.18000000000006</v>
      </c>
      <c r="D51" s="102">
        <f>+'SC Tonnage - Enspire'!S67+'SC Tonnage - Enspire'!S68</f>
        <v>2214.1400000000003</v>
      </c>
      <c r="E51" s="151">
        <f t="shared" si="67"/>
        <v>3090.3200000000006</v>
      </c>
      <c r="F51" s="168"/>
      <c r="G51" s="156">
        <f t="shared" si="68"/>
        <v>45130.08111168725</v>
      </c>
      <c r="H51" s="156">
        <f t="shared" si="68"/>
        <v>114033.98113066112</v>
      </c>
      <c r="I51" s="159"/>
      <c r="J51" s="167">
        <f t="shared" si="73"/>
        <v>159164.06224234839</v>
      </c>
      <c r="K51" s="11"/>
      <c r="L51" s="157">
        <f t="shared" si="69"/>
        <v>51.504071501445921</v>
      </c>
      <c r="M51" s="11"/>
      <c r="N51" s="70">
        <f>+'Customer Counts - Enspire'!D22+'Customer Counts - Enspire'!F22</f>
        <v>39874</v>
      </c>
      <c r="O51" s="150">
        <f>+'Customer Counts - Enspire'!G22+'Customer Counts - Enspire'!H22</f>
        <v>105326</v>
      </c>
      <c r="P51" s="70">
        <f t="shared" si="74"/>
        <v>145200</v>
      </c>
      <c r="Q51" s="11"/>
      <c r="R51" s="102">
        <f t="shared" ref="R51" si="97">+C51*2000/N51</f>
        <v>43.94743441841802</v>
      </c>
      <c r="S51" s="102">
        <f t="shared" ref="S51" si="98">+D51*2000/O51</f>
        <v>42.043559994683186</v>
      </c>
      <c r="T51" s="102">
        <f t="shared" ref="T51" si="99">+E51*2000/P51</f>
        <v>42.566391184573007</v>
      </c>
      <c r="V51" s="239">
        <f t="shared" si="75"/>
        <v>51.507773644327933</v>
      </c>
      <c r="X51" s="239">
        <f t="shared" si="76"/>
        <v>51.50260648859652</v>
      </c>
      <c r="Z51" s="102"/>
      <c r="AA51" s="151"/>
    </row>
    <row r="52" spans="1:27">
      <c r="A52" t="str">
        <f>+A24</f>
        <v>Mar</v>
      </c>
      <c r="B52" s="22"/>
      <c r="C52" s="102">
        <f>+'KC Tonnage - Enspire'!V71+'KC Tonnage - Enspire'!V72</f>
        <v>1048.67</v>
      </c>
      <c r="D52" s="102">
        <f>+'SC Tonnage - Enspire'!S71+'SC Tonnage - Enspire'!S72</f>
        <v>2521.8199999999997</v>
      </c>
      <c r="E52" s="151">
        <f t="shared" si="67"/>
        <v>3570.49</v>
      </c>
      <c r="F52" s="152"/>
      <c r="G52" s="156">
        <f t="shared" si="68"/>
        <v>56764.377346461464</v>
      </c>
      <c r="H52" s="156">
        <f t="shared" si="68"/>
        <v>135166.19705830919</v>
      </c>
      <c r="I52" s="156"/>
      <c r="J52" s="167">
        <f t="shared" si="73"/>
        <v>191930.57440477065</v>
      </c>
      <c r="K52" s="11"/>
      <c r="L52" s="157">
        <f t="shared" si="69"/>
        <v>53.754687565227925</v>
      </c>
      <c r="M52" s="11"/>
      <c r="N52" s="70">
        <f>+'Customer Counts - Enspire'!D23+'Customer Counts - Enspire'!F23</f>
        <v>39971</v>
      </c>
      <c r="O52" s="150">
        <f>+'Customer Counts - Enspire'!G23+'Customer Counts - Enspire'!H23</f>
        <v>105767</v>
      </c>
      <c r="P52" s="70">
        <f t="shared" si="74"/>
        <v>145738</v>
      </c>
      <c r="Q52" s="11"/>
      <c r="R52" s="102">
        <f t="shared" ref="R52" si="100">+C52*2000/N52</f>
        <v>52.471541867854192</v>
      </c>
      <c r="S52" s="102">
        <f t="shared" ref="S52" si="101">+D52*2000/O52</f>
        <v>47.686329384401553</v>
      </c>
      <c r="T52" s="102">
        <f t="shared" ref="T52" si="102">+E52*2000/P52</f>
        <v>48.998751183630901</v>
      </c>
      <c r="V52" s="239">
        <f t="shared" ref="V52" si="103">+G52/C52</f>
        <v>54.129876268474796</v>
      </c>
      <c r="X52" s="239">
        <f t="shared" ref="X52" si="104">+H52/D52</f>
        <v>53.598669634751573</v>
      </c>
      <c r="Z52" s="102"/>
      <c r="AA52" s="151"/>
    </row>
    <row r="53" spans="1:27" ht="15">
      <c r="A53" t="str">
        <f t="shared" si="72"/>
        <v>Apr</v>
      </c>
      <c r="B53" s="22"/>
      <c r="C53" s="102">
        <f>+'KC Tonnage - Enspire'!V75+'KC Tonnage - Enspire'!V76</f>
        <v>971.33</v>
      </c>
      <c r="D53" s="102">
        <f>+'SC Tonnage - Enspire'!S75+'SC Tonnage - Enspire'!S76</f>
        <v>2466.1799999999998</v>
      </c>
      <c r="E53" s="151">
        <f t="shared" si="67"/>
        <v>3437.5099999999998</v>
      </c>
      <c r="F53" s="168"/>
      <c r="G53" s="156">
        <f t="shared" si="68"/>
        <v>64354.911518598194</v>
      </c>
      <c r="H53" s="156">
        <f t="shared" si="68"/>
        <v>162947.34113602625</v>
      </c>
      <c r="I53" s="159"/>
      <c r="J53" s="167">
        <f t="shared" si="73"/>
        <v>227302.25265462446</v>
      </c>
      <c r="K53" s="11"/>
      <c r="L53" s="157">
        <f t="shared" si="69"/>
        <v>66.124099320329094</v>
      </c>
      <c r="M53" s="11"/>
      <c r="N53" s="70">
        <f>+'Customer Counts - Enspire'!D24+'Customer Counts - Enspire'!F24</f>
        <v>40019</v>
      </c>
      <c r="O53" s="150">
        <f>+'Customer Counts - Enspire'!G24+'Customer Counts - Enspire'!H24</f>
        <v>98483</v>
      </c>
      <c r="P53" s="70">
        <f t="shared" si="74"/>
        <v>138502</v>
      </c>
      <c r="Q53" s="11"/>
      <c r="R53" s="102">
        <f t="shared" ref="R53" si="105">+C53*2000/N53</f>
        <v>48.543441865114069</v>
      </c>
      <c r="S53" s="102">
        <f t="shared" ref="S53" si="106">+D53*2000/O53</f>
        <v>50.083364641613272</v>
      </c>
      <c r="T53" s="102">
        <f t="shared" ref="T53" si="107">+E53*2000/P53</f>
        <v>49.638416773764995</v>
      </c>
      <c r="V53" s="239">
        <f t="shared" ref="V53" si="108">+G53/C53</f>
        <v>66.2544259094213</v>
      </c>
      <c r="X53" s="239">
        <f t="shared" ref="X53" si="109">+H53/D53</f>
        <v>66.072768871706955</v>
      </c>
      <c r="Z53" s="102"/>
      <c r="AA53" s="151"/>
    </row>
    <row r="54" spans="1:27" ht="15">
      <c r="A54" t="str">
        <f t="shared" si="72"/>
        <v>May</v>
      </c>
      <c r="B54" s="22"/>
      <c r="C54" s="102">
        <f>+'KC Tonnage - Enspire'!V79+'KC Tonnage - Enspire'!V80</f>
        <v>964.51</v>
      </c>
      <c r="D54" s="102">
        <f>+'SC Tonnage - Enspire'!S79+'SC Tonnage - Enspire'!S80</f>
        <v>2349.6799999999994</v>
      </c>
      <c r="E54" s="151">
        <f t="shared" si="67"/>
        <v>3314.1899999999996</v>
      </c>
      <c r="F54" s="168"/>
      <c r="G54" s="156">
        <f t="shared" si="68"/>
        <v>68442.141358249573</v>
      </c>
      <c r="H54" s="156">
        <f t="shared" si="68"/>
        <v>166791.42720912257</v>
      </c>
      <c r="I54" s="159"/>
      <c r="J54" s="167">
        <f t="shared" si="73"/>
        <v>235233.56856737216</v>
      </c>
      <c r="K54" s="11"/>
      <c r="L54" s="157">
        <f t="shared" si="69"/>
        <v>70.977695475326456</v>
      </c>
      <c r="M54" s="11"/>
      <c r="N54" s="70">
        <f>+'Customer Counts - Enspire'!D25+'Customer Counts - Enspire'!F25</f>
        <v>40077</v>
      </c>
      <c r="O54" s="150">
        <f>+'Customer Counts - Enspire'!G25+'Customer Counts - Enspire'!H25</f>
        <v>98622</v>
      </c>
      <c r="P54" s="70">
        <f t="shared" si="74"/>
        <v>138699</v>
      </c>
      <c r="Q54" s="11"/>
      <c r="R54" s="102">
        <f t="shared" ref="R54" si="110">+C54*2000/N54</f>
        <v>48.132844274771067</v>
      </c>
      <c r="S54" s="102">
        <f t="shared" ref="S54" si="111">+D54*2000/O54</f>
        <v>47.650220032041524</v>
      </c>
      <c r="T54" s="102">
        <f t="shared" ref="T54" si="112">+E54*2000/P54</f>
        <v>47.789674042350697</v>
      </c>
      <c r="V54" s="239">
        <f t="shared" ref="V54" si="113">+G54/C54</f>
        <v>70.960530588847789</v>
      </c>
      <c r="X54" s="239">
        <f t="shared" ref="X54" si="114">+H54/D54</f>
        <v>70.984741415478965</v>
      </c>
      <c r="Z54" s="102"/>
      <c r="AA54" s="151"/>
    </row>
    <row r="55" spans="1:27" ht="15">
      <c r="A55" t="str">
        <f t="shared" si="72"/>
        <v>Jun</v>
      </c>
      <c r="B55" s="22"/>
      <c r="C55" s="102">
        <f>+'KC Tonnage - Enspire'!V83+'KC Tonnage - Enspire'!V84</f>
        <v>1012.6400000000001</v>
      </c>
      <c r="D55" s="102">
        <f>+'SC Tonnage - Enspire'!S83+'SC Tonnage - Enspire'!S84</f>
        <v>2489.83</v>
      </c>
      <c r="E55" s="151">
        <f t="shared" si="67"/>
        <v>3502.4700000000003</v>
      </c>
      <c r="F55" s="168"/>
      <c r="G55" s="156">
        <f t="shared" si="68"/>
        <v>79037.047126603735</v>
      </c>
      <c r="H55" s="156">
        <f t="shared" si="68"/>
        <v>195824.38832819823</v>
      </c>
      <c r="I55" s="159"/>
      <c r="J55" s="167">
        <f t="shared" si="73"/>
        <v>274861.43545480195</v>
      </c>
      <c r="K55" s="11"/>
      <c r="L55" s="157">
        <f t="shared" si="69"/>
        <v>78.476456744754969</v>
      </c>
      <c r="M55" s="11"/>
      <c r="N55" s="70">
        <f>+'Customer Counts - Enspire'!D26+'Customer Counts - Enspire'!F26</f>
        <v>40153</v>
      </c>
      <c r="O55" s="150">
        <f>+'Customer Counts - Enspire'!G26+'Customer Counts - Enspire'!H26</f>
        <v>98801</v>
      </c>
      <c r="P55" s="70">
        <f t="shared" si="74"/>
        <v>138954</v>
      </c>
      <c r="Q55" s="11"/>
      <c r="R55" s="102">
        <f t="shared" ref="R55" si="115">+C55*2000/N55</f>
        <v>50.439070555126648</v>
      </c>
      <c r="S55" s="102">
        <f t="shared" ref="S55" si="116">+D55*2000/O55</f>
        <v>50.400906873412211</v>
      </c>
      <c r="T55" s="102">
        <f t="shared" ref="T55" si="117">+E55*2000/P55</f>
        <v>50.411934884925955</v>
      </c>
      <c r="V55" s="239">
        <f t="shared" ref="V55" si="118">+G55/C55</f>
        <v>78.050488946322218</v>
      </c>
      <c r="X55" s="239">
        <f t="shared" ref="X55" si="119">+H55/D55</f>
        <v>78.649702320318355</v>
      </c>
      <c r="Z55" s="102"/>
      <c r="AA55" s="151"/>
    </row>
    <row r="56" spans="1:27" ht="15">
      <c r="A56" t="str">
        <f t="shared" si="72"/>
        <v>Jul</v>
      </c>
      <c r="B56" s="22"/>
      <c r="C56" s="102">
        <f>+'KC Tonnage - Enspire'!V87+'KC Tonnage - Enspire'!V88</f>
        <v>1070.43</v>
      </c>
      <c r="D56" s="102">
        <f>+'SC Tonnage - Enspire'!S87+'SC Tonnage - Enspire'!S88</f>
        <v>2445.8399999999997</v>
      </c>
      <c r="E56" s="151">
        <f t="shared" si="67"/>
        <v>3516.2699999999995</v>
      </c>
      <c r="F56" s="168"/>
      <c r="G56" s="156">
        <f t="shared" si="68"/>
        <v>109762.43449644698</v>
      </c>
      <c r="H56" s="156">
        <f t="shared" si="68"/>
        <v>249228.43674628314</v>
      </c>
      <c r="I56" s="159"/>
      <c r="J56" s="167">
        <f t="shared" si="73"/>
        <v>358990.87124273012</v>
      </c>
      <c r="K56" s="11"/>
      <c r="L56" s="157">
        <f t="shared" si="69"/>
        <v>102.09422804356041</v>
      </c>
      <c r="M56" s="11"/>
      <c r="N56" s="70">
        <f>+'Customer Counts - Enspire'!D27+'Customer Counts - Enspire'!F27</f>
        <v>40143</v>
      </c>
      <c r="O56" s="150">
        <f>+'Customer Counts - Enspire'!G27+'Customer Counts - Enspire'!H27</f>
        <v>98882</v>
      </c>
      <c r="P56" s="70">
        <f t="shared" si="74"/>
        <v>139025</v>
      </c>
      <c r="Q56" s="11"/>
      <c r="R56" s="102">
        <f t="shared" ref="R56" si="120">+C56*2000/N56</f>
        <v>53.330842238995594</v>
      </c>
      <c r="S56" s="102">
        <f t="shared" ref="S56" si="121">+D56*2000/O56</f>
        <v>49.469873182176727</v>
      </c>
      <c r="T56" s="102">
        <f t="shared" ref="T56" si="122">+E56*2000/P56</f>
        <v>50.58471497932026</v>
      </c>
      <c r="V56" s="239">
        <f t="shared" ref="V56" si="123">+G56/C56</f>
        <v>102.54050661551616</v>
      </c>
      <c r="X56" s="239">
        <f t="shared" ref="X56" si="124">+H56/D56</f>
        <v>101.8989127442037</v>
      </c>
      <c r="Z56" s="102"/>
      <c r="AA56" s="151"/>
    </row>
    <row r="57" spans="1:27" ht="15">
      <c r="A57" t="str">
        <f t="shared" si="72"/>
        <v>Aug</v>
      </c>
      <c r="B57" s="22"/>
      <c r="C57" s="102">
        <f>+'KC Tonnage - Enspire'!V91+'KC Tonnage - Enspire'!V92</f>
        <v>978.72</v>
      </c>
      <c r="D57" s="102">
        <f>+'SC Tonnage - Enspire'!S91+'SC Tonnage - Enspire'!S92</f>
        <v>2433.6699999999996</v>
      </c>
      <c r="E57" s="497">
        <f t="shared" si="67"/>
        <v>3412.3899999999994</v>
      </c>
      <c r="F57" s="489"/>
      <c r="G57" s="495">
        <f t="shared" ref="G57:G58" si="125">+C57/C29*G29</f>
        <v>106230.46140308921</v>
      </c>
      <c r="H57" s="495">
        <f t="shared" ref="H57:H58" si="126">+D57/D29*H29</f>
        <v>262410.28245628998</v>
      </c>
      <c r="I57" s="488"/>
      <c r="J57" s="498">
        <f t="shared" si="73"/>
        <v>368640.7438593792</v>
      </c>
      <c r="K57" s="104"/>
      <c r="L57" s="496">
        <f t="shared" si="69"/>
        <v>108.03007389524036</v>
      </c>
      <c r="M57" s="104"/>
      <c r="N57" s="475">
        <f>+'Customer Counts - Enspire'!D28+'Customer Counts - Enspire'!F28</f>
        <v>40189</v>
      </c>
      <c r="O57" s="453">
        <f>+'Customer Counts - Enspire'!G28+'Customer Counts - Enspire'!H28</f>
        <v>99044</v>
      </c>
      <c r="P57" s="475">
        <f t="shared" si="74"/>
        <v>139233</v>
      </c>
      <c r="Q57" s="325"/>
      <c r="R57" s="461">
        <f t="shared" ref="R57:R58" si="127">+C57*2000/N57</f>
        <v>48.705864788872574</v>
      </c>
      <c r="S57" s="461">
        <f t="shared" ref="S57:S58" si="128">+D57*2000/O57</f>
        <v>49.143209078793255</v>
      </c>
      <c r="T57" s="461">
        <f t="shared" ref="T57:T58" si="129">+E57*2000/P57</f>
        <v>49.016971551284527</v>
      </c>
      <c r="U57" s="325"/>
      <c r="V57" s="496">
        <f t="shared" ref="V57:V58" si="130">+G57/C57</f>
        <v>108.54019679079738</v>
      </c>
      <c r="W57" s="325"/>
      <c r="X57" s="496">
        <f t="shared" ref="X57:X58" si="131">+H57/D57</f>
        <v>107.8249238624341</v>
      </c>
      <c r="Z57" s="102"/>
      <c r="AA57" s="151"/>
    </row>
    <row r="58" spans="1:27" ht="15">
      <c r="A58" t="str">
        <f t="shared" si="72"/>
        <v>Sep</v>
      </c>
      <c r="B58" s="22"/>
      <c r="C58" s="87">
        <f>+'KC Tonnage - Enspire'!V95+'KC Tonnage - Enspire'!V96</f>
        <v>1002.74</v>
      </c>
      <c r="D58" s="87">
        <f>+'SC Tonnage - Enspire'!S95+'SC Tonnage - Enspire'!S96</f>
        <v>2329.9899999999998</v>
      </c>
      <c r="E58" s="180">
        <f t="shared" si="67"/>
        <v>3332.7299999999996</v>
      </c>
      <c r="F58" s="489"/>
      <c r="G58" s="292">
        <f t="shared" si="125"/>
        <v>108869.64533053487</v>
      </c>
      <c r="H58" s="292">
        <f t="shared" si="126"/>
        <v>253601.45936003313</v>
      </c>
      <c r="I58" s="488"/>
      <c r="J58" s="523">
        <f t="shared" si="73"/>
        <v>362471.104690568</v>
      </c>
      <c r="K58" s="104"/>
      <c r="L58" s="521">
        <f t="shared" si="69"/>
        <v>108.7610171512748</v>
      </c>
      <c r="M58" s="325"/>
      <c r="N58" s="522">
        <f>+'Customer Counts - Enspire'!D29+'Customer Counts - Enspire'!F29</f>
        <v>40184</v>
      </c>
      <c r="O58" s="117">
        <f>+'Customer Counts - Enspire'!G29+'Customer Counts - Enspire'!H29</f>
        <v>99121</v>
      </c>
      <c r="P58" s="522">
        <f t="shared" si="74"/>
        <v>139305</v>
      </c>
      <c r="Q58" s="325"/>
      <c r="R58" s="87">
        <f t="shared" si="127"/>
        <v>49.907425841130795</v>
      </c>
      <c r="S58" s="87">
        <f t="shared" si="128"/>
        <v>47.013044662584115</v>
      </c>
      <c r="T58" s="87">
        <f t="shared" si="129"/>
        <v>47.84795951329815</v>
      </c>
      <c r="U58" s="207"/>
      <c r="V58" s="521">
        <f t="shared" si="130"/>
        <v>108.57215761865974</v>
      </c>
      <c r="W58" s="207"/>
      <c r="X58" s="521">
        <f t="shared" si="131"/>
        <v>108.84229518583048</v>
      </c>
      <c r="Z58" s="87"/>
      <c r="AA58" s="87"/>
    </row>
    <row r="59" spans="1:27" ht="15">
      <c r="C59" s="163">
        <f>SUM(C35:C58)</f>
        <v>23800.880000000005</v>
      </c>
      <c r="D59" s="163">
        <f t="shared" ref="D59:P59" si="132">SUM(D35:D58)</f>
        <v>58365.509999999987</v>
      </c>
      <c r="E59" s="163">
        <f t="shared" si="132"/>
        <v>82166.39</v>
      </c>
      <c r="F59" s="163"/>
      <c r="G59" s="164">
        <f t="shared" si="132"/>
        <v>963319.73623966158</v>
      </c>
      <c r="H59" s="164">
        <f t="shared" si="132"/>
        <v>2317292.8822578704</v>
      </c>
      <c r="I59" s="163"/>
      <c r="J59" s="164">
        <f t="shared" si="132"/>
        <v>3280612.6184975319</v>
      </c>
      <c r="K59" s="163"/>
      <c r="L59" s="165">
        <f>+J59/E59</f>
        <v>39.926454338538321</v>
      </c>
      <c r="M59" s="163"/>
      <c r="N59" s="166">
        <f t="shared" si="132"/>
        <v>953490</v>
      </c>
      <c r="O59" s="166">
        <f t="shared" si="132"/>
        <v>2461172</v>
      </c>
      <c r="P59" s="166">
        <f t="shared" si="132"/>
        <v>3414662</v>
      </c>
      <c r="Q59" s="11"/>
      <c r="R59" s="163">
        <f>+C59*2000/N59</f>
        <v>49.923711837565165</v>
      </c>
      <c r="S59" s="163">
        <f>+D59*2000/O59</f>
        <v>47.429037873013336</v>
      </c>
      <c r="T59" s="163">
        <f>+E59*2000/P59</f>
        <v>48.125635860884621</v>
      </c>
      <c r="V59" s="336">
        <f t="shared" ref="V59" si="133">+G59/C59</f>
        <v>40.474122647551745</v>
      </c>
      <c r="W59" s="337"/>
      <c r="X59" s="336">
        <f t="shared" ref="X59" si="134">+H59/D59</f>
        <v>39.703120597384839</v>
      </c>
      <c r="Y59" s="334"/>
    </row>
    <row r="60" spans="1:27" ht="15">
      <c r="C60" s="304">
        <f>+C59/E59</f>
        <v>0.28966685770179273</v>
      </c>
      <c r="D60" s="304">
        <f>+D59/E59</f>
        <v>0.71033314229820721</v>
      </c>
      <c r="E60" s="101">
        <f>+D60+C60</f>
        <v>1</v>
      </c>
      <c r="F60" s="11"/>
      <c r="G60" s="304">
        <f>+G59/J59</f>
        <v>0.2936401972022063</v>
      </c>
      <c r="H60" s="304">
        <f>+H59/J59</f>
        <v>0.70635980279779376</v>
      </c>
      <c r="I60" s="11"/>
      <c r="J60" s="101">
        <f>+H60+G60</f>
        <v>1</v>
      </c>
      <c r="K60" s="11"/>
      <c r="L60" s="11"/>
      <c r="M60" s="11"/>
      <c r="N60" s="304">
        <f>+N59/P59</f>
        <v>0.27923407939058098</v>
      </c>
      <c r="O60" s="304">
        <f>+O59/P59</f>
        <v>0.72076592060941902</v>
      </c>
      <c r="P60" s="101">
        <f>+O60+N60</f>
        <v>1</v>
      </c>
      <c r="Q60" s="11"/>
      <c r="R60" s="11"/>
      <c r="S60" s="11"/>
      <c r="T60" s="11"/>
      <c r="V60" s="337"/>
      <c r="W60" s="338"/>
      <c r="X60" s="338"/>
      <c r="Y60" s="334"/>
    </row>
    <row r="61" spans="1:27" s="67" customFormat="1" ht="16.5">
      <c r="A61" s="82" t="s">
        <v>214</v>
      </c>
      <c r="C61" s="170">
        <f>+C66/24*24</f>
        <v>23806</v>
      </c>
      <c r="D61" s="170">
        <f>+D66/24*24</f>
        <v>57292</v>
      </c>
      <c r="E61" s="171">
        <f>+D61+C61</f>
        <v>81098</v>
      </c>
      <c r="F61" s="104"/>
      <c r="G61" s="172">
        <f>+G66/24*24</f>
        <v>664000</v>
      </c>
      <c r="H61" s="172">
        <f>+H66/24*24</f>
        <v>1184000</v>
      </c>
      <c r="I61" s="172"/>
      <c r="J61" s="173">
        <f>+H61+G61</f>
        <v>1848000</v>
      </c>
      <c r="K61" s="104"/>
      <c r="L61" s="174">
        <f>+J61/E61</f>
        <v>22.787245061530495</v>
      </c>
      <c r="M61" s="104"/>
      <c r="N61" s="175">
        <f>+N66/24*24</f>
        <v>927096</v>
      </c>
      <c r="O61" s="175">
        <f>+O66/24*24</f>
        <v>2382264</v>
      </c>
      <c r="P61" s="175">
        <f>+O61+N61</f>
        <v>3309360</v>
      </c>
      <c r="Q61" s="104"/>
      <c r="R61" s="171">
        <f>+C61*2000/N61</f>
        <v>51.356062371102887</v>
      </c>
      <c r="S61" s="171">
        <f>+D61*2000/O61</f>
        <v>48.09878334223243</v>
      </c>
      <c r="T61" s="171">
        <f>+E61*2000/P61</f>
        <v>49.011289191867917</v>
      </c>
      <c r="V61" s="336">
        <f t="shared" ref="V61" si="135">+G61/C61</f>
        <v>27.892128034949174</v>
      </c>
      <c r="W61" s="337"/>
      <c r="X61" s="336">
        <f t="shared" ref="X61" si="136">+H61/D61</f>
        <v>20.666061579278086</v>
      </c>
    </row>
    <row r="62" spans="1:27">
      <c r="A62" s="83"/>
      <c r="C62" s="304">
        <f>+C61/E61</f>
        <v>0.29354608005129595</v>
      </c>
      <c r="D62" s="304">
        <f>+D61/E61</f>
        <v>0.70645391994870399</v>
      </c>
      <c r="E62" s="101">
        <f>+D62+C62</f>
        <v>1</v>
      </c>
      <c r="F62" s="11"/>
      <c r="G62" s="304">
        <f>+G61/J61</f>
        <v>0.3593073593073593</v>
      </c>
      <c r="H62" s="304">
        <f>+H61/J61</f>
        <v>0.64069264069264065</v>
      </c>
      <c r="I62" s="11"/>
      <c r="J62" s="101">
        <f>+H62+G62</f>
        <v>1</v>
      </c>
      <c r="K62" s="11"/>
      <c r="L62" s="11"/>
      <c r="M62" s="11"/>
      <c r="N62" s="11"/>
      <c r="O62" s="11"/>
      <c r="P62" s="11"/>
      <c r="Q62" s="11"/>
      <c r="R62" s="11"/>
      <c r="S62" s="11"/>
      <c r="T62" s="11"/>
    </row>
    <row r="63" spans="1:27" s="68" customFormat="1" ht="16.5">
      <c r="A63" s="68" t="s">
        <v>99</v>
      </c>
      <c r="C63" s="163">
        <f>+C59-C61</f>
        <v>-5.1199999999953434</v>
      </c>
      <c r="D63" s="163">
        <f>+D59-D61</f>
        <v>1073.5099999999875</v>
      </c>
      <c r="E63" s="163">
        <f>+E59-E61</f>
        <v>1068.3899999999994</v>
      </c>
      <c r="F63" s="163"/>
      <c r="G63" s="164">
        <f>+G59-G61</f>
        <v>299319.73623966158</v>
      </c>
      <c r="H63" s="164">
        <f>+H59-H61</f>
        <v>1133292.8822578704</v>
      </c>
      <c r="I63" s="164"/>
      <c r="J63" s="164">
        <f>+J59-J61</f>
        <v>1432612.6184975319</v>
      </c>
      <c r="K63" s="163"/>
      <c r="L63" s="163">
        <f>+L59-L61</f>
        <v>17.139209277007826</v>
      </c>
      <c r="M63" s="163"/>
      <c r="N63" s="166">
        <f>+N59-N61</f>
        <v>26394</v>
      </c>
      <c r="O63" s="166">
        <f>+O59-O61</f>
        <v>78908</v>
      </c>
      <c r="P63" s="166">
        <f>+P59-P61</f>
        <v>105302</v>
      </c>
      <c r="Q63" s="163"/>
      <c r="R63" s="163">
        <f>+R59-R61</f>
        <v>-1.432350533537722</v>
      </c>
      <c r="S63" s="163">
        <f>+S59-S61</f>
        <v>-0.6697454692190945</v>
      </c>
      <c r="T63" s="163">
        <f>+T59-T61</f>
        <v>-0.88565333098329546</v>
      </c>
    </row>
    <row r="64" spans="1:27">
      <c r="C64" s="153">
        <f>+C63/C61</f>
        <v>-2.1507183063073778E-4</v>
      </c>
      <c r="D64" s="153">
        <f>+D63/D61</f>
        <v>1.8737520072610269E-2</v>
      </c>
      <c r="E64" s="153">
        <f>+E63/E61</f>
        <v>1.317406101260203E-2</v>
      </c>
      <c r="F64" s="153"/>
      <c r="G64" s="153">
        <f>+G63/G61</f>
        <v>0.45078273530069513</v>
      </c>
      <c r="H64" s="153">
        <f>+H63/H61</f>
        <v>0.95717304244752566</v>
      </c>
      <c r="I64" s="153"/>
      <c r="J64" s="153">
        <f>+J63/J61</f>
        <v>0.77522327840775529</v>
      </c>
      <c r="K64" s="11"/>
      <c r="L64" s="153">
        <f>+L63/L61</f>
        <v>0.75214047291492458</v>
      </c>
      <c r="M64" s="153"/>
      <c r="N64" s="153">
        <f>+N63/N61</f>
        <v>2.8469543607134537E-2</v>
      </c>
      <c r="O64" s="153">
        <f>+O63/O61</f>
        <v>3.3123113139433752E-2</v>
      </c>
      <c r="P64" s="153">
        <f>+P63/P61</f>
        <v>3.1819445451688542E-2</v>
      </c>
      <c r="Q64" s="153"/>
      <c r="R64" s="153">
        <f>+R63/R61</f>
        <v>-2.7890583261377128E-2</v>
      </c>
      <c r="S64" s="153">
        <f>+S63/S61</f>
        <v>-1.3924374436952427E-2</v>
      </c>
      <c r="T64" s="153">
        <f>+T63/T61</f>
        <v>-1.8070394506787334E-2</v>
      </c>
    </row>
    <row r="65" spans="1:20">
      <c r="C65" s="11"/>
      <c r="D65" s="11"/>
      <c r="E65" s="11"/>
      <c r="F65" s="11"/>
      <c r="G65" s="11"/>
      <c r="H65" s="11"/>
      <c r="I65" s="11"/>
      <c r="J65" s="11"/>
      <c r="K65" s="11"/>
      <c r="L65" s="11"/>
      <c r="M65" s="11"/>
      <c r="N65" s="11"/>
      <c r="O65" s="11"/>
      <c r="P65" s="11"/>
      <c r="Q65" s="11"/>
      <c r="R65" s="11"/>
      <c r="S65" s="11"/>
      <c r="T65" s="11"/>
    </row>
    <row r="66" spans="1:20" s="67" customFormat="1" ht="16.5">
      <c r="A66" s="82" t="s">
        <v>215</v>
      </c>
      <c r="C66" s="170">
        <f>+'KC 2020-2021 Budget vs. Actual'!D12</f>
        <v>23806</v>
      </c>
      <c r="D66" s="170">
        <f>+'SC 2020-2021 Budget vs. Actual'!D11</f>
        <v>57292</v>
      </c>
      <c r="E66" s="171">
        <f>+D66+C66</f>
        <v>81098</v>
      </c>
      <c r="F66" s="104"/>
      <c r="G66" s="172">
        <f>+'KC 2020-2021 Budget vs. Actual'!D16</f>
        <v>664000</v>
      </c>
      <c r="H66" s="172">
        <f>+'SC 2020-2021 Budget vs. Actual'!D15</f>
        <v>1184000</v>
      </c>
      <c r="I66" s="172"/>
      <c r="J66" s="173">
        <f>+H66+G66</f>
        <v>1848000</v>
      </c>
      <c r="K66" s="104"/>
      <c r="L66" s="174">
        <f>+J66/E66</f>
        <v>22.787245061530495</v>
      </c>
      <c r="M66" s="104"/>
      <c r="N66" s="175">
        <f>+'KC 2020-2021 Budget vs. Actual'!D8*24</f>
        <v>927096</v>
      </c>
      <c r="O66" s="175">
        <f>+'SC 2020-2021 Budget vs. Actual'!D7*24</f>
        <v>2382264</v>
      </c>
      <c r="P66" s="175">
        <f>+O66+N66</f>
        <v>3309360</v>
      </c>
      <c r="Q66" s="104"/>
      <c r="R66" s="171">
        <f>+R61</f>
        <v>51.356062371102887</v>
      </c>
      <c r="S66" s="171">
        <f>+S61</f>
        <v>48.09878334223243</v>
      </c>
      <c r="T66" s="171">
        <f>+T61</f>
        <v>49.011289191867917</v>
      </c>
    </row>
    <row r="67" spans="1:20" s="67" customFormat="1" ht="16.5">
      <c r="A67" s="82"/>
      <c r="C67" s="304"/>
      <c r="D67" s="304"/>
      <c r="E67" s="101"/>
      <c r="F67" s="104"/>
      <c r="G67" s="304"/>
      <c r="H67" s="304"/>
      <c r="I67" s="11"/>
      <c r="J67" s="101"/>
      <c r="K67" s="104"/>
      <c r="L67" s="174"/>
      <c r="M67" s="104"/>
      <c r="N67" s="175"/>
      <c r="O67" s="175"/>
      <c r="P67" s="175"/>
      <c r="Q67" s="104"/>
      <c r="R67" s="171"/>
      <c r="S67" s="171"/>
      <c r="T67" s="171"/>
    </row>
    <row r="68" spans="1:20" s="67" customFormat="1" ht="16.5">
      <c r="A68" s="91"/>
      <c r="C68" s="170"/>
      <c r="D68" s="170"/>
      <c r="E68" s="171"/>
      <c r="F68" s="104"/>
      <c r="G68" s="176">
        <f>+G63*0.5</f>
        <v>149659.86811983079</v>
      </c>
      <c r="H68" s="176">
        <f>+H63*0.5</f>
        <v>566646.4411289352</v>
      </c>
      <c r="I68" s="172"/>
      <c r="J68" s="177"/>
      <c r="K68" s="104"/>
      <c r="L68" s="174"/>
      <c r="M68" s="104"/>
      <c r="N68" s="175"/>
      <c r="O68" s="175"/>
      <c r="P68" s="175"/>
      <c r="Q68" s="104"/>
      <c r="R68" s="171"/>
      <c r="S68" s="171"/>
      <c r="T68" s="171"/>
    </row>
    <row r="69" spans="1:20" s="67" customFormat="1" ht="16.5">
      <c r="A69" s="82"/>
      <c r="C69" s="170"/>
      <c r="D69" s="170"/>
      <c r="E69" s="171"/>
      <c r="F69" s="104"/>
      <c r="G69" s="176"/>
      <c r="H69" s="176"/>
      <c r="I69" s="176"/>
      <c r="J69" s="176"/>
      <c r="K69" s="104"/>
      <c r="L69" s="174"/>
      <c r="M69" s="104"/>
      <c r="N69" s="175"/>
      <c r="O69" s="175"/>
      <c r="P69" s="175"/>
      <c r="Q69" s="104"/>
      <c r="R69" s="171"/>
      <c r="S69" s="171"/>
      <c r="T69" s="171"/>
    </row>
    <row r="70" spans="1:20" ht="15">
      <c r="A70" s="69" t="s">
        <v>100</v>
      </c>
      <c r="C70" s="11"/>
      <c r="D70" s="11"/>
      <c r="E70" s="11"/>
      <c r="F70" s="11"/>
      <c r="G70" s="11"/>
      <c r="H70" s="154"/>
      <c r="I70" s="11"/>
      <c r="J70" s="11"/>
      <c r="K70" s="11"/>
      <c r="L70" s="11"/>
      <c r="M70" s="11"/>
      <c r="N70" s="11"/>
      <c r="O70" s="11"/>
      <c r="P70" s="11"/>
      <c r="Q70" s="11"/>
      <c r="R70" s="579" t="s">
        <v>161</v>
      </c>
      <c r="S70" s="579"/>
      <c r="T70" s="11"/>
    </row>
    <row r="71" spans="1:20" ht="15">
      <c r="A71" s="69"/>
      <c r="C71" s="577" t="s">
        <v>107</v>
      </c>
      <c r="D71" s="577"/>
      <c r="E71" s="577"/>
      <c r="F71" s="11"/>
      <c r="G71" s="578" t="s">
        <v>111</v>
      </c>
      <c r="H71" s="578"/>
      <c r="I71" s="11"/>
      <c r="J71" s="11"/>
      <c r="K71" s="11"/>
      <c r="L71" s="11"/>
      <c r="M71" s="11"/>
      <c r="N71" s="178" t="s">
        <v>80</v>
      </c>
      <c r="O71" s="178" t="s">
        <v>80</v>
      </c>
      <c r="P71" s="178" t="s">
        <v>52</v>
      </c>
      <c r="Q71" s="11"/>
      <c r="R71" s="178" t="s">
        <v>116</v>
      </c>
      <c r="S71" s="178" t="s">
        <v>116</v>
      </c>
      <c r="T71" s="11"/>
    </row>
    <row r="72" spans="1:20" ht="15">
      <c r="A72" s="69"/>
      <c r="C72" s="114"/>
      <c r="D72" s="178" t="s">
        <v>14</v>
      </c>
      <c r="E72" s="178"/>
      <c r="F72" s="11"/>
      <c r="G72" s="178" t="s">
        <v>110</v>
      </c>
      <c r="H72" s="11"/>
      <c r="I72" s="11"/>
      <c r="J72" s="178" t="s">
        <v>110</v>
      </c>
      <c r="K72" s="11"/>
      <c r="L72" s="178" t="s">
        <v>14</v>
      </c>
      <c r="M72" s="11"/>
      <c r="N72" s="178" t="s">
        <v>91</v>
      </c>
      <c r="O72" s="178" t="s">
        <v>40</v>
      </c>
      <c r="P72" s="178" t="s">
        <v>94</v>
      </c>
      <c r="Q72" s="11"/>
      <c r="R72" s="178" t="s">
        <v>155</v>
      </c>
      <c r="S72" s="178" t="s">
        <v>155</v>
      </c>
      <c r="T72" s="11"/>
    </row>
    <row r="73" spans="1:20" ht="15">
      <c r="A73" s="69"/>
      <c r="C73" s="179" t="s">
        <v>16</v>
      </c>
      <c r="D73" s="179" t="s">
        <v>17</v>
      </c>
      <c r="E73" s="179" t="s">
        <v>80</v>
      </c>
      <c r="F73" s="11"/>
      <c r="G73" s="179" t="s">
        <v>81</v>
      </c>
      <c r="H73" s="179" t="s">
        <v>80</v>
      </c>
      <c r="I73" s="179"/>
      <c r="J73" s="179" t="s">
        <v>81</v>
      </c>
      <c r="K73" s="11"/>
      <c r="L73" s="179" t="s">
        <v>17</v>
      </c>
      <c r="M73" s="11"/>
      <c r="N73" s="179" t="s">
        <v>15</v>
      </c>
      <c r="O73" s="179" t="s">
        <v>15</v>
      </c>
      <c r="P73" s="179" t="s">
        <v>95</v>
      </c>
      <c r="Q73" s="11"/>
      <c r="R73" s="307" t="s">
        <v>156</v>
      </c>
      <c r="S73" s="307" t="s">
        <v>157</v>
      </c>
      <c r="T73" s="11"/>
    </row>
    <row r="74" spans="1:20">
      <c r="A74" t="str">
        <f t="shared" ref="A74:A97" si="137">+A35</f>
        <v>Oct., 2019</v>
      </c>
      <c r="C74" s="107">
        <f>+'KC Tonnage - Enspire'!R3+'KC Tonnage - Enspire'!S3</f>
        <v>414.7</v>
      </c>
      <c r="D74" s="107">
        <f>+'KC Tonnage - Enspire'!P3+'KC Tonnage - Enspire'!Q3</f>
        <v>436.7</v>
      </c>
      <c r="E74" s="102">
        <f t="shared" ref="E74:E97" si="138">+D74+C74</f>
        <v>851.4</v>
      </c>
      <c r="F74" s="11"/>
      <c r="G74" s="102">
        <f>+'SC Tonnage - Enspire'!S3</f>
        <v>2025.5</v>
      </c>
      <c r="H74" s="102">
        <f t="shared" ref="H74:H97" si="139">+G74+E74</f>
        <v>2876.9</v>
      </c>
      <c r="I74" s="102"/>
      <c r="J74" s="156">
        <f t="shared" ref="J74:J79" si="140">+C74/E74*N74</f>
        <v>3899.1747059652662</v>
      </c>
      <c r="K74" s="11"/>
      <c r="L74" s="156">
        <f t="shared" ref="L74:L79" si="141">+N74-J74</f>
        <v>4106.0274755124956</v>
      </c>
      <c r="M74" s="11"/>
      <c r="N74" s="156">
        <f t="shared" ref="N74:N79" si="142">+E74/C7*G7</f>
        <v>8005.2021814777618</v>
      </c>
      <c r="O74" s="156">
        <f t="shared" ref="O74:O79" si="143">+G74/D7*H7</f>
        <v>16872.741026590928</v>
      </c>
      <c r="P74" s="157">
        <f t="shared" ref="P74:P79" si="144">(O74+N74)/H74</f>
        <v>8.6474827794044593</v>
      </c>
      <c r="Q74" s="156"/>
      <c r="R74" s="304">
        <f t="shared" ref="R74:R79" si="145">(C74+G74)/H74</f>
        <v>0.84820466474330003</v>
      </c>
      <c r="S74" s="101">
        <f t="shared" ref="S74:S80" si="146">1-R74</f>
        <v>0.15179533525669997</v>
      </c>
      <c r="T74" s="107"/>
    </row>
    <row r="75" spans="1:20">
      <c r="A75" t="str">
        <f t="shared" si="137"/>
        <v>Nov</v>
      </c>
      <c r="C75" s="107">
        <f>+'KC Tonnage - Enspire'!R7+'KC Tonnage - Enspire'!S7</f>
        <v>404.7</v>
      </c>
      <c r="D75" s="107">
        <f>+'KC Tonnage - Enspire'!P7+'KC Tonnage - Enspire'!Q7</f>
        <v>358</v>
      </c>
      <c r="E75" s="102">
        <f t="shared" si="138"/>
        <v>762.7</v>
      </c>
      <c r="F75" s="11"/>
      <c r="G75" s="102">
        <f>+'SC Tonnage - Enspire'!S7</f>
        <v>1924.6</v>
      </c>
      <c r="H75" s="102">
        <f t="shared" si="139"/>
        <v>2687.3</v>
      </c>
      <c r="I75" s="102"/>
      <c r="J75" s="156">
        <f t="shared" si="140"/>
        <v>4948.4297867089863</v>
      </c>
      <c r="K75" s="11"/>
      <c r="L75" s="156">
        <f t="shared" si="141"/>
        <v>4377.4100905406904</v>
      </c>
      <c r="M75" s="11"/>
      <c r="N75" s="156">
        <f t="shared" si="142"/>
        <v>9325.8398772496766</v>
      </c>
      <c r="O75" s="156">
        <f t="shared" si="143"/>
        <v>21736.006983527699</v>
      </c>
      <c r="P75" s="157">
        <f t="shared" si="144"/>
        <v>11.558756692880353</v>
      </c>
      <c r="Q75" s="156"/>
      <c r="R75" s="304">
        <f t="shared" si="145"/>
        <v>0.86678078368622768</v>
      </c>
      <c r="S75" s="101">
        <f t="shared" si="146"/>
        <v>0.13321921631377232</v>
      </c>
      <c r="T75" s="107"/>
    </row>
    <row r="76" spans="1:20">
      <c r="A76" t="str">
        <f t="shared" si="137"/>
        <v>Dec</v>
      </c>
      <c r="C76" s="107">
        <f>+'KC Tonnage - Enspire'!R11+'KC Tonnage - Enspire'!S11</f>
        <v>470.2</v>
      </c>
      <c r="D76" s="107">
        <f>+'KC Tonnage - Enspire'!P11+'KC Tonnage - Enspire'!Q11</f>
        <v>426.3</v>
      </c>
      <c r="E76" s="102">
        <f t="shared" si="138"/>
        <v>896.5</v>
      </c>
      <c r="F76" s="11"/>
      <c r="G76" s="102">
        <f>+'SC Tonnage - Enspire'!S11</f>
        <v>2129.25</v>
      </c>
      <c r="H76" s="102">
        <f t="shared" si="139"/>
        <v>3025.75</v>
      </c>
      <c r="I76" s="102"/>
      <c r="J76" s="156">
        <f t="shared" si="140"/>
        <v>1699.6930582053963</v>
      </c>
      <c r="K76" s="11"/>
      <c r="L76" s="156">
        <f t="shared" si="141"/>
        <v>1541.0020219331361</v>
      </c>
      <c r="M76" s="11"/>
      <c r="N76" s="156">
        <f t="shared" si="142"/>
        <v>3240.6950801385324</v>
      </c>
      <c r="O76" s="156">
        <f t="shared" si="143"/>
        <v>5123.5386992347549</v>
      </c>
      <c r="P76" s="157">
        <f t="shared" si="144"/>
        <v>2.7643505839455633</v>
      </c>
      <c r="Q76" s="156"/>
      <c r="R76" s="304">
        <f t="shared" si="145"/>
        <v>0.85910931174089067</v>
      </c>
      <c r="S76" s="101">
        <f t="shared" si="146"/>
        <v>0.14089068825910933</v>
      </c>
      <c r="T76" s="107"/>
    </row>
    <row r="77" spans="1:20">
      <c r="A77" t="str">
        <f t="shared" si="137"/>
        <v>Jan., 2020</v>
      </c>
      <c r="C77" s="107">
        <f>+'KC Tonnage - Enspire'!R15+'KC Tonnage - Enspire'!S15</f>
        <v>408.1</v>
      </c>
      <c r="D77" s="107">
        <f>+'KC Tonnage - Enspire'!P15+'KC Tonnage - Enspire'!Q15</f>
        <v>434</v>
      </c>
      <c r="E77" s="102">
        <f t="shared" si="138"/>
        <v>842.1</v>
      </c>
      <c r="F77" s="11"/>
      <c r="G77" s="102">
        <f>+'SC Tonnage - Enspire'!S15</f>
        <v>2247.3000000000002</v>
      </c>
      <c r="H77" s="151">
        <f t="shared" si="139"/>
        <v>3089.4</v>
      </c>
      <c r="I77" s="151"/>
      <c r="J77" s="156">
        <f t="shared" si="140"/>
        <v>4029.1914750804531</v>
      </c>
      <c r="K77" s="11"/>
      <c r="L77" s="156">
        <f t="shared" si="141"/>
        <v>4284.9034554886457</v>
      </c>
      <c r="M77" s="11"/>
      <c r="N77" s="156">
        <f t="shared" si="142"/>
        <v>8314.0949305690992</v>
      </c>
      <c r="O77" s="156">
        <f t="shared" si="143"/>
        <v>20931.27905826721</v>
      </c>
      <c r="P77" s="157">
        <f t="shared" si="144"/>
        <v>9.4663604547278783</v>
      </c>
      <c r="Q77" s="156"/>
      <c r="R77" s="304">
        <f t="shared" si="145"/>
        <v>0.85951964782805723</v>
      </c>
      <c r="S77" s="101">
        <f t="shared" si="146"/>
        <v>0.14048035217194277</v>
      </c>
      <c r="T77" s="107"/>
    </row>
    <row r="78" spans="1:20">
      <c r="A78" t="str">
        <f t="shared" si="137"/>
        <v>Feb</v>
      </c>
      <c r="C78" s="107">
        <f>+'KC Tonnage - Enspire'!R19+'KC Tonnage - Enspire'!S19</f>
        <v>390.3</v>
      </c>
      <c r="D78" s="107">
        <f>+'KC Tonnage - Enspire'!P19+'KC Tonnage - Enspire'!Q19</f>
        <v>380.70000000000005</v>
      </c>
      <c r="E78" s="102">
        <f t="shared" si="138"/>
        <v>771</v>
      </c>
      <c r="F78" s="11"/>
      <c r="G78" s="102">
        <f>+'SC Tonnage - Enspire'!S19</f>
        <v>1907.1000000000001</v>
      </c>
      <c r="H78" s="151">
        <f t="shared" si="139"/>
        <v>2678.1000000000004</v>
      </c>
      <c r="I78" s="151"/>
      <c r="J78" s="156">
        <f t="shared" si="140"/>
        <v>3827.9722181764027</v>
      </c>
      <c r="K78" s="11"/>
      <c r="L78" s="156">
        <f t="shared" si="141"/>
        <v>3733.8176363304037</v>
      </c>
      <c r="M78" s="11"/>
      <c r="N78" s="156">
        <f t="shared" si="142"/>
        <v>7561.7898545068065</v>
      </c>
      <c r="O78" s="156">
        <f t="shared" si="143"/>
        <v>16205.347833024225</v>
      </c>
      <c r="P78" s="157">
        <f t="shared" si="144"/>
        <v>8.8746266709723418</v>
      </c>
      <c r="Q78" s="156"/>
      <c r="R78" s="304">
        <f t="shared" si="145"/>
        <v>0.85784698106866797</v>
      </c>
      <c r="S78" s="101">
        <f t="shared" si="146"/>
        <v>0.14215301893133203</v>
      </c>
      <c r="T78" s="107"/>
    </row>
    <row r="79" spans="1:20">
      <c r="A79" t="str">
        <f t="shared" si="137"/>
        <v>Mar</v>
      </c>
      <c r="C79" s="107">
        <f>+'KC Tonnage - Enspire'!R23+'KC Tonnage - Enspire'!S23</f>
        <v>420.86</v>
      </c>
      <c r="D79" s="107">
        <f>+'KC Tonnage - Enspire'!P23+'KC Tonnage - Enspire'!Q23</f>
        <v>424.86</v>
      </c>
      <c r="E79" s="102">
        <f t="shared" si="138"/>
        <v>845.72</v>
      </c>
      <c r="F79" s="11"/>
      <c r="G79" s="102">
        <f>+'SC Tonnage - Enspire'!S23</f>
        <v>2007.4899999999998</v>
      </c>
      <c r="H79" s="151">
        <f t="shared" si="139"/>
        <v>2853.21</v>
      </c>
      <c r="I79" s="151"/>
      <c r="J79" s="156">
        <f t="shared" si="140"/>
        <v>1885.8581335807223</v>
      </c>
      <c r="K79" s="11"/>
      <c r="L79" s="156">
        <f t="shared" si="141"/>
        <v>1903.7819860122265</v>
      </c>
      <c r="M79" s="11"/>
      <c r="N79" s="156">
        <f t="shared" si="142"/>
        <v>3789.6401195929488</v>
      </c>
      <c r="O79" s="156">
        <f t="shared" si="143"/>
        <v>7772.6582339050801</v>
      </c>
      <c r="P79" s="157">
        <f t="shared" si="144"/>
        <v>4.0523825282744799</v>
      </c>
      <c r="Q79" s="156"/>
      <c r="R79" s="304">
        <f t="shared" si="145"/>
        <v>0.85109403093358005</v>
      </c>
      <c r="S79" s="101">
        <f t="shared" si="146"/>
        <v>0.14890596906641995</v>
      </c>
      <c r="T79" s="107"/>
    </row>
    <row r="80" spans="1:20">
      <c r="A80" t="str">
        <f t="shared" si="137"/>
        <v>Apr</v>
      </c>
      <c r="C80" s="107">
        <f>+'KC Tonnage - Enspire'!R27+'KC Tonnage - Enspire'!S27</f>
        <v>453.36</v>
      </c>
      <c r="D80" s="107">
        <f>+'KC Tonnage - Enspire'!P27+'KC Tonnage - Enspire'!Q27</f>
        <v>489.22</v>
      </c>
      <c r="E80" s="102">
        <f t="shared" si="138"/>
        <v>942.58</v>
      </c>
      <c r="F80" s="11"/>
      <c r="G80" s="102">
        <f>+'SC Tonnage - Enspire'!S27</f>
        <v>2165.8199999999997</v>
      </c>
      <c r="H80" s="151">
        <f t="shared" si="139"/>
        <v>3108.3999999999996</v>
      </c>
      <c r="I80" s="151"/>
      <c r="J80" s="156">
        <f t="shared" ref="J80:J92" si="147">+C80/E80*N80</f>
        <v>3042.6530853308032</v>
      </c>
      <c r="K80" s="11"/>
      <c r="L80" s="156">
        <f t="shared" ref="L80:L85" si="148">+N80-J80</f>
        <v>3283.3217363806589</v>
      </c>
      <c r="M80" s="11"/>
      <c r="N80" s="156">
        <f t="shared" ref="N80:N85" si="149">+E80/C13*G13</f>
        <v>6325.974821711462</v>
      </c>
      <c r="O80" s="156">
        <f t="shared" ref="O80:O85" si="150">+G80/D13*H13</f>
        <v>13656.238979180242</v>
      </c>
      <c r="P80" s="157">
        <f t="shared" ref="P80:P85" si="151">(O80+N80)/H80</f>
        <v>6.4284563765576195</v>
      </c>
      <c r="Q80" s="156"/>
      <c r="R80" s="304">
        <f t="shared" ref="R80:R85" si="152">(C80+G80)/H80</f>
        <v>0.84261356324797332</v>
      </c>
      <c r="S80" s="101">
        <f t="shared" si="146"/>
        <v>0.15738643675202668</v>
      </c>
      <c r="T80" s="107"/>
    </row>
    <row r="81" spans="1:20">
      <c r="A81" t="str">
        <f t="shared" si="137"/>
        <v>May</v>
      </c>
      <c r="C81" s="107">
        <f>+'KC Tonnage - Enspire'!R31+'KC Tonnage - Enspire'!S31</f>
        <v>428.33</v>
      </c>
      <c r="D81" s="107">
        <f>+'KC Tonnage - Enspire'!P31+'KC Tonnage - Enspire'!Q31</f>
        <v>409.63</v>
      </c>
      <c r="E81" s="102">
        <f t="shared" si="138"/>
        <v>837.96</v>
      </c>
      <c r="F81" s="11"/>
      <c r="G81" s="102">
        <f>+'SC Tonnage - Enspire'!S31</f>
        <v>2144.8799999999997</v>
      </c>
      <c r="H81" s="151">
        <f t="shared" si="139"/>
        <v>2982.8399999999997</v>
      </c>
      <c r="I81" s="151"/>
      <c r="J81" s="156">
        <f t="shared" si="147"/>
        <v>5914.7424611815586</v>
      </c>
      <c r="K81" s="11"/>
      <c r="L81" s="156">
        <f t="shared" si="148"/>
        <v>5656.5170648187195</v>
      </c>
      <c r="M81" s="11"/>
      <c r="N81" s="156">
        <f t="shared" si="149"/>
        <v>11571.259526000278</v>
      </c>
      <c r="O81" s="156">
        <f t="shared" si="150"/>
        <v>30151.495186784814</v>
      </c>
      <c r="P81" s="157">
        <f t="shared" si="151"/>
        <v>13.987593941607695</v>
      </c>
      <c r="Q81" s="156"/>
      <c r="R81" s="304">
        <f t="shared" si="152"/>
        <v>0.86267114561961078</v>
      </c>
      <c r="S81" s="101">
        <f>1-R81</f>
        <v>0.13732885438038922</v>
      </c>
      <c r="T81" s="107"/>
    </row>
    <row r="82" spans="1:20">
      <c r="A82" t="str">
        <f t="shared" si="137"/>
        <v>Jun</v>
      </c>
      <c r="C82" s="107">
        <f>+'KC Tonnage - Enspire'!R35+'KC Tonnage - Enspire'!S35</f>
        <v>442.09999999999997</v>
      </c>
      <c r="D82" s="107">
        <f>+'KC Tonnage - Enspire'!P35+'KC Tonnage - Enspire'!Q35</f>
        <v>430.90000000000003</v>
      </c>
      <c r="E82" s="102">
        <f t="shared" si="138"/>
        <v>873</v>
      </c>
      <c r="F82" s="11"/>
      <c r="G82" s="102">
        <f>+'SC Tonnage - Enspire'!S35</f>
        <v>2281.5099999999998</v>
      </c>
      <c r="H82" s="151">
        <f t="shared" si="139"/>
        <v>3154.5099999999998</v>
      </c>
      <c r="I82" s="151"/>
      <c r="J82" s="156">
        <f t="shared" si="147"/>
        <v>5105.8469379197859</v>
      </c>
      <c r="K82" s="11"/>
      <c r="L82" s="156">
        <f t="shared" si="148"/>
        <v>4976.4972756155521</v>
      </c>
      <c r="M82" s="11"/>
      <c r="N82" s="156">
        <f t="shared" si="149"/>
        <v>10082.344213535338</v>
      </c>
      <c r="O82" s="156">
        <f t="shared" si="150"/>
        <v>26980.298634835763</v>
      </c>
      <c r="P82" s="157">
        <f t="shared" si="151"/>
        <v>11.749096642068372</v>
      </c>
      <c r="Q82" s="156"/>
      <c r="R82" s="304">
        <f t="shared" si="152"/>
        <v>0.86340192296109375</v>
      </c>
      <c r="S82" s="101">
        <f>1-R82</f>
        <v>0.13659807703890625</v>
      </c>
      <c r="T82" s="107"/>
    </row>
    <row r="83" spans="1:20">
      <c r="A83" t="str">
        <f t="shared" si="137"/>
        <v>Jul</v>
      </c>
      <c r="C83" s="107">
        <f>+'KC Tonnage - Enspire'!R39+'KC Tonnage - Enspire'!S39</f>
        <v>488.58000000000004</v>
      </c>
      <c r="D83" s="107">
        <f>+'KC Tonnage - Enspire'!P39+'KC Tonnage - Enspire'!Q39</f>
        <v>497.01</v>
      </c>
      <c r="E83" s="102">
        <f t="shared" si="138"/>
        <v>985.59</v>
      </c>
      <c r="F83" s="11"/>
      <c r="G83" s="102">
        <f>+'SC Tonnage - Enspire'!S39</f>
        <v>2362.56</v>
      </c>
      <c r="H83" s="151">
        <f t="shared" si="139"/>
        <v>3348.15</v>
      </c>
      <c r="I83" s="151"/>
      <c r="J83" s="156">
        <f t="shared" si="147"/>
        <v>5205.4821322473244</v>
      </c>
      <c r="K83" s="11"/>
      <c r="L83" s="156">
        <f t="shared" si="148"/>
        <v>5295.2979543743959</v>
      </c>
      <c r="M83" s="11"/>
      <c r="N83" s="156">
        <f t="shared" si="149"/>
        <v>10500.78008662172</v>
      </c>
      <c r="O83" s="156">
        <f t="shared" si="150"/>
        <v>24693.317571726649</v>
      </c>
      <c r="P83" s="157">
        <f t="shared" si="151"/>
        <v>10.511505654868619</v>
      </c>
      <c r="Q83" s="156"/>
      <c r="R83" s="304">
        <f t="shared" si="152"/>
        <v>0.8515568298911339</v>
      </c>
      <c r="S83" s="101">
        <f>1-R83</f>
        <v>0.1484431701088661</v>
      </c>
      <c r="T83" s="107"/>
    </row>
    <row r="84" spans="1:20">
      <c r="A84" t="str">
        <f t="shared" si="137"/>
        <v>Aug</v>
      </c>
      <c r="C84" s="107">
        <f>+'KC Tonnage - Enspire'!R43+'KC Tonnage - Enspire'!S43</f>
        <v>466.83</v>
      </c>
      <c r="D84" s="107">
        <f>+'KC Tonnage - Enspire'!P43+'KC Tonnage - Enspire'!Q43</f>
        <v>450.25</v>
      </c>
      <c r="E84" s="102">
        <f t="shared" si="138"/>
        <v>917.07999999999993</v>
      </c>
      <c r="F84" s="11"/>
      <c r="G84" s="102">
        <f>+'SC Tonnage - Enspire'!S43</f>
        <v>2104.88</v>
      </c>
      <c r="H84" s="151">
        <f t="shared" si="139"/>
        <v>3021.96</v>
      </c>
      <c r="I84" s="151"/>
      <c r="J84" s="156">
        <f t="shared" si="147"/>
        <v>8769.3559136310796</v>
      </c>
      <c r="K84" s="11"/>
      <c r="L84" s="156">
        <f t="shared" si="148"/>
        <v>8457.9022344587829</v>
      </c>
      <c r="M84" s="11"/>
      <c r="N84" s="156">
        <f t="shared" si="149"/>
        <v>17227.258148089863</v>
      </c>
      <c r="O84" s="156">
        <f t="shared" si="150"/>
        <v>39745.981329975926</v>
      </c>
      <c r="P84" s="157">
        <f t="shared" si="151"/>
        <v>18.853075314718193</v>
      </c>
      <c r="Q84" s="156"/>
      <c r="R84" s="304">
        <f t="shared" si="152"/>
        <v>0.85100729327985813</v>
      </c>
      <c r="S84" s="101">
        <f>1-R84</f>
        <v>0.14899270672014187</v>
      </c>
      <c r="T84" s="107"/>
    </row>
    <row r="85" spans="1:20">
      <c r="A85" t="str">
        <f t="shared" si="137"/>
        <v>Sep</v>
      </c>
      <c r="C85" s="107">
        <f>+'KC Tonnage - Enspire'!R47+'KC Tonnage - Enspire'!S47</f>
        <v>466.82</v>
      </c>
      <c r="D85" s="107">
        <f>+'KC Tonnage - Enspire'!P47+'KC Tonnage - Enspire'!Q47</f>
        <v>448.86</v>
      </c>
      <c r="E85" s="102">
        <f t="shared" si="138"/>
        <v>915.68000000000006</v>
      </c>
      <c r="F85" s="11"/>
      <c r="G85" s="102">
        <f>+'SC Tonnage - Enspire'!S47</f>
        <v>2275.77</v>
      </c>
      <c r="H85" s="151">
        <f t="shared" si="139"/>
        <v>3191.45</v>
      </c>
      <c r="I85" s="151"/>
      <c r="J85" s="156">
        <f t="shared" si="147"/>
        <v>11896.999211107521</v>
      </c>
      <c r="K85" s="11"/>
      <c r="L85" s="156">
        <f t="shared" si="148"/>
        <v>11439.285090393993</v>
      </c>
      <c r="M85" s="11"/>
      <c r="N85" s="156">
        <f t="shared" si="149"/>
        <v>23336.284301501513</v>
      </c>
      <c r="O85" s="156">
        <f t="shared" si="150"/>
        <v>57737.928204656535</v>
      </c>
      <c r="P85" s="157">
        <f t="shared" si="151"/>
        <v>25.403566562583794</v>
      </c>
      <c r="Q85" s="156"/>
      <c r="R85" s="304">
        <f t="shared" si="152"/>
        <v>0.85935546538407315</v>
      </c>
      <c r="S85" s="101">
        <f>1-R85</f>
        <v>0.14064453461592685</v>
      </c>
      <c r="T85" s="107"/>
    </row>
    <row r="86" spans="1:20" ht="15">
      <c r="A86" t="str">
        <f t="shared" si="137"/>
        <v>Oct</v>
      </c>
      <c r="C86" s="107">
        <f>+'KC Tonnage - Enspire'!R51+'KC Tonnage - Enspire'!S51</f>
        <v>473.6</v>
      </c>
      <c r="D86" s="107">
        <f>+'KC Tonnage - Enspire'!P51+'KC Tonnage - Enspire'!Q51</f>
        <v>505.6</v>
      </c>
      <c r="E86" s="102">
        <f t="shared" si="138"/>
        <v>979.2</v>
      </c>
      <c r="F86" s="11"/>
      <c r="G86" s="102">
        <f>+'SC Tonnage - Enspire'!S51</f>
        <v>2328.7999999999997</v>
      </c>
      <c r="H86" s="151">
        <f t="shared" si="139"/>
        <v>3308</v>
      </c>
      <c r="I86" s="169"/>
      <c r="J86" s="156">
        <f t="shared" si="147"/>
        <v>16949.115509317464</v>
      </c>
      <c r="K86" s="11"/>
      <c r="L86" s="156">
        <f t="shared" ref="L86:L91" si="153">+N86-J86</f>
        <v>18094.326016703777</v>
      </c>
      <c r="M86" s="11"/>
      <c r="N86" s="156">
        <f t="shared" ref="N86:N89" si="154">+E86/C19*G19</f>
        <v>35043.441526021241</v>
      </c>
      <c r="O86" s="156">
        <f t="shared" ref="O86:O89" si="155">+G86/D19*H19</f>
        <v>82649.372050349441</v>
      </c>
      <c r="P86" s="157">
        <f t="shared" ref="P86:P89" si="156">(O86+N86)/H86</f>
        <v>35.57823868693189</v>
      </c>
      <c r="Q86" s="156"/>
      <c r="R86" s="304">
        <f t="shared" ref="R86:R89" si="157">(C86+G86)/H86</f>
        <v>0.84715840386940744</v>
      </c>
      <c r="S86" s="101">
        <f t="shared" ref="S86:S89" si="158">1-R86</f>
        <v>0.15284159613059256</v>
      </c>
      <c r="T86" s="107"/>
    </row>
    <row r="87" spans="1:20" ht="15">
      <c r="A87" t="str">
        <f t="shared" si="137"/>
        <v>Nov</v>
      </c>
      <c r="C87" s="107">
        <f>+'KC Tonnage - Enspire'!R55+'KC Tonnage - Enspire'!S55</f>
        <v>471.7</v>
      </c>
      <c r="D87" s="107">
        <f>+'KC Tonnage - Enspire'!P55+'KC Tonnage - Enspire'!Q55</f>
        <v>465</v>
      </c>
      <c r="E87" s="102">
        <f t="shared" si="138"/>
        <v>936.7</v>
      </c>
      <c r="F87" s="11"/>
      <c r="G87" s="102">
        <f>+'SC Tonnage - Enspire'!S55</f>
        <v>2170.5</v>
      </c>
      <c r="H87" s="151">
        <f t="shared" si="139"/>
        <v>3107.2</v>
      </c>
      <c r="I87" s="169"/>
      <c r="J87" s="156">
        <f t="shared" si="147"/>
        <v>20024.153374814821</v>
      </c>
      <c r="K87" s="11"/>
      <c r="L87" s="156">
        <f t="shared" si="153"/>
        <v>19739.7314379667</v>
      </c>
      <c r="M87" s="11"/>
      <c r="N87" s="156">
        <f t="shared" si="154"/>
        <v>39763.884812781522</v>
      </c>
      <c r="O87" s="156">
        <f t="shared" si="155"/>
        <v>91494.194813776718</v>
      </c>
      <c r="P87" s="157">
        <f t="shared" si="156"/>
        <v>42.243202763439186</v>
      </c>
      <c r="Q87" s="156"/>
      <c r="R87" s="304">
        <f t="shared" si="157"/>
        <v>0.85034757981462405</v>
      </c>
      <c r="S87" s="101">
        <f t="shared" si="158"/>
        <v>0.14965242018537595</v>
      </c>
      <c r="T87" s="107"/>
    </row>
    <row r="88" spans="1:20">
      <c r="A88" t="str">
        <f t="shared" si="137"/>
        <v>Dec</v>
      </c>
      <c r="C88" s="107">
        <f>+'KC Tonnage - Enspire'!R59+'KC Tonnage - Enspire'!S59</f>
        <v>519.91000000000008</v>
      </c>
      <c r="D88" s="107">
        <f>+'KC Tonnage - Enspire'!P59+'KC Tonnage - Enspire'!Q59</f>
        <v>504.05</v>
      </c>
      <c r="E88" s="102">
        <f t="shared" si="138"/>
        <v>1023.96</v>
      </c>
      <c r="F88" s="11"/>
      <c r="G88" s="102">
        <f>+'SC Tonnage - Enspire'!S59</f>
        <v>2480.48</v>
      </c>
      <c r="H88" s="151">
        <f t="shared" si="139"/>
        <v>3504.44</v>
      </c>
      <c r="I88" s="151"/>
      <c r="J88" s="156">
        <f t="shared" si="147"/>
        <v>26142.12470571779</v>
      </c>
      <c r="K88" s="11"/>
      <c r="L88" s="156">
        <f t="shared" si="153"/>
        <v>25344.651878050143</v>
      </c>
      <c r="M88" s="11"/>
      <c r="N88" s="156">
        <f t="shared" si="154"/>
        <v>51486.776583767933</v>
      </c>
      <c r="O88" s="156">
        <f t="shared" si="155"/>
        <v>124358.13540669503</v>
      </c>
      <c r="P88" s="157">
        <f t="shared" si="156"/>
        <v>50.177749366650012</v>
      </c>
      <c r="Q88" s="156"/>
      <c r="R88" s="304">
        <f t="shared" si="157"/>
        <v>0.85616817522913802</v>
      </c>
      <c r="S88" s="101">
        <f t="shared" si="158"/>
        <v>0.14383182477086198</v>
      </c>
      <c r="T88" s="107"/>
    </row>
    <row r="89" spans="1:20" ht="15">
      <c r="A89" t="str">
        <f t="shared" si="137"/>
        <v>Jan. 2021</v>
      </c>
      <c r="C89" s="107">
        <f>+'KC Tonnage - Enspire'!R63+'KC Tonnage - Enspire'!S63</f>
        <v>515.86</v>
      </c>
      <c r="D89" s="107">
        <f>+'KC Tonnage - Enspire'!P63+'KC Tonnage - Enspire'!Q63</f>
        <v>496.55</v>
      </c>
      <c r="E89" s="102">
        <f t="shared" si="138"/>
        <v>1012.4100000000001</v>
      </c>
      <c r="F89" s="11"/>
      <c r="G89" s="102">
        <f>+'SC Tonnage - Enspire'!S63</f>
        <v>2359.6700000000005</v>
      </c>
      <c r="H89" s="151">
        <f t="shared" si="139"/>
        <v>3372.0800000000008</v>
      </c>
      <c r="I89" s="169"/>
      <c r="J89" s="156">
        <f t="shared" si="147"/>
        <v>24764.536609785169</v>
      </c>
      <c r="K89" s="11"/>
      <c r="L89" s="156">
        <f t="shared" si="153"/>
        <v>23837.534706294002</v>
      </c>
      <c r="M89" s="11"/>
      <c r="N89" s="156">
        <f t="shared" si="154"/>
        <v>48602.071316079171</v>
      </c>
      <c r="O89" s="156">
        <f t="shared" si="155"/>
        <v>113733.01599201879</v>
      </c>
      <c r="P89" s="157">
        <f t="shared" si="156"/>
        <v>48.140935952912713</v>
      </c>
      <c r="Q89" s="156"/>
      <c r="R89" s="304">
        <f t="shared" si="157"/>
        <v>0.85274667267680482</v>
      </c>
      <c r="S89" s="101">
        <f t="shared" si="158"/>
        <v>0.14725332732319518</v>
      </c>
      <c r="T89" s="107"/>
    </row>
    <row r="90" spans="1:20" ht="15">
      <c r="A90" t="str">
        <f t="shared" si="137"/>
        <v>Feb</v>
      </c>
      <c r="C90" s="107">
        <f>+'KC Tonnage - Enspire'!R67+'KC Tonnage - Enspire'!S67</f>
        <v>381.85</v>
      </c>
      <c r="D90" s="107">
        <f>+'KC Tonnage - Enspire'!P67+'KC Tonnage - Enspire'!Q67</f>
        <v>408.23</v>
      </c>
      <c r="E90" s="102">
        <f t="shared" si="138"/>
        <v>790.08</v>
      </c>
      <c r="F90" s="11"/>
      <c r="G90" s="102">
        <f>+'SC Tonnage - Enspire'!S67</f>
        <v>1975.8400000000001</v>
      </c>
      <c r="H90" s="151">
        <f t="shared" si="139"/>
        <v>2765.92</v>
      </c>
      <c r="I90" s="169"/>
      <c r="J90" s="156">
        <f t="shared" si="147"/>
        <v>19668.243366086623</v>
      </c>
      <c r="K90" s="11"/>
      <c r="L90" s="156">
        <f t="shared" si="153"/>
        <v>21027.018434823993</v>
      </c>
      <c r="M90" s="11"/>
      <c r="N90" s="156">
        <f t="shared" ref="N90" si="159">+E90/C23*G23</f>
        <v>40695.261800910615</v>
      </c>
      <c r="O90" s="156">
        <f t="shared" ref="O90" si="160">+G90/D23*H23</f>
        <v>101760.91000442857</v>
      </c>
      <c r="P90" s="157">
        <f t="shared" ref="P90" si="161">(O90+N90)/H90</f>
        <v>51.504082477200782</v>
      </c>
      <c r="Q90" s="156"/>
      <c r="R90" s="304">
        <f t="shared" ref="R90" si="162">(C90+G90)/H90</f>
        <v>0.85240715566610747</v>
      </c>
      <c r="S90" s="101">
        <f t="shared" ref="S90" si="163">1-R90</f>
        <v>0.14759284433389253</v>
      </c>
      <c r="T90" s="107"/>
    </row>
    <row r="91" spans="1:20">
      <c r="A91" t="str">
        <f t="shared" si="137"/>
        <v>Mar</v>
      </c>
      <c r="C91" s="107">
        <f>+'KC Tonnage - Enspire'!R71+'KC Tonnage - Enspire'!S71</f>
        <v>478.15</v>
      </c>
      <c r="D91" s="107">
        <f>+'KC Tonnage - Enspire'!P71+'KC Tonnage - Enspire'!Q71</f>
        <v>471.96</v>
      </c>
      <c r="E91" s="102">
        <f t="shared" si="138"/>
        <v>950.1099999999999</v>
      </c>
      <c r="F91" s="11"/>
      <c r="G91" s="102">
        <f>+'SC Tonnage - Enspire'!S71</f>
        <v>2243.25</v>
      </c>
      <c r="H91" s="151">
        <f t="shared" si="139"/>
        <v>3193.3599999999997</v>
      </c>
      <c r="I91" s="151"/>
      <c r="J91" s="156">
        <f t="shared" si="147"/>
        <v>25882.200337771221</v>
      </c>
      <c r="K91" s="11"/>
      <c r="L91" s="156">
        <f t="shared" si="153"/>
        <v>25547.136403669359</v>
      </c>
      <c r="M91" s="11"/>
      <c r="N91" s="156">
        <f t="shared" ref="N91" si="164">+E91/C24*G24</f>
        <v>51429.33674144058</v>
      </c>
      <c r="O91" s="156">
        <f t="shared" ref="O91" si="165">+G91/D24*H24</f>
        <v>120235.21565815645</v>
      </c>
      <c r="P91" s="157">
        <f t="shared" ref="P91" si="166">(O91+N91)/H91</f>
        <v>53.756717814338828</v>
      </c>
      <c r="Q91" s="156"/>
      <c r="R91" s="304">
        <f t="shared" ref="R91" si="167">(C91+G91)/H91</f>
        <v>0.8522058270912144</v>
      </c>
      <c r="S91" s="101">
        <f t="shared" ref="S91" si="168">1-R91</f>
        <v>0.1477941729087856</v>
      </c>
      <c r="T91" s="107"/>
    </row>
    <row r="92" spans="1:20">
      <c r="A92" t="str">
        <f t="shared" si="137"/>
        <v>Apr</v>
      </c>
      <c r="C92" s="107">
        <f>+'KC Tonnage - Enspire'!R75+'KC Tonnage - Enspire'!S75</f>
        <v>418.61</v>
      </c>
      <c r="D92" s="107">
        <f>+'KC Tonnage - Enspire'!P75+'KC Tonnage - Enspire'!Q75</f>
        <v>456.31000000000006</v>
      </c>
      <c r="E92" s="102">
        <f t="shared" si="138"/>
        <v>874.92000000000007</v>
      </c>
      <c r="F92" s="11"/>
      <c r="G92" s="102">
        <f>+'SC Tonnage - Enspire'!S75</f>
        <v>2213.0899999999997</v>
      </c>
      <c r="H92" s="151">
        <f t="shared" si="139"/>
        <v>3088.0099999999998</v>
      </c>
      <c r="I92" s="151"/>
      <c r="J92" s="156">
        <f t="shared" si="147"/>
        <v>27734.765229942852</v>
      </c>
      <c r="K92" s="11"/>
      <c r="L92" s="156">
        <f t="shared" ref="L92" si="169">+N92-J92</f>
        <v>30232.55708672804</v>
      </c>
      <c r="M92" s="11"/>
      <c r="N92" s="156">
        <f t="shared" ref="N92" si="170">+E92/C25*G25</f>
        <v>57967.322316670892</v>
      </c>
      <c r="O92" s="156">
        <f t="shared" ref="O92" si="171">+G92/D25*H25</f>
        <v>146224.98406228592</v>
      </c>
      <c r="P92" s="157">
        <f t="shared" ref="P92" si="172">(O92+N92)/H92</f>
        <v>66.124237414696466</v>
      </c>
      <c r="Q92" s="156"/>
      <c r="R92" s="304">
        <f t="shared" ref="R92" si="173">(C92+G92)/H92</f>
        <v>0.85223169614088035</v>
      </c>
      <c r="S92" s="101">
        <f t="shared" ref="S92" si="174">1-R92</f>
        <v>0.14776830385911965</v>
      </c>
      <c r="T92" s="107"/>
    </row>
    <row r="93" spans="1:20">
      <c r="A93" t="str">
        <f t="shared" si="137"/>
        <v>May</v>
      </c>
      <c r="C93" s="107">
        <f>+'KC Tonnage - Enspire'!R79+'KC Tonnage - Enspire'!S79</f>
        <v>450.72</v>
      </c>
      <c r="D93" s="107">
        <f>+'KC Tonnage - Enspire'!P79+'KC Tonnage - Enspire'!Q79</f>
        <v>415.13</v>
      </c>
      <c r="E93" s="102">
        <f t="shared" si="138"/>
        <v>865.85</v>
      </c>
      <c r="F93" s="11"/>
      <c r="G93" s="102">
        <f>+'SC Tonnage - Enspire'!S79</f>
        <v>2101.9599999999996</v>
      </c>
      <c r="H93" s="151">
        <f t="shared" si="139"/>
        <v>2967.8099999999995</v>
      </c>
      <c r="I93" s="151"/>
      <c r="J93" s="156">
        <f t="shared" ref="J93:J97" si="175">+C93/E93*N93</f>
        <v>31983.330347005474</v>
      </c>
      <c r="K93" s="11"/>
      <c r="L93" s="156">
        <f t="shared" ref="L93:L94" si="176">+N93-J93</f>
        <v>29457.845063348381</v>
      </c>
      <c r="M93" s="11"/>
      <c r="N93" s="156">
        <f t="shared" ref="N93" si="177">+E93/C26*G26</f>
        <v>61441.175410353855</v>
      </c>
      <c r="O93" s="156">
        <f t="shared" ref="O93" si="178">+G93/D26*H26</f>
        <v>149207.08706568013</v>
      </c>
      <c r="P93" s="157">
        <f t="shared" ref="P93" si="179">(O93+N93)/H93</f>
        <v>70.977677976701344</v>
      </c>
      <c r="Q93" s="156"/>
      <c r="R93" s="304">
        <f t="shared" ref="R93" si="180">(C93+G93)/H93</f>
        <v>0.86012244719170017</v>
      </c>
      <c r="S93" s="101">
        <f t="shared" ref="S93" si="181">1-R93</f>
        <v>0.13987755280829983</v>
      </c>
      <c r="T93" s="107"/>
    </row>
    <row r="94" spans="1:20">
      <c r="A94" t="str">
        <f t="shared" si="137"/>
        <v>Jun</v>
      </c>
      <c r="C94" s="107">
        <f>+'KC Tonnage - Enspire'!R83+'KC Tonnage - Enspire'!S83</f>
        <v>470.28</v>
      </c>
      <c r="D94" s="107">
        <f>+'KC Tonnage - Enspire'!P83+'KC Tonnage - Enspire'!Q83</f>
        <v>443.90999999999997</v>
      </c>
      <c r="E94" s="102">
        <f t="shared" si="138"/>
        <v>914.18999999999994</v>
      </c>
      <c r="F94" s="11"/>
      <c r="G94" s="102">
        <f>+'SC Tonnage - Enspire'!S83</f>
        <v>2229.0699999999997</v>
      </c>
      <c r="H94" s="151">
        <f t="shared" si="139"/>
        <v>3143.2599999999998</v>
      </c>
      <c r="I94" s="151"/>
      <c r="J94" s="156">
        <f t="shared" si="175"/>
        <v>36705.583941676414</v>
      </c>
      <c r="K94" s="11"/>
      <c r="L94" s="156">
        <f t="shared" si="176"/>
        <v>34647.392548161901</v>
      </c>
      <c r="M94" s="11"/>
      <c r="N94" s="156">
        <f t="shared" ref="N94" si="182">+E94/C27*G27</f>
        <v>71352.976489838315</v>
      </c>
      <c r="O94" s="156">
        <f t="shared" ref="O94" si="183">+G94/D27*H27</f>
        <v>175315.69195115197</v>
      </c>
      <c r="P94" s="157">
        <f t="shared" ref="P94" si="184">(O94+N94)/H94</f>
        <v>78.475426290217897</v>
      </c>
      <c r="Q94" s="156"/>
      <c r="R94" s="304">
        <f t="shared" ref="R94" si="185">(C94+G94)/H94</f>
        <v>0.85877401169486445</v>
      </c>
      <c r="S94" s="101">
        <f t="shared" ref="S94" si="186">1-R94</f>
        <v>0.14122598830513555</v>
      </c>
      <c r="T94" s="107"/>
    </row>
    <row r="95" spans="1:20">
      <c r="A95" t="str">
        <f t="shared" si="137"/>
        <v>Jul</v>
      </c>
      <c r="C95" s="107">
        <f>+'KC Tonnage - Enspire'!R87+'KC Tonnage - Enspire'!S87</f>
        <v>454.58</v>
      </c>
      <c r="D95" s="107">
        <f>+'KC Tonnage - Enspire'!P87+'KC Tonnage - Enspire'!Q87</f>
        <v>510.33999999999992</v>
      </c>
      <c r="E95" s="102">
        <f t="shared" si="138"/>
        <v>964.91999999999985</v>
      </c>
      <c r="F95" s="11"/>
      <c r="G95" s="102">
        <f>+'SC Tonnage - Enspire'!S87</f>
        <v>2185.4299999999998</v>
      </c>
      <c r="H95" s="151">
        <f t="shared" si="139"/>
        <v>3150.3499999999995</v>
      </c>
      <c r="I95" s="151"/>
      <c r="J95" s="156">
        <f t="shared" si="175"/>
        <v>46612.863497281338</v>
      </c>
      <c r="K95" s="11"/>
      <c r="L95" s="156">
        <f t="shared" ref="L95:L97" si="187">+N95-J95</f>
        <v>52330.522146162497</v>
      </c>
      <c r="M95" s="11"/>
      <c r="N95" s="156">
        <f t="shared" ref="N95" si="188">+E95/C28*G28</f>
        <v>98943.385643443835</v>
      </c>
      <c r="O95" s="156">
        <f t="shared" ref="O95" si="189">+G95/D28*H28</f>
        <v>222692.94087856507</v>
      </c>
      <c r="P95" s="157">
        <f t="shared" ref="P95" si="190">(O95+N95)/H95</f>
        <v>102.09542638818193</v>
      </c>
      <c r="Q95" s="156"/>
      <c r="R95" s="304">
        <f t="shared" ref="R95" si="191">(C95+G95)/H95</f>
        <v>0.83800530099830184</v>
      </c>
      <c r="S95" s="101">
        <f t="shared" ref="S95" si="192">1-R95</f>
        <v>0.16199469900169816</v>
      </c>
      <c r="T95" s="107"/>
    </row>
    <row r="96" spans="1:20">
      <c r="A96" t="str">
        <f t="shared" si="137"/>
        <v>Aug</v>
      </c>
      <c r="C96" s="107">
        <f>+'KC Tonnage - Enspire'!R91+'KC Tonnage - Enspire'!S91</f>
        <v>445.18</v>
      </c>
      <c r="D96" s="107">
        <f>+'KC Tonnage - Enspire'!P91+'KC Tonnage - Enspire'!Q91</f>
        <v>436.98</v>
      </c>
      <c r="E96" s="102">
        <f t="shared" si="138"/>
        <v>882.16000000000008</v>
      </c>
      <c r="F96" s="11"/>
      <c r="G96" s="102">
        <f>+'SC Tonnage - Enspire'!S91</f>
        <v>2177.0299999999997</v>
      </c>
      <c r="H96" s="151">
        <f t="shared" si="139"/>
        <v>3059.1899999999996</v>
      </c>
      <c r="I96" s="151"/>
      <c r="J96" s="156">
        <f t="shared" si="175"/>
        <v>48319.924807327166</v>
      </c>
      <c r="K96" s="11"/>
      <c r="L96" s="156">
        <f t="shared" si="187"/>
        <v>47429.895193642638</v>
      </c>
      <c r="M96" s="11"/>
      <c r="N96" s="156">
        <f t="shared" ref="N96:N97" si="193">+E96/C29*G29</f>
        <v>95749.820000969805</v>
      </c>
      <c r="O96" s="156">
        <f t="shared" ref="O96:O97" si="194">+G96/D29*H29</f>
        <v>234738.09399623494</v>
      </c>
      <c r="P96" s="157">
        <f t="shared" ref="P96:P97" si="195">(O96+N96)/H96</f>
        <v>108.03118276315129</v>
      </c>
      <c r="Q96" s="156"/>
      <c r="R96" s="304">
        <f t="shared" ref="R96:R97" si="196">(C96+G96)/H96</f>
        <v>0.85715826738450374</v>
      </c>
      <c r="S96" s="101">
        <f t="shared" ref="S96:S97" si="197">1-R96</f>
        <v>0.14284173261549626</v>
      </c>
      <c r="T96" s="107"/>
    </row>
    <row r="97" spans="1:20" s="67" customFormat="1" ht="16.5">
      <c r="A97" t="str">
        <f t="shared" si="137"/>
        <v>Sep</v>
      </c>
      <c r="C97" s="524">
        <f>+'KC Tonnage - Enspire'!R95+'KC Tonnage - Enspire'!S95</f>
        <v>440.46000000000004</v>
      </c>
      <c r="D97" s="524">
        <f>+'KC Tonnage - Enspire'!P95+'KC Tonnage - Enspire'!Q95</f>
        <v>462.99</v>
      </c>
      <c r="E97" s="87">
        <f t="shared" si="138"/>
        <v>903.45</v>
      </c>
      <c r="F97" s="104"/>
      <c r="G97" s="87">
        <f>+'SC Tonnage - Enspire'!S95</f>
        <v>2085.2099999999996</v>
      </c>
      <c r="H97" s="180">
        <f t="shared" si="139"/>
        <v>2988.66</v>
      </c>
      <c r="I97" s="181"/>
      <c r="J97" s="159">
        <f t="shared" si="175"/>
        <v>47821.692544714868</v>
      </c>
      <c r="K97" s="158"/>
      <c r="L97" s="159">
        <f t="shared" si="187"/>
        <v>50267.823255863274</v>
      </c>
      <c r="M97" s="207"/>
      <c r="N97" s="159">
        <f t="shared" si="193"/>
        <v>98089.515800578141</v>
      </c>
      <c r="O97" s="159">
        <f t="shared" si="194"/>
        <v>226959.04234444554</v>
      </c>
      <c r="P97" s="162">
        <f t="shared" si="195"/>
        <v>108.76063458038843</v>
      </c>
      <c r="Q97" s="159"/>
      <c r="R97" s="423">
        <f t="shared" si="196"/>
        <v>0.84508441910421384</v>
      </c>
      <c r="S97" s="424">
        <f t="shared" si="197"/>
        <v>0.15491558089578616</v>
      </c>
      <c r="T97" s="149"/>
    </row>
    <row r="98" spans="1:20" ht="15">
      <c r="C98" s="163">
        <f>SUM(C74:C97)</f>
        <v>10775.779999999999</v>
      </c>
      <c r="D98" s="163">
        <f t="shared" ref="D98:O98" si="198">SUM(D74:D97)</f>
        <v>10763.48</v>
      </c>
      <c r="E98" s="163">
        <f t="shared" si="198"/>
        <v>21539.26</v>
      </c>
      <c r="F98" s="163"/>
      <c r="G98" s="163">
        <f t="shared" si="198"/>
        <v>52126.989999999991</v>
      </c>
      <c r="H98" s="163">
        <f t="shared" si="198"/>
        <v>73666.25</v>
      </c>
      <c r="I98" s="163"/>
      <c r="J98" s="164">
        <f t="shared" si="198"/>
        <v>432833.93339057651</v>
      </c>
      <c r="K98" s="164"/>
      <c r="L98" s="164">
        <f t="shared" si="198"/>
        <v>437012.19819327444</v>
      </c>
      <c r="M98" s="164"/>
      <c r="N98" s="164">
        <f t="shared" si="198"/>
        <v>869846.13158385095</v>
      </c>
      <c r="O98" s="164">
        <f t="shared" si="198"/>
        <v>2070975.5159654985</v>
      </c>
      <c r="P98" s="165">
        <f>(O98+N98)/H98</f>
        <v>39.920881645928077</v>
      </c>
      <c r="Q98" s="164"/>
      <c r="R98" s="306">
        <f>(C98+G98)/H98</f>
        <v>0.85388858534267709</v>
      </c>
      <c r="S98" s="308">
        <f>1-R98</f>
        <v>0.14611141465732291</v>
      </c>
      <c r="T98" s="11"/>
    </row>
    <row r="99" spans="1:20" ht="15">
      <c r="B99" s="84"/>
      <c r="E99" s="153">
        <f>+E98/C59</f>
        <v>0.90497746301817383</v>
      </c>
      <c r="F99" s="11"/>
      <c r="G99" s="153">
        <f>+G98/D59</f>
        <v>0.89311290178052072</v>
      </c>
      <c r="H99" s="153">
        <f>+H98/E59</f>
        <v>0.89654967195224233</v>
      </c>
      <c r="I99" s="153"/>
      <c r="J99" s="11"/>
      <c r="K99" s="11"/>
      <c r="L99" s="11"/>
      <c r="M99" s="11"/>
      <c r="N99" s="153">
        <f>+N98/G59</f>
        <v>0.90296720689987442</v>
      </c>
      <c r="O99" s="153">
        <f>+O98/H59</f>
        <v>0.89370468956329296</v>
      </c>
      <c r="P99" s="11"/>
      <c r="Q99" s="153"/>
      <c r="R99" s="11"/>
      <c r="S99" s="11"/>
      <c r="T99" s="11"/>
    </row>
    <row r="100" spans="1:20" ht="15">
      <c r="B100" s="84"/>
      <c r="E100" s="153"/>
      <c r="F100" s="11"/>
      <c r="G100" s="153"/>
      <c r="H100" s="153"/>
      <c r="I100" s="153"/>
      <c r="J100" s="11"/>
      <c r="K100" s="11"/>
      <c r="L100" s="11"/>
      <c r="M100" s="11"/>
      <c r="N100" s="153"/>
      <c r="O100" s="153"/>
      <c r="P100" s="11"/>
      <c r="Q100" s="153"/>
      <c r="R100" s="11"/>
      <c r="S100" s="11"/>
      <c r="T100" s="11"/>
    </row>
    <row r="101" spans="1:20" ht="15">
      <c r="A101" s="84" t="s">
        <v>158</v>
      </c>
      <c r="C101" s="306">
        <f>+C98/E98</f>
        <v>0.50028552512946123</v>
      </c>
      <c r="D101" s="308">
        <f>-C101+1</f>
        <v>0.49971447487053877</v>
      </c>
      <c r="E101" s="308">
        <f>+D101+C101</f>
        <v>1</v>
      </c>
      <c r="F101" s="11"/>
      <c r="G101" s="153">
        <v>1</v>
      </c>
      <c r="H101" s="308"/>
      <c r="I101" s="11"/>
      <c r="K101" s="11"/>
      <c r="L101" s="11"/>
      <c r="M101" s="11"/>
      <c r="N101" s="11"/>
      <c r="O101" s="11"/>
      <c r="P101" s="11"/>
      <c r="Q101" s="11"/>
      <c r="R101" s="308">
        <f>+R98</f>
        <v>0.85388858534267709</v>
      </c>
      <c r="S101" s="308">
        <f>+S98</f>
        <v>0.14611141465732291</v>
      </c>
      <c r="T101" s="11"/>
    </row>
    <row r="102" spans="1:20">
      <c r="C102" s="309" t="s">
        <v>159</v>
      </c>
      <c r="D102" s="309" t="s">
        <v>160</v>
      </c>
      <c r="E102" s="310"/>
      <c r="F102" s="310"/>
      <c r="G102" s="309" t="s">
        <v>159</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69" t="s">
        <v>102</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99">+A74</f>
        <v>Oct., 2019</v>
      </c>
      <c r="C105" s="107">
        <f>+'KC Tonnage - Enspire'!R4+'KC Tonnage - Enspire'!S4</f>
        <v>30.4</v>
      </c>
      <c r="D105" s="107">
        <f>+'KC Tonnage - Enspire'!P4+'KC Tonnage - Enspire'!Q4</f>
        <v>60.2</v>
      </c>
      <c r="E105" s="102">
        <f t="shared" ref="E105:E128" si="200">+D105+C105</f>
        <v>90.6</v>
      </c>
      <c r="F105" s="11"/>
      <c r="G105" s="102">
        <f t="shared" ref="G105:G128" si="201">+D35-G74</f>
        <v>271.19999999999982</v>
      </c>
      <c r="H105" s="102">
        <f t="shared" ref="H105:H127" si="202">+G105+E105</f>
        <v>361.79999999999984</v>
      </c>
      <c r="I105" s="102"/>
      <c r="J105" s="156">
        <f t="shared" ref="J105:J110" si="203">+C105/E105*N105</f>
        <v>285.83291791980719</v>
      </c>
      <c r="K105" s="11"/>
      <c r="L105" s="156">
        <f t="shared" ref="L105:L110" si="204">+N105-J105</f>
        <v>566.0243966701446</v>
      </c>
      <c r="M105" s="11"/>
      <c r="N105" s="156">
        <f t="shared" ref="N105:N128" si="205">+G35-N74</f>
        <v>851.85731458995178</v>
      </c>
      <c r="O105" s="156">
        <f t="shared" ref="O105:O128" si="206">+H35-O74</f>
        <v>2259.1396526346398</v>
      </c>
      <c r="P105" s="157">
        <f t="shared" ref="P105:P128" si="207">(O105+N105)/H105</f>
        <v>8.5986649177020258</v>
      </c>
      <c r="Q105" s="150"/>
      <c r="R105" s="11"/>
      <c r="S105" s="107"/>
      <c r="T105" s="107"/>
    </row>
    <row r="106" spans="1:20">
      <c r="A106" t="str">
        <f t="shared" si="199"/>
        <v>Nov</v>
      </c>
      <c r="C106" s="107">
        <f>+'KC Tonnage - Enspire'!R8+'KC Tonnage - Enspire'!S8</f>
        <v>30</v>
      </c>
      <c r="D106" s="107">
        <f>+'KC Tonnage - Enspire'!P8+'KC Tonnage - Enspire'!Q8</f>
        <v>52.3</v>
      </c>
      <c r="E106" s="102">
        <f t="shared" si="200"/>
        <v>82.3</v>
      </c>
      <c r="F106" s="11"/>
      <c r="G106" s="102">
        <f t="shared" si="201"/>
        <v>225.19999999999982</v>
      </c>
      <c r="H106" s="102">
        <f t="shared" si="202"/>
        <v>307.49999999999983</v>
      </c>
      <c r="I106" s="102"/>
      <c r="J106" s="156">
        <f t="shared" si="203"/>
        <v>366.82207462631459</v>
      </c>
      <c r="K106" s="11"/>
      <c r="L106" s="156">
        <f t="shared" si="204"/>
        <v>639.49315009854172</v>
      </c>
      <c r="M106" s="11"/>
      <c r="N106" s="156">
        <f t="shared" si="205"/>
        <v>1006.3152247248563</v>
      </c>
      <c r="O106" s="156">
        <f t="shared" si="206"/>
        <v>2543.3590214540382</v>
      </c>
      <c r="P106" s="157">
        <f t="shared" si="207"/>
        <v>11.543656085134623</v>
      </c>
      <c r="Q106" s="150"/>
      <c r="R106" s="11"/>
      <c r="S106" s="107"/>
      <c r="T106" s="107"/>
    </row>
    <row r="107" spans="1:20">
      <c r="A107" t="str">
        <f t="shared" si="199"/>
        <v>Dec</v>
      </c>
      <c r="C107" s="107">
        <f>+'KC Tonnage - Enspire'!R12+'KC Tonnage - Enspire'!S12</f>
        <v>31.5</v>
      </c>
      <c r="D107" s="107">
        <f>+'KC Tonnage - Enspire'!P12+'KC Tonnage - Enspire'!Q12</f>
        <v>63.6</v>
      </c>
      <c r="E107" s="102">
        <f t="shared" si="200"/>
        <v>95.1</v>
      </c>
      <c r="F107" s="11"/>
      <c r="G107" s="102">
        <f t="shared" si="201"/>
        <v>268.23999999999978</v>
      </c>
      <c r="H107" s="102">
        <f t="shared" si="202"/>
        <v>363.3399999999998</v>
      </c>
      <c r="I107" s="102"/>
      <c r="J107" s="156">
        <f t="shared" si="203"/>
        <v>113.86714447781787</v>
      </c>
      <c r="K107" s="11"/>
      <c r="L107" s="156">
        <f t="shared" si="204"/>
        <v>229.90318694568941</v>
      </c>
      <c r="M107" s="11"/>
      <c r="N107" s="156">
        <f t="shared" si="205"/>
        <v>343.77033142350729</v>
      </c>
      <c r="O107" s="156">
        <f t="shared" si="206"/>
        <v>645.45639106855924</v>
      </c>
      <c r="P107" s="157">
        <f t="shared" si="207"/>
        <v>2.7225923996589065</v>
      </c>
      <c r="Q107" s="150"/>
      <c r="R107" s="11"/>
      <c r="S107" s="107"/>
      <c r="T107" s="107"/>
    </row>
    <row r="108" spans="1:20">
      <c r="A108" t="str">
        <f t="shared" si="199"/>
        <v>Jan., 2020</v>
      </c>
      <c r="C108" s="107">
        <f>+'KC Tonnage - Enspire'!R16+'KC Tonnage - Enspire'!S16</f>
        <v>34.699999999999996</v>
      </c>
      <c r="D108" s="107">
        <f>+'KC Tonnage - Enspire'!P16+'KC Tonnage - Enspire'!Q16</f>
        <v>64.899999999999991</v>
      </c>
      <c r="E108" s="102">
        <f t="shared" si="200"/>
        <v>99.6</v>
      </c>
      <c r="F108" s="11"/>
      <c r="G108" s="102">
        <f t="shared" si="201"/>
        <v>266.19999999999982</v>
      </c>
      <c r="H108" s="151">
        <f t="shared" si="202"/>
        <v>365.79999999999984</v>
      </c>
      <c r="I108" s="151"/>
      <c r="J108" s="156">
        <f t="shared" si="203"/>
        <v>342.59481545035936</v>
      </c>
      <c r="K108" s="11"/>
      <c r="L108" s="156">
        <f t="shared" si="204"/>
        <v>640.76090843597467</v>
      </c>
      <c r="M108" s="11"/>
      <c r="N108" s="156">
        <f t="shared" si="205"/>
        <v>983.35572388633409</v>
      </c>
      <c r="O108" s="156">
        <f t="shared" si="206"/>
        <v>2479.3781361236688</v>
      </c>
      <c r="P108" s="157">
        <f t="shared" si="207"/>
        <v>9.4661942591853592</v>
      </c>
      <c r="Q108" s="155"/>
      <c r="R108" s="11"/>
      <c r="S108" s="107"/>
      <c r="T108" s="107"/>
    </row>
    <row r="109" spans="1:20">
      <c r="A109" t="str">
        <f t="shared" si="199"/>
        <v>Feb</v>
      </c>
      <c r="C109" s="107">
        <f>+'KC Tonnage - Enspire'!R20+'KC Tonnage - Enspire'!S20</f>
        <v>26.6</v>
      </c>
      <c r="D109" s="107">
        <f>+'KC Tonnage - Enspire'!P20+'KC Tonnage - Enspire'!Q20</f>
        <v>56</v>
      </c>
      <c r="E109" s="102">
        <f t="shared" si="200"/>
        <v>82.6</v>
      </c>
      <c r="F109" s="11"/>
      <c r="G109" s="102">
        <f t="shared" si="201"/>
        <v>239.70000000000005</v>
      </c>
      <c r="H109" s="151">
        <f t="shared" si="202"/>
        <v>322.30000000000007</v>
      </c>
      <c r="I109" s="151"/>
      <c r="J109" s="156">
        <f t="shared" si="203"/>
        <v>260.88665386495609</v>
      </c>
      <c r="K109" s="11"/>
      <c r="L109" s="156">
        <f t="shared" si="204"/>
        <v>549.23506076832859</v>
      </c>
      <c r="M109" s="11"/>
      <c r="N109" s="156">
        <f t="shared" si="205"/>
        <v>810.12171463328468</v>
      </c>
      <c r="O109" s="156">
        <f t="shared" si="206"/>
        <v>2036.8212865481146</v>
      </c>
      <c r="P109" s="157">
        <f t="shared" si="207"/>
        <v>8.8332081947918049</v>
      </c>
      <c r="Q109" s="155"/>
      <c r="R109" s="11"/>
      <c r="S109" s="107"/>
      <c r="T109" s="107"/>
    </row>
    <row r="110" spans="1:20">
      <c r="A110" t="str">
        <f t="shared" si="199"/>
        <v>Mar</v>
      </c>
      <c r="C110" s="107">
        <f>+'KC Tonnage - Enspire'!R24+'KC Tonnage - Enspire'!S24</f>
        <v>30.86</v>
      </c>
      <c r="D110" s="107">
        <f>+'KC Tonnage - Enspire'!P24+'KC Tonnage - Enspire'!Q24</f>
        <v>53.190000000000005</v>
      </c>
      <c r="E110" s="102">
        <f t="shared" si="200"/>
        <v>84.050000000000011</v>
      </c>
      <c r="F110" s="11"/>
      <c r="G110" s="102">
        <f t="shared" si="201"/>
        <v>244.38999999999987</v>
      </c>
      <c r="H110" s="151">
        <f t="shared" si="202"/>
        <v>328.43999999999988</v>
      </c>
      <c r="I110" s="151"/>
      <c r="J110" s="156">
        <f t="shared" si="203"/>
        <v>138.2825215090553</v>
      </c>
      <c r="K110" s="11"/>
      <c r="L110" s="156">
        <f t="shared" si="204"/>
        <v>238.34242770792787</v>
      </c>
      <c r="M110" s="11"/>
      <c r="N110" s="156">
        <f t="shared" si="205"/>
        <v>376.62494921698317</v>
      </c>
      <c r="O110" s="156">
        <f t="shared" si="206"/>
        <v>946.2363178815649</v>
      </c>
      <c r="P110" s="157">
        <f t="shared" si="207"/>
        <v>4.0277105927979191</v>
      </c>
      <c r="Q110" s="155"/>
      <c r="R110" s="11"/>
      <c r="S110" s="107"/>
      <c r="T110" s="107"/>
    </row>
    <row r="111" spans="1:20">
      <c r="A111" t="str">
        <f t="shared" si="199"/>
        <v>Apr</v>
      </c>
      <c r="C111" s="107">
        <f>+'KC Tonnage - Enspire'!R28+'KC Tonnage - Enspire'!S28</f>
        <v>33.58</v>
      </c>
      <c r="D111" s="107">
        <f>+'KC Tonnage - Enspire'!P28+'KC Tonnage - Enspire'!Q28</f>
        <v>49.07</v>
      </c>
      <c r="E111" s="102">
        <f t="shared" si="200"/>
        <v>82.65</v>
      </c>
      <c r="F111" s="11"/>
      <c r="G111" s="102">
        <f t="shared" si="201"/>
        <v>250.48999999999978</v>
      </c>
      <c r="H111" s="151">
        <f t="shared" si="202"/>
        <v>333.13999999999976</v>
      </c>
      <c r="I111" s="151"/>
      <c r="J111" s="156">
        <f>+C111/E111*N111</f>
        <v>225.36679593569875</v>
      </c>
      <c r="K111" s="11"/>
      <c r="L111" s="156">
        <f t="shared" ref="L111:L128" si="208">+N111-J111</f>
        <v>329.32545195249372</v>
      </c>
      <c r="M111" s="11"/>
      <c r="N111" s="156">
        <f t="shared" si="205"/>
        <v>554.69224788819247</v>
      </c>
      <c r="O111" s="156">
        <f t="shared" si="206"/>
        <v>1579.4254840637059</v>
      </c>
      <c r="P111" s="157">
        <f t="shared" si="207"/>
        <v>6.4060687157108118</v>
      </c>
      <c r="Q111" s="155"/>
      <c r="R111" s="11"/>
      <c r="S111" s="107"/>
      <c r="T111" s="107"/>
    </row>
    <row r="112" spans="1:20">
      <c r="A112" t="str">
        <f t="shared" si="199"/>
        <v>May</v>
      </c>
      <c r="C112" s="107">
        <f>+'KC Tonnage - Enspire'!R32+'KC Tonnage - Enspire'!S32</f>
        <v>32.15</v>
      </c>
      <c r="D112" s="107">
        <f>+'KC Tonnage - Enspire'!P32+'KC Tonnage - Enspire'!Q32</f>
        <v>54.28</v>
      </c>
      <c r="E112" s="102">
        <f t="shared" si="200"/>
        <v>86.43</v>
      </c>
      <c r="F112" s="11"/>
      <c r="G112" s="102">
        <f t="shared" si="201"/>
        <v>248.09999999999991</v>
      </c>
      <c r="H112" s="151">
        <f t="shared" si="202"/>
        <v>334.52999999999992</v>
      </c>
      <c r="I112" s="151"/>
      <c r="J112" s="156">
        <f>+C112/E112*N112</f>
        <v>443.9543579179296</v>
      </c>
      <c r="K112" s="11"/>
      <c r="L112" s="156">
        <f t="shared" si="208"/>
        <v>749.54409168849838</v>
      </c>
      <c r="M112" s="11"/>
      <c r="N112" s="156">
        <f t="shared" si="205"/>
        <v>1193.498449606428</v>
      </c>
      <c r="O112" s="156">
        <f t="shared" si="206"/>
        <v>3487.6477732280182</v>
      </c>
      <c r="P112" s="157">
        <f t="shared" si="207"/>
        <v>13.993203069483895</v>
      </c>
      <c r="Q112" s="155"/>
      <c r="R112" s="11"/>
      <c r="S112" s="107"/>
      <c r="T112" s="107"/>
    </row>
    <row r="113" spans="1:20">
      <c r="A113" t="str">
        <f t="shared" si="199"/>
        <v>Jun</v>
      </c>
      <c r="C113" s="107">
        <f>+'KC Tonnage - Enspire'!R36+'KC Tonnage - Enspire'!S36</f>
        <v>32.1</v>
      </c>
      <c r="D113" s="107">
        <f>+'KC Tonnage - Enspire'!P36+'KC Tonnage - Enspire'!Q36</f>
        <v>56.599999999999994</v>
      </c>
      <c r="E113" s="102">
        <f t="shared" si="200"/>
        <v>88.699999999999989</v>
      </c>
      <c r="F113" s="11"/>
      <c r="G113" s="102">
        <f t="shared" si="201"/>
        <v>263.55999999999995</v>
      </c>
      <c r="H113" s="151">
        <f t="shared" si="202"/>
        <v>352.25999999999993</v>
      </c>
      <c r="I113" s="151"/>
      <c r="J113" s="156">
        <f>+C113/E113*N113</f>
        <v>370.72537142552699</v>
      </c>
      <c r="K113" s="11"/>
      <c r="L113" s="156">
        <f t="shared" si="208"/>
        <v>653.67775771603795</v>
      </c>
      <c r="M113" s="11"/>
      <c r="N113" s="156">
        <f t="shared" si="205"/>
        <v>1024.4031291415649</v>
      </c>
      <c r="O113" s="156">
        <f t="shared" si="206"/>
        <v>3116.7636820339649</v>
      </c>
      <c r="P113" s="157">
        <f t="shared" si="207"/>
        <v>11.755995035415689</v>
      </c>
      <c r="Q113" s="155"/>
      <c r="R113" s="11"/>
      <c r="S113" s="107"/>
      <c r="T113" s="107"/>
    </row>
    <row r="114" spans="1:20">
      <c r="A114" t="str">
        <f t="shared" si="199"/>
        <v>Jul</v>
      </c>
      <c r="C114" s="107">
        <f>+'KC Tonnage - Enspire'!R40+'KC Tonnage - Enspire'!S40</f>
        <v>36.33</v>
      </c>
      <c r="D114" s="107">
        <f>+'KC Tonnage - Enspire'!P40+'KC Tonnage - Enspire'!Q40</f>
        <v>56.269999999999996</v>
      </c>
      <c r="E114" s="102">
        <f t="shared" si="200"/>
        <v>92.6</v>
      </c>
      <c r="F114" s="11"/>
      <c r="G114" s="102">
        <f t="shared" si="201"/>
        <v>258.98999999999978</v>
      </c>
      <c r="H114" s="151">
        <f t="shared" si="202"/>
        <v>351.5899999999998</v>
      </c>
      <c r="I114" s="151"/>
      <c r="J114" s="156">
        <f>+C114/E114*N114</f>
        <v>387.07103414905527</v>
      </c>
      <c r="K114" s="11"/>
      <c r="L114" s="156">
        <f t="shared" si="208"/>
        <v>599.51794912103878</v>
      </c>
      <c r="M114" s="11"/>
      <c r="N114" s="156">
        <f t="shared" si="205"/>
        <v>986.5889832700941</v>
      </c>
      <c r="O114" s="156">
        <f t="shared" si="206"/>
        <v>2706.9459899014073</v>
      </c>
      <c r="P114" s="157">
        <f t="shared" si="207"/>
        <v>10.505233292105872</v>
      </c>
      <c r="Q114" s="155"/>
      <c r="R114" s="11"/>
      <c r="S114" s="107"/>
      <c r="T114" s="107"/>
    </row>
    <row r="115" spans="1:20">
      <c r="A115" t="str">
        <f t="shared" si="199"/>
        <v>Aug</v>
      </c>
      <c r="C115" s="107">
        <f>+'KC Tonnage - Enspire'!R44+'KC Tonnage - Enspire'!S44</f>
        <v>35.369999999999997</v>
      </c>
      <c r="D115" s="107">
        <f>+'KC Tonnage - Enspire'!P44+'KC Tonnage - Enspire'!Q44</f>
        <v>53.31</v>
      </c>
      <c r="E115" s="102">
        <f t="shared" si="200"/>
        <v>88.68</v>
      </c>
      <c r="F115" s="11"/>
      <c r="G115" s="102">
        <f t="shared" si="201"/>
        <v>259.82999999999993</v>
      </c>
      <c r="H115" s="151">
        <f t="shared" si="202"/>
        <v>348.50999999999993</v>
      </c>
      <c r="I115" s="151"/>
      <c r="J115" s="156">
        <f>+C115/E115*N115</f>
        <v>664.42199229940582</v>
      </c>
      <c r="K115" s="11"/>
      <c r="L115" s="156">
        <f t="shared" si="208"/>
        <v>1001.423138520818</v>
      </c>
      <c r="M115" s="11"/>
      <c r="N115" s="156">
        <f t="shared" si="205"/>
        <v>1665.8451308202239</v>
      </c>
      <c r="O115" s="156">
        <f t="shared" si="206"/>
        <v>4906.3121550718497</v>
      </c>
      <c r="P115" s="157">
        <f t="shared" si="207"/>
        <v>18.857872904341555</v>
      </c>
      <c r="Q115" s="155"/>
      <c r="R115" s="11"/>
      <c r="S115" s="107"/>
      <c r="T115" s="107"/>
    </row>
    <row r="116" spans="1:20">
      <c r="A116" t="str">
        <f t="shared" si="199"/>
        <v>Sep</v>
      </c>
      <c r="C116" s="107">
        <f>+'KC Tonnage - Enspire'!R48+'KC Tonnage - Enspire'!S48</f>
        <v>33.340000000000003</v>
      </c>
      <c r="D116" s="107">
        <f>+'KC Tonnage - Enspire'!P48+'KC Tonnage - Enspire'!Q48</f>
        <v>61.160000000000004</v>
      </c>
      <c r="E116" s="102">
        <f t="shared" si="200"/>
        <v>94.5</v>
      </c>
      <c r="F116" s="11"/>
      <c r="G116" s="102">
        <f t="shared" si="201"/>
        <v>275.07000000000016</v>
      </c>
      <c r="H116" s="151">
        <f t="shared" si="202"/>
        <v>369.57000000000016</v>
      </c>
      <c r="I116" s="151"/>
      <c r="J116" s="156">
        <f t="shared" ref="J116:J128" si="209">+C116/E116*N116</f>
        <v>849.67643566754862</v>
      </c>
      <c r="K116" s="11"/>
      <c r="L116" s="156">
        <f t="shared" si="208"/>
        <v>1558.674589244969</v>
      </c>
      <c r="M116" s="11"/>
      <c r="N116" s="156">
        <f t="shared" si="205"/>
        <v>2408.3510249125175</v>
      </c>
      <c r="O116" s="156">
        <f t="shared" si="206"/>
        <v>6978.7245245586819</v>
      </c>
      <c r="P116" s="157">
        <f t="shared" si="207"/>
        <v>25.399993369243163</v>
      </c>
      <c r="Q116" s="155"/>
      <c r="R116" s="11"/>
      <c r="S116" s="107"/>
      <c r="T116" s="107"/>
    </row>
    <row r="117" spans="1:20">
      <c r="A117" t="str">
        <f t="shared" si="199"/>
        <v>Oct</v>
      </c>
      <c r="C117" s="107">
        <f>+'KC Tonnage - Enspire'!R52+'KC Tonnage - Enspire'!S52</f>
        <v>42.4</v>
      </c>
      <c r="D117" s="107">
        <f>+'KC Tonnage - Enspire'!P52+'KC Tonnage - Enspire'!Q52</f>
        <v>57</v>
      </c>
      <c r="E117" s="102">
        <f t="shared" si="200"/>
        <v>99.4</v>
      </c>
      <c r="F117" s="11"/>
      <c r="G117" s="102">
        <f t="shared" si="201"/>
        <v>279</v>
      </c>
      <c r="H117" s="151">
        <f t="shared" si="202"/>
        <v>378.4</v>
      </c>
      <c r="I117" s="151"/>
      <c r="J117" s="156">
        <f t="shared" si="209"/>
        <v>1517.4039222868701</v>
      </c>
      <c r="K117" s="11"/>
      <c r="L117" s="156">
        <f t="shared" si="208"/>
        <v>2039.9062162818777</v>
      </c>
      <c r="M117" s="11"/>
      <c r="N117" s="156">
        <f t="shared" si="205"/>
        <v>3557.3101385687478</v>
      </c>
      <c r="O117" s="156">
        <f t="shared" si="206"/>
        <v>9901.7411551217519</v>
      </c>
      <c r="P117" s="157">
        <f t="shared" si="207"/>
        <v>35.568317372332189</v>
      </c>
      <c r="Q117" s="155"/>
      <c r="R117" s="11"/>
      <c r="S117" s="107"/>
      <c r="T117" s="107"/>
    </row>
    <row r="118" spans="1:20">
      <c r="A118" t="str">
        <f t="shared" si="199"/>
        <v>Nov</v>
      </c>
      <c r="C118" s="107">
        <f>+'KC Tonnage - Enspire'!R56+'KC Tonnage - Enspire'!S56</f>
        <v>42.9</v>
      </c>
      <c r="D118" s="107">
        <f>+'KC Tonnage - Enspire'!P56+'KC Tonnage - Enspire'!Q56</f>
        <v>60.5</v>
      </c>
      <c r="E118" s="102">
        <f t="shared" si="200"/>
        <v>103.4</v>
      </c>
      <c r="F118" s="11"/>
      <c r="G118" s="102">
        <f t="shared" si="201"/>
        <v>268</v>
      </c>
      <c r="H118" s="151">
        <f t="shared" si="202"/>
        <v>371.4</v>
      </c>
      <c r="I118" s="151"/>
      <c r="J118" s="156">
        <f t="shared" si="209"/>
        <v>1821.1494165349927</v>
      </c>
      <c r="K118" s="11"/>
      <c r="L118" s="156">
        <f t="shared" si="208"/>
        <v>2568.2876387031952</v>
      </c>
      <c r="M118" s="11"/>
      <c r="N118" s="156">
        <f t="shared" si="205"/>
        <v>4389.4370552381879</v>
      </c>
      <c r="O118" s="156">
        <f t="shared" si="206"/>
        <v>11297.140847773393</v>
      </c>
      <c r="P118" s="157">
        <f t="shared" si="207"/>
        <v>42.236343303746857</v>
      </c>
      <c r="Q118" s="155"/>
      <c r="R118" s="11"/>
      <c r="S118" s="107"/>
      <c r="T118" s="107"/>
    </row>
    <row r="119" spans="1:20">
      <c r="A119" t="str">
        <f t="shared" si="199"/>
        <v>Dec</v>
      </c>
      <c r="C119" s="107">
        <f>+'KC Tonnage - Enspire'!R60+'KC Tonnage - Enspire'!S60</f>
        <v>45.37</v>
      </c>
      <c r="D119" s="107">
        <f>+'KC Tonnage - Enspire'!P60+'KC Tonnage - Enspire'!Q60</f>
        <v>63.269999999999996</v>
      </c>
      <c r="E119" s="102">
        <f t="shared" si="200"/>
        <v>108.63999999999999</v>
      </c>
      <c r="F119" s="11"/>
      <c r="G119" s="102">
        <f t="shared" si="201"/>
        <v>306.80999999999995</v>
      </c>
      <c r="H119" s="151">
        <f t="shared" si="202"/>
        <v>415.44999999999993</v>
      </c>
      <c r="I119" s="151"/>
      <c r="J119" s="156">
        <f t="shared" si="209"/>
        <v>2281.2952201312087</v>
      </c>
      <c r="K119" s="11"/>
      <c r="L119" s="156">
        <f t="shared" si="208"/>
        <v>3181.3433673727473</v>
      </c>
      <c r="M119" s="11"/>
      <c r="N119" s="156">
        <f t="shared" si="205"/>
        <v>5462.6385875039559</v>
      </c>
      <c r="O119" s="156">
        <f t="shared" si="206"/>
        <v>15381.829131510065</v>
      </c>
      <c r="P119" s="157">
        <f t="shared" si="207"/>
        <v>50.173228352422733</v>
      </c>
      <c r="Q119" s="155"/>
      <c r="R119" s="11"/>
      <c r="S119" s="107"/>
      <c r="T119" s="107"/>
    </row>
    <row r="120" spans="1:20">
      <c r="A120" t="str">
        <f t="shared" si="199"/>
        <v>Jan. 2021</v>
      </c>
      <c r="C120" s="107">
        <f>+'KC Tonnage - Enspire'!R64+'KC Tonnage - Enspire'!S64</f>
        <v>37.880000000000003</v>
      </c>
      <c r="D120" s="107">
        <f>+'KC Tonnage - Enspire'!P64+'KC Tonnage - Enspire'!Q64</f>
        <v>64.95</v>
      </c>
      <c r="E120" s="102">
        <f t="shared" si="200"/>
        <v>102.83000000000001</v>
      </c>
      <c r="F120" s="11"/>
      <c r="G120" s="102">
        <f t="shared" si="201"/>
        <v>273.4699999999998</v>
      </c>
      <c r="H120" s="151">
        <f t="shared" si="202"/>
        <v>376.29999999999984</v>
      </c>
      <c r="I120" s="151"/>
      <c r="J120" s="156">
        <f t="shared" si="209"/>
        <v>1818.4791353829723</v>
      </c>
      <c r="K120" s="11"/>
      <c r="L120" s="156">
        <f t="shared" si="208"/>
        <v>3118.0100275375944</v>
      </c>
      <c r="M120" s="11"/>
      <c r="N120" s="156">
        <f t="shared" si="205"/>
        <v>4936.4891629205667</v>
      </c>
      <c r="O120" s="156">
        <f t="shared" si="206"/>
        <v>13180.897279423531</v>
      </c>
      <c r="P120" s="157">
        <f t="shared" si="207"/>
        <v>48.146123949891326</v>
      </c>
      <c r="Q120" s="155"/>
      <c r="R120" s="11"/>
      <c r="S120" s="107"/>
      <c r="T120" s="107"/>
    </row>
    <row r="121" spans="1:20">
      <c r="A121" t="str">
        <f t="shared" si="199"/>
        <v>Feb</v>
      </c>
      <c r="C121" s="107">
        <f>+'KC Tonnage - Enspire'!R68+'KC Tonnage - Enspire'!S68</f>
        <v>31.54</v>
      </c>
      <c r="D121" s="107">
        <f>+'KC Tonnage - Enspire'!P68+'KC Tonnage - Enspire'!Q68</f>
        <v>54.559999999999995</v>
      </c>
      <c r="E121" s="102">
        <f t="shared" si="200"/>
        <v>86.1</v>
      </c>
      <c r="F121" s="11"/>
      <c r="G121" s="102">
        <f t="shared" si="201"/>
        <v>238.30000000000018</v>
      </c>
      <c r="H121" s="151">
        <f t="shared" si="202"/>
        <v>324.4000000000002</v>
      </c>
      <c r="I121" s="151"/>
      <c r="J121" s="156">
        <f t="shared" si="209"/>
        <v>1624.5551807421029</v>
      </c>
      <c r="K121" s="11"/>
      <c r="L121" s="156">
        <f t="shared" si="208"/>
        <v>2810.2641300345317</v>
      </c>
      <c r="M121" s="11"/>
      <c r="N121" s="156">
        <f t="shared" si="205"/>
        <v>4434.8193107766347</v>
      </c>
      <c r="O121" s="156">
        <f t="shared" si="206"/>
        <v>12273.071126232549</v>
      </c>
      <c r="P121" s="157">
        <f t="shared" si="207"/>
        <v>51.503977919263789</v>
      </c>
      <c r="Q121" s="155"/>
      <c r="R121" s="11"/>
      <c r="S121" s="107"/>
      <c r="T121" s="107"/>
    </row>
    <row r="122" spans="1:20">
      <c r="A122" t="str">
        <f t="shared" si="199"/>
        <v>Mar</v>
      </c>
      <c r="C122" s="107">
        <f>+'KC Tonnage - Enspire'!R72+'KC Tonnage - Enspire'!S72</f>
        <v>34.880000000000003</v>
      </c>
      <c r="D122" s="107">
        <f>+'KC Tonnage - Enspire'!P72+'KC Tonnage - Enspire'!Q72</f>
        <v>63.68</v>
      </c>
      <c r="E122" s="102">
        <f t="shared" si="200"/>
        <v>98.56</v>
      </c>
      <c r="F122" s="11"/>
      <c r="G122" s="102">
        <f t="shared" si="201"/>
        <v>278.56999999999971</v>
      </c>
      <c r="H122" s="151">
        <f t="shared" si="202"/>
        <v>377.12999999999971</v>
      </c>
      <c r="I122" s="151"/>
      <c r="J122" s="156">
        <f t="shared" si="209"/>
        <v>1888.0500842444039</v>
      </c>
      <c r="K122" s="11"/>
      <c r="L122" s="156">
        <f t="shared" si="208"/>
        <v>3446.99052077648</v>
      </c>
      <c r="M122" s="11"/>
      <c r="N122" s="156">
        <f t="shared" si="205"/>
        <v>5335.040605020884</v>
      </c>
      <c r="O122" s="156">
        <f t="shared" si="206"/>
        <v>14930.981400152741</v>
      </c>
      <c r="P122" s="157">
        <f t="shared" si="207"/>
        <v>53.737496367760826</v>
      </c>
      <c r="Q122" s="155"/>
      <c r="R122" s="11"/>
      <c r="S122" s="107"/>
      <c r="T122" s="107"/>
    </row>
    <row r="123" spans="1:20">
      <c r="A123" t="str">
        <f t="shared" si="199"/>
        <v>Apr</v>
      </c>
      <c r="C123" s="107">
        <f>+'KC Tonnage - Enspire'!R76+'KC Tonnage - Enspire'!S76</f>
        <v>36.31</v>
      </c>
      <c r="D123" s="107">
        <f>+'KC Tonnage - Enspire'!P76+'KC Tonnage - Enspire'!Q76</f>
        <v>60.1</v>
      </c>
      <c r="E123" s="102">
        <f t="shared" si="200"/>
        <v>96.41</v>
      </c>
      <c r="F123" s="11"/>
      <c r="G123" s="102">
        <f t="shared" si="201"/>
        <v>253.09000000000015</v>
      </c>
      <c r="H123" s="151">
        <f t="shared" si="202"/>
        <v>349.50000000000011</v>
      </c>
      <c r="I123" s="151"/>
      <c r="J123" s="156">
        <f t="shared" si="209"/>
        <v>2405.6982047710853</v>
      </c>
      <c r="K123" s="11"/>
      <c r="L123" s="156">
        <f t="shared" si="208"/>
        <v>3981.8909971562161</v>
      </c>
      <c r="M123" s="11"/>
      <c r="N123" s="156">
        <f t="shared" si="205"/>
        <v>6387.5892019273015</v>
      </c>
      <c r="O123" s="156">
        <f t="shared" si="206"/>
        <v>16722.357073740335</v>
      </c>
      <c r="P123" s="157">
        <f t="shared" si="207"/>
        <v>66.122879186459599</v>
      </c>
      <c r="Q123" s="155"/>
      <c r="R123" s="11"/>
      <c r="S123" s="107"/>
      <c r="T123" s="107"/>
    </row>
    <row r="124" spans="1:20">
      <c r="A124" t="str">
        <f t="shared" si="199"/>
        <v>May</v>
      </c>
      <c r="C124" s="107">
        <f>+'KC Tonnage - Enspire'!R80+'KC Tonnage - Enspire'!S80</f>
        <v>35.659999999999997</v>
      </c>
      <c r="D124" s="107">
        <f>+'KC Tonnage - Enspire'!P80+'KC Tonnage - Enspire'!Q80</f>
        <v>63</v>
      </c>
      <c r="E124" s="102">
        <f t="shared" si="200"/>
        <v>98.66</v>
      </c>
      <c r="F124" s="11"/>
      <c r="G124" s="102">
        <f t="shared" si="201"/>
        <v>247.7199999999998</v>
      </c>
      <c r="H124" s="151">
        <f t="shared" si="202"/>
        <v>346.37999999999977</v>
      </c>
      <c r="I124" s="151"/>
      <c r="J124" s="156">
        <f t="shared" si="209"/>
        <v>2530.4525207983106</v>
      </c>
      <c r="K124" s="11"/>
      <c r="L124" s="156">
        <f t="shared" si="208"/>
        <v>4470.5134270974077</v>
      </c>
      <c r="M124" s="11"/>
      <c r="N124" s="156">
        <f t="shared" si="205"/>
        <v>7000.9659478957183</v>
      </c>
      <c r="O124" s="156">
        <f t="shared" si="206"/>
        <v>17584.340143442445</v>
      </c>
      <c r="P124" s="157">
        <f t="shared" si="207"/>
        <v>70.977845404868006</v>
      </c>
      <c r="Q124" s="155"/>
      <c r="R124" s="11"/>
      <c r="S124" s="107"/>
      <c r="T124" s="107"/>
    </row>
    <row r="125" spans="1:20">
      <c r="A125" t="str">
        <f t="shared" si="199"/>
        <v>Jun</v>
      </c>
      <c r="C125" s="107">
        <f>+'KC Tonnage - Enspire'!R84+'KC Tonnage - Enspire'!S84</f>
        <v>35.04</v>
      </c>
      <c r="D125" s="107">
        <f>+'KC Tonnage - Enspire'!P84+'KC Tonnage - Enspire'!Q84</f>
        <v>63.410000000000004</v>
      </c>
      <c r="E125" s="102">
        <f t="shared" si="200"/>
        <v>98.45</v>
      </c>
      <c r="F125" s="11"/>
      <c r="G125" s="102">
        <f t="shared" si="201"/>
        <v>260.76000000000022</v>
      </c>
      <c r="H125" s="151">
        <f t="shared" si="202"/>
        <v>359.21000000000021</v>
      </c>
      <c r="I125" s="151"/>
      <c r="J125" s="156">
        <f t="shared" si="209"/>
        <v>2734.8891326791299</v>
      </c>
      <c r="K125" s="11"/>
      <c r="L125" s="156">
        <f t="shared" si="208"/>
        <v>4949.1815040862903</v>
      </c>
      <c r="M125" s="11"/>
      <c r="N125" s="156">
        <f t="shared" si="205"/>
        <v>7684.0706367654202</v>
      </c>
      <c r="O125" s="156">
        <f t="shared" si="206"/>
        <v>20508.696377046261</v>
      </c>
      <c r="P125" s="157">
        <f t="shared" si="207"/>
        <v>78.485473716799831</v>
      </c>
      <c r="Q125" s="155"/>
      <c r="R125" s="11"/>
      <c r="S125" s="107"/>
      <c r="T125" s="107"/>
    </row>
    <row r="126" spans="1:20">
      <c r="A126" t="str">
        <f t="shared" si="199"/>
        <v>Jul</v>
      </c>
      <c r="C126" s="107">
        <f>+'KC Tonnage - Enspire'!R88+'KC Tonnage - Enspire'!S88</f>
        <v>36.630000000000003</v>
      </c>
      <c r="D126" s="107">
        <f>+'KC Tonnage - Enspire'!P88+'KC Tonnage - Enspire'!Q88</f>
        <v>68.88</v>
      </c>
      <c r="E126" s="102">
        <f t="shared" si="200"/>
        <v>105.50999999999999</v>
      </c>
      <c r="F126" s="11"/>
      <c r="G126" s="102">
        <f t="shared" si="201"/>
        <v>260.40999999999985</v>
      </c>
      <c r="H126" s="151">
        <f t="shared" si="202"/>
        <v>365.91999999999985</v>
      </c>
      <c r="I126" s="151"/>
      <c r="J126" s="156">
        <f t="shared" si="209"/>
        <v>3756.0587573263688</v>
      </c>
      <c r="K126" s="11"/>
      <c r="L126" s="156">
        <f t="shared" si="208"/>
        <v>7062.9900956767742</v>
      </c>
      <c r="M126" s="11"/>
      <c r="N126" s="156">
        <f t="shared" si="205"/>
        <v>10819.048853003143</v>
      </c>
      <c r="O126" s="156">
        <f t="shared" si="206"/>
        <v>26535.495867718069</v>
      </c>
      <c r="P126" s="157">
        <f t="shared" si="207"/>
        <v>102.08391102077293</v>
      </c>
      <c r="Q126" s="155"/>
      <c r="R126" s="11"/>
      <c r="S126" s="107"/>
      <c r="T126" s="107"/>
    </row>
    <row r="127" spans="1:20">
      <c r="A127" t="str">
        <f t="shared" si="199"/>
        <v>Aug</v>
      </c>
      <c r="C127" s="107">
        <f>+'KC Tonnage - Enspire'!R92+'KC Tonnage - Enspire'!S92</f>
        <v>35.159999999999997</v>
      </c>
      <c r="D127" s="107">
        <f>+'KC Tonnage - Enspire'!P92+'KC Tonnage - Enspire'!Q92</f>
        <v>61.4</v>
      </c>
      <c r="E127" s="102">
        <f t="shared" si="200"/>
        <v>96.56</v>
      </c>
      <c r="F127" s="11"/>
      <c r="G127" s="102">
        <f t="shared" si="201"/>
        <v>256.63999999999987</v>
      </c>
      <c r="H127" s="151">
        <f t="shared" si="202"/>
        <v>353.19999999999987</v>
      </c>
      <c r="I127" s="151"/>
      <c r="J127" s="156">
        <f t="shared" si="209"/>
        <v>3816.2733191644397</v>
      </c>
      <c r="K127" s="11"/>
      <c r="L127" s="156">
        <f t="shared" si="208"/>
        <v>6664.3680829549667</v>
      </c>
      <c r="M127" s="11"/>
      <c r="N127" s="156">
        <f t="shared" si="205"/>
        <v>10480.641402119407</v>
      </c>
      <c r="O127" s="156">
        <f t="shared" si="206"/>
        <v>27672.18846005504</v>
      </c>
      <c r="P127" s="157">
        <f t="shared" si="207"/>
        <v>108.02046959845543</v>
      </c>
      <c r="Q127" s="155"/>
      <c r="R127" s="11"/>
      <c r="S127" s="107"/>
      <c r="T127" s="107"/>
    </row>
    <row r="128" spans="1:20" ht="15">
      <c r="A128" t="str">
        <f t="shared" si="199"/>
        <v>Sep</v>
      </c>
      <c r="C128" s="524">
        <f>+'KC Tonnage - Enspire'!R96+'KC Tonnage - Enspire'!S96</f>
        <v>36.799999999999997</v>
      </c>
      <c r="D128" s="524">
        <f>+'KC Tonnage - Enspire'!P96+'KC Tonnage - Enspire'!Q96</f>
        <v>62.49</v>
      </c>
      <c r="E128" s="87">
        <f t="shared" si="200"/>
        <v>99.289999999999992</v>
      </c>
      <c r="F128" s="11"/>
      <c r="G128" s="160">
        <f t="shared" si="201"/>
        <v>244.7800000000002</v>
      </c>
      <c r="H128" s="169">
        <f>+G128+E128</f>
        <v>344.07000000000016</v>
      </c>
      <c r="I128" s="151"/>
      <c r="J128" s="159">
        <f t="shared" si="209"/>
        <v>3995.4554003666794</v>
      </c>
      <c r="K128" s="158"/>
      <c r="L128" s="159">
        <f t="shared" si="208"/>
        <v>6784.6741295900483</v>
      </c>
      <c r="M128" s="207"/>
      <c r="N128" s="159">
        <f t="shared" si="205"/>
        <v>10780.129529956728</v>
      </c>
      <c r="O128" s="159">
        <f t="shared" si="206"/>
        <v>26642.417015587591</v>
      </c>
      <c r="P128" s="162">
        <f t="shared" si="207"/>
        <v>108.76434023758044</v>
      </c>
      <c r="Q128" s="155"/>
      <c r="R128" s="11"/>
      <c r="S128" s="11"/>
      <c r="T128" s="11"/>
    </row>
    <row r="129" spans="1:20" ht="15">
      <c r="C129" s="163">
        <f>SUM(C105:C128)</f>
        <v>837.49999999999966</v>
      </c>
      <c r="D129" s="163">
        <f t="shared" ref="D129:O129" si="210">SUM(D105:D128)</f>
        <v>1424.1200000000001</v>
      </c>
      <c r="E129" s="163">
        <f t="shared" si="210"/>
        <v>2261.62</v>
      </c>
      <c r="F129" s="163"/>
      <c r="G129" s="163">
        <f t="shared" si="210"/>
        <v>6238.5199999999986</v>
      </c>
      <c r="H129" s="163">
        <f t="shared" si="210"/>
        <v>8500.14</v>
      </c>
      <c r="I129" s="163"/>
      <c r="J129" s="165">
        <f t="shared" si="210"/>
        <v>34639.262409672039</v>
      </c>
      <c r="K129" s="165"/>
      <c r="L129" s="164">
        <f t="shared" si="210"/>
        <v>58834.3422461386</v>
      </c>
      <c r="M129" s="164"/>
      <c r="N129" s="164">
        <f t="shared" si="210"/>
        <v>93473.604655810632</v>
      </c>
      <c r="O129" s="164">
        <f t="shared" si="210"/>
        <v>246317.366292372</v>
      </c>
      <c r="P129" s="165">
        <f>(O129+N129)/H129</f>
        <v>39.974749939198958</v>
      </c>
      <c r="Q129" s="166"/>
      <c r="R129" s="11"/>
      <c r="S129" s="11"/>
      <c r="T129" s="11"/>
    </row>
    <row r="130" spans="1:20" ht="16.5">
      <c r="B130" s="84" t="s">
        <v>101</v>
      </c>
      <c r="C130" s="182">
        <f>+C129/E129</f>
        <v>0.37030977794678138</v>
      </c>
      <c r="D130" s="183">
        <f>+D129/E129</f>
        <v>0.62969022205321856</v>
      </c>
      <c r="E130" s="153">
        <f>+E129/C59</f>
        <v>9.5022536981825861E-2</v>
      </c>
      <c r="F130" s="11"/>
      <c r="G130" s="153">
        <f>+G129/D59</f>
        <v>0.10688709821947928</v>
      </c>
      <c r="H130" s="153">
        <f>+H129/E59</f>
        <v>0.10345032804775772</v>
      </c>
      <c r="I130" s="153"/>
      <c r="J130" s="11"/>
      <c r="K130" s="11"/>
      <c r="L130" s="11"/>
      <c r="M130" s="11"/>
      <c r="N130" s="153">
        <f>+N129/G59</f>
        <v>9.7032793100125581E-2</v>
      </c>
      <c r="O130" s="153">
        <f>+O129/H59</f>
        <v>0.10629531043670706</v>
      </c>
      <c r="P130" s="11"/>
      <c r="Q130" s="153"/>
      <c r="R130" s="106"/>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102"/>
      <c r="F132" s="11"/>
      <c r="G132" s="11"/>
      <c r="H132" s="11"/>
      <c r="I132" s="11"/>
      <c r="J132" s="11"/>
      <c r="K132" s="11"/>
      <c r="L132" s="11"/>
      <c r="M132" s="11"/>
      <c r="N132" s="11"/>
      <c r="O132" s="11"/>
      <c r="P132" s="11"/>
      <c r="Q132" s="11"/>
      <c r="R132" s="11"/>
      <c r="S132" s="11"/>
      <c r="T132" s="11"/>
    </row>
    <row r="133" spans="1:20" ht="16.5">
      <c r="A133" s="82"/>
      <c r="C133" s="170"/>
      <c r="D133" s="170"/>
      <c r="E133" s="171"/>
      <c r="F133" s="11"/>
      <c r="G133" s="172"/>
      <c r="H133" s="172"/>
      <c r="I133" s="11"/>
      <c r="J133" s="11"/>
      <c r="K133" s="11"/>
      <c r="L133" s="11"/>
      <c r="M133" s="11"/>
      <c r="N133" s="175"/>
      <c r="O133" s="175"/>
      <c r="P133" s="175"/>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102"/>
    </row>
    <row r="160" spans="5:5">
      <c r="E160" s="102"/>
    </row>
    <row r="161" spans="5:5">
      <c r="E161" s="102"/>
    </row>
    <row r="162" spans="5:5">
      <c r="E162" s="102"/>
    </row>
    <row r="163" spans="5:5">
      <c r="E163" s="102"/>
    </row>
    <row r="164" spans="5:5">
      <c r="E164" s="102"/>
    </row>
    <row r="165" spans="5:5">
      <c r="E165" s="102"/>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7"/>
  <sheetViews>
    <sheetView workbookViewId="0">
      <pane xSplit="2" ySplit="1" topLeftCell="I65" activePane="bottomRight" state="frozen"/>
      <selection pane="topRight" activeCell="C1" sqref="C1"/>
      <selection pane="bottomLeft" activeCell="A2" sqref="A2"/>
      <selection pane="bottomRight" activeCell="V3" sqref="V3"/>
    </sheetView>
  </sheetViews>
  <sheetFormatPr defaultRowHeight="12.75"/>
  <cols>
    <col min="1" max="1" width="14.42578125" bestFit="1" customWidth="1"/>
    <col min="2" max="2" width="8.5703125" bestFit="1" customWidth="1"/>
    <col min="3" max="3" width="7.140625" bestFit="1" customWidth="1"/>
    <col min="4" max="4" width="7.710937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7.42578125" bestFit="1" customWidth="1"/>
    <col min="20" max="20" width="11" bestFit="1" customWidth="1"/>
    <col min="22" max="22" width="10.28515625" bestFit="1" customWidth="1"/>
    <col min="24" max="24" width="10.28515625" bestFit="1" customWidth="1"/>
  </cols>
  <sheetData>
    <row r="1" spans="1:23" ht="15">
      <c r="A1" s="69" t="s">
        <v>180</v>
      </c>
      <c r="B1" s="69" t="s">
        <v>181</v>
      </c>
      <c r="C1" s="69" t="s">
        <v>182</v>
      </c>
      <c r="D1" s="69" t="s">
        <v>183</v>
      </c>
      <c r="E1" s="69" t="s">
        <v>184</v>
      </c>
      <c r="F1" s="69" t="s">
        <v>185</v>
      </c>
      <c r="G1" s="69" t="s">
        <v>186</v>
      </c>
      <c r="H1" s="69" t="s">
        <v>187</v>
      </c>
      <c r="I1" s="69" t="s">
        <v>188</v>
      </c>
      <c r="J1" s="69" t="s">
        <v>189</v>
      </c>
      <c r="K1" s="69" t="s">
        <v>190</v>
      </c>
      <c r="L1" s="69" t="s">
        <v>191</v>
      </c>
      <c r="M1" s="69" t="s">
        <v>192</v>
      </c>
      <c r="N1" s="69" t="s">
        <v>193</v>
      </c>
      <c r="O1" s="69" t="s">
        <v>194</v>
      </c>
      <c r="P1" s="69" t="s">
        <v>195</v>
      </c>
      <c r="Q1" s="69" t="s">
        <v>196</v>
      </c>
      <c r="R1" s="69" t="s">
        <v>197</v>
      </c>
      <c r="S1" s="69" t="s">
        <v>344</v>
      </c>
      <c r="T1" s="69" t="s">
        <v>198</v>
      </c>
      <c r="U1" s="69"/>
      <c r="V1" s="14" t="s">
        <v>74</v>
      </c>
    </row>
    <row r="2" spans="1:23" ht="15">
      <c r="A2" s="69" t="s">
        <v>199</v>
      </c>
      <c r="B2" s="69"/>
      <c r="C2" s="69"/>
      <c r="D2" s="69"/>
      <c r="E2" s="69"/>
      <c r="F2" s="69"/>
      <c r="G2" s="69"/>
      <c r="H2" s="69"/>
      <c r="I2" s="69"/>
      <c r="J2" s="69"/>
      <c r="K2" s="69"/>
      <c r="L2" s="69"/>
      <c r="M2" s="69"/>
      <c r="N2" s="69"/>
      <c r="O2" s="69"/>
      <c r="P2" s="69"/>
      <c r="Q2" s="69"/>
      <c r="R2" s="69"/>
      <c r="S2" s="69"/>
      <c r="T2" s="69"/>
      <c r="U2" s="69"/>
      <c r="V2" s="14"/>
    </row>
    <row r="3" spans="1:23">
      <c r="A3" t="s">
        <v>19</v>
      </c>
      <c r="B3" t="s">
        <v>200</v>
      </c>
      <c r="C3" s="59">
        <v>19.2</v>
      </c>
      <c r="D3" s="59">
        <v>237.6</v>
      </c>
      <c r="E3" s="59">
        <v>64.7</v>
      </c>
      <c r="F3" s="59">
        <v>62</v>
      </c>
      <c r="G3" s="59">
        <v>345.8</v>
      </c>
      <c r="H3" s="59">
        <v>600.4</v>
      </c>
      <c r="I3" s="59">
        <v>81</v>
      </c>
      <c r="J3" s="59">
        <v>63.3</v>
      </c>
      <c r="K3" s="59">
        <v>31</v>
      </c>
      <c r="L3" s="59">
        <v>370.4</v>
      </c>
      <c r="M3" s="59">
        <v>0.2</v>
      </c>
      <c r="N3" s="59">
        <v>124.2</v>
      </c>
      <c r="O3" s="59">
        <v>68.7</v>
      </c>
      <c r="P3" s="59">
        <v>149.80000000000001</v>
      </c>
      <c r="Q3" s="59">
        <v>286.89999999999998</v>
      </c>
      <c r="R3" s="59">
        <v>355.4</v>
      </c>
      <c r="S3" s="59">
        <v>59.3</v>
      </c>
      <c r="T3" s="59">
        <f>SUM(C3:S3)</f>
        <v>2919.9</v>
      </c>
      <c r="V3" s="201">
        <f>+S3+R3+Q3+P3</f>
        <v>851.39999999999986</v>
      </c>
    </row>
    <row r="4" spans="1:23">
      <c r="A4" t="s">
        <v>201</v>
      </c>
      <c r="B4" t="s">
        <v>200</v>
      </c>
      <c r="C4" s="59">
        <v>0.6</v>
      </c>
      <c r="D4" s="59">
        <v>119.7</v>
      </c>
      <c r="E4" s="59">
        <v>7.9</v>
      </c>
      <c r="F4" s="59">
        <v>1.1000000000000001</v>
      </c>
      <c r="G4" s="59">
        <v>163.6</v>
      </c>
      <c r="H4" s="59">
        <v>245.2</v>
      </c>
      <c r="I4" s="59">
        <v>9.1</v>
      </c>
      <c r="J4" s="59">
        <v>4.5</v>
      </c>
      <c r="K4" s="59">
        <v>2.2000000000000002</v>
      </c>
      <c r="L4" s="59">
        <v>158.69999999999999</v>
      </c>
      <c r="M4" s="59"/>
      <c r="N4" s="59">
        <v>2</v>
      </c>
      <c r="O4" s="59">
        <v>46.3</v>
      </c>
      <c r="P4" s="59">
        <v>5.2</v>
      </c>
      <c r="Q4" s="59">
        <v>55</v>
      </c>
      <c r="R4" s="59">
        <v>5.7</v>
      </c>
      <c r="S4" s="59">
        <v>24.7</v>
      </c>
      <c r="T4" s="59">
        <f t="shared" ref="T4:T8" si="0">SUM(C4:S4)</f>
        <v>851.5</v>
      </c>
      <c r="V4" s="201">
        <f>+S4+R4+Q4+P4</f>
        <v>90.600000000000009</v>
      </c>
      <c r="W4" s="201"/>
    </row>
    <row r="5" spans="1:23">
      <c r="C5" s="59"/>
      <c r="D5" s="59"/>
      <c r="E5" s="59"/>
      <c r="F5" s="59"/>
      <c r="G5" s="59"/>
      <c r="H5" s="59"/>
      <c r="I5" s="59"/>
      <c r="J5" s="59"/>
      <c r="K5" s="59"/>
      <c r="L5" s="59"/>
      <c r="M5" s="59"/>
      <c r="N5" s="59"/>
      <c r="O5" s="59"/>
      <c r="P5" s="59"/>
      <c r="Q5" s="59"/>
      <c r="R5" s="59"/>
      <c r="S5" s="59"/>
      <c r="T5" s="59"/>
      <c r="V5" s="201">
        <f t="shared" ref="V5:V68" si="1">+S5+R5+Q5+P5</f>
        <v>0</v>
      </c>
    </row>
    <row r="6" spans="1:23" ht="15">
      <c r="A6" s="69" t="s">
        <v>202</v>
      </c>
      <c r="T6" s="59"/>
      <c r="V6" s="201">
        <f t="shared" si="1"/>
        <v>0</v>
      </c>
    </row>
    <row r="7" spans="1:23">
      <c r="A7" t="s">
        <v>19</v>
      </c>
      <c r="B7" t="s">
        <v>200</v>
      </c>
      <c r="C7" s="59">
        <v>12.9</v>
      </c>
      <c r="D7" s="59">
        <v>211.8</v>
      </c>
      <c r="E7" s="59">
        <v>62.2</v>
      </c>
      <c r="F7" s="59">
        <v>59.6</v>
      </c>
      <c r="G7" s="59">
        <v>319.2</v>
      </c>
      <c r="H7" s="59">
        <v>561.1</v>
      </c>
      <c r="I7" s="59">
        <v>78.7</v>
      </c>
      <c r="J7" s="59">
        <v>48.1</v>
      </c>
      <c r="K7" s="59">
        <v>27.7</v>
      </c>
      <c r="L7" s="59">
        <v>329.5</v>
      </c>
      <c r="M7" s="59">
        <v>0.4</v>
      </c>
      <c r="N7" s="59">
        <v>117</v>
      </c>
      <c r="O7" s="59">
        <v>69.599999999999994</v>
      </c>
      <c r="P7" s="59">
        <v>126.8</v>
      </c>
      <c r="Q7" s="59">
        <v>231.2</v>
      </c>
      <c r="R7" s="59">
        <v>346.4</v>
      </c>
      <c r="S7" s="59">
        <v>58.3</v>
      </c>
      <c r="T7" s="59">
        <f t="shared" si="0"/>
        <v>2660.5000000000005</v>
      </c>
      <c r="U7" s="59"/>
      <c r="V7" s="201">
        <f t="shared" si="1"/>
        <v>762.69999999999993</v>
      </c>
    </row>
    <row r="8" spans="1:23">
      <c r="A8" t="s">
        <v>201</v>
      </c>
      <c r="B8" t="s">
        <v>200</v>
      </c>
      <c r="C8" s="59">
        <v>0.5</v>
      </c>
      <c r="D8" s="59">
        <v>114.5</v>
      </c>
      <c r="E8" s="59">
        <v>9.3000000000000007</v>
      </c>
      <c r="F8" s="59">
        <v>0.9</v>
      </c>
      <c r="G8" s="59">
        <v>140.6</v>
      </c>
      <c r="H8" s="59">
        <v>232.8</v>
      </c>
      <c r="I8" s="59">
        <v>8.1</v>
      </c>
      <c r="J8" s="59">
        <v>3.5</v>
      </c>
      <c r="K8" s="59">
        <v>2</v>
      </c>
      <c r="L8" s="59">
        <v>147.9</v>
      </c>
      <c r="M8" s="59"/>
      <c r="N8" s="59">
        <v>1.6</v>
      </c>
      <c r="O8" s="59">
        <v>44.2</v>
      </c>
      <c r="P8" s="59">
        <v>4.9000000000000004</v>
      </c>
      <c r="Q8" s="59">
        <v>47.4</v>
      </c>
      <c r="R8" s="59">
        <v>5.4</v>
      </c>
      <c r="S8" s="59">
        <v>24.6</v>
      </c>
      <c r="T8" s="59">
        <f t="shared" si="0"/>
        <v>788.2</v>
      </c>
      <c r="U8" s="59"/>
      <c r="V8" s="201">
        <f t="shared" si="1"/>
        <v>82.300000000000011</v>
      </c>
      <c r="W8" s="201"/>
    </row>
    <row r="9" spans="1:23">
      <c r="C9" s="59"/>
      <c r="D9" s="59"/>
      <c r="E9" s="59"/>
      <c r="F9" s="59"/>
      <c r="G9" s="59"/>
      <c r="H9" s="59"/>
      <c r="I9" s="59"/>
      <c r="J9" s="59"/>
      <c r="K9" s="59"/>
      <c r="L9" s="59"/>
      <c r="M9" s="59"/>
      <c r="N9" s="59"/>
      <c r="O9" s="59"/>
      <c r="P9" s="59"/>
      <c r="Q9" s="59"/>
      <c r="R9" s="59"/>
      <c r="S9" s="59"/>
      <c r="T9" s="59"/>
      <c r="U9" s="59"/>
      <c r="V9" s="201">
        <f t="shared" si="1"/>
        <v>0</v>
      </c>
    </row>
    <row r="10" spans="1:23" ht="15">
      <c r="A10" s="69" t="s">
        <v>203</v>
      </c>
      <c r="C10" s="59"/>
      <c r="D10" s="59"/>
      <c r="E10" s="59"/>
      <c r="F10" s="59"/>
      <c r="G10" s="59"/>
      <c r="H10" s="59"/>
      <c r="I10" s="59"/>
      <c r="J10" s="59"/>
      <c r="K10" s="59"/>
      <c r="L10" s="59"/>
      <c r="M10" s="59"/>
      <c r="N10" s="59"/>
      <c r="O10" s="59"/>
      <c r="P10" s="59"/>
      <c r="Q10" s="59"/>
      <c r="R10" s="59"/>
      <c r="S10" s="59"/>
      <c r="T10" s="59"/>
      <c r="U10" s="59"/>
      <c r="V10" s="201">
        <f t="shared" si="1"/>
        <v>0</v>
      </c>
    </row>
    <row r="11" spans="1:23">
      <c r="A11" t="s">
        <v>19</v>
      </c>
      <c r="B11" t="s">
        <v>200</v>
      </c>
      <c r="C11" s="59">
        <v>13.9</v>
      </c>
      <c r="D11" s="59">
        <v>237.7</v>
      </c>
      <c r="E11" s="59">
        <v>85.7</v>
      </c>
      <c r="F11" s="59">
        <v>70.7</v>
      </c>
      <c r="G11" s="59">
        <v>376.2</v>
      </c>
      <c r="H11" s="59">
        <v>619.6</v>
      </c>
      <c r="I11" s="59">
        <v>99.8</v>
      </c>
      <c r="J11" s="59">
        <v>55.7</v>
      </c>
      <c r="K11" s="59">
        <v>30.7</v>
      </c>
      <c r="L11" s="59">
        <v>361.1</v>
      </c>
      <c r="M11" s="59">
        <v>0.4</v>
      </c>
      <c r="N11" s="59">
        <v>142.69999999999999</v>
      </c>
      <c r="O11" s="59">
        <v>80.599999999999994</v>
      </c>
      <c r="P11" s="59">
        <v>134</v>
      </c>
      <c r="Q11" s="59">
        <v>292.3</v>
      </c>
      <c r="R11" s="59">
        <v>407.8</v>
      </c>
      <c r="S11" s="59">
        <v>62.4</v>
      </c>
      <c r="T11" s="59">
        <f>SUM(C11:S11)</f>
        <v>3071.3000000000006</v>
      </c>
      <c r="U11" s="59"/>
      <c r="V11" s="201">
        <f t="shared" si="1"/>
        <v>896.5</v>
      </c>
    </row>
    <row r="12" spans="1:23">
      <c r="A12" t="s">
        <v>201</v>
      </c>
      <c r="B12" t="s">
        <v>200</v>
      </c>
      <c r="C12" s="59">
        <v>0.5</v>
      </c>
      <c r="D12" s="59">
        <v>129.9</v>
      </c>
      <c r="E12" s="59">
        <v>10.8</v>
      </c>
      <c r="F12" s="59">
        <v>1.3</v>
      </c>
      <c r="G12" s="59">
        <v>169.6</v>
      </c>
      <c r="H12" s="59">
        <v>282.89999999999998</v>
      </c>
      <c r="I12" s="59">
        <v>8.6</v>
      </c>
      <c r="J12" s="59">
        <v>4.5999999999999996</v>
      </c>
      <c r="K12" s="59">
        <v>2</v>
      </c>
      <c r="L12" s="59">
        <v>171.9</v>
      </c>
      <c r="M12" s="59"/>
      <c r="N12" s="59">
        <v>1.8</v>
      </c>
      <c r="O12" s="59">
        <v>52.5</v>
      </c>
      <c r="P12" s="59">
        <v>5</v>
      </c>
      <c r="Q12" s="59">
        <v>58.6</v>
      </c>
      <c r="R12" s="59">
        <v>6</v>
      </c>
      <c r="S12" s="59">
        <v>25.5</v>
      </c>
      <c r="T12" s="59">
        <f t="shared" ref="T12:T16" si="2">SUM(C12:S12)</f>
        <v>931.5</v>
      </c>
      <c r="U12" s="59"/>
      <c r="V12" s="201">
        <f t="shared" si="1"/>
        <v>95.1</v>
      </c>
      <c r="W12" s="201"/>
    </row>
    <row r="13" spans="1:23">
      <c r="T13" s="59"/>
      <c r="V13" s="201">
        <f t="shared" si="1"/>
        <v>0</v>
      </c>
    </row>
    <row r="14" spans="1:23" ht="15">
      <c r="A14" s="69" t="s">
        <v>216</v>
      </c>
      <c r="T14" s="59"/>
      <c r="V14" s="201">
        <f t="shared" si="1"/>
        <v>0</v>
      </c>
    </row>
    <row r="15" spans="1:23">
      <c r="A15" t="s">
        <v>19</v>
      </c>
      <c r="B15" t="s">
        <v>200</v>
      </c>
      <c r="C15" s="59">
        <v>14.3</v>
      </c>
      <c r="D15" s="59">
        <v>273.2</v>
      </c>
      <c r="E15" s="59">
        <v>56.1</v>
      </c>
      <c r="F15" s="59">
        <v>78.7</v>
      </c>
      <c r="G15" s="59">
        <v>402.6</v>
      </c>
      <c r="H15" s="59">
        <v>643.6</v>
      </c>
      <c r="I15" s="59">
        <v>83.4</v>
      </c>
      <c r="J15" s="59">
        <v>43.4</v>
      </c>
      <c r="K15" s="59">
        <v>30.9</v>
      </c>
      <c r="L15" s="59">
        <v>351</v>
      </c>
      <c r="M15" s="59">
        <v>0.2</v>
      </c>
      <c r="N15" s="59">
        <v>110.9</v>
      </c>
      <c r="O15" s="59">
        <v>101.1</v>
      </c>
      <c r="P15" s="59">
        <v>145</v>
      </c>
      <c r="Q15" s="59">
        <v>289</v>
      </c>
      <c r="R15" s="59">
        <v>345.8</v>
      </c>
      <c r="S15" s="59">
        <v>62.3</v>
      </c>
      <c r="T15" s="59">
        <f t="shared" si="2"/>
        <v>3031.5000000000005</v>
      </c>
      <c r="V15" s="201">
        <f t="shared" si="1"/>
        <v>842.1</v>
      </c>
    </row>
    <row r="16" spans="1:23">
      <c r="A16" t="s">
        <v>201</v>
      </c>
      <c r="B16" t="s">
        <v>200</v>
      </c>
      <c r="C16" s="59">
        <v>0.7</v>
      </c>
      <c r="D16" s="59">
        <v>140.5</v>
      </c>
      <c r="E16" s="59">
        <v>10.199999999999999</v>
      </c>
      <c r="F16" s="59">
        <v>1.5</v>
      </c>
      <c r="G16" s="59">
        <v>179.1</v>
      </c>
      <c r="H16" s="59">
        <v>278.3</v>
      </c>
      <c r="I16" s="59">
        <v>8.1999999999999993</v>
      </c>
      <c r="J16" s="59">
        <v>3.8</v>
      </c>
      <c r="K16" s="59">
        <v>2.6</v>
      </c>
      <c r="L16" s="59">
        <v>189.9</v>
      </c>
      <c r="M16" s="59"/>
      <c r="N16" s="59">
        <v>1.5</v>
      </c>
      <c r="O16" s="59">
        <v>52.3</v>
      </c>
      <c r="P16" s="59">
        <v>6.1</v>
      </c>
      <c r="Q16" s="59">
        <v>58.8</v>
      </c>
      <c r="R16" s="59">
        <v>6.3</v>
      </c>
      <c r="S16" s="59">
        <v>28.4</v>
      </c>
      <c r="T16" s="59">
        <f t="shared" si="2"/>
        <v>968.19999999999982</v>
      </c>
      <c r="V16" s="201">
        <f t="shared" si="1"/>
        <v>99.6</v>
      </c>
      <c r="W16" s="201"/>
    </row>
    <row r="17" spans="1:23">
      <c r="V17" s="201">
        <f t="shared" si="1"/>
        <v>0</v>
      </c>
    </row>
    <row r="18" spans="1:23" ht="15">
      <c r="A18" s="69" t="s">
        <v>217</v>
      </c>
      <c r="V18" s="201">
        <f t="shared" si="1"/>
        <v>0</v>
      </c>
    </row>
    <row r="19" spans="1:23">
      <c r="A19" t="s">
        <v>19</v>
      </c>
      <c r="B19" t="s">
        <v>200</v>
      </c>
      <c r="C19" s="59">
        <v>13.2</v>
      </c>
      <c r="D19" s="59">
        <v>209.8</v>
      </c>
      <c r="E19" s="59">
        <v>62.3</v>
      </c>
      <c r="F19" s="59">
        <v>64.8</v>
      </c>
      <c r="G19" s="59">
        <v>328.4</v>
      </c>
      <c r="H19" s="59">
        <v>582.70000000000005</v>
      </c>
      <c r="I19" s="59">
        <v>62.9</v>
      </c>
      <c r="J19" s="59">
        <v>41.9</v>
      </c>
      <c r="K19" s="59">
        <v>27.7</v>
      </c>
      <c r="L19" s="59">
        <v>319.89999999999998</v>
      </c>
      <c r="M19" s="59">
        <v>0.4</v>
      </c>
      <c r="N19" s="59">
        <v>117.5</v>
      </c>
      <c r="O19" s="59">
        <v>77.900000000000006</v>
      </c>
      <c r="P19" s="59">
        <v>126.9</v>
      </c>
      <c r="Q19" s="59">
        <v>253.8</v>
      </c>
      <c r="R19" s="59">
        <v>338.2</v>
      </c>
      <c r="S19" s="59">
        <v>52.1</v>
      </c>
      <c r="T19" s="59">
        <f>SUM(C19:S19)</f>
        <v>2680.4000000000005</v>
      </c>
      <c r="V19" s="201">
        <f t="shared" si="1"/>
        <v>771</v>
      </c>
    </row>
    <row r="20" spans="1:23">
      <c r="A20" t="s">
        <v>201</v>
      </c>
      <c r="B20" t="s">
        <v>200</v>
      </c>
      <c r="C20" s="59">
        <v>0.5</v>
      </c>
      <c r="D20" s="59">
        <v>109.9</v>
      </c>
      <c r="E20" s="59">
        <v>7.9</v>
      </c>
      <c r="F20" s="59">
        <v>1.3</v>
      </c>
      <c r="G20" s="59">
        <v>139.5</v>
      </c>
      <c r="H20" s="59">
        <v>236.2</v>
      </c>
      <c r="I20" s="59">
        <v>7</v>
      </c>
      <c r="J20" s="59">
        <v>3.5</v>
      </c>
      <c r="K20" s="59">
        <v>1.9</v>
      </c>
      <c r="L20" s="59">
        <v>153.1</v>
      </c>
      <c r="M20" s="59"/>
      <c r="N20" s="59">
        <v>1.6</v>
      </c>
      <c r="O20" s="59">
        <v>40.5</v>
      </c>
      <c r="P20" s="59">
        <v>3.5</v>
      </c>
      <c r="Q20" s="59">
        <v>52.5</v>
      </c>
      <c r="R20" s="59">
        <v>4.5</v>
      </c>
      <c r="S20" s="59">
        <v>22.1</v>
      </c>
      <c r="T20" s="59">
        <f t="shared" ref="T20:T36" si="3">SUM(C20:S20)</f>
        <v>785.5</v>
      </c>
      <c r="V20" s="201">
        <f t="shared" si="1"/>
        <v>82.6</v>
      </c>
      <c r="W20" s="201"/>
    </row>
    <row r="21" spans="1:23">
      <c r="T21" s="59"/>
      <c r="V21" s="201">
        <f t="shared" si="1"/>
        <v>0</v>
      </c>
    </row>
    <row r="22" spans="1:23" ht="15">
      <c r="A22" s="69" t="s">
        <v>218</v>
      </c>
      <c r="T22" s="59"/>
      <c r="V22" s="201">
        <f t="shared" si="1"/>
        <v>0</v>
      </c>
    </row>
    <row r="23" spans="1:23">
      <c r="A23" t="s">
        <v>19</v>
      </c>
      <c r="B23" t="s">
        <v>200</v>
      </c>
      <c r="C23" s="59">
        <v>12.14</v>
      </c>
      <c r="D23" s="59">
        <v>202.5</v>
      </c>
      <c r="E23" s="59">
        <v>76.430000000000007</v>
      </c>
      <c r="F23" s="59">
        <v>63.66</v>
      </c>
      <c r="G23" s="59">
        <v>194.26</v>
      </c>
      <c r="H23" s="59">
        <v>594.4</v>
      </c>
      <c r="I23" s="59">
        <v>113.66</v>
      </c>
      <c r="J23" s="59">
        <v>69.67</v>
      </c>
      <c r="K23" s="59">
        <v>33.07</v>
      </c>
      <c r="L23" s="59">
        <v>330.94</v>
      </c>
      <c r="M23" s="59">
        <v>0.4</v>
      </c>
      <c r="N23" s="59">
        <v>118.95</v>
      </c>
      <c r="O23" s="59">
        <v>98.45</v>
      </c>
      <c r="P23" s="59">
        <f>121.16+0.02</f>
        <v>121.17999999999999</v>
      </c>
      <c r="Q23" s="59">
        <v>303.68</v>
      </c>
      <c r="R23" s="59">
        <v>361.89</v>
      </c>
      <c r="S23" s="59">
        <v>58.97</v>
      </c>
      <c r="T23" s="59">
        <f t="shared" si="3"/>
        <v>2754.25</v>
      </c>
      <c r="V23" s="201">
        <f t="shared" si="1"/>
        <v>845.71999999999991</v>
      </c>
    </row>
    <row r="24" spans="1:23">
      <c r="A24" t="s">
        <v>201</v>
      </c>
      <c r="B24" t="s">
        <v>200</v>
      </c>
      <c r="C24" s="59">
        <v>0.46</v>
      </c>
      <c r="D24" s="59">
        <v>103.83</v>
      </c>
      <c r="E24" s="59">
        <v>9.4700000000000006</v>
      </c>
      <c r="F24" s="59">
        <v>1.23</v>
      </c>
      <c r="G24" s="59">
        <v>123.32</v>
      </c>
      <c r="H24" s="59">
        <v>253.79</v>
      </c>
      <c r="I24" s="59">
        <v>6.6</v>
      </c>
      <c r="J24" s="59">
        <v>3.76</v>
      </c>
      <c r="K24" s="59">
        <v>1.7</v>
      </c>
      <c r="L24" s="59">
        <v>161.34</v>
      </c>
      <c r="M24" s="59"/>
      <c r="N24" s="59">
        <v>1.59</v>
      </c>
      <c r="O24" s="59">
        <v>39.85</v>
      </c>
      <c r="P24" s="59">
        <v>2.88</v>
      </c>
      <c r="Q24" s="59">
        <v>50.31</v>
      </c>
      <c r="R24" s="59">
        <v>6.33</v>
      </c>
      <c r="S24" s="59">
        <v>24.53</v>
      </c>
      <c r="T24" s="59">
        <f t="shared" si="3"/>
        <v>790.99000000000012</v>
      </c>
      <c r="V24" s="201">
        <f t="shared" si="1"/>
        <v>84.05</v>
      </c>
      <c r="W24" s="201"/>
    </row>
    <row r="25" spans="1:23">
      <c r="T25" s="59"/>
      <c r="V25" s="201">
        <f t="shared" si="1"/>
        <v>0</v>
      </c>
    </row>
    <row r="26" spans="1:23" ht="15">
      <c r="A26" s="69" t="s">
        <v>219</v>
      </c>
      <c r="T26" s="59"/>
      <c r="V26" s="201">
        <f t="shared" si="1"/>
        <v>0</v>
      </c>
    </row>
    <row r="27" spans="1:23">
      <c r="A27" t="s">
        <v>19</v>
      </c>
      <c r="B27" t="s">
        <v>200</v>
      </c>
      <c r="C27" s="59">
        <v>19.079999999999998</v>
      </c>
      <c r="D27" s="59">
        <v>212.69</v>
      </c>
      <c r="E27">
        <v>63.02</v>
      </c>
      <c r="F27">
        <v>65.84</v>
      </c>
      <c r="G27" s="59">
        <v>224.57</v>
      </c>
      <c r="H27">
        <v>648.12</v>
      </c>
      <c r="I27" s="59">
        <v>96.61</v>
      </c>
      <c r="J27" s="59">
        <v>58.12</v>
      </c>
      <c r="K27" s="59">
        <v>27.2</v>
      </c>
      <c r="L27">
        <v>396.76</v>
      </c>
      <c r="M27">
        <v>0.41</v>
      </c>
      <c r="N27">
        <v>133.44999999999999</v>
      </c>
      <c r="O27" s="59">
        <v>83.28</v>
      </c>
      <c r="P27" s="59">
        <v>144.12</v>
      </c>
      <c r="Q27" s="59">
        <v>345.1</v>
      </c>
      <c r="R27">
        <v>392.26</v>
      </c>
      <c r="S27">
        <v>61.1</v>
      </c>
      <c r="T27" s="59">
        <f t="shared" si="3"/>
        <v>2971.73</v>
      </c>
      <c r="V27" s="201">
        <f t="shared" si="1"/>
        <v>942.58</v>
      </c>
    </row>
    <row r="28" spans="1:23">
      <c r="A28" t="s">
        <v>201</v>
      </c>
      <c r="B28" t="s">
        <v>200</v>
      </c>
      <c r="C28" s="59">
        <v>0.6</v>
      </c>
      <c r="D28" s="59">
        <v>106.69</v>
      </c>
      <c r="E28">
        <v>8.85</v>
      </c>
      <c r="F28">
        <v>1.24</v>
      </c>
      <c r="G28" s="59">
        <v>128.01</v>
      </c>
      <c r="H28">
        <v>259.86</v>
      </c>
      <c r="I28" s="59">
        <v>5.95</v>
      </c>
      <c r="J28" s="59">
        <v>2.78</v>
      </c>
      <c r="K28" s="59">
        <v>1.93</v>
      </c>
      <c r="L28">
        <v>172.93</v>
      </c>
      <c r="N28">
        <v>2.08</v>
      </c>
      <c r="O28" s="59">
        <v>35.200000000000003</v>
      </c>
      <c r="P28" s="59">
        <v>4.57</v>
      </c>
      <c r="Q28" s="59">
        <v>44.5</v>
      </c>
      <c r="R28">
        <v>8.49</v>
      </c>
      <c r="S28">
        <v>25.09</v>
      </c>
      <c r="T28" s="59">
        <f t="shared" si="3"/>
        <v>808.7700000000001</v>
      </c>
      <c r="V28" s="201">
        <f t="shared" si="1"/>
        <v>82.65</v>
      </c>
      <c r="W28" s="201"/>
    </row>
    <row r="29" spans="1:23">
      <c r="T29" s="59"/>
      <c r="V29" s="201">
        <f t="shared" si="1"/>
        <v>0</v>
      </c>
    </row>
    <row r="30" spans="1:23" ht="15">
      <c r="A30" s="69" t="s">
        <v>61</v>
      </c>
      <c r="T30" s="59"/>
      <c r="V30" s="201">
        <f t="shared" si="1"/>
        <v>0</v>
      </c>
    </row>
    <row r="31" spans="1:23">
      <c r="A31" t="s">
        <v>19</v>
      </c>
      <c r="B31" t="s">
        <v>200</v>
      </c>
      <c r="C31" s="59">
        <v>13</v>
      </c>
      <c r="D31" s="59">
        <v>215.71</v>
      </c>
      <c r="E31">
        <v>63.99</v>
      </c>
      <c r="F31">
        <v>85.32</v>
      </c>
      <c r="G31" s="148">
        <v>198.1</v>
      </c>
      <c r="H31">
        <v>640.83000000000004</v>
      </c>
      <c r="I31" s="59">
        <v>78.260000000000005</v>
      </c>
      <c r="J31" s="59">
        <v>43.5</v>
      </c>
      <c r="K31" s="59">
        <v>26.89</v>
      </c>
      <c r="L31">
        <v>373.64</v>
      </c>
      <c r="M31">
        <v>0.41</v>
      </c>
      <c r="N31">
        <v>122.02</v>
      </c>
      <c r="O31" s="59">
        <v>77.67</v>
      </c>
      <c r="P31" s="59">
        <v>110.6</v>
      </c>
      <c r="Q31" s="59">
        <v>299.02999999999997</v>
      </c>
      <c r="R31">
        <v>365.33</v>
      </c>
      <c r="S31" s="59">
        <v>63</v>
      </c>
      <c r="T31" s="59">
        <f t="shared" si="3"/>
        <v>2777.3</v>
      </c>
      <c r="V31" s="201">
        <f t="shared" si="1"/>
        <v>837.95999999999992</v>
      </c>
    </row>
    <row r="32" spans="1:23">
      <c r="A32" t="s">
        <v>201</v>
      </c>
      <c r="B32" t="s">
        <v>200</v>
      </c>
      <c r="C32" s="59">
        <v>0.37</v>
      </c>
      <c r="D32" s="59">
        <v>106.94</v>
      </c>
      <c r="E32">
        <v>9.4600000000000009</v>
      </c>
      <c r="F32">
        <v>1.57</v>
      </c>
      <c r="G32" s="59">
        <v>135.77000000000001</v>
      </c>
      <c r="H32">
        <v>255.99</v>
      </c>
      <c r="I32" s="59">
        <v>5.92</v>
      </c>
      <c r="J32" s="59">
        <v>3.11</v>
      </c>
      <c r="K32" s="59">
        <v>1.69</v>
      </c>
      <c r="L32">
        <v>164.18</v>
      </c>
      <c r="N32">
        <v>1.5</v>
      </c>
      <c r="O32" s="59">
        <v>35.979999999999997</v>
      </c>
      <c r="P32" s="59">
        <v>6</v>
      </c>
      <c r="Q32" s="59">
        <v>48.28</v>
      </c>
      <c r="R32">
        <v>7.91</v>
      </c>
      <c r="S32">
        <v>24.24</v>
      </c>
      <c r="T32" s="59">
        <f t="shared" si="3"/>
        <v>808.91</v>
      </c>
      <c r="V32" s="201">
        <f t="shared" si="1"/>
        <v>86.43</v>
      </c>
      <c r="W32" s="201"/>
    </row>
    <row r="33" spans="1:23">
      <c r="T33" s="59"/>
      <c r="V33" s="201">
        <f t="shared" si="1"/>
        <v>0</v>
      </c>
    </row>
    <row r="34" spans="1:23" ht="15">
      <c r="A34" s="69" t="s">
        <v>227</v>
      </c>
      <c r="T34" s="59"/>
      <c r="V34" s="201">
        <f t="shared" si="1"/>
        <v>0</v>
      </c>
    </row>
    <row r="35" spans="1:23">
      <c r="A35" t="s">
        <v>19</v>
      </c>
      <c r="B35" t="s">
        <v>200</v>
      </c>
      <c r="C35" s="59">
        <v>13.8</v>
      </c>
      <c r="D35" s="59">
        <v>225</v>
      </c>
      <c r="E35" s="59">
        <v>70.599999999999994</v>
      </c>
      <c r="F35" s="59">
        <v>69.099999999999994</v>
      </c>
      <c r="G35" s="59">
        <v>357.3</v>
      </c>
      <c r="H35" s="59">
        <v>645.1</v>
      </c>
      <c r="I35" s="59">
        <v>76.8</v>
      </c>
      <c r="J35" s="59">
        <v>48.8</v>
      </c>
      <c r="K35" s="59">
        <v>28.6</v>
      </c>
      <c r="L35" s="59">
        <v>373</v>
      </c>
      <c r="M35" s="59">
        <v>0.4</v>
      </c>
      <c r="N35" s="59">
        <v>144.69999999999999</v>
      </c>
      <c r="O35" s="59">
        <v>68.8</v>
      </c>
      <c r="P35" s="59">
        <v>135.80000000000001</v>
      </c>
      <c r="Q35" s="59">
        <v>295.10000000000002</v>
      </c>
      <c r="R35" s="59">
        <v>386.4</v>
      </c>
      <c r="S35" s="59">
        <v>55.7</v>
      </c>
      <c r="T35" s="59">
        <f t="shared" si="3"/>
        <v>2995</v>
      </c>
      <c r="V35" s="201">
        <f t="shared" si="1"/>
        <v>873</v>
      </c>
    </row>
    <row r="36" spans="1:23" ht="12" customHeight="1">
      <c r="A36" t="s">
        <v>201</v>
      </c>
      <c r="B36" t="s">
        <v>200</v>
      </c>
      <c r="C36" s="59">
        <v>0.5</v>
      </c>
      <c r="D36" s="59">
        <v>131.69999999999999</v>
      </c>
      <c r="E36" s="59">
        <v>9.8000000000000007</v>
      </c>
      <c r="F36" s="59">
        <v>1.2</v>
      </c>
      <c r="G36" s="59">
        <v>165.2</v>
      </c>
      <c r="H36" s="59">
        <v>269.8</v>
      </c>
      <c r="I36" s="59">
        <v>7.5</v>
      </c>
      <c r="J36" s="59">
        <v>3.8</v>
      </c>
      <c r="K36" s="59">
        <v>2.1</v>
      </c>
      <c r="L36" s="59">
        <v>169.5</v>
      </c>
      <c r="M36" s="59"/>
      <c r="N36" s="59">
        <v>1.4</v>
      </c>
      <c r="O36" s="59">
        <v>41.1</v>
      </c>
      <c r="P36" s="59">
        <v>4.8</v>
      </c>
      <c r="Q36" s="59">
        <v>51.8</v>
      </c>
      <c r="R36" s="59">
        <v>8.1</v>
      </c>
      <c r="S36" s="59">
        <v>24</v>
      </c>
      <c r="T36" s="59">
        <f t="shared" si="3"/>
        <v>892.3</v>
      </c>
      <c r="V36" s="201">
        <f t="shared" si="1"/>
        <v>88.7</v>
      </c>
      <c r="W36" s="201"/>
    </row>
    <row r="37" spans="1:23">
      <c r="V37" s="201">
        <f t="shared" si="1"/>
        <v>0</v>
      </c>
    </row>
    <row r="38" spans="1:23" ht="15">
      <c r="A38" s="69" t="s">
        <v>228</v>
      </c>
      <c r="T38" s="59"/>
      <c r="V38" s="201">
        <f t="shared" si="1"/>
        <v>0</v>
      </c>
    </row>
    <row r="39" spans="1:23">
      <c r="A39" t="s">
        <v>19</v>
      </c>
      <c r="B39" t="s">
        <v>200</v>
      </c>
      <c r="C39" s="59">
        <v>13.85</v>
      </c>
      <c r="D39" s="59">
        <v>250.7</v>
      </c>
      <c r="E39" s="59">
        <v>62.33</v>
      </c>
      <c r="F39" s="59">
        <v>73.08</v>
      </c>
      <c r="G39" s="59">
        <v>369.51</v>
      </c>
      <c r="H39" s="59">
        <v>666.96</v>
      </c>
      <c r="I39" s="59">
        <v>83.02</v>
      </c>
      <c r="J39" s="59">
        <v>47.61</v>
      </c>
      <c r="K39" s="59">
        <v>27.52</v>
      </c>
      <c r="L39" s="59">
        <v>406.64</v>
      </c>
      <c r="M39" s="59">
        <v>0.39</v>
      </c>
      <c r="N39" s="59">
        <v>132.46</v>
      </c>
      <c r="O39" s="59">
        <v>96.45</v>
      </c>
      <c r="P39" s="59">
        <v>142.38999999999999</v>
      </c>
      <c r="Q39" s="59">
        <v>354.62</v>
      </c>
      <c r="R39" s="59">
        <v>420.05</v>
      </c>
      <c r="S39" s="59">
        <v>68.53</v>
      </c>
      <c r="T39" s="59">
        <f t="shared" ref="T39:T40" si="4">SUM(C39:S39)</f>
        <v>3216.1099999999997</v>
      </c>
      <c r="V39" s="201">
        <f t="shared" si="1"/>
        <v>985.59</v>
      </c>
    </row>
    <row r="40" spans="1:23">
      <c r="A40" t="s">
        <v>201</v>
      </c>
      <c r="B40" t="s">
        <v>200</v>
      </c>
      <c r="C40" s="59">
        <v>0.62</v>
      </c>
      <c r="D40" s="59">
        <v>134.74</v>
      </c>
      <c r="E40" s="59">
        <v>9.3800000000000008</v>
      </c>
      <c r="F40" s="59">
        <v>1.49</v>
      </c>
      <c r="G40" s="59">
        <v>168.45</v>
      </c>
      <c r="H40" s="59">
        <v>265.94</v>
      </c>
      <c r="I40" s="59">
        <v>8.9600000000000009</v>
      </c>
      <c r="J40" s="59">
        <v>2.89</v>
      </c>
      <c r="K40" s="59">
        <v>2.1</v>
      </c>
      <c r="L40" s="59">
        <v>177.21</v>
      </c>
      <c r="M40" s="59"/>
      <c r="N40" s="59">
        <v>2.0499999999999998</v>
      </c>
      <c r="O40" s="59">
        <v>39</v>
      </c>
      <c r="P40" s="59">
        <v>5.12</v>
      </c>
      <c r="Q40" s="59">
        <v>51.15</v>
      </c>
      <c r="R40" s="59">
        <v>8.94</v>
      </c>
      <c r="S40" s="59">
        <v>27.39</v>
      </c>
      <c r="T40" s="59">
        <f t="shared" si="4"/>
        <v>905.43000000000006</v>
      </c>
      <c r="V40" s="201">
        <f t="shared" si="1"/>
        <v>92.6</v>
      </c>
      <c r="W40" s="201"/>
    </row>
    <row r="41" spans="1:23">
      <c r="V41" s="201">
        <f t="shared" si="1"/>
        <v>0</v>
      </c>
    </row>
    <row r="42" spans="1:23" ht="15">
      <c r="A42" s="69" t="s">
        <v>229</v>
      </c>
      <c r="T42" s="59"/>
      <c r="V42" s="201">
        <f t="shared" si="1"/>
        <v>0</v>
      </c>
    </row>
    <row r="43" spans="1:23">
      <c r="A43" t="s">
        <v>19</v>
      </c>
      <c r="B43" t="s">
        <v>200</v>
      </c>
      <c r="C43" s="59">
        <v>13.65</v>
      </c>
      <c r="D43" s="59">
        <v>221.7</v>
      </c>
      <c r="E43" s="59">
        <v>63.86</v>
      </c>
      <c r="F43" s="59">
        <v>67.56</v>
      </c>
      <c r="G43" s="59">
        <v>368.85</v>
      </c>
      <c r="H43" s="59">
        <v>648.39</v>
      </c>
      <c r="I43" s="59">
        <v>72.98</v>
      </c>
      <c r="J43" s="59">
        <v>40.340000000000003</v>
      </c>
      <c r="K43" s="59">
        <v>34.4</v>
      </c>
      <c r="L43" s="59">
        <v>371.08</v>
      </c>
      <c r="M43" s="59">
        <v>0.4</v>
      </c>
      <c r="N43" s="59">
        <v>122.2</v>
      </c>
      <c r="O43" s="59">
        <v>93.84</v>
      </c>
      <c r="P43" s="59">
        <f>142.78+0.02</f>
        <v>142.80000000000001</v>
      </c>
      <c r="Q43" s="59">
        <v>307.45</v>
      </c>
      <c r="R43" s="59">
        <v>410.19</v>
      </c>
      <c r="S43" s="59">
        <v>56.64</v>
      </c>
      <c r="T43" s="59">
        <f t="shared" ref="T43:T44" si="5">SUM(C43:S43)</f>
        <v>3036.33</v>
      </c>
      <c r="V43" s="201">
        <f t="shared" si="1"/>
        <v>917.07999999999993</v>
      </c>
    </row>
    <row r="44" spans="1:23">
      <c r="A44" t="s">
        <v>201</v>
      </c>
      <c r="B44" t="s">
        <v>200</v>
      </c>
      <c r="C44" s="59">
        <v>0.48</v>
      </c>
      <c r="D44" s="59">
        <v>128.51</v>
      </c>
      <c r="E44" s="59">
        <v>9.27</v>
      </c>
      <c r="F44" s="59">
        <v>1.27</v>
      </c>
      <c r="G44" s="59">
        <v>156.78</v>
      </c>
      <c r="H44" s="59">
        <v>259.58</v>
      </c>
      <c r="I44" s="59">
        <v>9.41</v>
      </c>
      <c r="J44" s="59">
        <v>3.01</v>
      </c>
      <c r="K44" s="59">
        <v>2.08</v>
      </c>
      <c r="L44" s="59">
        <v>167.71</v>
      </c>
      <c r="M44" s="59"/>
      <c r="N44" s="59">
        <v>1.7</v>
      </c>
      <c r="O44" s="59">
        <v>38.68</v>
      </c>
      <c r="P44" s="59">
        <v>3.72</v>
      </c>
      <c r="Q44" s="59">
        <v>49.59</v>
      </c>
      <c r="R44" s="59">
        <v>9.5399999999999991</v>
      </c>
      <c r="S44" s="59">
        <v>25.83</v>
      </c>
      <c r="T44" s="59">
        <f t="shared" si="5"/>
        <v>867.16000000000008</v>
      </c>
      <c r="V44" s="201">
        <f t="shared" si="1"/>
        <v>88.68</v>
      </c>
      <c r="W44" s="201"/>
    </row>
    <row r="45" spans="1:23">
      <c r="V45" s="201">
        <f t="shared" si="1"/>
        <v>0</v>
      </c>
    </row>
    <row r="46" spans="1:23" ht="15">
      <c r="A46" s="69" t="s">
        <v>230</v>
      </c>
      <c r="T46" s="59"/>
      <c r="V46" s="201">
        <f t="shared" si="1"/>
        <v>0</v>
      </c>
    </row>
    <row r="47" spans="1:23">
      <c r="A47" t="s">
        <v>19</v>
      </c>
      <c r="B47" t="s">
        <v>200</v>
      </c>
      <c r="C47" s="59">
        <v>14.88</v>
      </c>
      <c r="D47" s="59">
        <v>248.54</v>
      </c>
      <c r="E47" s="59">
        <v>82.95</v>
      </c>
      <c r="F47" s="59">
        <v>70.400000000000006</v>
      </c>
      <c r="G47" s="59">
        <v>416.17</v>
      </c>
      <c r="H47" s="59">
        <v>667.84</v>
      </c>
      <c r="I47" s="59">
        <v>113.74</v>
      </c>
      <c r="J47" s="59">
        <v>70.180000000000007</v>
      </c>
      <c r="K47" s="59">
        <v>36.85</v>
      </c>
      <c r="L47" s="59">
        <v>399.99</v>
      </c>
      <c r="M47" s="59">
        <v>0.45</v>
      </c>
      <c r="N47" s="59">
        <v>144.24</v>
      </c>
      <c r="O47" s="59">
        <v>85.15</v>
      </c>
      <c r="P47" s="59">
        <v>156.93</v>
      </c>
      <c r="Q47" s="59">
        <v>291.93</v>
      </c>
      <c r="R47" s="59">
        <v>397.25</v>
      </c>
      <c r="S47" s="59">
        <v>69.569999999999993</v>
      </c>
      <c r="T47" s="59">
        <f t="shared" ref="T47:T48" si="6">SUM(C47:S47)</f>
        <v>3267.0599999999995</v>
      </c>
      <c r="V47" s="201">
        <f t="shared" si="1"/>
        <v>915.68000000000006</v>
      </c>
    </row>
    <row r="48" spans="1:23">
      <c r="A48" t="s">
        <v>201</v>
      </c>
      <c r="B48" t="s">
        <v>200</v>
      </c>
      <c r="C48" s="59">
        <v>0.47</v>
      </c>
      <c r="D48" s="59">
        <v>135.62</v>
      </c>
      <c r="E48" s="59">
        <v>10.29</v>
      </c>
      <c r="F48" s="59">
        <v>1.28</v>
      </c>
      <c r="G48" s="59">
        <v>151.80000000000001</v>
      </c>
      <c r="H48" s="59">
        <v>288.39</v>
      </c>
      <c r="I48" s="59">
        <v>10.24</v>
      </c>
      <c r="J48" s="59">
        <v>3.36</v>
      </c>
      <c r="K48" s="59">
        <v>2.11</v>
      </c>
      <c r="L48" s="59">
        <v>183.48</v>
      </c>
      <c r="M48" s="59"/>
      <c r="N48" s="59">
        <v>2.0299999999999998</v>
      </c>
      <c r="O48" s="59">
        <v>43.36</v>
      </c>
      <c r="P48" s="59">
        <v>6.2</v>
      </c>
      <c r="Q48" s="59">
        <v>54.96</v>
      </c>
      <c r="R48" s="59">
        <v>8.49</v>
      </c>
      <c r="S48" s="59">
        <v>24.85</v>
      </c>
      <c r="T48" s="59">
        <f t="shared" si="6"/>
        <v>926.93000000000018</v>
      </c>
      <c r="V48" s="201">
        <f t="shared" si="1"/>
        <v>94.500000000000014</v>
      </c>
      <c r="W48" s="201"/>
    </row>
    <row r="49" spans="1:23">
      <c r="V49" s="201">
        <f t="shared" si="1"/>
        <v>0</v>
      </c>
    </row>
    <row r="50" spans="1:23" ht="15">
      <c r="A50" s="69" t="s">
        <v>231</v>
      </c>
      <c r="T50" s="59"/>
      <c r="V50" s="201">
        <f t="shared" si="1"/>
        <v>0</v>
      </c>
    </row>
    <row r="51" spans="1:23">
      <c r="A51" t="s">
        <v>19</v>
      </c>
      <c r="B51" t="s">
        <v>200</v>
      </c>
      <c r="C51" s="59">
        <v>22.8</v>
      </c>
      <c r="D51" s="59">
        <v>237.7</v>
      </c>
      <c r="E51" s="59">
        <v>66.099999999999994</v>
      </c>
      <c r="F51" s="59">
        <v>87.5</v>
      </c>
      <c r="G51" s="59">
        <v>423.3</v>
      </c>
      <c r="H51" s="59">
        <v>689.7</v>
      </c>
      <c r="I51" s="59">
        <v>88.9</v>
      </c>
      <c r="J51" s="59">
        <v>41.9</v>
      </c>
      <c r="K51" s="59">
        <v>30.2</v>
      </c>
      <c r="L51" s="59">
        <v>429</v>
      </c>
      <c r="M51" s="59">
        <v>0.5</v>
      </c>
      <c r="N51" s="59">
        <v>133.19999999999999</v>
      </c>
      <c r="O51" s="59">
        <v>82.6</v>
      </c>
      <c r="P51" s="59">
        <v>148.5</v>
      </c>
      <c r="Q51" s="59">
        <v>357.1</v>
      </c>
      <c r="R51" s="59">
        <v>408</v>
      </c>
      <c r="S51" s="59">
        <v>65.599999999999994</v>
      </c>
      <c r="T51" s="59">
        <f t="shared" ref="T51:T52" si="7">SUM(C51:S51)</f>
        <v>3312.6</v>
      </c>
      <c r="V51" s="201">
        <f t="shared" si="1"/>
        <v>979.2</v>
      </c>
    </row>
    <row r="52" spans="1:23">
      <c r="A52" t="s">
        <v>201</v>
      </c>
      <c r="B52" t="s">
        <v>200</v>
      </c>
      <c r="C52" s="59">
        <v>0.6</v>
      </c>
      <c r="D52" s="59">
        <v>137.9</v>
      </c>
      <c r="E52" s="59">
        <v>9.1</v>
      </c>
      <c r="F52" s="59">
        <v>1.7</v>
      </c>
      <c r="G52" s="59">
        <v>160</v>
      </c>
      <c r="H52" s="59">
        <v>281.2</v>
      </c>
      <c r="I52" s="59">
        <v>10.1</v>
      </c>
      <c r="J52" s="59">
        <v>3.7</v>
      </c>
      <c r="K52" s="59">
        <v>2.2999999999999998</v>
      </c>
      <c r="L52" s="59">
        <v>183.7</v>
      </c>
      <c r="M52" s="59"/>
      <c r="N52" s="59">
        <v>1.7</v>
      </c>
      <c r="O52" s="59">
        <v>45.8</v>
      </c>
      <c r="P52" s="59">
        <v>5.2</v>
      </c>
      <c r="Q52" s="59">
        <v>51.8</v>
      </c>
      <c r="R52" s="59">
        <v>9.4</v>
      </c>
      <c r="S52" s="59">
        <v>33</v>
      </c>
      <c r="T52" s="59">
        <f t="shared" si="7"/>
        <v>937.19999999999993</v>
      </c>
      <c r="V52" s="201">
        <f t="shared" si="1"/>
        <v>99.399999999999991</v>
      </c>
      <c r="W52" s="201"/>
    </row>
    <row r="53" spans="1:23">
      <c r="V53" s="201">
        <f t="shared" si="1"/>
        <v>0</v>
      </c>
    </row>
    <row r="54" spans="1:23" ht="15">
      <c r="A54" s="69" t="s">
        <v>232</v>
      </c>
      <c r="T54" s="59"/>
      <c r="V54" s="201">
        <f t="shared" si="1"/>
        <v>0</v>
      </c>
    </row>
    <row r="55" spans="1:23">
      <c r="A55" t="s">
        <v>19</v>
      </c>
      <c r="B55" t="s">
        <v>200</v>
      </c>
      <c r="C55" s="59">
        <v>15.9</v>
      </c>
      <c r="D55" s="59">
        <v>227.3</v>
      </c>
      <c r="E55" s="59">
        <v>69.099999999999994</v>
      </c>
      <c r="F55" s="59">
        <v>67.7</v>
      </c>
      <c r="G55" s="59">
        <v>403.5</v>
      </c>
      <c r="H55" s="59">
        <v>635.1</v>
      </c>
      <c r="I55" s="59">
        <v>83.8</v>
      </c>
      <c r="J55" s="59">
        <v>49</v>
      </c>
      <c r="K55" s="59">
        <v>30.2</v>
      </c>
      <c r="L55" s="59">
        <v>387.1</v>
      </c>
      <c r="M55" s="59">
        <v>0.5</v>
      </c>
      <c r="N55" s="59">
        <v>125.9</v>
      </c>
      <c r="O55" s="59">
        <v>73.599999999999994</v>
      </c>
      <c r="P55" s="59">
        <v>147.30000000000001</v>
      </c>
      <c r="Q55" s="59">
        <v>317.7</v>
      </c>
      <c r="R55" s="59">
        <v>409.5</v>
      </c>
      <c r="S55" s="59">
        <v>62.2</v>
      </c>
      <c r="T55" s="59">
        <f t="shared" ref="T55:T56" si="8">SUM(C55:S55)</f>
        <v>3105.3999999999996</v>
      </c>
      <c r="V55" s="201">
        <f t="shared" si="1"/>
        <v>936.7</v>
      </c>
    </row>
    <row r="56" spans="1:23">
      <c r="A56" t="s">
        <v>201</v>
      </c>
      <c r="B56" t="s">
        <v>200</v>
      </c>
      <c r="C56" s="59">
        <v>0.5</v>
      </c>
      <c r="D56" s="59">
        <v>135.6</v>
      </c>
      <c r="E56" s="59">
        <v>9.5</v>
      </c>
      <c r="F56" s="59">
        <v>1.3</v>
      </c>
      <c r="G56" s="59">
        <v>153</v>
      </c>
      <c r="H56" s="59">
        <v>276.5</v>
      </c>
      <c r="I56" s="59">
        <v>12.3</v>
      </c>
      <c r="J56" s="59">
        <v>3.4</v>
      </c>
      <c r="K56" s="59">
        <v>2.2999999999999998</v>
      </c>
      <c r="L56" s="59">
        <v>174</v>
      </c>
      <c r="M56" s="59"/>
      <c r="N56" s="59">
        <v>1.7</v>
      </c>
      <c r="O56" s="59">
        <v>49.7</v>
      </c>
      <c r="P56" s="59">
        <v>5.4</v>
      </c>
      <c r="Q56" s="59">
        <v>55.1</v>
      </c>
      <c r="R56" s="59">
        <v>9.1</v>
      </c>
      <c r="S56" s="59">
        <v>33.799999999999997</v>
      </c>
      <c r="T56" s="59">
        <f t="shared" si="8"/>
        <v>923.19999999999993</v>
      </c>
      <c r="V56" s="201">
        <f t="shared" si="1"/>
        <v>103.4</v>
      </c>
      <c r="W56" s="201"/>
    </row>
    <row r="57" spans="1:23">
      <c r="V57" s="201">
        <f t="shared" si="1"/>
        <v>0</v>
      </c>
    </row>
    <row r="58" spans="1:23" ht="15">
      <c r="A58" s="69" t="s">
        <v>213</v>
      </c>
      <c r="T58" s="59"/>
      <c r="V58" s="201">
        <f t="shared" si="1"/>
        <v>0</v>
      </c>
    </row>
    <row r="59" spans="1:23">
      <c r="A59" t="s">
        <v>19</v>
      </c>
      <c r="B59" t="s">
        <v>200</v>
      </c>
      <c r="C59" s="59">
        <v>14.52</v>
      </c>
      <c r="D59" s="59">
        <v>253.44</v>
      </c>
      <c r="E59" s="59">
        <v>80.34</v>
      </c>
      <c r="F59" s="59">
        <v>74.22</v>
      </c>
      <c r="G59" s="59">
        <v>466.17</v>
      </c>
      <c r="H59" s="59">
        <v>754.55</v>
      </c>
      <c r="I59" s="59">
        <v>88.07</v>
      </c>
      <c r="J59" s="59">
        <v>59.64</v>
      </c>
      <c r="K59" s="59">
        <v>29.45</v>
      </c>
      <c r="L59" s="59">
        <v>462.92</v>
      </c>
      <c r="M59" s="59">
        <v>0.48</v>
      </c>
      <c r="N59" s="59">
        <v>155.86000000000001</v>
      </c>
      <c r="O59" s="59">
        <v>64.33</v>
      </c>
      <c r="P59" s="59">
        <v>150.62</v>
      </c>
      <c r="Q59" s="59">
        <v>353.43</v>
      </c>
      <c r="R59" s="59">
        <v>449.35</v>
      </c>
      <c r="S59" s="59">
        <v>70.56</v>
      </c>
      <c r="T59" s="59">
        <f t="shared" ref="T59:T60" si="9">SUM(C59:S59)</f>
        <v>3527.95</v>
      </c>
      <c r="V59" s="201">
        <f t="shared" si="1"/>
        <v>1023.9600000000002</v>
      </c>
    </row>
    <row r="60" spans="1:23">
      <c r="A60" t="s">
        <v>201</v>
      </c>
      <c r="B60" t="s">
        <v>200</v>
      </c>
      <c r="C60" s="59">
        <v>0.4</v>
      </c>
      <c r="D60" s="59">
        <v>150</v>
      </c>
      <c r="E60" s="59">
        <v>11.3</v>
      </c>
      <c r="F60" s="59">
        <v>1.36</v>
      </c>
      <c r="G60" s="59">
        <v>183.49</v>
      </c>
      <c r="H60" s="59">
        <v>329.76</v>
      </c>
      <c r="I60" s="59">
        <v>11.61</v>
      </c>
      <c r="J60" s="59">
        <v>3.55</v>
      </c>
      <c r="K60" s="59">
        <v>2.69</v>
      </c>
      <c r="L60" s="59">
        <v>196.94</v>
      </c>
      <c r="M60" s="59"/>
      <c r="N60" s="59">
        <v>2.39</v>
      </c>
      <c r="O60" s="59">
        <v>52</v>
      </c>
      <c r="P60" s="59">
        <v>5.61</v>
      </c>
      <c r="Q60" s="59">
        <v>57.66</v>
      </c>
      <c r="R60" s="59">
        <v>10.83</v>
      </c>
      <c r="S60" s="59">
        <v>34.54</v>
      </c>
      <c r="T60" s="59">
        <f t="shared" si="9"/>
        <v>1054.1300000000001</v>
      </c>
      <c r="V60" s="201">
        <f t="shared" si="1"/>
        <v>108.64</v>
      </c>
      <c r="W60" s="201"/>
    </row>
    <row r="61" spans="1:23">
      <c r="V61" s="201">
        <f t="shared" si="1"/>
        <v>0</v>
      </c>
    </row>
    <row r="62" spans="1:23" ht="15">
      <c r="A62" s="69" t="s">
        <v>233</v>
      </c>
      <c r="T62" s="59"/>
      <c r="V62" s="201">
        <f t="shared" si="1"/>
        <v>0</v>
      </c>
    </row>
    <row r="63" spans="1:23">
      <c r="A63" t="s">
        <v>19</v>
      </c>
      <c r="B63" t="s">
        <v>200</v>
      </c>
      <c r="C63" s="59">
        <v>15.69</v>
      </c>
      <c r="D63" s="59">
        <v>255.66</v>
      </c>
      <c r="E63" s="59">
        <v>70.69</v>
      </c>
      <c r="F63" s="59">
        <v>88.49</v>
      </c>
      <c r="G63" s="59">
        <v>454.22</v>
      </c>
      <c r="H63" s="59">
        <v>692.57</v>
      </c>
      <c r="I63" s="59">
        <v>75.510000000000005</v>
      </c>
      <c r="J63" s="59">
        <v>56.4</v>
      </c>
      <c r="K63" s="59">
        <v>31.91</v>
      </c>
      <c r="L63" s="333">
        <v>416.86</v>
      </c>
      <c r="M63" s="59">
        <v>0.48</v>
      </c>
      <c r="N63" s="59">
        <v>138.19</v>
      </c>
      <c r="O63" s="59">
        <v>119.81</v>
      </c>
      <c r="P63" s="59">
        <v>159.74</v>
      </c>
      <c r="Q63" s="59">
        <v>336.81</v>
      </c>
      <c r="R63" s="59">
        <v>439.79</v>
      </c>
      <c r="S63" s="59">
        <v>76.069999999999993</v>
      </c>
      <c r="T63" s="59">
        <f t="shared" ref="T63:T64" si="10">SUM(C63:S63)</f>
        <v>3428.8900000000003</v>
      </c>
      <c r="V63" s="201">
        <f t="shared" si="1"/>
        <v>1012.4100000000001</v>
      </c>
    </row>
    <row r="64" spans="1:23">
      <c r="A64" t="s">
        <v>201</v>
      </c>
      <c r="B64" t="s">
        <v>200</v>
      </c>
      <c r="C64" s="59">
        <v>0.02</v>
      </c>
      <c r="D64" s="59">
        <v>148.85</v>
      </c>
      <c r="E64" s="59">
        <v>9.18</v>
      </c>
      <c r="F64" s="59">
        <v>1.52</v>
      </c>
      <c r="G64" s="59">
        <v>173.67</v>
      </c>
      <c r="H64" s="59">
        <v>292.79000000000002</v>
      </c>
      <c r="I64" s="59">
        <v>11.65</v>
      </c>
      <c r="J64" s="59">
        <v>3.64</v>
      </c>
      <c r="K64" s="59">
        <v>2.57</v>
      </c>
      <c r="L64" s="333">
        <v>205.09</v>
      </c>
      <c r="M64" s="59"/>
      <c r="N64" s="59">
        <v>1.91</v>
      </c>
      <c r="O64" s="59">
        <v>53.17</v>
      </c>
      <c r="P64" s="59">
        <v>5.2</v>
      </c>
      <c r="Q64" s="59">
        <v>59.75</v>
      </c>
      <c r="R64" s="59">
        <v>9.35</v>
      </c>
      <c r="S64" s="59">
        <v>28.53</v>
      </c>
      <c r="T64" s="59">
        <f t="shared" si="10"/>
        <v>1006.89</v>
      </c>
      <c r="V64" s="201">
        <f t="shared" si="1"/>
        <v>102.83</v>
      </c>
      <c r="W64" s="201"/>
    </row>
    <row r="65" spans="1:23">
      <c r="V65" s="201">
        <f t="shared" si="1"/>
        <v>0</v>
      </c>
    </row>
    <row r="66" spans="1:23" ht="15">
      <c r="A66" s="69" t="s">
        <v>234</v>
      </c>
      <c r="T66" s="59"/>
      <c r="V66" s="201">
        <f t="shared" si="1"/>
        <v>0</v>
      </c>
    </row>
    <row r="67" spans="1:23">
      <c r="A67" t="s">
        <v>19</v>
      </c>
      <c r="B67" t="s">
        <v>200</v>
      </c>
      <c r="C67" s="59">
        <v>13.3</v>
      </c>
      <c r="D67" s="59">
        <v>199.91</v>
      </c>
      <c r="E67" s="59">
        <v>63.85</v>
      </c>
      <c r="F67" s="59">
        <v>62.78</v>
      </c>
      <c r="G67" s="59">
        <v>372.19</v>
      </c>
      <c r="H67" s="59">
        <v>552.04999999999995</v>
      </c>
      <c r="I67" s="59">
        <v>72.849999999999994</v>
      </c>
      <c r="J67" s="59">
        <v>44.77</v>
      </c>
      <c r="K67" s="59">
        <v>27.28</v>
      </c>
      <c r="L67" s="333">
        <v>337.93</v>
      </c>
      <c r="M67" s="59">
        <v>0.43</v>
      </c>
      <c r="N67" s="59">
        <v>114.64</v>
      </c>
      <c r="O67" s="59">
        <v>67.12</v>
      </c>
      <c r="P67" s="59">
        <v>128.37</v>
      </c>
      <c r="Q67" s="59">
        <v>279.86</v>
      </c>
      <c r="R67" s="59">
        <v>322.98</v>
      </c>
      <c r="S67" s="59">
        <v>58.87</v>
      </c>
      <c r="T67" s="59">
        <f t="shared" ref="T67:T68" si="11">SUM(C67:S67)</f>
        <v>2719.18</v>
      </c>
      <c r="V67" s="201">
        <f t="shared" si="1"/>
        <v>790.08</v>
      </c>
    </row>
    <row r="68" spans="1:23">
      <c r="A68" t="s">
        <v>201</v>
      </c>
      <c r="B68" t="s">
        <v>200</v>
      </c>
      <c r="C68" s="59">
        <v>0.02</v>
      </c>
      <c r="D68" s="59">
        <v>120.01</v>
      </c>
      <c r="E68" s="59">
        <v>9.0500000000000007</v>
      </c>
      <c r="F68" s="59">
        <v>1.21</v>
      </c>
      <c r="G68" s="59">
        <v>147.01</v>
      </c>
      <c r="H68" s="59">
        <v>257.12</v>
      </c>
      <c r="I68" s="59">
        <v>10.3</v>
      </c>
      <c r="J68" s="59">
        <v>3.15</v>
      </c>
      <c r="K68" s="59">
        <v>1.89</v>
      </c>
      <c r="L68" s="333">
        <v>175.93</v>
      </c>
      <c r="M68" s="59"/>
      <c r="N68" s="59">
        <v>1.7</v>
      </c>
      <c r="O68" s="59">
        <v>44.82</v>
      </c>
      <c r="P68" s="59">
        <v>3.73</v>
      </c>
      <c r="Q68" s="59">
        <v>50.83</v>
      </c>
      <c r="R68" s="59">
        <v>7.52</v>
      </c>
      <c r="S68" s="59">
        <v>24.02</v>
      </c>
      <c r="T68" s="59">
        <f t="shared" si="11"/>
        <v>858.31000000000017</v>
      </c>
      <c r="V68" s="201">
        <f t="shared" si="1"/>
        <v>86.100000000000009</v>
      </c>
      <c r="W68" s="201"/>
    </row>
    <row r="69" spans="1:23">
      <c r="V69" s="201">
        <f t="shared" ref="V69:V92" si="12">+S69+R69+Q69+P69</f>
        <v>0</v>
      </c>
    </row>
    <row r="70" spans="1:23" ht="15">
      <c r="A70" s="69" t="s">
        <v>218</v>
      </c>
      <c r="T70" s="59"/>
      <c r="V70" s="201">
        <f t="shared" si="12"/>
        <v>0</v>
      </c>
    </row>
    <row r="71" spans="1:23">
      <c r="A71" t="s">
        <v>19</v>
      </c>
      <c r="B71" t="s">
        <v>200</v>
      </c>
      <c r="C71" s="59">
        <v>12.86</v>
      </c>
      <c r="D71" s="59">
        <v>262.83</v>
      </c>
      <c r="E71" s="59">
        <v>0.04</v>
      </c>
      <c r="F71" s="59">
        <v>68.180000000000007</v>
      </c>
      <c r="G71" s="59">
        <v>411.71</v>
      </c>
      <c r="H71" s="59">
        <v>664.35</v>
      </c>
      <c r="I71" s="59">
        <v>123.35</v>
      </c>
      <c r="J71" s="59">
        <v>65.83</v>
      </c>
      <c r="K71" s="59">
        <v>39.14</v>
      </c>
      <c r="L71" s="333">
        <v>405.74</v>
      </c>
      <c r="M71" s="59">
        <v>0.47</v>
      </c>
      <c r="N71" s="59">
        <v>140.09</v>
      </c>
      <c r="O71" s="59">
        <v>68.89</v>
      </c>
      <c r="P71" s="59">
        <v>176.63</v>
      </c>
      <c r="Q71" s="59">
        <v>295.33</v>
      </c>
      <c r="R71" s="59">
        <v>411.63</v>
      </c>
      <c r="S71" s="59">
        <v>66.52</v>
      </c>
      <c r="T71" s="59">
        <f t="shared" ref="T71:T72" si="13">SUM(C71:S71)</f>
        <v>3213.5899999999997</v>
      </c>
      <c r="V71" s="201">
        <f t="shared" si="12"/>
        <v>950.11</v>
      </c>
    </row>
    <row r="72" spans="1:23">
      <c r="A72" t="s">
        <v>201</v>
      </c>
      <c r="B72" t="s">
        <v>200</v>
      </c>
      <c r="C72" s="59">
        <v>0.02</v>
      </c>
      <c r="D72" s="59">
        <v>139.03</v>
      </c>
      <c r="E72" s="59">
        <v>1.81</v>
      </c>
      <c r="F72" s="59">
        <v>1.21</v>
      </c>
      <c r="G72" s="59">
        <v>162.4</v>
      </c>
      <c r="H72" s="59">
        <v>296.48</v>
      </c>
      <c r="I72" s="59">
        <v>11.55</v>
      </c>
      <c r="J72" s="59">
        <v>3.88</v>
      </c>
      <c r="K72" s="59">
        <v>2.2599999999999998</v>
      </c>
      <c r="L72" s="333">
        <v>196.73</v>
      </c>
      <c r="M72" s="59"/>
      <c r="N72" s="59">
        <v>1.91</v>
      </c>
      <c r="O72" s="59">
        <v>52.04</v>
      </c>
      <c r="P72" s="59">
        <v>6.19</v>
      </c>
      <c r="Q72" s="59">
        <v>57.49</v>
      </c>
      <c r="R72" s="59">
        <v>9.76</v>
      </c>
      <c r="S72" s="59">
        <v>25.12</v>
      </c>
      <c r="T72" s="59">
        <f t="shared" si="13"/>
        <v>967.88</v>
      </c>
      <c r="V72" s="201">
        <f t="shared" si="12"/>
        <v>98.56</v>
      </c>
      <c r="W72" s="201"/>
    </row>
    <row r="73" spans="1:23">
      <c r="V73" s="201">
        <f t="shared" si="12"/>
        <v>0</v>
      </c>
    </row>
    <row r="74" spans="1:23" ht="15">
      <c r="A74" s="69" t="s">
        <v>219</v>
      </c>
      <c r="T74" s="59"/>
      <c r="V74" s="201">
        <f t="shared" si="12"/>
        <v>0</v>
      </c>
    </row>
    <row r="75" spans="1:23">
      <c r="A75" t="s">
        <v>19</v>
      </c>
      <c r="B75" t="s">
        <v>200</v>
      </c>
      <c r="C75" s="59">
        <v>18.93</v>
      </c>
      <c r="D75" s="59">
        <v>272.66000000000003</v>
      </c>
      <c r="E75" s="59">
        <v>0.05</v>
      </c>
      <c r="F75" s="59">
        <v>81.12</v>
      </c>
      <c r="G75" s="59">
        <v>389.39</v>
      </c>
      <c r="H75" s="59">
        <v>628.23</v>
      </c>
      <c r="I75" s="59">
        <v>80.08</v>
      </c>
      <c r="J75" s="59">
        <v>47.7</v>
      </c>
      <c r="K75" s="59">
        <v>26.29</v>
      </c>
      <c r="L75" s="333">
        <v>353.77</v>
      </c>
      <c r="M75" s="59">
        <v>0.4</v>
      </c>
      <c r="N75" s="59">
        <v>122.47</v>
      </c>
      <c r="O75" s="59">
        <v>68.86</v>
      </c>
      <c r="P75" s="59">
        <f>135+0.02</f>
        <v>135.02000000000001</v>
      </c>
      <c r="Q75" s="59">
        <v>321.29000000000002</v>
      </c>
      <c r="R75" s="59">
        <v>359.81</v>
      </c>
      <c r="S75" s="59">
        <v>58.8</v>
      </c>
      <c r="T75" s="59">
        <f t="shared" ref="T75:T76" si="14">SUM(C75:S75)</f>
        <v>2964.8700000000003</v>
      </c>
      <c r="V75" s="201">
        <f t="shared" si="12"/>
        <v>874.92000000000007</v>
      </c>
    </row>
    <row r="76" spans="1:23">
      <c r="A76" t="s">
        <v>201</v>
      </c>
      <c r="B76" t="s">
        <v>200</v>
      </c>
      <c r="C76" s="59">
        <v>0.03</v>
      </c>
      <c r="D76" s="59">
        <v>139.28</v>
      </c>
      <c r="E76" s="59">
        <v>1.64</v>
      </c>
      <c r="F76" s="59">
        <v>1.43</v>
      </c>
      <c r="G76" s="59">
        <v>147.18</v>
      </c>
      <c r="H76" s="59">
        <v>268.24</v>
      </c>
      <c r="I76" s="59">
        <v>10.5</v>
      </c>
      <c r="J76" s="59">
        <v>3.4</v>
      </c>
      <c r="K76" s="59">
        <v>2.06</v>
      </c>
      <c r="L76" s="333">
        <v>191.88</v>
      </c>
      <c r="M76" s="59"/>
      <c r="N76" s="59">
        <v>1.65</v>
      </c>
      <c r="O76" s="59">
        <v>47.39</v>
      </c>
      <c r="P76" s="59">
        <v>6.14</v>
      </c>
      <c r="Q76" s="59">
        <f>51.17+2.79</f>
        <v>53.96</v>
      </c>
      <c r="R76" s="59">
        <v>8.85</v>
      </c>
      <c r="S76" s="59">
        <v>27.46</v>
      </c>
      <c r="T76" s="59">
        <f t="shared" si="14"/>
        <v>911.08999999999992</v>
      </c>
      <c r="V76" s="201">
        <f t="shared" si="12"/>
        <v>96.410000000000011</v>
      </c>
      <c r="W76" s="201"/>
    </row>
    <row r="77" spans="1:23">
      <c r="V77" s="201">
        <f t="shared" si="12"/>
        <v>0</v>
      </c>
    </row>
    <row r="78" spans="1:23" ht="15">
      <c r="A78" s="69" t="s">
        <v>61</v>
      </c>
      <c r="T78" s="59"/>
      <c r="V78" s="201">
        <f t="shared" si="12"/>
        <v>0</v>
      </c>
    </row>
    <row r="79" spans="1:23">
      <c r="A79" t="s">
        <v>19</v>
      </c>
      <c r="B79" t="s">
        <v>200</v>
      </c>
      <c r="C79" s="59">
        <v>13.12</v>
      </c>
      <c r="D79" s="59">
        <v>208.92</v>
      </c>
      <c r="E79" s="59">
        <v>0</v>
      </c>
      <c r="F79" s="59">
        <v>66.23</v>
      </c>
      <c r="G79" s="59">
        <v>384.13</v>
      </c>
      <c r="H79" s="59">
        <v>615.1</v>
      </c>
      <c r="I79" s="59">
        <v>87.22</v>
      </c>
      <c r="J79" s="59">
        <v>52.63</v>
      </c>
      <c r="K79" s="59">
        <v>26.47</v>
      </c>
      <c r="L79" s="333">
        <v>373.65</v>
      </c>
      <c r="M79" s="59">
        <v>0.59</v>
      </c>
      <c r="N79" s="59">
        <v>125.74</v>
      </c>
      <c r="O79" s="59">
        <v>78.260000000000005</v>
      </c>
      <c r="P79" s="59">
        <f>132.84+0.02</f>
        <v>132.86000000000001</v>
      </c>
      <c r="Q79" s="59">
        <v>282.27</v>
      </c>
      <c r="R79" s="59">
        <v>393.43</v>
      </c>
      <c r="S79" s="59">
        <v>57.29</v>
      </c>
      <c r="T79" s="59">
        <f t="shared" ref="T79:T80" si="15">SUM(C79:S79)</f>
        <v>2897.91</v>
      </c>
      <c r="V79" s="201">
        <f t="shared" si="12"/>
        <v>865.85</v>
      </c>
    </row>
    <row r="80" spans="1:23">
      <c r="A80" t="s">
        <v>201</v>
      </c>
      <c r="B80" t="s">
        <v>200</v>
      </c>
      <c r="C80" s="59">
        <v>0.02</v>
      </c>
      <c r="D80" s="59">
        <v>121.7</v>
      </c>
      <c r="E80" s="59">
        <v>0</v>
      </c>
      <c r="F80" s="59">
        <v>1.17</v>
      </c>
      <c r="G80" s="59">
        <v>143.43</v>
      </c>
      <c r="H80" s="59">
        <v>267.14999999999998</v>
      </c>
      <c r="I80" s="59">
        <v>9.7200000000000006</v>
      </c>
      <c r="J80" s="59">
        <v>2.71</v>
      </c>
      <c r="K80" s="59">
        <v>2.08</v>
      </c>
      <c r="L80" s="333">
        <v>182.54</v>
      </c>
      <c r="M80" s="59"/>
      <c r="N80" s="59">
        <v>1.7</v>
      </c>
      <c r="O80" s="59">
        <v>46.14</v>
      </c>
      <c r="P80" s="59">
        <v>4.8899999999999997</v>
      </c>
      <c r="Q80" s="59">
        <f>55.55+2.56</f>
        <v>58.11</v>
      </c>
      <c r="R80" s="59">
        <v>8.68</v>
      </c>
      <c r="S80" s="59">
        <v>26.98</v>
      </c>
      <c r="T80" s="59">
        <f t="shared" si="15"/>
        <v>877.0200000000001</v>
      </c>
      <c r="V80" s="201">
        <f t="shared" si="12"/>
        <v>98.66</v>
      </c>
      <c r="W80" s="201"/>
    </row>
    <row r="81" spans="1:24">
      <c r="V81" s="201">
        <f t="shared" si="12"/>
        <v>0</v>
      </c>
    </row>
    <row r="82" spans="1:24" ht="15">
      <c r="A82" s="69" t="s">
        <v>227</v>
      </c>
      <c r="T82" s="59"/>
      <c r="V82" s="201">
        <f t="shared" si="12"/>
        <v>0</v>
      </c>
    </row>
    <row r="83" spans="1:24">
      <c r="A83" t="s">
        <v>19</v>
      </c>
      <c r="B83" t="s">
        <v>200</v>
      </c>
      <c r="C83" s="59">
        <v>13.59</v>
      </c>
      <c r="D83" s="59">
        <v>233.38</v>
      </c>
      <c r="E83" s="59">
        <v>0.04</v>
      </c>
      <c r="F83" s="59">
        <v>67.89</v>
      </c>
      <c r="G83" s="59">
        <v>411.4</v>
      </c>
      <c r="H83" s="59">
        <v>653.86</v>
      </c>
      <c r="I83" s="59">
        <v>78.39</v>
      </c>
      <c r="J83" s="59">
        <v>48.22</v>
      </c>
      <c r="K83" s="59">
        <v>27.66</v>
      </c>
      <c r="L83" s="333">
        <v>387.44</v>
      </c>
      <c r="M83" s="59">
        <v>0.4</v>
      </c>
      <c r="N83" s="59">
        <v>133.87</v>
      </c>
      <c r="O83" s="59">
        <v>76.66</v>
      </c>
      <c r="P83" s="59">
        <f>0.02+143.2</f>
        <v>143.22</v>
      </c>
      <c r="Q83" s="59">
        <f>300.67+0.02</f>
        <v>300.69</v>
      </c>
      <c r="R83" s="59">
        <v>407.78</v>
      </c>
      <c r="S83" s="59">
        <v>62.5</v>
      </c>
      <c r="T83" s="59">
        <f t="shared" ref="T83:T84" si="16">SUM(C83:S83)</f>
        <v>3046.99</v>
      </c>
      <c r="V83" s="201">
        <f t="shared" si="12"/>
        <v>914.19</v>
      </c>
    </row>
    <row r="84" spans="1:24">
      <c r="A84" t="s">
        <v>201</v>
      </c>
      <c r="B84" t="s">
        <v>200</v>
      </c>
      <c r="C84" s="59">
        <v>0.02</v>
      </c>
      <c r="D84" s="59">
        <v>121.52</v>
      </c>
      <c r="E84" s="59">
        <v>1.05</v>
      </c>
      <c r="F84" s="59">
        <v>1.21</v>
      </c>
      <c r="G84" s="59">
        <v>150.75</v>
      </c>
      <c r="H84" s="59">
        <v>282.99</v>
      </c>
      <c r="I84" s="59">
        <v>9</v>
      </c>
      <c r="J84" s="59">
        <v>3.78</v>
      </c>
      <c r="K84" s="59">
        <v>2.1</v>
      </c>
      <c r="L84" s="333">
        <v>191.79</v>
      </c>
      <c r="M84" s="59"/>
      <c r="N84" s="59">
        <v>1.86</v>
      </c>
      <c r="O84" s="59">
        <v>49.83</v>
      </c>
      <c r="P84" s="59">
        <v>5.04</v>
      </c>
      <c r="Q84" s="59">
        <f>55.85+2.52</f>
        <v>58.370000000000005</v>
      </c>
      <c r="R84" s="59">
        <v>9.11</v>
      </c>
      <c r="S84" s="59">
        <v>25.93</v>
      </c>
      <c r="T84" s="59">
        <f t="shared" si="16"/>
        <v>914.34999999999991</v>
      </c>
      <c r="V84" s="201">
        <f t="shared" si="12"/>
        <v>98.45</v>
      </c>
      <c r="W84" s="201"/>
    </row>
    <row r="85" spans="1:24">
      <c r="V85" s="201">
        <f t="shared" si="12"/>
        <v>0</v>
      </c>
    </row>
    <row r="86" spans="1:24" ht="15">
      <c r="A86" s="69" t="s">
        <v>228</v>
      </c>
      <c r="T86" s="59"/>
      <c r="V86" s="201">
        <f t="shared" si="12"/>
        <v>0</v>
      </c>
    </row>
    <row r="87" spans="1:24">
      <c r="A87" t="s">
        <v>19</v>
      </c>
      <c r="B87" t="s">
        <v>200</v>
      </c>
      <c r="C87" s="59">
        <v>13.5</v>
      </c>
      <c r="D87" s="59">
        <v>240.7</v>
      </c>
      <c r="E87" s="59">
        <v>0.04</v>
      </c>
      <c r="F87" s="59">
        <v>82.79</v>
      </c>
      <c r="G87" s="59">
        <v>410.92</v>
      </c>
      <c r="H87" s="59">
        <v>643.5</v>
      </c>
      <c r="I87" s="59">
        <v>78.209999999999994</v>
      </c>
      <c r="J87" s="59">
        <v>50.45</v>
      </c>
      <c r="K87" s="59">
        <v>26.98</v>
      </c>
      <c r="L87" s="333">
        <v>376.41</v>
      </c>
      <c r="M87" s="59">
        <v>0.36</v>
      </c>
      <c r="N87" s="59">
        <v>123.1</v>
      </c>
      <c r="O87" s="59">
        <v>83.63</v>
      </c>
      <c r="P87" s="59">
        <f>138.69+0.03</f>
        <v>138.72</v>
      </c>
      <c r="Q87" s="59">
        <f>371.59+0.03</f>
        <v>371.61999999999995</v>
      </c>
      <c r="R87" s="59">
        <v>386.65</v>
      </c>
      <c r="S87" s="59">
        <v>67.930000000000007</v>
      </c>
      <c r="T87" s="59">
        <f t="shared" ref="T87:T88" si="17">SUM(C87:S87)</f>
        <v>3095.5099999999998</v>
      </c>
      <c r="V87" s="201">
        <f t="shared" si="12"/>
        <v>964.92</v>
      </c>
    </row>
    <row r="88" spans="1:24">
      <c r="A88" t="s">
        <v>201</v>
      </c>
      <c r="B88" t="s">
        <v>200</v>
      </c>
      <c r="C88" s="59">
        <v>0.02</v>
      </c>
      <c r="D88" s="59">
        <v>118.57</v>
      </c>
      <c r="E88" s="59">
        <v>1.49</v>
      </c>
      <c r="F88" s="59">
        <v>1.47</v>
      </c>
      <c r="G88" s="59">
        <v>144.51</v>
      </c>
      <c r="H88" s="59">
        <v>277.39</v>
      </c>
      <c r="I88" s="59">
        <v>9.65</v>
      </c>
      <c r="J88" s="59">
        <v>4.18</v>
      </c>
      <c r="K88" s="59">
        <v>1.94</v>
      </c>
      <c r="L88" s="333">
        <v>190.32</v>
      </c>
      <c r="M88" s="59"/>
      <c r="N88" s="59">
        <v>1.8</v>
      </c>
      <c r="O88" s="59">
        <v>49.48</v>
      </c>
      <c r="P88" s="59">
        <v>5.03</v>
      </c>
      <c r="Q88" s="59">
        <f>61.61+2.24</f>
        <v>63.85</v>
      </c>
      <c r="R88" s="59">
        <v>9.31</v>
      </c>
      <c r="S88" s="59">
        <v>27.32</v>
      </c>
      <c r="T88" s="59">
        <f t="shared" si="17"/>
        <v>906.32999999999993</v>
      </c>
      <c r="V88" s="201">
        <f t="shared" si="12"/>
        <v>105.51</v>
      </c>
      <c r="W88" s="201"/>
    </row>
    <row r="89" spans="1:24">
      <c r="V89" s="201"/>
    </row>
    <row r="90" spans="1:24" ht="15">
      <c r="A90" s="69" t="s">
        <v>229</v>
      </c>
      <c r="T90" s="59"/>
      <c r="V90" s="201"/>
    </row>
    <row r="91" spans="1:24">
      <c r="A91" t="s">
        <v>19</v>
      </c>
      <c r="B91" t="s">
        <v>200</v>
      </c>
      <c r="C91" s="59">
        <v>14.78</v>
      </c>
      <c r="D91" s="59">
        <v>242.3</v>
      </c>
      <c r="E91" s="59">
        <v>0.05</v>
      </c>
      <c r="F91" s="59">
        <v>65.11</v>
      </c>
      <c r="G91" s="59">
        <v>378.61</v>
      </c>
      <c r="H91" s="59">
        <v>624.77</v>
      </c>
      <c r="I91" s="59">
        <v>110.66</v>
      </c>
      <c r="J91" s="59">
        <v>63.21</v>
      </c>
      <c r="K91" s="59">
        <v>38.619999999999997</v>
      </c>
      <c r="L91" s="333">
        <v>364.56</v>
      </c>
      <c r="M91" s="59">
        <v>0.36</v>
      </c>
      <c r="N91" s="59">
        <v>128.63</v>
      </c>
      <c r="O91" s="59">
        <v>76.59</v>
      </c>
      <c r="P91" s="59">
        <v>147.55000000000001</v>
      </c>
      <c r="Q91" s="59">
        <v>289.43</v>
      </c>
      <c r="R91" s="59">
        <v>383.08</v>
      </c>
      <c r="S91" s="59">
        <v>62.1</v>
      </c>
      <c r="T91" s="59">
        <f t="shared" ref="T91:T92" si="18">SUM(C91:S91)</f>
        <v>2990.41</v>
      </c>
      <c r="V91" s="201">
        <f t="shared" si="12"/>
        <v>882.16000000000008</v>
      </c>
    </row>
    <row r="92" spans="1:24">
      <c r="A92" t="s">
        <v>201</v>
      </c>
      <c r="B92" t="s">
        <v>200</v>
      </c>
      <c r="C92" s="59">
        <v>0.02</v>
      </c>
      <c r="D92" s="59">
        <v>127.13</v>
      </c>
      <c r="E92" s="59">
        <v>1.46</v>
      </c>
      <c r="F92" s="59">
        <v>1.1299999999999999</v>
      </c>
      <c r="G92" s="59">
        <v>144.59</v>
      </c>
      <c r="H92" s="59">
        <v>278.27999999999997</v>
      </c>
      <c r="I92" s="59">
        <v>12.05</v>
      </c>
      <c r="J92" s="59">
        <v>3.85</v>
      </c>
      <c r="K92" s="59">
        <v>1.88</v>
      </c>
      <c r="L92" s="333">
        <v>188.41</v>
      </c>
      <c r="M92" s="59"/>
      <c r="N92" s="59">
        <v>1.59</v>
      </c>
      <c r="O92" s="59">
        <v>50.95</v>
      </c>
      <c r="P92" s="59">
        <v>5.2</v>
      </c>
      <c r="Q92" s="59">
        <f>54.12+2.08</f>
        <v>56.199999999999996</v>
      </c>
      <c r="R92" s="59">
        <v>9.6199999999999992</v>
      </c>
      <c r="S92" s="59">
        <v>25.54</v>
      </c>
      <c r="T92" s="59">
        <f t="shared" si="18"/>
        <v>907.9</v>
      </c>
      <c r="V92" s="201">
        <f t="shared" si="12"/>
        <v>96.559999999999988</v>
      </c>
      <c r="W92" s="201"/>
    </row>
    <row r="94" spans="1:24" ht="15">
      <c r="A94" s="69" t="s">
        <v>230</v>
      </c>
      <c r="T94" s="59"/>
      <c r="V94" s="201"/>
      <c r="W94" s="201"/>
      <c r="X94" s="201"/>
    </row>
    <row r="95" spans="1:24">
      <c r="A95" t="s">
        <v>19</v>
      </c>
      <c r="B95" t="s">
        <v>200</v>
      </c>
      <c r="C95" s="59">
        <v>19.829999999999998</v>
      </c>
      <c r="D95" s="59">
        <v>252.64</v>
      </c>
      <c r="E95" s="59">
        <v>0.04</v>
      </c>
      <c r="F95" s="59">
        <v>66.78</v>
      </c>
      <c r="G95" s="59">
        <v>373.75</v>
      </c>
      <c r="H95" s="59">
        <v>633</v>
      </c>
      <c r="I95" s="59">
        <v>87.12</v>
      </c>
      <c r="J95" s="59">
        <v>44.98</v>
      </c>
      <c r="K95" s="59">
        <v>31.17</v>
      </c>
      <c r="L95" s="333">
        <v>388.89</v>
      </c>
      <c r="M95" s="59">
        <v>0.34</v>
      </c>
      <c r="N95" s="59">
        <v>130.72999999999999</v>
      </c>
      <c r="O95" s="59">
        <v>66.97</v>
      </c>
      <c r="P95" s="59">
        <v>153.1</v>
      </c>
      <c r="Q95" s="59">
        <v>309.89</v>
      </c>
      <c r="R95" s="59">
        <v>380.05</v>
      </c>
      <c r="S95" s="59">
        <v>60.41</v>
      </c>
      <c r="T95" s="59">
        <f t="shared" ref="T95:T96" si="19">SUM(C95:S95)</f>
        <v>2999.6899999999996</v>
      </c>
      <c r="V95" s="201">
        <f t="shared" ref="V95:V96" si="20">+S95+R95+Q95+P95</f>
        <v>903.45</v>
      </c>
    </row>
    <row r="96" spans="1:24">
      <c r="A96" t="s">
        <v>201</v>
      </c>
      <c r="B96" t="s">
        <v>200</v>
      </c>
      <c r="C96" s="59">
        <v>0.01</v>
      </c>
      <c r="D96" s="59">
        <v>122.18</v>
      </c>
      <c r="E96" s="59">
        <v>1.1000000000000001</v>
      </c>
      <c r="F96" s="59">
        <v>1.17</v>
      </c>
      <c r="G96" s="59">
        <v>149.81</v>
      </c>
      <c r="H96" s="59">
        <v>272.91000000000003</v>
      </c>
      <c r="I96" s="59">
        <v>11.67</v>
      </c>
      <c r="J96" s="59">
        <v>3.89</v>
      </c>
      <c r="K96" s="59">
        <v>2.8</v>
      </c>
      <c r="L96" s="333">
        <v>191.37</v>
      </c>
      <c r="M96" s="59"/>
      <c r="N96" s="59">
        <v>2.02</v>
      </c>
      <c r="O96" s="59">
        <v>52.72</v>
      </c>
      <c r="P96" s="59">
        <v>7.15</v>
      </c>
      <c r="Q96" s="59">
        <v>55.34</v>
      </c>
      <c r="R96" s="59">
        <v>9.67</v>
      </c>
      <c r="S96" s="59">
        <v>27.13</v>
      </c>
      <c r="T96" s="59">
        <f t="shared" si="19"/>
        <v>910.93999999999994</v>
      </c>
      <c r="V96" s="201">
        <f t="shared" si="20"/>
        <v>99.29</v>
      </c>
      <c r="W96" s="201"/>
    </row>
    <row r="97" spans="22:24">
      <c r="V97" s="201"/>
      <c r="W97" s="201"/>
      <c r="X97" s="20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6"/>
  <sheetViews>
    <sheetView workbookViewId="0">
      <pane xSplit="2" ySplit="1" topLeftCell="I2" activePane="bottomRight" state="frozen"/>
      <selection pane="topRight" activeCell="C1" sqref="C1"/>
      <selection pane="bottomLeft" activeCell="A2" sqref="A2"/>
      <selection pane="bottomRight" activeCell="W1" sqref="W1"/>
    </sheetView>
  </sheetViews>
  <sheetFormatPr defaultRowHeight="12.75"/>
  <cols>
    <col min="1" max="1" width="14.42578125" bestFit="1" customWidth="1"/>
    <col min="2" max="2" width="8.5703125" bestFit="1" customWidth="1"/>
    <col min="3" max="3" width="9.28515625" bestFit="1" customWidth="1"/>
    <col min="4" max="4" width="14" bestFit="1" customWidth="1"/>
    <col min="5" max="5" width="12" bestFit="1" customWidth="1"/>
    <col min="6" max="6" width="12.140625" bestFit="1" customWidth="1"/>
    <col min="7" max="7" width="12.42578125" bestFit="1" customWidth="1"/>
    <col min="8" max="8" width="15" bestFit="1" customWidth="1"/>
    <col min="9" max="9" width="10.28515625" bestFit="1" customWidth="1"/>
    <col min="10" max="10" width="10.140625" bestFit="1" customWidth="1"/>
    <col min="11" max="11" width="18" bestFit="1" customWidth="1"/>
    <col min="13" max="13" width="10.42578125" bestFit="1" customWidth="1"/>
    <col min="14" max="14" width="9.85546875" bestFit="1" customWidth="1"/>
    <col min="15" max="15" width="16.28515625" bestFit="1" customWidth="1"/>
    <col min="16" max="16" width="14.42578125" bestFit="1" customWidth="1"/>
    <col min="17" max="17" width="11" bestFit="1" customWidth="1"/>
    <col min="19" max="19" width="9.28515625" bestFit="1" customWidth="1"/>
  </cols>
  <sheetData>
    <row r="1" spans="1:19" ht="15">
      <c r="A1" s="69" t="s">
        <v>180</v>
      </c>
      <c r="B1" s="69" t="s">
        <v>181</v>
      </c>
      <c r="C1" s="69" t="s">
        <v>204</v>
      </c>
      <c r="D1" s="69" t="s">
        <v>346</v>
      </c>
      <c r="E1" s="69" t="s">
        <v>347</v>
      </c>
      <c r="F1" s="69" t="s">
        <v>205</v>
      </c>
      <c r="G1" s="69" t="s">
        <v>206</v>
      </c>
      <c r="H1" s="69" t="s">
        <v>345</v>
      </c>
      <c r="I1" s="69" t="s">
        <v>81</v>
      </c>
      <c r="J1" s="69" t="s">
        <v>207</v>
      </c>
      <c r="K1" s="69" t="s">
        <v>208</v>
      </c>
      <c r="L1" s="69" t="s">
        <v>209</v>
      </c>
      <c r="M1" s="69" t="s">
        <v>210</v>
      </c>
      <c r="N1" s="69" t="s">
        <v>211</v>
      </c>
      <c r="O1" s="69" t="s">
        <v>197</v>
      </c>
      <c r="P1" s="69" t="s">
        <v>212</v>
      </c>
      <c r="Q1" s="69" t="s">
        <v>198</v>
      </c>
      <c r="R1" s="69"/>
      <c r="S1" s="69" t="s">
        <v>74</v>
      </c>
    </row>
    <row r="2" spans="1:19" ht="15">
      <c r="A2" s="69" t="s">
        <v>199</v>
      </c>
      <c r="B2" s="69"/>
      <c r="C2" s="69"/>
      <c r="D2" s="69"/>
      <c r="E2" s="69"/>
      <c r="F2" s="69"/>
      <c r="G2" s="69"/>
      <c r="H2" s="69"/>
      <c r="I2" s="69"/>
      <c r="J2" s="69"/>
      <c r="K2" s="69"/>
      <c r="L2" s="69"/>
      <c r="M2" s="69"/>
      <c r="N2" s="69"/>
      <c r="O2" s="69"/>
      <c r="P2" s="69"/>
      <c r="Q2" s="69"/>
      <c r="R2" s="69"/>
      <c r="S2" s="69"/>
    </row>
    <row r="3" spans="1:19">
      <c r="A3" t="s">
        <v>19</v>
      </c>
      <c r="B3" t="s">
        <v>200</v>
      </c>
      <c r="C3" s="59">
        <v>100.6</v>
      </c>
      <c r="D3" s="59">
        <v>2.4</v>
      </c>
      <c r="E3" s="59">
        <v>35.799999999999997</v>
      </c>
      <c r="F3" s="59">
        <v>21.5</v>
      </c>
      <c r="G3" s="59">
        <v>224.4</v>
      </c>
      <c r="H3" s="59">
        <v>74.5</v>
      </c>
      <c r="I3" s="59">
        <v>298.5</v>
      </c>
      <c r="J3" s="59">
        <v>148.30000000000001</v>
      </c>
      <c r="K3" s="59">
        <v>102.8</v>
      </c>
      <c r="L3" s="59">
        <v>108.7</v>
      </c>
      <c r="M3" s="59">
        <v>10.199999999999999</v>
      </c>
      <c r="N3" s="59">
        <v>53.5</v>
      </c>
      <c r="O3" s="59">
        <v>1206.5</v>
      </c>
      <c r="P3" s="59">
        <v>706.3</v>
      </c>
      <c r="Q3" s="59">
        <f>SUM(C3:P3)</f>
        <v>3094</v>
      </c>
      <c r="S3" s="201">
        <f>+P3+O3+H3+E3+D3</f>
        <v>2025.5</v>
      </c>
    </row>
    <row r="4" spans="1:19">
      <c r="A4" t="s">
        <v>201</v>
      </c>
      <c r="B4" t="s">
        <v>200</v>
      </c>
      <c r="C4" s="59">
        <v>10</v>
      </c>
      <c r="D4" s="59">
        <v>1.4</v>
      </c>
      <c r="E4" s="59">
        <v>25.7</v>
      </c>
      <c r="F4" s="59">
        <v>1.4</v>
      </c>
      <c r="G4" s="59">
        <v>0.4</v>
      </c>
      <c r="H4" s="59">
        <v>41.1</v>
      </c>
      <c r="I4" s="59">
        <v>50.3</v>
      </c>
      <c r="J4" s="59">
        <v>20.5</v>
      </c>
      <c r="K4" s="59">
        <v>34.6</v>
      </c>
      <c r="L4" s="59">
        <v>24.9</v>
      </c>
      <c r="M4" s="59"/>
      <c r="N4" s="59">
        <v>0.4</v>
      </c>
      <c r="O4" s="59">
        <v>193.5</v>
      </c>
      <c r="P4" s="59">
        <v>9.5</v>
      </c>
      <c r="Q4" s="59">
        <f>SUM(C4:P4)</f>
        <v>413.70000000000005</v>
      </c>
      <c r="S4" s="201">
        <f>+P4+O4+H4+E4+D4</f>
        <v>271.2</v>
      </c>
    </row>
    <row r="5" spans="1:19">
      <c r="C5" s="59"/>
      <c r="D5" s="59"/>
      <c r="E5" s="59"/>
      <c r="F5" s="59"/>
      <c r="G5" s="59"/>
      <c r="H5" s="59"/>
      <c r="I5" s="59"/>
      <c r="J5" s="59"/>
      <c r="K5" s="59"/>
      <c r="L5" s="59"/>
      <c r="M5" s="59"/>
      <c r="N5" s="59"/>
      <c r="O5" s="59"/>
      <c r="P5" s="59"/>
      <c r="Q5" s="59"/>
    </row>
    <row r="6" spans="1:19" ht="15">
      <c r="A6" s="69" t="s">
        <v>202</v>
      </c>
    </row>
    <row r="7" spans="1:19">
      <c r="A7" t="s">
        <v>19</v>
      </c>
      <c r="B7" t="s">
        <v>200</v>
      </c>
      <c r="C7" s="59">
        <v>100.3</v>
      </c>
      <c r="D7" s="59">
        <v>2.1</v>
      </c>
      <c r="E7" s="59">
        <v>32.200000000000003</v>
      </c>
      <c r="F7" s="59">
        <v>22</v>
      </c>
      <c r="G7" s="59">
        <v>198.1</v>
      </c>
      <c r="H7" s="59">
        <v>69.7</v>
      </c>
      <c r="I7" s="59">
        <v>298.39999999999998</v>
      </c>
      <c r="J7" s="59">
        <v>145</v>
      </c>
      <c r="K7" s="59">
        <v>85.6</v>
      </c>
      <c r="L7" s="59">
        <v>86.5</v>
      </c>
      <c r="M7" s="59">
        <v>10.199999999999999</v>
      </c>
      <c r="N7" s="59">
        <v>33.6</v>
      </c>
      <c r="O7" s="59">
        <v>1143.0999999999999</v>
      </c>
      <c r="P7" s="59">
        <v>677.5</v>
      </c>
      <c r="Q7" s="59">
        <f>SUM(C7:P7)</f>
        <v>2904.3</v>
      </c>
      <c r="R7" s="59"/>
      <c r="S7" s="59">
        <f>+P7+O7+H7+E7+D7</f>
        <v>1924.6</v>
      </c>
    </row>
    <row r="8" spans="1:19">
      <c r="A8" t="s">
        <v>201</v>
      </c>
      <c r="B8" t="s">
        <v>200</v>
      </c>
      <c r="C8" s="59">
        <v>10.1</v>
      </c>
      <c r="D8" s="59">
        <v>1.4</v>
      </c>
      <c r="E8" s="59">
        <v>22.5</v>
      </c>
      <c r="F8" s="59">
        <v>1.4</v>
      </c>
      <c r="G8" s="59">
        <v>0.3</v>
      </c>
      <c r="H8" s="59">
        <v>34.700000000000003</v>
      </c>
      <c r="I8" s="59">
        <v>47.1</v>
      </c>
      <c r="J8" s="59">
        <v>20.7</v>
      </c>
      <c r="K8" s="59">
        <v>32.9</v>
      </c>
      <c r="L8" s="59">
        <v>25.5</v>
      </c>
      <c r="M8" s="59"/>
      <c r="N8" s="59">
        <v>0.3</v>
      </c>
      <c r="O8" s="59">
        <v>158.80000000000001</v>
      </c>
      <c r="P8" s="59">
        <v>7.8</v>
      </c>
      <c r="Q8" s="59">
        <f>SUM(C8:P8)</f>
        <v>363.50000000000006</v>
      </c>
      <c r="R8" s="59"/>
      <c r="S8" s="59">
        <f>+P8+O8+H8+E8+D8</f>
        <v>225.20000000000002</v>
      </c>
    </row>
    <row r="10" spans="1:19" ht="15">
      <c r="A10" s="69" t="s">
        <v>213</v>
      </c>
    </row>
    <row r="11" spans="1:19">
      <c r="A11" t="s">
        <v>19</v>
      </c>
      <c r="B11" t="s">
        <v>200</v>
      </c>
      <c r="C11">
        <v>124.57</v>
      </c>
      <c r="D11" s="59">
        <v>2.8</v>
      </c>
      <c r="E11" s="59">
        <f>36.6+0.56</f>
        <v>37.160000000000004</v>
      </c>
      <c r="F11">
        <v>23.26</v>
      </c>
      <c r="G11">
        <f>22.48+195.51</f>
        <v>217.98999999999998</v>
      </c>
      <c r="H11">
        <f>102.86+0.01</f>
        <v>102.87</v>
      </c>
      <c r="I11">
        <v>328.02</v>
      </c>
      <c r="J11">
        <v>163.26</v>
      </c>
      <c r="K11">
        <v>94.39</v>
      </c>
      <c r="L11">
        <v>115.46</v>
      </c>
      <c r="M11">
        <v>16.91</v>
      </c>
      <c r="N11">
        <v>37.28</v>
      </c>
      <c r="O11" s="322">
        <v>1260.78</v>
      </c>
      <c r="P11">
        <v>725.64</v>
      </c>
      <c r="Q11" s="59">
        <f>SUM(C11:P11)</f>
        <v>3250.39</v>
      </c>
      <c r="S11" s="59">
        <f>+P11+O11+H11+E11+D11</f>
        <v>2129.25</v>
      </c>
    </row>
    <row r="12" spans="1:19">
      <c r="A12" t="s">
        <v>201</v>
      </c>
      <c r="B12" t="s">
        <v>200</v>
      </c>
      <c r="C12">
        <v>11.42</v>
      </c>
      <c r="D12" s="59">
        <v>1.7</v>
      </c>
      <c r="E12" s="59">
        <f>26.15+0.1</f>
        <v>26.25</v>
      </c>
      <c r="F12">
        <v>0.25</v>
      </c>
      <c r="G12">
        <v>0.31</v>
      </c>
      <c r="H12">
        <v>42.15</v>
      </c>
      <c r="I12">
        <v>54.22</v>
      </c>
      <c r="J12">
        <v>22.97</v>
      </c>
      <c r="K12">
        <v>40.43</v>
      </c>
      <c r="L12">
        <v>27.25</v>
      </c>
      <c r="N12">
        <v>0.7</v>
      </c>
      <c r="O12">
        <v>189.19</v>
      </c>
      <c r="P12">
        <v>8.9499999999999993</v>
      </c>
      <c r="Q12" s="59">
        <f>SUM(C12:P12)</f>
        <v>425.79</v>
      </c>
      <c r="S12" s="59">
        <f>+P12+O12+H12+E12+D12</f>
        <v>268.23999999999995</v>
      </c>
    </row>
    <row r="14" spans="1:19" ht="15">
      <c r="A14" s="69" t="s">
        <v>216</v>
      </c>
    </row>
    <row r="15" spans="1:19">
      <c r="A15" t="s">
        <v>19</v>
      </c>
      <c r="B15" t="s">
        <v>200</v>
      </c>
      <c r="C15" s="59">
        <v>88.4</v>
      </c>
      <c r="D15" s="59">
        <v>2.1</v>
      </c>
      <c r="E15" s="59">
        <v>35.9</v>
      </c>
      <c r="F15" s="59">
        <v>44.6</v>
      </c>
      <c r="G15" s="59">
        <v>220.7</v>
      </c>
      <c r="H15" s="59">
        <v>51.5</v>
      </c>
      <c r="I15" s="59">
        <v>371.9</v>
      </c>
      <c r="J15" s="59">
        <v>153</v>
      </c>
      <c r="K15" s="59">
        <v>87.7</v>
      </c>
      <c r="L15" s="59">
        <v>98.7</v>
      </c>
      <c r="M15" s="59">
        <v>7.3</v>
      </c>
      <c r="N15" s="59">
        <v>35.4</v>
      </c>
      <c r="O15" s="59">
        <v>1352.6</v>
      </c>
      <c r="P15" s="59">
        <v>805.2</v>
      </c>
      <c r="Q15" s="59">
        <f>SUM(C15:P15)</f>
        <v>3355</v>
      </c>
      <c r="S15" s="59">
        <f>+P15+O15+H15+E15+D15</f>
        <v>2247.3000000000002</v>
      </c>
    </row>
    <row r="16" spans="1:19">
      <c r="A16" t="s">
        <v>201</v>
      </c>
      <c r="B16" t="s">
        <v>200</v>
      </c>
      <c r="C16" s="59">
        <v>12.1</v>
      </c>
      <c r="D16" s="59">
        <v>1.4</v>
      </c>
      <c r="E16" s="59">
        <v>23.2</v>
      </c>
      <c r="F16" s="59">
        <v>1.6</v>
      </c>
      <c r="G16" s="59">
        <v>0.4</v>
      </c>
      <c r="H16" s="59">
        <v>43.2</v>
      </c>
      <c r="I16" s="59">
        <v>57.7</v>
      </c>
      <c r="J16" s="59">
        <v>24.9</v>
      </c>
      <c r="K16" s="59">
        <v>39.299999999999997</v>
      </c>
      <c r="L16" s="59">
        <v>26.8</v>
      </c>
      <c r="M16" s="59"/>
      <c r="N16" s="59">
        <v>0.5</v>
      </c>
      <c r="O16" s="59">
        <v>188.4</v>
      </c>
      <c r="P16" s="59">
        <v>10</v>
      </c>
      <c r="Q16" s="59">
        <f>SUM(C16:P16)</f>
        <v>429.5</v>
      </c>
      <c r="S16" s="59">
        <f>+P16+O16+H16+E16+D16</f>
        <v>266.2</v>
      </c>
    </row>
    <row r="18" spans="1:19" ht="15">
      <c r="A18" s="69" t="s">
        <v>217</v>
      </c>
    </row>
    <row r="19" spans="1:19">
      <c r="A19" s="59" t="s">
        <v>19</v>
      </c>
      <c r="B19" s="59" t="s">
        <v>200</v>
      </c>
      <c r="C19" s="59">
        <v>90.4</v>
      </c>
      <c r="D19" s="59">
        <v>2.5</v>
      </c>
      <c r="E19" s="59">
        <v>32.9</v>
      </c>
      <c r="F19" s="59">
        <v>23.4</v>
      </c>
      <c r="G19" s="59">
        <v>199.2</v>
      </c>
      <c r="H19" s="59">
        <v>70.3</v>
      </c>
      <c r="I19" s="59">
        <v>286.10000000000002</v>
      </c>
      <c r="J19" s="59">
        <v>138</v>
      </c>
      <c r="K19" s="59">
        <v>86.6</v>
      </c>
      <c r="L19" s="59">
        <v>99.2</v>
      </c>
      <c r="M19" s="59">
        <v>10.8</v>
      </c>
      <c r="N19" s="59">
        <v>35.200000000000003</v>
      </c>
      <c r="O19" s="59">
        <v>1135</v>
      </c>
      <c r="P19" s="59">
        <v>666.4</v>
      </c>
      <c r="Q19" s="59">
        <f>SUM(C19:P19)</f>
        <v>2876</v>
      </c>
      <c r="S19" s="59">
        <f>+P19+O19+H19+E19+D19</f>
        <v>1907.1000000000001</v>
      </c>
    </row>
    <row r="20" spans="1:19">
      <c r="A20" s="59" t="s">
        <v>201</v>
      </c>
      <c r="B20" s="59" t="s">
        <v>200</v>
      </c>
      <c r="C20" s="59">
        <v>10.9</v>
      </c>
      <c r="D20" s="59">
        <v>1.5</v>
      </c>
      <c r="E20" s="59">
        <v>21.1</v>
      </c>
      <c r="F20" s="59">
        <v>1.4</v>
      </c>
      <c r="G20" s="59">
        <v>0.3</v>
      </c>
      <c r="H20" s="59">
        <v>36.700000000000003</v>
      </c>
      <c r="I20" s="59">
        <v>47.7</v>
      </c>
      <c r="J20" s="59">
        <v>22.4</v>
      </c>
      <c r="K20" s="59">
        <v>32.700000000000003</v>
      </c>
      <c r="L20" s="59">
        <v>23.2</v>
      </c>
      <c r="M20" s="59"/>
      <c r="N20" s="59">
        <v>0.4</v>
      </c>
      <c r="O20" s="59">
        <v>172.7</v>
      </c>
      <c r="P20" s="59">
        <v>7.7</v>
      </c>
      <c r="Q20" s="59">
        <f>SUM(C20:P20)</f>
        <v>378.7</v>
      </c>
      <c r="S20" s="59">
        <f>+P20+O20+H20+E20+D20</f>
        <v>239.69999999999996</v>
      </c>
    </row>
    <row r="22" spans="1:19" ht="15">
      <c r="A22" s="69" t="s">
        <v>218</v>
      </c>
    </row>
    <row r="23" spans="1:19">
      <c r="A23" s="59" t="s">
        <v>19</v>
      </c>
      <c r="B23" s="59" t="s">
        <v>200</v>
      </c>
      <c r="C23" s="59">
        <v>88.58</v>
      </c>
      <c r="D23" s="59">
        <v>2.2999999999999998</v>
      </c>
      <c r="E23" s="59">
        <f>0.67+33.61</f>
        <v>34.28</v>
      </c>
      <c r="F23" s="59">
        <v>23</v>
      </c>
      <c r="G23" s="59">
        <v>174.63</v>
      </c>
      <c r="H23" s="59">
        <f>0.07+72.3</f>
        <v>72.36999999999999</v>
      </c>
      <c r="I23" s="59">
        <v>301.89999999999998</v>
      </c>
      <c r="J23" s="59">
        <v>147.94999999999999</v>
      </c>
      <c r="K23" s="59">
        <v>73.91</v>
      </c>
      <c r="L23" s="59">
        <v>100.8</v>
      </c>
      <c r="M23" s="59">
        <v>10.08</v>
      </c>
      <c r="N23" s="59">
        <v>34.97</v>
      </c>
      <c r="O23" s="59">
        <v>1161.8399999999999</v>
      </c>
      <c r="P23" s="59">
        <v>736.7</v>
      </c>
      <c r="Q23" s="59">
        <f>SUM(C23:P23)</f>
        <v>2963.3099999999995</v>
      </c>
      <c r="S23" s="59">
        <f>+P23+O23+H23+E23+D23</f>
        <v>2007.4899999999998</v>
      </c>
    </row>
    <row r="24" spans="1:19">
      <c r="A24" s="59" t="s">
        <v>201</v>
      </c>
      <c r="B24" s="59" t="s">
        <v>200</v>
      </c>
      <c r="C24" s="59">
        <v>10.9</v>
      </c>
      <c r="D24" s="59">
        <v>1.88</v>
      </c>
      <c r="E24" s="59">
        <f>0.11+23.65</f>
        <v>23.759999999999998</v>
      </c>
      <c r="F24" s="59">
        <v>0.24</v>
      </c>
      <c r="G24" s="59">
        <v>0.3</v>
      </c>
      <c r="H24" s="59">
        <v>35.65</v>
      </c>
      <c r="I24" s="59">
        <v>50.64</v>
      </c>
      <c r="J24" s="59">
        <v>21.43</v>
      </c>
      <c r="K24" s="59">
        <v>33.03</v>
      </c>
      <c r="L24" s="59">
        <v>25.07</v>
      </c>
      <c r="M24" s="59"/>
      <c r="N24" s="59">
        <v>0.54</v>
      </c>
      <c r="O24" s="59">
        <v>174.49</v>
      </c>
      <c r="P24" s="59">
        <v>8.61</v>
      </c>
      <c r="Q24" s="59">
        <f>SUM(C24:P24)</f>
        <v>386.53999999999996</v>
      </c>
      <c r="S24" s="59">
        <f>+P24+O24+H24+E24+D24</f>
        <v>244.39000000000001</v>
      </c>
    </row>
    <row r="26" spans="1:19" ht="15">
      <c r="A26" s="69" t="s">
        <v>219</v>
      </c>
    </row>
    <row r="27" spans="1:19">
      <c r="A27" s="59" t="s">
        <v>19</v>
      </c>
      <c r="B27" s="59" t="s">
        <v>200</v>
      </c>
      <c r="C27" s="59">
        <v>109.94</v>
      </c>
      <c r="D27">
        <v>2.84</v>
      </c>
      <c r="E27">
        <f>37.8+0.7</f>
        <v>38.5</v>
      </c>
      <c r="F27" s="59">
        <v>25.05</v>
      </c>
      <c r="G27">
        <f>20.47+239.95</f>
        <v>260.41999999999996</v>
      </c>
      <c r="H27">
        <f>75.15+0.05</f>
        <v>75.2</v>
      </c>
      <c r="I27">
        <v>336.77</v>
      </c>
      <c r="J27">
        <v>159.55000000000001</v>
      </c>
      <c r="K27">
        <v>112.76</v>
      </c>
      <c r="L27">
        <v>109.63</v>
      </c>
      <c r="M27" s="59">
        <v>10.85</v>
      </c>
      <c r="N27" s="59">
        <v>36.770000000000003</v>
      </c>
      <c r="O27" s="322">
        <f>1211.45+55.35</f>
        <v>1266.8</v>
      </c>
      <c r="P27" s="59">
        <v>782.48</v>
      </c>
      <c r="Q27" s="59">
        <f>SUM(C27:P27)</f>
        <v>3327.56</v>
      </c>
      <c r="S27" s="59">
        <f>+P27+O27+H27+E27+D27</f>
        <v>2165.8199999999997</v>
      </c>
    </row>
    <row r="28" spans="1:19">
      <c r="A28" s="59" t="s">
        <v>201</v>
      </c>
      <c r="B28" s="59" t="s">
        <v>200</v>
      </c>
      <c r="C28" s="59">
        <v>10.67</v>
      </c>
      <c r="D28">
        <v>1.55</v>
      </c>
      <c r="E28">
        <f>22.34+0.1</f>
        <v>22.44</v>
      </c>
      <c r="F28" s="59">
        <v>0.2</v>
      </c>
      <c r="G28" s="59">
        <v>0.65</v>
      </c>
      <c r="H28">
        <v>39.979999999999997</v>
      </c>
      <c r="I28">
        <v>54.5</v>
      </c>
      <c r="J28">
        <v>22.01</v>
      </c>
      <c r="K28">
        <v>35.840000000000003</v>
      </c>
      <c r="L28">
        <v>23.65</v>
      </c>
      <c r="M28" s="59"/>
      <c r="N28" s="59">
        <v>0.44</v>
      </c>
      <c r="O28">
        <f>177.73+0.04</f>
        <v>177.76999999999998</v>
      </c>
      <c r="P28" s="59">
        <v>8.75</v>
      </c>
      <c r="Q28" s="59">
        <f>SUM(C28:P28)</f>
        <v>398.45</v>
      </c>
      <c r="S28" s="59">
        <f>+P28+O28+H28+E28+D28</f>
        <v>250.48999999999998</v>
      </c>
    </row>
    <row r="30" spans="1:19" ht="15">
      <c r="A30" s="69" t="s">
        <v>61</v>
      </c>
    </row>
    <row r="31" spans="1:19">
      <c r="A31" s="59" t="s">
        <v>19</v>
      </c>
      <c r="B31" s="59" t="s">
        <v>200</v>
      </c>
      <c r="C31" s="59">
        <v>113.05</v>
      </c>
      <c r="D31">
        <v>2.4900000000000002</v>
      </c>
      <c r="E31">
        <f>33.75+0.66</f>
        <v>34.409999999999997</v>
      </c>
      <c r="F31" s="59">
        <v>23.92</v>
      </c>
      <c r="G31" s="59">
        <v>197.3</v>
      </c>
      <c r="H31">
        <f>75.04+0.05</f>
        <v>75.09</v>
      </c>
      <c r="I31">
        <v>327.95</v>
      </c>
      <c r="J31">
        <v>154.16999999999999</v>
      </c>
      <c r="K31">
        <v>89.7</v>
      </c>
      <c r="L31">
        <v>104.06</v>
      </c>
      <c r="M31" s="59">
        <v>11.18</v>
      </c>
      <c r="N31" s="59">
        <v>36.71</v>
      </c>
      <c r="O31" s="322">
        <f>1243.48+38.66+2.49</f>
        <v>1284.6300000000001</v>
      </c>
      <c r="P31" s="59">
        <v>748.26</v>
      </c>
      <c r="Q31" s="59">
        <f>SUM(C31:P31)</f>
        <v>3202.92</v>
      </c>
      <c r="S31" s="59">
        <f>+P31+O31+H31+E31+D31</f>
        <v>2144.8799999999997</v>
      </c>
    </row>
    <row r="32" spans="1:19">
      <c r="A32" s="59" t="s">
        <v>201</v>
      </c>
      <c r="B32" s="59" t="s">
        <v>200</v>
      </c>
      <c r="C32" s="59">
        <v>10.94</v>
      </c>
      <c r="D32">
        <v>1.57</v>
      </c>
      <c r="E32">
        <f>21.77+0.11</f>
        <v>21.88</v>
      </c>
      <c r="F32" s="59">
        <v>0.2</v>
      </c>
      <c r="G32" s="59">
        <v>0.48</v>
      </c>
      <c r="H32">
        <v>37.44</v>
      </c>
      <c r="I32">
        <v>51.44</v>
      </c>
      <c r="J32">
        <v>21.53</v>
      </c>
      <c r="K32">
        <v>33.46</v>
      </c>
      <c r="L32">
        <v>25.17</v>
      </c>
      <c r="M32" s="59"/>
      <c r="N32" s="59">
        <v>0.46</v>
      </c>
      <c r="O32">
        <f>176.68+0.04+1.57</f>
        <v>178.29</v>
      </c>
      <c r="P32" s="59">
        <v>8.92</v>
      </c>
      <c r="Q32" s="59">
        <f>SUM(C32:P32)</f>
        <v>391.78000000000003</v>
      </c>
      <c r="S32" s="59">
        <f>+P32+O32+H32+E32+D32</f>
        <v>248.09999999999997</v>
      </c>
    </row>
    <row r="33" spans="1:19">
      <c r="C33" s="11"/>
    </row>
    <row r="34" spans="1:19" ht="15">
      <c r="A34" s="69" t="s">
        <v>227</v>
      </c>
    </row>
    <row r="35" spans="1:19">
      <c r="A35" s="59" t="s">
        <v>19</v>
      </c>
      <c r="B35" s="59" t="s">
        <v>200</v>
      </c>
      <c r="C35" s="59">
        <v>115.51</v>
      </c>
      <c r="D35">
        <v>2.77</v>
      </c>
      <c r="E35">
        <f>0.68+35.02</f>
        <v>35.700000000000003</v>
      </c>
      <c r="F35" s="59">
        <v>26.07</v>
      </c>
      <c r="G35" s="59">
        <v>196.52</v>
      </c>
      <c r="H35" s="59">
        <f>0.02+102.93</f>
        <v>102.95</v>
      </c>
      <c r="I35" s="59">
        <v>349.43</v>
      </c>
      <c r="J35" s="59">
        <v>157.07</v>
      </c>
      <c r="K35" s="59">
        <v>92.27</v>
      </c>
      <c r="L35" s="59">
        <v>113.5</v>
      </c>
      <c r="M35" s="59">
        <v>17.13</v>
      </c>
      <c r="N35" s="59">
        <v>36.619999999999997</v>
      </c>
      <c r="O35" s="322">
        <f>1266.94+41.05</f>
        <v>1307.99</v>
      </c>
      <c r="P35" s="59">
        <v>832.1</v>
      </c>
      <c r="Q35" s="59">
        <f>SUM(C35:P35)</f>
        <v>3385.6299999999997</v>
      </c>
      <c r="S35" s="59">
        <f>+P35+O35+H35+E35+D35</f>
        <v>2281.5099999999998</v>
      </c>
    </row>
    <row r="36" spans="1:19">
      <c r="A36" s="59" t="s">
        <v>201</v>
      </c>
      <c r="B36" s="59" t="s">
        <v>200</v>
      </c>
      <c r="C36" s="59">
        <v>12.3</v>
      </c>
      <c r="D36">
        <v>2.0099999999999998</v>
      </c>
      <c r="E36">
        <f>0.13+23.36</f>
        <v>23.49</v>
      </c>
      <c r="F36" s="59">
        <v>0.26</v>
      </c>
      <c r="G36" s="59">
        <v>0.48</v>
      </c>
      <c r="H36" s="59">
        <v>39.28</v>
      </c>
      <c r="I36">
        <v>56.02</v>
      </c>
      <c r="J36" s="59">
        <v>23.51</v>
      </c>
      <c r="K36" s="59">
        <v>36.22</v>
      </c>
      <c r="L36" s="59">
        <v>24.77</v>
      </c>
      <c r="M36" s="59"/>
      <c r="N36" s="59">
        <v>0.57999999999999996</v>
      </c>
      <c r="O36" s="59">
        <f>189.33+0.02</f>
        <v>189.35000000000002</v>
      </c>
      <c r="P36" s="59">
        <v>9.43</v>
      </c>
      <c r="Q36" s="59">
        <f>SUM(C36:P36)</f>
        <v>417.70000000000005</v>
      </c>
      <c r="S36" s="59">
        <f>+P36+O36+H36+E36+D36</f>
        <v>263.56</v>
      </c>
    </row>
    <row r="38" spans="1:19" ht="15">
      <c r="A38" s="69" t="s">
        <v>228</v>
      </c>
    </row>
    <row r="39" spans="1:19">
      <c r="A39" s="59" t="s">
        <v>19</v>
      </c>
      <c r="B39" s="59" t="s">
        <v>200</v>
      </c>
      <c r="C39" s="59">
        <v>97.72</v>
      </c>
      <c r="D39" s="59">
        <v>3.1</v>
      </c>
      <c r="E39" s="59">
        <f>33.7+0.76</f>
        <v>34.46</v>
      </c>
      <c r="F39" s="59">
        <v>37.770000000000003</v>
      </c>
      <c r="G39" s="59">
        <f>0.02+212.91</f>
        <v>212.93</v>
      </c>
      <c r="H39" s="59">
        <f>75.09+0.02</f>
        <v>75.11</v>
      </c>
      <c r="I39" s="59">
        <v>343.51</v>
      </c>
      <c r="J39" s="59">
        <v>166.19</v>
      </c>
      <c r="K39" s="59">
        <v>107.99</v>
      </c>
      <c r="L39" s="59">
        <v>102.45</v>
      </c>
      <c r="M39" s="59">
        <v>11.78</v>
      </c>
      <c r="N39" s="59">
        <v>40.130000000000003</v>
      </c>
      <c r="O39" s="59">
        <f>39.13+1370.86</f>
        <v>1409.99</v>
      </c>
      <c r="P39" s="59">
        <v>839.9</v>
      </c>
      <c r="Q39" s="59">
        <f>SUM(C39:P39)</f>
        <v>3483.03</v>
      </c>
      <c r="S39" s="59">
        <f>+P39+O39+H39+E39+D39</f>
        <v>2362.56</v>
      </c>
    </row>
    <row r="40" spans="1:19">
      <c r="A40" s="59" t="s">
        <v>201</v>
      </c>
      <c r="B40" s="59" t="s">
        <v>200</v>
      </c>
      <c r="C40" s="59">
        <v>11.02</v>
      </c>
      <c r="D40" s="59">
        <v>1.52</v>
      </c>
      <c r="E40" s="59">
        <f>20.8+0.02</f>
        <v>20.82</v>
      </c>
      <c r="F40" s="59">
        <v>0.2</v>
      </c>
      <c r="G40" s="59">
        <v>0.47</v>
      </c>
      <c r="H40" s="59">
        <v>39.64</v>
      </c>
      <c r="I40" s="59">
        <v>53.27</v>
      </c>
      <c r="J40" s="59">
        <v>22.44</v>
      </c>
      <c r="K40" s="59">
        <v>37.46</v>
      </c>
      <c r="L40" s="59">
        <v>25.56</v>
      </c>
      <c r="M40" s="59"/>
      <c r="N40" s="59">
        <v>0.47</v>
      </c>
      <c r="O40" s="59">
        <f>0.06+189.44</f>
        <v>189.5</v>
      </c>
      <c r="P40" s="59">
        <v>7.51</v>
      </c>
      <c r="Q40" s="59">
        <f>SUM(C40:P40)</f>
        <v>409.88</v>
      </c>
      <c r="S40" s="59">
        <f>+P40+O40+H40+E40+D40</f>
        <v>258.98999999999995</v>
      </c>
    </row>
    <row r="42" spans="1:19" ht="15">
      <c r="A42" s="69" t="s">
        <v>229</v>
      </c>
    </row>
    <row r="43" spans="1:19">
      <c r="A43" s="59" t="s">
        <v>19</v>
      </c>
      <c r="B43" s="59" t="s">
        <v>200</v>
      </c>
      <c r="C43" s="59">
        <v>94.7</v>
      </c>
      <c r="D43">
        <v>2.52</v>
      </c>
      <c r="E43">
        <f>40.74+0.64</f>
        <v>41.38</v>
      </c>
      <c r="F43" s="59">
        <v>24.86</v>
      </c>
      <c r="G43" s="59">
        <f>0.02+173</f>
        <v>173.02</v>
      </c>
      <c r="H43" s="59">
        <f>74.95+0.03</f>
        <v>74.98</v>
      </c>
      <c r="I43" s="59">
        <v>306.5</v>
      </c>
      <c r="J43" s="59">
        <v>154.08000000000001</v>
      </c>
      <c r="K43" s="59">
        <v>90.01</v>
      </c>
      <c r="L43" s="59">
        <v>119.56</v>
      </c>
      <c r="M43" s="59">
        <v>11.4</v>
      </c>
      <c r="N43" s="59">
        <v>52.3</v>
      </c>
      <c r="O43" s="322">
        <f>1191+38.42</f>
        <v>1229.42</v>
      </c>
      <c r="P43" s="59">
        <v>756.58</v>
      </c>
      <c r="Q43" s="59">
        <f>SUM(C43:P43)</f>
        <v>3131.3100000000004</v>
      </c>
      <c r="S43" s="59">
        <f>+P43+O43+H43+E43+D43</f>
        <v>2104.88</v>
      </c>
    </row>
    <row r="44" spans="1:19">
      <c r="A44" s="59" t="s">
        <v>201</v>
      </c>
      <c r="B44" s="59" t="s">
        <v>200</v>
      </c>
      <c r="C44" s="59">
        <v>10.89</v>
      </c>
      <c r="D44">
        <v>1.57</v>
      </c>
      <c r="E44">
        <f>22.98+0.08</f>
        <v>23.06</v>
      </c>
      <c r="F44" s="59">
        <v>0.19</v>
      </c>
      <c r="G44" s="59">
        <v>0.45</v>
      </c>
      <c r="H44" s="59">
        <v>36.07</v>
      </c>
      <c r="I44" s="59">
        <v>50.27</v>
      </c>
      <c r="J44" s="59">
        <v>22.44</v>
      </c>
      <c r="K44" s="59">
        <v>34.950000000000003</v>
      </c>
      <c r="L44" s="59">
        <v>24.94</v>
      </c>
      <c r="M44" s="59"/>
      <c r="N44" s="59">
        <v>0.48</v>
      </c>
      <c r="O44" s="59">
        <f>191.58+0.02</f>
        <v>191.60000000000002</v>
      </c>
      <c r="P44" s="59">
        <v>7.53</v>
      </c>
      <c r="Q44" s="59">
        <f>SUM(C44:P44)</f>
        <v>404.43999999999994</v>
      </c>
      <c r="S44" s="59">
        <f>+P44+O44+H44+E44+D44</f>
        <v>259.83</v>
      </c>
    </row>
    <row r="46" spans="1:19" ht="15">
      <c r="A46" s="69" t="s">
        <v>230</v>
      </c>
    </row>
    <row r="47" spans="1:19">
      <c r="A47" s="59" t="s">
        <v>19</v>
      </c>
      <c r="B47" s="59" t="s">
        <v>200</v>
      </c>
      <c r="C47" s="59">
        <v>95.57</v>
      </c>
      <c r="D47" s="59">
        <v>3.01</v>
      </c>
      <c r="E47" s="59">
        <f>35.34+0.74</f>
        <v>36.080000000000005</v>
      </c>
      <c r="F47" s="59">
        <v>25.01</v>
      </c>
      <c r="G47" s="59">
        <v>213.8</v>
      </c>
      <c r="H47" s="59">
        <f>87.16+0.03</f>
        <v>87.19</v>
      </c>
      <c r="I47" s="59">
        <v>311.35000000000002</v>
      </c>
      <c r="J47" s="59">
        <v>161.65</v>
      </c>
      <c r="K47" s="59">
        <v>118.61</v>
      </c>
      <c r="L47" s="59">
        <v>110.38</v>
      </c>
      <c r="M47" s="59">
        <v>11.27</v>
      </c>
      <c r="N47" s="59">
        <v>38.57</v>
      </c>
      <c r="O47" s="59">
        <v>1335.97</v>
      </c>
      <c r="P47" s="59">
        <v>813.52</v>
      </c>
      <c r="Q47" s="59">
        <f>SUM(C47:P47)</f>
        <v>3361.98</v>
      </c>
      <c r="S47" s="59">
        <f>+P47+O47+H47+E47+D47</f>
        <v>2275.77</v>
      </c>
    </row>
    <row r="48" spans="1:19">
      <c r="A48" s="59" t="s">
        <v>201</v>
      </c>
      <c r="B48" s="59" t="s">
        <v>200</v>
      </c>
      <c r="C48" s="59">
        <v>10.45</v>
      </c>
      <c r="D48" s="59">
        <v>2.0299999999999998</v>
      </c>
      <c r="E48" s="59">
        <f>25.61+0.18</f>
        <v>25.79</v>
      </c>
      <c r="F48" s="59">
        <v>0.24</v>
      </c>
      <c r="G48" s="59">
        <v>0.65</v>
      </c>
      <c r="H48" s="59">
        <v>38.729999999999997</v>
      </c>
      <c r="I48" s="59">
        <v>53.16</v>
      </c>
      <c r="J48" s="59">
        <v>23.56</v>
      </c>
      <c r="K48" s="59">
        <v>38.97</v>
      </c>
      <c r="L48" s="59">
        <v>26.72</v>
      </c>
      <c r="M48" s="59"/>
      <c r="N48" s="59">
        <v>0.56999999999999995</v>
      </c>
      <c r="O48" s="59">
        <v>199.14</v>
      </c>
      <c r="P48" s="59">
        <v>9.3800000000000008</v>
      </c>
      <c r="Q48" s="59">
        <f>SUM(C48:P48)</f>
        <v>429.39</v>
      </c>
      <c r="S48" s="59">
        <f>+P48+O48+H48+E48+D48</f>
        <v>275.06999999999994</v>
      </c>
    </row>
    <row r="50" spans="1:19" ht="15">
      <c r="A50" s="69" t="s">
        <v>231</v>
      </c>
    </row>
    <row r="51" spans="1:19">
      <c r="A51" t="s">
        <v>19</v>
      </c>
      <c r="B51" t="s">
        <v>200</v>
      </c>
      <c r="C51" s="59">
        <v>124.5</v>
      </c>
      <c r="D51" s="59">
        <v>2.6</v>
      </c>
      <c r="E51" s="59">
        <v>40.1</v>
      </c>
      <c r="F51" s="59">
        <v>25.4</v>
      </c>
      <c r="G51" s="59">
        <v>174.8</v>
      </c>
      <c r="H51" s="59">
        <v>77.7</v>
      </c>
      <c r="I51" s="59">
        <v>339.8</v>
      </c>
      <c r="J51" s="59">
        <v>167.3</v>
      </c>
      <c r="K51" s="59">
        <v>91</v>
      </c>
      <c r="L51" s="59">
        <v>105.9</v>
      </c>
      <c r="M51" s="59">
        <v>11.6</v>
      </c>
      <c r="N51" s="59">
        <v>39.299999999999997</v>
      </c>
      <c r="O51" s="59">
        <v>1418.2</v>
      </c>
      <c r="P51" s="59">
        <v>790.2</v>
      </c>
      <c r="Q51" s="59">
        <f>SUM(C51:P51)</f>
        <v>3408.3999999999996</v>
      </c>
      <c r="S51" s="59">
        <f>+P51+O51+H51+E51+D51</f>
        <v>2328.7999999999997</v>
      </c>
    </row>
    <row r="52" spans="1:19">
      <c r="A52" t="s">
        <v>201</v>
      </c>
      <c r="B52" t="s">
        <v>200</v>
      </c>
      <c r="C52" s="59">
        <v>10.9</v>
      </c>
      <c r="D52" s="59">
        <v>1.6</v>
      </c>
      <c r="E52" s="59">
        <v>23.6</v>
      </c>
      <c r="F52" s="59">
        <v>1.5</v>
      </c>
      <c r="G52" s="59">
        <v>0.4</v>
      </c>
      <c r="H52" s="59">
        <v>42</v>
      </c>
      <c r="I52" s="59">
        <v>53</v>
      </c>
      <c r="J52" s="59">
        <v>25</v>
      </c>
      <c r="K52" s="59">
        <v>37.4</v>
      </c>
      <c r="L52" s="59">
        <v>26.6</v>
      </c>
      <c r="M52" s="59"/>
      <c r="N52" s="59">
        <v>0.5</v>
      </c>
      <c r="O52" s="59">
        <v>203.8</v>
      </c>
      <c r="P52" s="59">
        <v>8</v>
      </c>
      <c r="Q52" s="59">
        <f>SUM(C52:P52)</f>
        <v>434.3</v>
      </c>
      <c r="S52" s="59">
        <f>+P52+O52+H52+E52+D52</f>
        <v>279.00000000000006</v>
      </c>
    </row>
    <row r="54" spans="1:19" ht="15">
      <c r="A54" s="69" t="s">
        <v>232</v>
      </c>
    </row>
    <row r="55" spans="1:19">
      <c r="A55" t="s">
        <v>19</v>
      </c>
      <c r="B55" t="s">
        <v>200</v>
      </c>
      <c r="C55" s="59">
        <v>96.8</v>
      </c>
      <c r="D55" s="59">
        <v>2.9</v>
      </c>
      <c r="E55" s="59">
        <v>37.5</v>
      </c>
      <c r="F55" s="59">
        <v>25.9</v>
      </c>
      <c r="G55" s="59">
        <v>165.4</v>
      </c>
      <c r="H55" s="59">
        <v>87.9</v>
      </c>
      <c r="I55" s="59">
        <v>309.7</v>
      </c>
      <c r="J55" s="59">
        <v>162.30000000000001</v>
      </c>
      <c r="K55" s="59">
        <v>95.6</v>
      </c>
      <c r="L55" s="59">
        <v>118.7</v>
      </c>
      <c r="M55" s="59">
        <v>11.6</v>
      </c>
      <c r="N55" s="59">
        <v>39.9</v>
      </c>
      <c r="O55" s="59">
        <v>1319</v>
      </c>
      <c r="P55" s="59">
        <v>723.2</v>
      </c>
      <c r="Q55" s="59">
        <f>SUM(C55:P55)</f>
        <v>3196.3999999999996</v>
      </c>
      <c r="S55" s="59">
        <f>+P55+O55+H55+E55+D55</f>
        <v>2170.5</v>
      </c>
    </row>
    <row r="56" spans="1:19">
      <c r="A56" t="s">
        <v>201</v>
      </c>
      <c r="B56" t="s">
        <v>200</v>
      </c>
      <c r="C56" s="59">
        <v>10.199999999999999</v>
      </c>
      <c r="D56" s="59">
        <v>1.7</v>
      </c>
      <c r="E56" s="59">
        <v>23.5</v>
      </c>
      <c r="F56" s="59">
        <v>1.4</v>
      </c>
      <c r="G56" s="59">
        <v>0.4</v>
      </c>
      <c r="H56" s="59">
        <v>38.9</v>
      </c>
      <c r="I56" s="59">
        <v>52.7</v>
      </c>
      <c r="J56" s="59">
        <v>22.5</v>
      </c>
      <c r="K56" s="59">
        <v>36.6</v>
      </c>
      <c r="L56" s="59">
        <v>25.7</v>
      </c>
      <c r="M56" s="59"/>
      <c r="N56" s="59">
        <v>0.5</v>
      </c>
      <c r="O56" s="59">
        <v>196.2</v>
      </c>
      <c r="P56" s="59">
        <v>7.7</v>
      </c>
      <c r="Q56" s="59">
        <f>SUM(C56:P56)</f>
        <v>417.99999999999994</v>
      </c>
      <c r="S56" s="59">
        <f>+P56+O56+H56+E56+D56</f>
        <v>267.99999999999994</v>
      </c>
    </row>
    <row r="58" spans="1:19" ht="15">
      <c r="A58" s="69" t="s">
        <v>213</v>
      </c>
    </row>
    <row r="59" spans="1:19">
      <c r="A59" t="s">
        <v>19</v>
      </c>
      <c r="B59" t="s">
        <v>200</v>
      </c>
      <c r="C59">
        <v>115.46</v>
      </c>
      <c r="D59">
        <v>3.57</v>
      </c>
      <c r="E59">
        <v>38.26</v>
      </c>
      <c r="F59">
        <v>42.15</v>
      </c>
      <c r="G59">
        <f>0.02+226.32</f>
        <v>226.34</v>
      </c>
      <c r="H59">
        <v>99.83</v>
      </c>
      <c r="I59">
        <v>377.47</v>
      </c>
      <c r="J59">
        <v>197.16</v>
      </c>
      <c r="K59">
        <v>120.21</v>
      </c>
      <c r="L59">
        <v>118.52</v>
      </c>
      <c r="M59">
        <v>16.920000000000002</v>
      </c>
      <c r="N59">
        <v>44.31</v>
      </c>
      <c r="O59" s="59">
        <v>1493.1</v>
      </c>
      <c r="P59">
        <v>845.72</v>
      </c>
      <c r="Q59" s="59">
        <f>SUM(C59:P59)</f>
        <v>3739.0200000000004</v>
      </c>
      <c r="S59" s="59">
        <f>+P59+O59+H59+E59+D59</f>
        <v>2480.48</v>
      </c>
    </row>
    <row r="60" spans="1:19">
      <c r="A60" t="s">
        <v>201</v>
      </c>
      <c r="B60" t="s">
        <v>200</v>
      </c>
      <c r="C60">
        <v>11.14</v>
      </c>
      <c r="D60">
        <v>1.75</v>
      </c>
      <c r="E60">
        <v>27.25</v>
      </c>
      <c r="F60">
        <v>0.21</v>
      </c>
      <c r="G60">
        <v>0.3</v>
      </c>
      <c r="H60">
        <v>45.14</v>
      </c>
      <c r="I60">
        <v>60.34</v>
      </c>
      <c r="J60">
        <v>23.24</v>
      </c>
      <c r="K60">
        <v>41.17</v>
      </c>
      <c r="L60">
        <v>27.64</v>
      </c>
      <c r="N60">
        <v>0.5</v>
      </c>
      <c r="O60">
        <v>222.63</v>
      </c>
      <c r="P60">
        <v>10.039999999999999</v>
      </c>
      <c r="Q60" s="59">
        <f>SUM(C60:P60)</f>
        <v>471.35</v>
      </c>
      <c r="S60" s="59">
        <f>+P60+O60+H60+E60+D60</f>
        <v>306.81</v>
      </c>
    </row>
    <row r="62" spans="1:19" ht="15">
      <c r="A62" s="69" t="s">
        <v>233</v>
      </c>
    </row>
    <row r="63" spans="1:19">
      <c r="A63" t="s">
        <v>19</v>
      </c>
      <c r="B63" t="s">
        <v>200</v>
      </c>
      <c r="C63">
        <v>109.11</v>
      </c>
      <c r="D63">
        <v>3.03</v>
      </c>
      <c r="E63">
        <f>39.13+0.69</f>
        <v>39.82</v>
      </c>
      <c r="F63">
        <v>26.5</v>
      </c>
      <c r="G63">
        <f>0.02+198.92</f>
        <v>198.94</v>
      </c>
      <c r="H63">
        <v>88.65</v>
      </c>
      <c r="I63">
        <v>355.4</v>
      </c>
      <c r="J63">
        <v>173.33</v>
      </c>
      <c r="K63">
        <v>102.87</v>
      </c>
      <c r="L63">
        <v>126.37</v>
      </c>
      <c r="M63">
        <v>12.11</v>
      </c>
      <c r="N63">
        <v>42.8</v>
      </c>
      <c r="O63" s="59">
        <v>1394.64</v>
      </c>
      <c r="P63">
        <v>833.53</v>
      </c>
      <c r="Q63" s="59">
        <f>SUM(C63:P63)</f>
        <v>3507.0999999999995</v>
      </c>
      <c r="S63" s="59">
        <f>+P63+O63+H63+E63+D63</f>
        <v>2359.6700000000005</v>
      </c>
    </row>
    <row r="64" spans="1:19">
      <c r="A64" t="s">
        <v>201</v>
      </c>
      <c r="B64" t="s">
        <v>200</v>
      </c>
      <c r="C64">
        <v>10.87</v>
      </c>
      <c r="D64">
        <v>1.78</v>
      </c>
      <c r="E64">
        <f>24.13+0.13</f>
        <v>24.259999999999998</v>
      </c>
      <c r="F64">
        <v>0.21</v>
      </c>
      <c r="G64">
        <v>0.56999999999999995</v>
      </c>
      <c r="H64">
        <v>37.92</v>
      </c>
      <c r="I64">
        <v>56.67</v>
      </c>
      <c r="J64">
        <v>22.53</v>
      </c>
      <c r="K64">
        <v>38.53</v>
      </c>
      <c r="L64">
        <v>31.63</v>
      </c>
      <c r="N64">
        <v>0.48</v>
      </c>
      <c r="O64">
        <v>199.62</v>
      </c>
      <c r="P64">
        <v>9.89</v>
      </c>
      <c r="Q64" s="59">
        <f>SUM(C64:P64)</f>
        <v>434.96</v>
      </c>
      <c r="S64" s="59">
        <f>+P64+O64+H64+E64+D64</f>
        <v>273.46999999999997</v>
      </c>
    </row>
    <row r="66" spans="1:19" ht="15">
      <c r="A66" s="69" t="s">
        <v>234</v>
      </c>
    </row>
    <row r="67" spans="1:19">
      <c r="A67" t="s">
        <v>19</v>
      </c>
      <c r="B67" t="s">
        <v>200</v>
      </c>
      <c r="C67">
        <v>95.11</v>
      </c>
      <c r="D67">
        <v>2.5499999999999998</v>
      </c>
      <c r="E67">
        <f>0.64+26.57</f>
        <v>27.21</v>
      </c>
      <c r="F67">
        <v>25.67</v>
      </c>
      <c r="G67">
        <f>0.02+169.88</f>
        <v>169.9</v>
      </c>
      <c r="H67">
        <v>76.180000000000007</v>
      </c>
      <c r="I67">
        <v>306.76</v>
      </c>
      <c r="J67">
        <v>142.19</v>
      </c>
      <c r="K67">
        <v>88.14</v>
      </c>
      <c r="L67">
        <v>83.76</v>
      </c>
      <c r="M67">
        <v>11.33</v>
      </c>
      <c r="N67">
        <v>37.19</v>
      </c>
      <c r="O67" s="59">
        <v>1159.02</v>
      </c>
      <c r="P67">
        <f>710.24+0.64</f>
        <v>710.88</v>
      </c>
      <c r="Q67" s="59">
        <f>SUM(C67:P67)</f>
        <v>2935.8900000000003</v>
      </c>
      <c r="S67" s="59">
        <f>+P67+O67+H67+E67+D67</f>
        <v>1975.8400000000001</v>
      </c>
    </row>
    <row r="68" spans="1:19">
      <c r="A68" t="s">
        <v>201</v>
      </c>
      <c r="B68" t="s">
        <v>200</v>
      </c>
      <c r="C68">
        <v>9.42</v>
      </c>
      <c r="D68">
        <v>1.19</v>
      </c>
      <c r="E68" s="59">
        <f>0.12+19.68</f>
        <v>19.8</v>
      </c>
      <c r="F68">
        <v>0.19</v>
      </c>
      <c r="G68">
        <v>0.45</v>
      </c>
      <c r="H68">
        <v>33.96</v>
      </c>
      <c r="I68">
        <v>50.06</v>
      </c>
      <c r="J68">
        <v>20.9</v>
      </c>
      <c r="K68">
        <v>34.1</v>
      </c>
      <c r="L68">
        <v>25.77</v>
      </c>
      <c r="N68">
        <v>0.45</v>
      </c>
      <c r="O68">
        <v>174.58</v>
      </c>
      <c r="P68">
        <f>8.65+0.12</f>
        <v>8.77</v>
      </c>
      <c r="Q68" s="59">
        <f>SUM(C68:P68)</f>
        <v>379.64</v>
      </c>
      <c r="S68" s="59">
        <f>+P68+O68+H68+E68+D68</f>
        <v>238.30000000000004</v>
      </c>
    </row>
    <row r="70" spans="1:19" ht="15">
      <c r="A70" s="69" t="s">
        <v>218</v>
      </c>
    </row>
    <row r="71" spans="1:19">
      <c r="A71" t="s">
        <v>19</v>
      </c>
      <c r="B71" t="s">
        <v>200</v>
      </c>
      <c r="C71">
        <v>92.32</v>
      </c>
      <c r="D71">
        <v>2.97</v>
      </c>
      <c r="E71">
        <f>41.05+0.79</f>
        <v>41.839999999999996</v>
      </c>
      <c r="F71">
        <v>24.59</v>
      </c>
      <c r="G71">
        <v>208.77</v>
      </c>
      <c r="H71">
        <v>81.88</v>
      </c>
      <c r="I71">
        <v>321.23</v>
      </c>
      <c r="J71">
        <v>162.97</v>
      </c>
      <c r="K71">
        <v>107.18</v>
      </c>
      <c r="L71">
        <v>132.78</v>
      </c>
      <c r="M71">
        <v>13.44</v>
      </c>
      <c r="N71">
        <v>47.16</v>
      </c>
      <c r="O71" s="59">
        <v>1291.78</v>
      </c>
      <c r="P71">
        <v>824.78</v>
      </c>
      <c r="Q71" s="59">
        <f>SUM(C71:P71)</f>
        <v>3353.6899999999996</v>
      </c>
      <c r="S71" s="59">
        <f>+P71+O71+H71+E71+D71</f>
        <v>2243.25</v>
      </c>
    </row>
    <row r="72" spans="1:19">
      <c r="A72" t="s">
        <v>201</v>
      </c>
      <c r="B72" t="s">
        <v>200</v>
      </c>
      <c r="C72">
        <v>11.17</v>
      </c>
      <c r="D72">
        <v>1.95</v>
      </c>
      <c r="E72">
        <f>23.89+0.23</f>
        <v>24.12</v>
      </c>
      <c r="F72">
        <v>0.23</v>
      </c>
      <c r="G72">
        <v>0.63</v>
      </c>
      <c r="H72">
        <v>36.979999999999997</v>
      </c>
      <c r="I72">
        <v>55.17</v>
      </c>
      <c r="J72">
        <v>24.14</v>
      </c>
      <c r="K72">
        <v>39.85</v>
      </c>
      <c r="L72">
        <v>30.44</v>
      </c>
      <c r="N72">
        <v>0.54</v>
      </c>
      <c r="O72">
        <v>205.04</v>
      </c>
      <c r="P72">
        <v>10.48</v>
      </c>
      <c r="Q72" s="59">
        <f>SUM(C72:P72)</f>
        <v>440.74</v>
      </c>
      <c r="S72" s="59">
        <f>+P72+O72+H72+E72+D72</f>
        <v>278.56999999999994</v>
      </c>
    </row>
    <row r="74" spans="1:19" ht="15">
      <c r="A74" s="69" t="s">
        <v>219</v>
      </c>
    </row>
    <row r="75" spans="1:19">
      <c r="A75" t="s">
        <v>19</v>
      </c>
      <c r="B75" t="s">
        <v>200</v>
      </c>
      <c r="C75" s="59">
        <v>123.17</v>
      </c>
      <c r="D75" s="59">
        <v>2.64</v>
      </c>
      <c r="E75" s="59">
        <f>37.7+0.69</f>
        <v>38.39</v>
      </c>
      <c r="F75" s="59">
        <v>25.06</v>
      </c>
      <c r="G75" s="59">
        <f>0.02+222.1</f>
        <v>222.12</v>
      </c>
      <c r="H75" s="59">
        <v>72.31</v>
      </c>
      <c r="I75" s="59">
        <v>331.64</v>
      </c>
      <c r="J75" s="59">
        <v>153.9</v>
      </c>
      <c r="K75" s="59">
        <v>85.33</v>
      </c>
      <c r="L75" s="59">
        <v>99.5</v>
      </c>
      <c r="M75" s="59">
        <v>10.89</v>
      </c>
      <c r="N75" s="59">
        <v>39.729999999999997</v>
      </c>
      <c r="O75" s="59">
        <f>36.32+1278.89</f>
        <v>1315.21</v>
      </c>
      <c r="P75" s="59">
        <v>784.54</v>
      </c>
      <c r="Q75" s="59">
        <f>SUM(C75:P75)</f>
        <v>3304.4300000000003</v>
      </c>
      <c r="S75" s="59">
        <f>+P75+O75+H75+E75+D75</f>
        <v>2213.0899999999997</v>
      </c>
    </row>
    <row r="76" spans="1:19">
      <c r="A76" t="s">
        <v>201</v>
      </c>
      <c r="B76" t="s">
        <v>200</v>
      </c>
      <c r="C76" s="59">
        <v>10.79</v>
      </c>
      <c r="D76" s="59">
        <v>1.49</v>
      </c>
      <c r="E76" s="59">
        <f>20.08+0.09</f>
        <v>20.169999999999998</v>
      </c>
      <c r="F76" s="59">
        <v>0.18</v>
      </c>
      <c r="G76" s="59">
        <v>0.43</v>
      </c>
      <c r="H76" s="59">
        <v>34.4</v>
      </c>
      <c r="I76" s="59">
        <v>52.71</v>
      </c>
      <c r="J76" s="59">
        <v>22.74</v>
      </c>
      <c r="K76" s="59">
        <v>35.79</v>
      </c>
      <c r="L76" s="59">
        <v>27.44</v>
      </c>
      <c r="M76" s="59"/>
      <c r="N76" s="59">
        <v>0.44</v>
      </c>
      <c r="O76" s="59">
        <f>0.04+188.81</f>
        <v>188.85</v>
      </c>
      <c r="P76" s="59">
        <v>8.18</v>
      </c>
      <c r="Q76" s="59">
        <f>SUM(C76:P76)</f>
        <v>403.60999999999996</v>
      </c>
      <c r="S76" s="59">
        <f>+P76+O76+H76+E76+D76</f>
        <v>253.09</v>
      </c>
    </row>
    <row r="78" spans="1:19" ht="15">
      <c r="A78" s="69" t="s">
        <v>61</v>
      </c>
    </row>
    <row r="79" spans="1:19">
      <c r="A79" t="s">
        <v>19</v>
      </c>
      <c r="B79" t="s">
        <v>200</v>
      </c>
      <c r="C79" s="59">
        <v>90.66</v>
      </c>
      <c r="D79" s="59">
        <v>3.12</v>
      </c>
      <c r="E79" s="59">
        <v>36.74</v>
      </c>
      <c r="F79" s="59">
        <v>25.33</v>
      </c>
      <c r="G79" s="59">
        <f>0.02+225.39</f>
        <v>225.41</v>
      </c>
      <c r="H79" s="59">
        <v>75.12</v>
      </c>
      <c r="I79" s="59">
        <v>330.49</v>
      </c>
      <c r="J79" s="59">
        <v>151.15</v>
      </c>
      <c r="K79" s="59">
        <v>87.92</v>
      </c>
      <c r="L79" s="59">
        <v>119.38</v>
      </c>
      <c r="M79" s="59">
        <v>10.53</v>
      </c>
      <c r="N79" s="59">
        <v>50.3</v>
      </c>
      <c r="O79" s="59">
        <f>1199.41+36.87</f>
        <v>1236.28</v>
      </c>
      <c r="P79" s="59">
        <f>750.05+0.65</f>
        <v>750.69999999999993</v>
      </c>
      <c r="Q79" s="59">
        <f>SUM(C79:P79)</f>
        <v>3193.13</v>
      </c>
      <c r="S79" s="59">
        <f>+P79+O79+H79+E79+D79</f>
        <v>2101.9599999999996</v>
      </c>
    </row>
    <row r="80" spans="1:19">
      <c r="A80" t="s">
        <v>201</v>
      </c>
      <c r="B80" t="s">
        <v>200</v>
      </c>
      <c r="C80" s="59">
        <v>10.8</v>
      </c>
      <c r="D80" s="59">
        <v>1.51</v>
      </c>
      <c r="E80" s="59">
        <v>20.55</v>
      </c>
      <c r="F80" s="59">
        <v>0.19</v>
      </c>
      <c r="G80" s="59">
        <v>7.06</v>
      </c>
      <c r="H80" s="59">
        <v>35.229999999999997</v>
      </c>
      <c r="I80" s="59">
        <v>52.1</v>
      </c>
      <c r="J80" s="59">
        <v>22.24</v>
      </c>
      <c r="K80" s="59">
        <v>35.979999999999997</v>
      </c>
      <c r="L80" s="59">
        <v>26.34</v>
      </c>
      <c r="M80" s="59"/>
      <c r="N80" s="59">
        <v>0.42</v>
      </c>
      <c r="O80" s="59">
        <f>0.02+182.76</f>
        <v>182.78</v>
      </c>
      <c r="P80" s="59">
        <f>7.56+0.09</f>
        <v>7.6499999999999995</v>
      </c>
      <c r="Q80" s="59">
        <f>SUM(C80:P80)</f>
        <v>402.84999999999997</v>
      </c>
      <c r="S80" s="59">
        <f>+P80+O80+H80+E80+D80</f>
        <v>247.72</v>
      </c>
    </row>
    <row r="82" spans="1:19" ht="15">
      <c r="A82" s="69" t="s">
        <v>227</v>
      </c>
    </row>
    <row r="83" spans="1:19">
      <c r="A83" t="s">
        <v>19</v>
      </c>
      <c r="B83" t="s">
        <v>200</v>
      </c>
      <c r="C83" s="59">
        <v>115.89</v>
      </c>
      <c r="D83" s="59">
        <v>3.35</v>
      </c>
      <c r="E83" s="59">
        <f>35.55+0.7</f>
        <v>36.25</v>
      </c>
      <c r="F83" s="59">
        <v>25.41</v>
      </c>
      <c r="G83" s="59">
        <f>0.02+279.4</f>
        <v>279.41999999999996</v>
      </c>
      <c r="H83" s="59">
        <f>109.12+0.02</f>
        <v>109.14</v>
      </c>
      <c r="I83" s="59">
        <v>339.7</v>
      </c>
      <c r="J83" s="59">
        <v>160.35</v>
      </c>
      <c r="K83" s="59">
        <v>109.17</v>
      </c>
      <c r="L83" s="59">
        <v>107.72</v>
      </c>
      <c r="M83" s="59">
        <v>16.13</v>
      </c>
      <c r="N83" s="59">
        <v>39.020000000000003</v>
      </c>
      <c r="O83" s="59">
        <f>1295.88+39.58</f>
        <v>1335.46</v>
      </c>
      <c r="P83" s="59">
        <v>744.87</v>
      </c>
      <c r="Q83" s="59">
        <f>SUM(C83:P83)</f>
        <v>3421.88</v>
      </c>
      <c r="S83" s="59">
        <f>+P83+O83+H83+E83+D83</f>
        <v>2229.0699999999997</v>
      </c>
    </row>
    <row r="84" spans="1:19">
      <c r="A84" t="s">
        <v>201</v>
      </c>
      <c r="B84" t="s">
        <v>200</v>
      </c>
      <c r="C84" s="59">
        <v>10.45</v>
      </c>
      <c r="D84" s="59">
        <v>1.92</v>
      </c>
      <c r="E84" s="59">
        <f>22.43+0.09</f>
        <v>22.52</v>
      </c>
      <c r="F84" s="59">
        <v>0.23</v>
      </c>
      <c r="G84" s="59">
        <v>7.41</v>
      </c>
      <c r="H84" s="59">
        <v>36.56</v>
      </c>
      <c r="I84" s="59">
        <v>58.21</v>
      </c>
      <c r="J84" s="59">
        <v>22.28</v>
      </c>
      <c r="K84" s="59">
        <v>37.42</v>
      </c>
      <c r="L84" s="59">
        <v>28.57</v>
      </c>
      <c r="M84" s="59"/>
      <c r="N84" s="59">
        <v>0.43</v>
      </c>
      <c r="O84" s="59">
        <f>191.89+0.06</f>
        <v>191.95</v>
      </c>
      <c r="P84" s="59">
        <v>7.81</v>
      </c>
      <c r="Q84" s="59">
        <f>SUM(C84:P84)</f>
        <v>425.76</v>
      </c>
      <c r="S84" s="59">
        <f>+P84+O84+H84+E84+D84</f>
        <v>260.76</v>
      </c>
    </row>
    <row r="86" spans="1:19" ht="15">
      <c r="A86" s="69" t="s">
        <v>228</v>
      </c>
    </row>
    <row r="87" spans="1:19">
      <c r="A87" t="s">
        <v>19</v>
      </c>
      <c r="B87" t="s">
        <v>200</v>
      </c>
      <c r="C87" s="59">
        <v>94.87</v>
      </c>
      <c r="D87" s="59">
        <v>2.77</v>
      </c>
      <c r="E87" s="59">
        <v>34.29</v>
      </c>
      <c r="F87" s="59">
        <v>38.72</v>
      </c>
      <c r="G87" s="59">
        <f>0.04+229.15</f>
        <v>229.19</v>
      </c>
      <c r="H87" s="59">
        <v>73.900000000000006</v>
      </c>
      <c r="I87" s="59">
        <v>328.22</v>
      </c>
      <c r="J87" s="59">
        <v>174.9</v>
      </c>
      <c r="K87" s="59">
        <v>87.06</v>
      </c>
      <c r="L87" s="59">
        <v>99.69</v>
      </c>
      <c r="M87" s="59">
        <v>10.63</v>
      </c>
      <c r="N87" s="59">
        <v>39.18</v>
      </c>
      <c r="O87" s="59">
        <v>1269.3499999999999</v>
      </c>
      <c r="P87" s="59">
        <v>805.12</v>
      </c>
      <c r="Q87" s="59">
        <f>SUM(C87:P87)</f>
        <v>3287.8900000000003</v>
      </c>
      <c r="S87" s="59">
        <f>+P87+O87+H87+E87+D87</f>
        <v>2185.4299999999998</v>
      </c>
    </row>
    <row r="88" spans="1:19">
      <c r="A88" t="s">
        <v>201</v>
      </c>
      <c r="B88" t="s">
        <v>200</v>
      </c>
      <c r="C88" s="59">
        <v>10.33</v>
      </c>
      <c r="D88" s="59">
        <v>1.49</v>
      </c>
      <c r="E88" s="59">
        <v>20.23</v>
      </c>
      <c r="F88" s="59">
        <v>0.19</v>
      </c>
      <c r="G88" s="59">
        <v>7.39</v>
      </c>
      <c r="H88" s="59">
        <v>39.17</v>
      </c>
      <c r="I88" s="59">
        <v>50.88</v>
      </c>
      <c r="J88" s="59">
        <v>22.85</v>
      </c>
      <c r="K88" s="59">
        <v>34.57</v>
      </c>
      <c r="L88" s="59">
        <v>27.69</v>
      </c>
      <c r="M88" s="59"/>
      <c r="N88" s="59">
        <v>0.43</v>
      </c>
      <c r="O88" s="59">
        <v>191.56</v>
      </c>
      <c r="P88" s="59">
        <v>7.96</v>
      </c>
      <c r="Q88" s="59">
        <f>SUM(C88:P88)</f>
        <v>414.73999999999995</v>
      </c>
      <c r="S88" s="59">
        <f>+P88+O88+H88+E88+D88</f>
        <v>260.41000000000003</v>
      </c>
    </row>
    <row r="90" spans="1:19" ht="15">
      <c r="A90" s="69" t="s">
        <v>229</v>
      </c>
    </row>
    <row r="91" spans="1:19">
      <c r="A91" t="s">
        <v>19</v>
      </c>
      <c r="B91" t="s">
        <v>200</v>
      </c>
      <c r="C91" s="59">
        <v>98.37</v>
      </c>
      <c r="D91" s="59">
        <v>2.77</v>
      </c>
      <c r="E91" s="59">
        <f>39.86+0.8</f>
        <v>40.659999999999997</v>
      </c>
      <c r="F91" s="59">
        <v>24.65</v>
      </c>
      <c r="G91" s="59">
        <f>0.02+221.77</f>
        <v>221.79000000000002</v>
      </c>
      <c r="H91" s="59">
        <v>75.64</v>
      </c>
      <c r="I91" s="59">
        <v>303.8</v>
      </c>
      <c r="J91" s="59">
        <v>152.19</v>
      </c>
      <c r="K91" s="59">
        <v>85.3</v>
      </c>
      <c r="L91" s="59">
        <v>136.01</v>
      </c>
      <c r="M91" s="59">
        <v>10.7</v>
      </c>
      <c r="N91" s="59">
        <v>46.54</v>
      </c>
      <c r="O91" s="59">
        <f>1210.28+45.15</f>
        <v>1255.43</v>
      </c>
      <c r="P91" s="59">
        <v>802.53</v>
      </c>
      <c r="Q91" s="59">
        <f>SUM(C91:P91)</f>
        <v>3256.38</v>
      </c>
      <c r="S91" s="59">
        <f>+P91+O91+H91+E91+D91</f>
        <v>2177.0299999999997</v>
      </c>
    </row>
    <row r="92" spans="1:19">
      <c r="A92" t="s">
        <v>201</v>
      </c>
      <c r="B92" t="s">
        <v>200</v>
      </c>
      <c r="C92" s="59">
        <v>12.14</v>
      </c>
      <c r="D92" s="59">
        <v>1.82</v>
      </c>
      <c r="E92" s="59">
        <f>23.43+0.09</f>
        <v>23.52</v>
      </c>
      <c r="F92" s="59">
        <v>0.18</v>
      </c>
      <c r="G92" s="59">
        <v>6.9</v>
      </c>
      <c r="H92" s="59">
        <v>35.950000000000003</v>
      </c>
      <c r="I92" s="59">
        <v>50.89</v>
      </c>
      <c r="J92" s="59">
        <v>19.46</v>
      </c>
      <c r="K92" s="59">
        <v>19.46</v>
      </c>
      <c r="L92" s="59">
        <v>28.25</v>
      </c>
      <c r="M92" s="59"/>
      <c r="N92" s="59">
        <v>0.53</v>
      </c>
      <c r="O92" s="59">
        <f>187.45+0.04</f>
        <v>187.48999999999998</v>
      </c>
      <c r="P92" s="59">
        <v>7.86</v>
      </c>
      <c r="Q92" s="59">
        <f>SUM(C92:P92)</f>
        <v>394.45000000000005</v>
      </c>
      <c r="S92" s="59">
        <f>+P92+O92+H92+E92+D92</f>
        <v>256.64000000000004</v>
      </c>
    </row>
    <row r="94" spans="1:19" ht="15">
      <c r="A94" s="69" t="s">
        <v>327</v>
      </c>
    </row>
    <row r="95" spans="1:19">
      <c r="A95" t="s">
        <v>19</v>
      </c>
      <c r="B95" t="s">
        <v>200</v>
      </c>
      <c r="C95" s="59">
        <v>105.57</v>
      </c>
      <c r="D95" s="59">
        <v>3.2</v>
      </c>
      <c r="E95" s="59">
        <v>0.81</v>
      </c>
      <c r="F95" s="59">
        <v>25.71</v>
      </c>
      <c r="G95" s="59">
        <v>0.03</v>
      </c>
      <c r="H95" s="59">
        <v>81.489999999999995</v>
      </c>
      <c r="I95" s="59">
        <v>314.14999999999998</v>
      </c>
      <c r="J95" s="59">
        <v>162.51</v>
      </c>
      <c r="K95" s="59">
        <v>110.02</v>
      </c>
      <c r="L95" s="59">
        <v>102.65</v>
      </c>
      <c r="M95" s="59">
        <v>10.49</v>
      </c>
      <c r="N95" s="59">
        <v>34.49</v>
      </c>
      <c r="O95" s="59">
        <v>1247.44</v>
      </c>
      <c r="P95" s="59">
        <v>752.27</v>
      </c>
      <c r="Q95" s="59">
        <f>SUM(C95:P95)</f>
        <v>2950.83</v>
      </c>
      <c r="S95" s="59">
        <f>+P95+O95+H95+E95+D95</f>
        <v>2085.2099999999996</v>
      </c>
    </row>
    <row r="96" spans="1:19">
      <c r="A96" t="s">
        <v>201</v>
      </c>
      <c r="B96" t="s">
        <v>200</v>
      </c>
      <c r="C96" s="59">
        <v>10.38</v>
      </c>
      <c r="D96" s="59">
        <v>1.17</v>
      </c>
      <c r="E96" s="59">
        <v>0.13</v>
      </c>
      <c r="F96" s="59">
        <v>0.19</v>
      </c>
      <c r="G96" s="59"/>
      <c r="H96" s="59">
        <v>37.79</v>
      </c>
      <c r="I96" s="59">
        <v>50.38</v>
      </c>
      <c r="J96" s="59">
        <v>19.52</v>
      </c>
      <c r="K96" s="59">
        <v>36.619999999999997</v>
      </c>
      <c r="L96" s="59">
        <v>25.92</v>
      </c>
      <c r="M96" s="59"/>
      <c r="N96" s="59">
        <v>0.21</v>
      </c>
      <c r="O96" s="59">
        <v>198.78</v>
      </c>
      <c r="P96" s="59">
        <v>6.91</v>
      </c>
      <c r="Q96" s="59">
        <f>SUM(C96:P96)</f>
        <v>388</v>
      </c>
      <c r="S96" s="59">
        <f>+P96+O96+H96+E96+D96</f>
        <v>244.77999999999997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8"/>
  <sheetViews>
    <sheetView workbookViewId="0">
      <pane xSplit="1" ySplit="5" topLeftCell="B33" activePane="bottomRight" state="frozen"/>
      <selection pane="topRight" activeCell="B1" sqref="B1"/>
      <selection pane="bottomLeft" activeCell="A6" sqref="A6"/>
      <selection pane="bottomRight" activeCell="J41" sqref="J41"/>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4.57031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70" bestFit="1" customWidth="1"/>
  </cols>
  <sheetData>
    <row r="1" spans="1:32" s="11" customFormat="1">
      <c r="AF1" s="70"/>
    </row>
    <row r="2" spans="1:32" s="11" customFormat="1">
      <c r="AF2" s="70"/>
    </row>
    <row r="3" spans="1:32" s="11" customFormat="1">
      <c r="B3" s="580" t="s">
        <v>74</v>
      </c>
      <c r="C3" s="580"/>
      <c r="D3" s="580"/>
      <c r="E3" s="580"/>
      <c r="F3" s="580"/>
      <c r="G3" s="580"/>
      <c r="H3" s="580"/>
      <c r="I3" s="580"/>
      <c r="J3" s="198"/>
      <c r="K3" s="198"/>
      <c r="M3" s="580" t="s">
        <v>75</v>
      </c>
      <c r="N3" s="580"/>
      <c r="O3" s="580"/>
      <c r="P3" s="580"/>
      <c r="Q3" s="580"/>
      <c r="R3" s="580"/>
      <c r="S3" s="580"/>
      <c r="T3" s="580"/>
      <c r="AF3" s="70"/>
    </row>
    <row r="4" spans="1:32" s="11" customFormat="1">
      <c r="B4" s="577" t="s">
        <v>76</v>
      </c>
      <c r="C4" s="577"/>
      <c r="D4" s="577"/>
      <c r="E4" s="71"/>
      <c r="F4" s="577" t="s">
        <v>106</v>
      </c>
      <c r="G4" s="577"/>
      <c r="H4" s="577"/>
      <c r="I4" s="577"/>
      <c r="J4" s="71"/>
      <c r="K4" s="71"/>
      <c r="M4" s="577" t="s">
        <v>76</v>
      </c>
      <c r="N4" s="577"/>
      <c r="O4" s="577"/>
      <c r="P4" s="71"/>
      <c r="Q4" s="577" t="s">
        <v>106</v>
      </c>
      <c r="R4" s="577"/>
      <c r="S4" s="577"/>
      <c r="T4" s="577"/>
      <c r="V4" s="178" t="s">
        <v>77</v>
      </c>
      <c r="AF4" s="70"/>
    </row>
    <row r="5" spans="1:32" s="11" customFormat="1" ht="15">
      <c r="A5" s="184" t="s">
        <v>45</v>
      </c>
      <c r="B5" s="72" t="s">
        <v>78</v>
      </c>
      <c r="C5" s="73" t="s">
        <v>79</v>
      </c>
      <c r="D5" s="73" t="s">
        <v>80</v>
      </c>
      <c r="E5" s="73"/>
      <c r="F5" s="73" t="s">
        <v>108</v>
      </c>
      <c r="G5" s="73" t="s">
        <v>109</v>
      </c>
      <c r="H5" s="73" t="s">
        <v>81</v>
      </c>
      <c r="I5" s="73" t="s">
        <v>80</v>
      </c>
      <c r="J5" s="73"/>
      <c r="K5" s="73" t="s">
        <v>115</v>
      </c>
      <c r="M5" s="72" t="s">
        <v>78</v>
      </c>
      <c r="N5" s="73" t="s">
        <v>79</v>
      </c>
      <c r="O5" s="73" t="s">
        <v>80</v>
      </c>
      <c r="P5" s="73"/>
      <c r="Q5" s="73" t="s">
        <v>108</v>
      </c>
      <c r="R5" s="73" t="s">
        <v>109</v>
      </c>
      <c r="S5" s="73" t="s">
        <v>81</v>
      </c>
      <c r="T5" s="73" t="s">
        <v>80</v>
      </c>
      <c r="V5" s="73" t="s">
        <v>80</v>
      </c>
      <c r="X5" s="73" t="s">
        <v>74</v>
      </c>
      <c r="Y5" s="184" t="s">
        <v>82</v>
      </c>
      <c r="Z5" s="184" t="s">
        <v>80</v>
      </c>
      <c r="AF5" s="74" t="s">
        <v>83</v>
      </c>
    </row>
    <row r="6" spans="1:32" s="11" customFormat="1">
      <c r="A6" s="11" t="s">
        <v>177</v>
      </c>
      <c r="B6" s="188">
        <v>6689</v>
      </c>
      <c r="C6" s="188">
        <v>11170</v>
      </c>
      <c r="D6" s="188">
        <f t="shared" ref="D6:D29" si="0">SUM(B6:C6)</f>
        <v>17859</v>
      </c>
      <c r="E6" s="188"/>
      <c r="F6" s="188">
        <v>21293</v>
      </c>
      <c r="G6" s="188">
        <v>65352</v>
      </c>
      <c r="H6" s="188">
        <v>36426</v>
      </c>
      <c r="I6" s="188">
        <f t="shared" ref="I6:I29" si="1">SUM(F6:H6)</f>
        <v>123071</v>
      </c>
      <c r="J6" s="188"/>
      <c r="K6" s="188">
        <f>+I6+D6</f>
        <v>140930</v>
      </c>
      <c r="L6" s="188"/>
      <c r="M6" s="188">
        <v>34616</v>
      </c>
      <c r="N6" s="188">
        <v>8373</v>
      </c>
      <c r="O6" s="188">
        <f t="shared" ref="O6:O29" si="2">SUM(M6:N6)</f>
        <v>42989</v>
      </c>
      <c r="P6" s="188"/>
      <c r="Q6" s="188">
        <v>43183</v>
      </c>
      <c r="R6" s="188">
        <v>16629</v>
      </c>
      <c r="S6" s="188">
        <v>18913</v>
      </c>
      <c r="T6" s="188">
        <f t="shared" ref="T6:T29" si="3">SUM(Q6:S6)</f>
        <v>78725</v>
      </c>
      <c r="V6" s="150">
        <f t="shared" ref="V6:V29" si="4">+T6+O6+I6+D6</f>
        <v>262644</v>
      </c>
      <c r="X6" s="150">
        <f>+I6+D6</f>
        <v>140930</v>
      </c>
      <c r="Y6" s="150">
        <f t="shared" ref="Y6:Y28" si="5">+T6+O6</f>
        <v>121714</v>
      </c>
      <c r="Z6" s="150">
        <f t="shared" ref="Z6:Z28" si="6">+Y6+X6</f>
        <v>262644</v>
      </c>
      <c r="AB6" s="150"/>
      <c r="AF6" s="75">
        <v>1665</v>
      </c>
    </row>
    <row r="7" spans="1:32" s="11" customFormat="1">
      <c r="A7" s="11" t="s">
        <v>56</v>
      </c>
      <c r="B7" s="188">
        <v>6689</v>
      </c>
      <c r="C7" s="188">
        <v>11170</v>
      </c>
      <c r="D7" s="188">
        <f t="shared" si="0"/>
        <v>17859</v>
      </c>
      <c r="E7" s="188"/>
      <c r="F7" s="188">
        <v>21293</v>
      </c>
      <c r="G7" s="188">
        <v>65352</v>
      </c>
      <c r="H7" s="188">
        <v>36426</v>
      </c>
      <c r="I7" s="188">
        <f t="shared" si="1"/>
        <v>123071</v>
      </c>
      <c r="J7" s="188"/>
      <c r="K7" s="188">
        <f t="shared" ref="K7:K29" si="7">+I7+D7</f>
        <v>140930</v>
      </c>
      <c r="L7" s="188"/>
      <c r="M7" s="188">
        <v>34616</v>
      </c>
      <c r="N7" s="188">
        <v>8373</v>
      </c>
      <c r="O7" s="188">
        <f t="shared" si="2"/>
        <v>42989</v>
      </c>
      <c r="P7" s="188"/>
      <c r="Q7" s="188">
        <v>43183</v>
      </c>
      <c r="R7" s="188">
        <v>16629</v>
      </c>
      <c r="S7" s="188">
        <v>18913</v>
      </c>
      <c r="T7" s="188">
        <f t="shared" si="3"/>
        <v>78725</v>
      </c>
      <c r="V7" s="150">
        <f t="shared" si="4"/>
        <v>262644</v>
      </c>
      <c r="X7" s="150">
        <f t="shared" ref="X7:X28" si="8">+I7+D7</f>
        <v>140930</v>
      </c>
      <c r="Y7" s="150">
        <f t="shared" si="5"/>
        <v>121714</v>
      </c>
      <c r="Z7" s="150">
        <f t="shared" si="6"/>
        <v>262644</v>
      </c>
      <c r="AC7" s="147"/>
      <c r="AD7" s="114"/>
      <c r="AF7" s="75">
        <v>1656</v>
      </c>
    </row>
    <row r="8" spans="1:32" s="11" customFormat="1">
      <c r="A8" s="11" t="s">
        <v>73</v>
      </c>
      <c r="B8" s="188">
        <v>6714</v>
      </c>
      <c r="C8" s="188">
        <v>11177</v>
      </c>
      <c r="D8" s="188">
        <f t="shared" si="0"/>
        <v>17891</v>
      </c>
      <c r="E8" s="188"/>
      <c r="F8" s="188">
        <v>21286</v>
      </c>
      <c r="G8" s="188">
        <v>65517</v>
      </c>
      <c r="H8" s="188">
        <v>36441</v>
      </c>
      <c r="I8" s="188">
        <f t="shared" si="1"/>
        <v>123244</v>
      </c>
      <c r="J8" s="188"/>
      <c r="K8" s="188">
        <f t="shared" si="7"/>
        <v>141135</v>
      </c>
      <c r="L8" s="188"/>
      <c r="M8" s="188">
        <v>34583</v>
      </c>
      <c r="N8" s="188">
        <v>8411</v>
      </c>
      <c r="O8" s="188">
        <f t="shared" si="2"/>
        <v>42994</v>
      </c>
      <c r="P8" s="188"/>
      <c r="Q8" s="188">
        <v>43231</v>
      </c>
      <c r="R8" s="188">
        <v>16641</v>
      </c>
      <c r="S8" s="188">
        <v>18942</v>
      </c>
      <c r="T8" s="188">
        <f t="shared" si="3"/>
        <v>78814</v>
      </c>
      <c r="V8" s="150">
        <f t="shared" si="4"/>
        <v>262943</v>
      </c>
      <c r="X8" s="150">
        <f t="shared" si="8"/>
        <v>141135</v>
      </c>
      <c r="Y8" s="150">
        <f t="shared" si="5"/>
        <v>121808</v>
      </c>
      <c r="Z8" s="150">
        <f t="shared" si="6"/>
        <v>262943</v>
      </c>
      <c r="AC8" s="185"/>
      <c r="AD8" s="186"/>
      <c r="AF8" s="75">
        <v>1647</v>
      </c>
    </row>
    <row r="9" spans="1:32" s="11" customFormat="1">
      <c r="A9" s="11" t="s">
        <v>178</v>
      </c>
      <c r="B9" s="188">
        <v>6712</v>
      </c>
      <c r="C9" s="188">
        <v>11209</v>
      </c>
      <c r="D9" s="188">
        <f t="shared" si="0"/>
        <v>17921</v>
      </c>
      <c r="E9" s="188"/>
      <c r="F9" s="188">
        <v>21217</v>
      </c>
      <c r="G9" s="188">
        <v>65517</v>
      </c>
      <c r="H9" s="188">
        <v>36483</v>
      </c>
      <c r="I9" s="188">
        <f t="shared" si="1"/>
        <v>123217</v>
      </c>
      <c r="J9" s="188"/>
      <c r="K9" s="188">
        <f t="shared" si="7"/>
        <v>141138</v>
      </c>
      <c r="L9" s="188"/>
      <c r="M9" s="188">
        <v>34602</v>
      </c>
      <c r="N9" s="188">
        <v>8411</v>
      </c>
      <c r="O9" s="188">
        <f t="shared" si="2"/>
        <v>43013</v>
      </c>
      <c r="P9" s="188"/>
      <c r="Q9" s="188">
        <v>43196</v>
      </c>
      <c r="R9" s="188">
        <v>16638</v>
      </c>
      <c r="S9" s="188">
        <v>18858</v>
      </c>
      <c r="T9" s="188">
        <f t="shared" si="3"/>
        <v>78692</v>
      </c>
      <c r="V9" s="150">
        <f t="shared" si="4"/>
        <v>262843</v>
      </c>
      <c r="X9" s="150">
        <f t="shared" si="8"/>
        <v>141138</v>
      </c>
      <c r="Y9" s="150">
        <f t="shared" si="5"/>
        <v>121705</v>
      </c>
      <c r="Z9" s="150">
        <f t="shared" si="6"/>
        <v>262843</v>
      </c>
      <c r="AC9" s="186"/>
      <c r="AD9" s="186"/>
      <c r="AF9" s="75">
        <v>1647</v>
      </c>
    </row>
    <row r="10" spans="1:32" s="11" customFormat="1">
      <c r="A10" s="11" t="s">
        <v>84</v>
      </c>
      <c r="B10" s="188">
        <v>6734</v>
      </c>
      <c r="C10" s="188">
        <v>11219</v>
      </c>
      <c r="D10" s="188">
        <f t="shared" si="0"/>
        <v>17953</v>
      </c>
      <c r="E10" s="188"/>
      <c r="F10" s="188">
        <v>21252</v>
      </c>
      <c r="G10" s="188">
        <v>65626</v>
      </c>
      <c r="H10" s="188">
        <v>36541</v>
      </c>
      <c r="I10" s="188">
        <f t="shared" si="1"/>
        <v>123419</v>
      </c>
      <c r="J10" s="188"/>
      <c r="K10" s="188">
        <f t="shared" si="7"/>
        <v>141372</v>
      </c>
      <c r="L10" s="188"/>
      <c r="M10" s="188">
        <v>34641</v>
      </c>
      <c r="N10" s="188">
        <v>8431</v>
      </c>
      <c r="O10" s="188">
        <f t="shared" si="2"/>
        <v>43072</v>
      </c>
      <c r="P10" s="188"/>
      <c r="Q10" s="188">
        <v>43236</v>
      </c>
      <c r="R10" s="188">
        <v>16651</v>
      </c>
      <c r="S10" s="188">
        <v>18899</v>
      </c>
      <c r="T10" s="188">
        <f t="shared" si="3"/>
        <v>78786</v>
      </c>
      <c r="V10" s="150">
        <f t="shared" si="4"/>
        <v>263230</v>
      </c>
      <c r="X10" s="150">
        <f t="shared" si="8"/>
        <v>141372</v>
      </c>
      <c r="Y10" s="150">
        <f t="shared" si="5"/>
        <v>121858</v>
      </c>
      <c r="Z10" s="150">
        <f t="shared" si="6"/>
        <v>263230</v>
      </c>
      <c r="AC10" s="186"/>
      <c r="AD10" s="186"/>
      <c r="AF10" s="75">
        <v>1644</v>
      </c>
    </row>
    <row r="11" spans="1:32" s="11" customFormat="1">
      <c r="A11" s="11" t="s">
        <v>85</v>
      </c>
      <c r="B11" s="188">
        <v>6749</v>
      </c>
      <c r="C11" s="188">
        <v>11238</v>
      </c>
      <c r="D11" s="188">
        <f t="shared" si="0"/>
        <v>17987</v>
      </c>
      <c r="E11" s="188"/>
      <c r="F11" s="188">
        <v>21279</v>
      </c>
      <c r="G11" s="188">
        <v>65698</v>
      </c>
      <c r="H11" s="188">
        <v>36670</v>
      </c>
      <c r="I11" s="188">
        <f t="shared" si="1"/>
        <v>123647</v>
      </c>
      <c r="J11" s="188"/>
      <c r="K11" s="188">
        <f t="shared" si="7"/>
        <v>141634</v>
      </c>
      <c r="L11" s="188"/>
      <c r="M11" s="188">
        <v>34633</v>
      </c>
      <c r="N11" s="188">
        <v>8418</v>
      </c>
      <c r="O11" s="188">
        <f t="shared" si="2"/>
        <v>43051</v>
      </c>
      <c r="P11" s="188"/>
      <c r="Q11" s="188">
        <v>43276</v>
      </c>
      <c r="R11" s="188">
        <v>16685</v>
      </c>
      <c r="S11" s="188">
        <v>18999</v>
      </c>
      <c r="T11" s="188">
        <f t="shared" si="3"/>
        <v>78960</v>
      </c>
      <c r="V11" s="150">
        <f t="shared" si="4"/>
        <v>263645</v>
      </c>
      <c r="X11" s="150">
        <f t="shared" si="8"/>
        <v>141634</v>
      </c>
      <c r="Y11" s="150">
        <f t="shared" si="5"/>
        <v>122011</v>
      </c>
      <c r="Z11" s="150">
        <f t="shared" si="6"/>
        <v>263645</v>
      </c>
      <c r="AC11" s="186"/>
      <c r="AD11" s="185"/>
      <c r="AF11" s="75">
        <v>1650</v>
      </c>
    </row>
    <row r="12" spans="1:32" s="11" customFormat="1">
      <c r="A12" s="11" t="s">
        <v>86</v>
      </c>
      <c r="B12" s="188">
        <v>6796</v>
      </c>
      <c r="C12" s="188">
        <v>11294</v>
      </c>
      <c r="D12" s="188">
        <f t="shared" si="0"/>
        <v>18090</v>
      </c>
      <c r="E12" s="188"/>
      <c r="F12" s="188">
        <v>21364</v>
      </c>
      <c r="G12" s="188">
        <v>66084</v>
      </c>
      <c r="H12" s="188">
        <v>37121</v>
      </c>
      <c r="I12" s="188">
        <f t="shared" si="1"/>
        <v>124569</v>
      </c>
      <c r="J12" s="188"/>
      <c r="K12" s="188">
        <f t="shared" si="7"/>
        <v>142659</v>
      </c>
      <c r="L12" s="188"/>
      <c r="M12" s="188">
        <v>34775</v>
      </c>
      <c r="N12" s="188">
        <v>8437</v>
      </c>
      <c r="O12" s="188">
        <f t="shared" si="2"/>
        <v>43212</v>
      </c>
      <c r="P12" s="188"/>
      <c r="Q12" s="188">
        <v>43370</v>
      </c>
      <c r="R12" s="188">
        <v>16721</v>
      </c>
      <c r="S12" s="188">
        <v>19071</v>
      </c>
      <c r="T12" s="188">
        <f t="shared" si="3"/>
        <v>79162</v>
      </c>
      <c r="V12" s="150">
        <f t="shared" si="4"/>
        <v>265033</v>
      </c>
      <c r="X12" s="150">
        <f t="shared" si="8"/>
        <v>142659</v>
      </c>
      <c r="Y12" s="150">
        <f t="shared" si="5"/>
        <v>122374</v>
      </c>
      <c r="Z12" s="150">
        <f t="shared" si="6"/>
        <v>265033</v>
      </c>
      <c r="AC12" s="186"/>
      <c r="AD12" s="185"/>
      <c r="AF12" s="75">
        <v>1650</v>
      </c>
    </row>
    <row r="13" spans="1:32" s="11" customFormat="1">
      <c r="A13" s="11" t="s">
        <v>61</v>
      </c>
      <c r="B13" s="188">
        <v>6819</v>
      </c>
      <c r="C13" s="188">
        <v>11333</v>
      </c>
      <c r="D13" s="188">
        <f t="shared" si="0"/>
        <v>18152</v>
      </c>
      <c r="E13" s="188"/>
      <c r="F13" s="188">
        <v>21460</v>
      </c>
      <c r="G13" s="188">
        <v>66317</v>
      </c>
      <c r="H13" s="188">
        <v>37461</v>
      </c>
      <c r="I13" s="188">
        <f t="shared" si="1"/>
        <v>125238</v>
      </c>
      <c r="J13" s="188"/>
      <c r="K13" s="188">
        <f t="shared" si="7"/>
        <v>143390</v>
      </c>
      <c r="L13" s="188"/>
      <c r="M13" s="188">
        <v>34915</v>
      </c>
      <c r="N13" s="188">
        <v>8472</v>
      </c>
      <c r="O13" s="188">
        <f t="shared" si="2"/>
        <v>43387</v>
      </c>
      <c r="P13" s="188"/>
      <c r="Q13" s="188">
        <v>43466</v>
      </c>
      <c r="R13" s="188">
        <v>16753</v>
      </c>
      <c r="S13" s="188">
        <v>19099</v>
      </c>
      <c r="T13" s="188">
        <f t="shared" si="3"/>
        <v>79318</v>
      </c>
      <c r="V13" s="150">
        <f t="shared" si="4"/>
        <v>266095</v>
      </c>
      <c r="X13" s="150">
        <f t="shared" si="8"/>
        <v>143390</v>
      </c>
      <c r="Y13" s="150">
        <f t="shared" si="5"/>
        <v>122705</v>
      </c>
      <c r="Z13" s="150">
        <f t="shared" si="6"/>
        <v>266095</v>
      </c>
      <c r="AC13" s="186"/>
      <c r="AD13" s="186"/>
      <c r="AF13" s="75">
        <v>1664</v>
      </c>
    </row>
    <row r="14" spans="1:32" s="11" customFormat="1">
      <c r="A14" s="11" t="s">
        <v>68</v>
      </c>
      <c r="B14" s="186">
        <v>6855</v>
      </c>
      <c r="C14" s="186">
        <v>11385</v>
      </c>
      <c r="D14" s="188">
        <f t="shared" si="0"/>
        <v>18240</v>
      </c>
      <c r="E14" s="188"/>
      <c r="F14" s="186">
        <v>21485</v>
      </c>
      <c r="G14" s="186">
        <v>66549</v>
      </c>
      <c r="H14" s="186">
        <v>37673</v>
      </c>
      <c r="I14" s="188">
        <f>SUM(F14:H14)</f>
        <v>125707</v>
      </c>
      <c r="J14" s="188"/>
      <c r="K14" s="188">
        <f>+I14+D14</f>
        <v>143947</v>
      </c>
      <c r="L14" s="188"/>
      <c r="M14" s="186">
        <v>35046</v>
      </c>
      <c r="N14" s="186">
        <v>8492</v>
      </c>
      <c r="O14" s="188">
        <f t="shared" si="2"/>
        <v>43538</v>
      </c>
      <c r="P14" s="188"/>
      <c r="Q14" s="186">
        <v>43533</v>
      </c>
      <c r="R14" s="186">
        <v>16752</v>
      </c>
      <c r="S14" s="186">
        <v>19156</v>
      </c>
      <c r="T14" s="188">
        <f t="shared" si="3"/>
        <v>79441</v>
      </c>
      <c r="V14" s="150">
        <f>+T14+O14+I14+D14</f>
        <v>266926</v>
      </c>
      <c r="X14" s="150">
        <f>+I14+D14</f>
        <v>143947</v>
      </c>
      <c r="Y14" s="150">
        <f t="shared" si="5"/>
        <v>122979</v>
      </c>
      <c r="Z14" s="150">
        <f t="shared" si="6"/>
        <v>266926</v>
      </c>
      <c r="AF14" s="75">
        <v>1661</v>
      </c>
    </row>
    <row r="15" spans="1:32" s="11" customFormat="1">
      <c r="A15" s="11" t="s">
        <v>69</v>
      </c>
      <c r="B15" s="188">
        <v>6895</v>
      </c>
      <c r="C15" s="188">
        <v>11431</v>
      </c>
      <c r="D15" s="188">
        <f t="shared" si="0"/>
        <v>18326</v>
      </c>
      <c r="E15" s="188"/>
      <c r="F15" s="188">
        <v>21533</v>
      </c>
      <c r="G15" s="188">
        <v>66706</v>
      </c>
      <c r="H15" s="188">
        <v>37845</v>
      </c>
      <c r="I15" s="188">
        <f t="shared" si="1"/>
        <v>126084</v>
      </c>
      <c r="J15" s="188"/>
      <c r="K15" s="188">
        <f t="shared" si="7"/>
        <v>144410</v>
      </c>
      <c r="L15" s="188"/>
      <c r="M15" s="188">
        <v>35090</v>
      </c>
      <c r="N15" s="186">
        <v>8525</v>
      </c>
      <c r="O15" s="188">
        <f t="shared" si="2"/>
        <v>43615</v>
      </c>
      <c r="P15" s="188"/>
      <c r="Q15" s="188">
        <v>43590</v>
      </c>
      <c r="R15" s="188">
        <v>16768</v>
      </c>
      <c r="S15" s="188">
        <v>19255</v>
      </c>
      <c r="T15" s="188">
        <f t="shared" si="3"/>
        <v>79613</v>
      </c>
      <c r="V15" s="150">
        <f t="shared" si="4"/>
        <v>267638</v>
      </c>
      <c r="X15" s="150">
        <f t="shared" si="8"/>
        <v>144410</v>
      </c>
      <c r="Y15" s="150">
        <f t="shared" si="5"/>
        <v>123228</v>
      </c>
      <c r="Z15" s="150">
        <f t="shared" si="6"/>
        <v>267638</v>
      </c>
      <c r="AF15" s="75">
        <v>1667</v>
      </c>
    </row>
    <row r="16" spans="1:32" s="11" customFormat="1">
      <c r="A16" s="11" t="s">
        <v>70</v>
      </c>
      <c r="B16" s="188">
        <v>6924</v>
      </c>
      <c r="C16" s="186">
        <v>11459</v>
      </c>
      <c r="D16" s="188">
        <f t="shared" si="0"/>
        <v>18383</v>
      </c>
      <c r="E16" s="188"/>
      <c r="F16" s="186">
        <v>21555</v>
      </c>
      <c r="G16" s="186">
        <v>66889</v>
      </c>
      <c r="H16" s="186">
        <v>37981</v>
      </c>
      <c r="I16" s="188">
        <f t="shared" si="1"/>
        <v>126425</v>
      </c>
      <c r="J16" s="188"/>
      <c r="K16" s="188">
        <f t="shared" si="7"/>
        <v>144808</v>
      </c>
      <c r="L16" s="188"/>
      <c r="M16" s="186">
        <v>35183</v>
      </c>
      <c r="N16" s="186">
        <v>8536</v>
      </c>
      <c r="O16" s="188">
        <f t="shared" si="2"/>
        <v>43719</v>
      </c>
      <c r="P16" s="188"/>
      <c r="Q16" s="186">
        <v>43626</v>
      </c>
      <c r="R16" s="186">
        <v>16790</v>
      </c>
      <c r="S16" s="186">
        <v>19280</v>
      </c>
      <c r="T16" s="188">
        <f t="shared" si="3"/>
        <v>79696</v>
      </c>
      <c r="V16" s="150">
        <f t="shared" si="4"/>
        <v>268223</v>
      </c>
      <c r="X16" s="150">
        <f t="shared" si="8"/>
        <v>144808</v>
      </c>
      <c r="Y16" s="150">
        <f t="shared" si="5"/>
        <v>123415</v>
      </c>
      <c r="Z16" s="150">
        <f t="shared" si="6"/>
        <v>268223</v>
      </c>
      <c r="AF16" s="75">
        <v>1659</v>
      </c>
    </row>
    <row r="17" spans="1:32" s="152" customFormat="1">
      <c r="A17" s="152" t="s">
        <v>71</v>
      </c>
      <c r="B17" s="324">
        <v>6938</v>
      </c>
      <c r="C17" s="324">
        <v>11361</v>
      </c>
      <c r="D17" s="199">
        <f t="shared" si="0"/>
        <v>18299</v>
      </c>
      <c r="E17" s="199"/>
      <c r="F17" s="324">
        <v>21525</v>
      </c>
      <c r="G17" s="324">
        <v>66732</v>
      </c>
      <c r="H17" s="324">
        <v>37874</v>
      </c>
      <c r="I17" s="199">
        <f t="shared" si="1"/>
        <v>126131</v>
      </c>
      <c r="J17" s="199"/>
      <c r="K17" s="199">
        <f t="shared" si="7"/>
        <v>144430</v>
      </c>
      <c r="L17" s="199"/>
      <c r="M17" s="324">
        <v>35012</v>
      </c>
      <c r="N17" s="324">
        <v>8482</v>
      </c>
      <c r="O17" s="324">
        <f t="shared" si="2"/>
        <v>43494</v>
      </c>
      <c r="P17" s="324"/>
      <c r="Q17" s="324">
        <v>43596</v>
      </c>
      <c r="R17" s="324">
        <v>16803</v>
      </c>
      <c r="S17" s="324">
        <v>19288</v>
      </c>
      <c r="T17" s="199">
        <f t="shared" si="3"/>
        <v>79687</v>
      </c>
      <c r="V17" s="155">
        <f t="shared" si="4"/>
        <v>267611</v>
      </c>
      <c r="X17" s="155">
        <f t="shared" si="8"/>
        <v>144430</v>
      </c>
      <c r="Y17" s="155">
        <f t="shared" si="5"/>
        <v>123181</v>
      </c>
      <c r="Z17" s="155">
        <f t="shared" si="6"/>
        <v>267611</v>
      </c>
      <c r="AF17" s="200">
        <v>1660</v>
      </c>
    </row>
    <row r="18" spans="1:32" s="11" customFormat="1">
      <c r="A18" s="11" t="s">
        <v>55</v>
      </c>
      <c r="B18" s="188">
        <v>6961</v>
      </c>
      <c r="C18" s="188">
        <v>11362</v>
      </c>
      <c r="D18" s="188">
        <f t="shared" si="0"/>
        <v>18323</v>
      </c>
      <c r="E18" s="188"/>
      <c r="F18" s="188">
        <f>3044+18416</f>
        <v>21460</v>
      </c>
      <c r="G18" s="186">
        <f>3787+126+1920+59327+1710</f>
        <v>66870</v>
      </c>
      <c r="H18" s="185">
        <f>30538+7281+27+1</f>
        <v>37847</v>
      </c>
      <c r="I18" s="188">
        <f t="shared" si="1"/>
        <v>126177</v>
      </c>
      <c r="J18" s="188"/>
      <c r="K18" s="199">
        <f t="shared" si="7"/>
        <v>144500</v>
      </c>
      <c r="L18" s="188"/>
      <c r="M18" s="188">
        <v>34872</v>
      </c>
      <c r="N18" s="188">
        <v>8515</v>
      </c>
      <c r="O18" s="188">
        <f t="shared" si="2"/>
        <v>43387</v>
      </c>
      <c r="P18" s="188"/>
      <c r="Q18" s="188">
        <f>2514+22469+13182+24+4329</f>
        <v>42518</v>
      </c>
      <c r="R18" s="188">
        <f>5432+5276+5421</f>
        <v>16129</v>
      </c>
      <c r="S18" s="199">
        <f>12843+1082+4776</f>
        <v>18701</v>
      </c>
      <c r="T18" s="188">
        <f t="shared" si="3"/>
        <v>77348</v>
      </c>
      <c r="V18" s="150">
        <f t="shared" si="4"/>
        <v>265235</v>
      </c>
      <c r="X18" s="150">
        <f t="shared" si="8"/>
        <v>144500</v>
      </c>
      <c r="Y18" s="150">
        <f t="shared" si="5"/>
        <v>120735</v>
      </c>
      <c r="Z18" s="150">
        <f t="shared" si="6"/>
        <v>265235</v>
      </c>
      <c r="AF18" s="75"/>
    </row>
    <row r="19" spans="1:32" s="11" customFormat="1">
      <c r="A19" s="11" t="s">
        <v>56</v>
      </c>
      <c r="B19" s="188">
        <v>7004</v>
      </c>
      <c r="C19" s="188">
        <v>11359</v>
      </c>
      <c r="D19" s="188">
        <f t="shared" si="0"/>
        <v>18363</v>
      </c>
      <c r="E19" s="188"/>
      <c r="F19" s="188">
        <f>3049+18396</f>
        <v>21445</v>
      </c>
      <c r="G19" s="186">
        <f>1919+129+1718+1+3789+59444</f>
        <v>67000</v>
      </c>
      <c r="H19" s="185">
        <f>30538+7303+1+26</f>
        <v>37868</v>
      </c>
      <c r="I19" s="188">
        <f t="shared" si="1"/>
        <v>126313</v>
      </c>
      <c r="J19" s="188"/>
      <c r="K19" s="199">
        <f t="shared" si="7"/>
        <v>144676</v>
      </c>
      <c r="L19" s="188"/>
      <c r="M19" s="188">
        <v>34905</v>
      </c>
      <c r="N19" s="188">
        <v>8520</v>
      </c>
      <c r="O19" s="188">
        <f t="shared" si="2"/>
        <v>43425</v>
      </c>
      <c r="P19" s="188"/>
      <c r="Q19" s="188">
        <f>2519+22484+13212+24+4331</f>
        <v>42570</v>
      </c>
      <c r="R19" s="188">
        <f>5431+5272+5423</f>
        <v>16126</v>
      </c>
      <c r="S19" s="199">
        <f>12873+1093+4778</f>
        <v>18744</v>
      </c>
      <c r="T19" s="188">
        <f t="shared" si="3"/>
        <v>77440</v>
      </c>
      <c r="V19" s="150">
        <f t="shared" si="4"/>
        <v>265541</v>
      </c>
      <c r="X19" s="150">
        <f t="shared" si="8"/>
        <v>144676</v>
      </c>
      <c r="Y19" s="150">
        <f t="shared" si="5"/>
        <v>120865</v>
      </c>
      <c r="Z19" s="150">
        <f t="shared" si="6"/>
        <v>265541</v>
      </c>
      <c r="AF19" s="75"/>
    </row>
    <row r="20" spans="1:32" s="11" customFormat="1" ht="15">
      <c r="A20" s="11" t="s">
        <v>73</v>
      </c>
      <c r="B20" s="188">
        <v>7044</v>
      </c>
      <c r="C20" s="188">
        <v>11377</v>
      </c>
      <c r="D20" s="188">
        <f t="shared" si="0"/>
        <v>18421</v>
      </c>
      <c r="E20" s="189"/>
      <c r="F20" s="188">
        <f>18411+3041</f>
        <v>21452</v>
      </c>
      <c r="G20" s="186">
        <f>59501+3807+1718+130+1921</f>
        <v>67077</v>
      </c>
      <c r="H20" s="330">
        <f>30596+1+26+7331</f>
        <v>37954</v>
      </c>
      <c r="I20" s="188">
        <f t="shared" si="1"/>
        <v>126483</v>
      </c>
      <c r="J20" s="188"/>
      <c r="K20" s="199">
        <f t="shared" si="7"/>
        <v>144904</v>
      </c>
      <c r="L20" s="189"/>
      <c r="M20" s="188">
        <f>41930-7044</f>
        <v>34886</v>
      </c>
      <c r="N20" s="188">
        <f>19902-11377</f>
        <v>8525</v>
      </c>
      <c r="O20" s="188">
        <f t="shared" si="2"/>
        <v>43411</v>
      </c>
      <c r="P20" s="188"/>
      <c r="Q20" s="188">
        <f>22512+13234+24+4324+2519+1781</f>
        <v>44394</v>
      </c>
      <c r="R20" s="188">
        <f>5455+5430+5274</f>
        <v>16159</v>
      </c>
      <c r="S20" s="188">
        <f>12912+1088+4778</f>
        <v>18778</v>
      </c>
      <c r="T20" s="188">
        <f t="shared" si="3"/>
        <v>79331</v>
      </c>
      <c r="U20" s="158"/>
      <c r="V20" s="150">
        <f t="shared" si="4"/>
        <v>267646</v>
      </c>
      <c r="X20" s="150">
        <f t="shared" si="8"/>
        <v>144904</v>
      </c>
      <c r="Y20" s="150">
        <f t="shared" si="5"/>
        <v>122742</v>
      </c>
      <c r="Z20" s="150">
        <f t="shared" si="6"/>
        <v>267646</v>
      </c>
      <c r="AF20" s="75"/>
    </row>
    <row r="21" spans="1:32" s="11" customFormat="1" ht="15">
      <c r="A21" s="11" t="s">
        <v>179</v>
      </c>
      <c r="B21" s="188">
        <v>7041</v>
      </c>
      <c r="C21" s="188">
        <v>11382</v>
      </c>
      <c r="D21" s="188">
        <f t="shared" si="0"/>
        <v>18423</v>
      </c>
      <c r="E21" s="189"/>
      <c r="F21" s="188">
        <f>18421+3046+24</f>
        <v>21491</v>
      </c>
      <c r="G21" s="186">
        <f>59590+1919+130+1727+1+3827</f>
        <v>67194</v>
      </c>
      <c r="H21" s="186">
        <f>30666+7342+1+26</f>
        <v>38035</v>
      </c>
      <c r="I21" s="188">
        <f t="shared" si="1"/>
        <v>126720</v>
      </c>
      <c r="J21" s="188"/>
      <c r="K21" s="199">
        <f t="shared" si="7"/>
        <v>145143</v>
      </c>
      <c r="L21" s="189"/>
      <c r="M21" s="188">
        <f>41936-7041</f>
        <v>34895</v>
      </c>
      <c r="N21" s="188">
        <f>19908-11382</f>
        <v>8526</v>
      </c>
      <c r="O21" s="188">
        <f t="shared" si="2"/>
        <v>43421</v>
      </c>
      <c r="P21" s="188"/>
      <c r="Q21" s="188">
        <f>4328+13237+22518+2521+1784</f>
        <v>44388</v>
      </c>
      <c r="R21" s="188">
        <f>5457+5277+5430</f>
        <v>16164</v>
      </c>
      <c r="S21" s="188">
        <f>4771+1095+12928</f>
        <v>18794</v>
      </c>
      <c r="T21" s="188">
        <f t="shared" si="3"/>
        <v>79346</v>
      </c>
      <c r="U21" s="158"/>
      <c r="V21" s="150">
        <f t="shared" si="4"/>
        <v>267910</v>
      </c>
      <c r="X21" s="150">
        <f t="shared" si="8"/>
        <v>145143</v>
      </c>
      <c r="Y21" s="150">
        <f t="shared" si="5"/>
        <v>122767</v>
      </c>
      <c r="Z21" s="150">
        <f t="shared" si="6"/>
        <v>267910</v>
      </c>
      <c r="AF21" s="75"/>
    </row>
    <row r="22" spans="1:32" s="11" customFormat="1" ht="15">
      <c r="A22" s="11" t="s">
        <v>84</v>
      </c>
      <c r="B22" s="188">
        <f>7048+1</f>
        <v>7049</v>
      </c>
      <c r="C22" s="188">
        <f>11385+1</f>
        <v>11386</v>
      </c>
      <c r="D22" s="188">
        <f t="shared" si="0"/>
        <v>18435</v>
      </c>
      <c r="E22" s="189"/>
      <c r="F22" s="188">
        <f>18386+3053</f>
        <v>21439</v>
      </c>
      <c r="G22" s="186">
        <f>1923+131+1738+1+3839+59626</f>
        <v>67258</v>
      </c>
      <c r="H22" s="186">
        <f>28+7366+1+30673</f>
        <v>38068</v>
      </c>
      <c r="I22" s="188">
        <f t="shared" si="1"/>
        <v>126765</v>
      </c>
      <c r="J22" s="188"/>
      <c r="K22" s="199">
        <f t="shared" si="7"/>
        <v>145200</v>
      </c>
      <c r="L22" s="189"/>
      <c r="M22" s="188">
        <f>13554+18794+1633+895</f>
        <v>34876</v>
      </c>
      <c r="N22" s="188">
        <f>3103+3367+2071</f>
        <v>8541</v>
      </c>
      <c r="O22" s="188">
        <f t="shared" si="2"/>
        <v>43417</v>
      </c>
      <c r="P22" s="188"/>
      <c r="Q22" s="188">
        <f>7+2524+22538+13242+4326</f>
        <v>42637</v>
      </c>
      <c r="R22" s="188">
        <f>5463+5286+5412</f>
        <v>16161</v>
      </c>
      <c r="S22" s="188">
        <f>4761+1103+12944</f>
        <v>18808</v>
      </c>
      <c r="T22" s="188">
        <f t="shared" si="3"/>
        <v>77606</v>
      </c>
      <c r="U22" s="158"/>
      <c r="V22" s="150">
        <f t="shared" si="4"/>
        <v>266223</v>
      </c>
      <c r="X22" s="150">
        <f t="shared" si="8"/>
        <v>145200</v>
      </c>
      <c r="Y22" s="150">
        <f t="shared" si="5"/>
        <v>121023</v>
      </c>
      <c r="Z22" s="150">
        <f t="shared" si="6"/>
        <v>266223</v>
      </c>
      <c r="AF22" s="75"/>
    </row>
    <row r="23" spans="1:32" s="11" customFormat="1">
      <c r="A23" s="11" t="s">
        <v>85</v>
      </c>
      <c r="B23" s="188">
        <v>7086</v>
      </c>
      <c r="C23" s="188">
        <v>11422</v>
      </c>
      <c r="D23" s="188">
        <f t="shared" si="0"/>
        <v>18508</v>
      </c>
      <c r="E23" s="188"/>
      <c r="F23" s="188">
        <f>3054+18409</f>
        <v>21463</v>
      </c>
      <c r="G23" s="186">
        <f>59771+3856+1+1754+132+1918</f>
        <v>67432</v>
      </c>
      <c r="H23" s="186">
        <f>30886+7421+28</f>
        <v>38335</v>
      </c>
      <c r="I23" s="188">
        <f t="shared" si="1"/>
        <v>127230</v>
      </c>
      <c r="J23" s="188"/>
      <c r="K23" s="199">
        <f t="shared" si="7"/>
        <v>145738</v>
      </c>
      <c r="L23" s="188"/>
      <c r="M23" s="188">
        <v>34922</v>
      </c>
      <c r="N23" s="188">
        <v>8568</v>
      </c>
      <c r="O23" s="188">
        <f t="shared" si="2"/>
        <v>43490</v>
      </c>
      <c r="P23" s="188"/>
      <c r="Q23" s="188">
        <f>4324+24+13240+22548+2524</f>
        <v>42660</v>
      </c>
      <c r="R23" s="188">
        <f>5407+5277+5470+1</f>
        <v>16155</v>
      </c>
      <c r="S23" s="188">
        <f>12973+1117+4783</f>
        <v>18873</v>
      </c>
      <c r="T23" s="188">
        <f t="shared" si="3"/>
        <v>77688</v>
      </c>
      <c r="V23" s="150">
        <f t="shared" si="4"/>
        <v>266916</v>
      </c>
      <c r="X23" s="150">
        <f t="shared" si="8"/>
        <v>145738</v>
      </c>
      <c r="Y23" s="150">
        <f t="shared" si="5"/>
        <v>121178</v>
      </c>
      <c r="Z23" s="150">
        <f t="shared" si="6"/>
        <v>266916</v>
      </c>
      <c r="AF23" s="75"/>
    </row>
    <row r="24" spans="1:32" s="11" customFormat="1">
      <c r="A24" s="11" t="s">
        <v>86</v>
      </c>
      <c r="B24" s="188">
        <f>7106+1</f>
        <v>7107</v>
      </c>
      <c r="C24" s="188">
        <v>11394</v>
      </c>
      <c r="D24" s="188">
        <f t="shared" si="0"/>
        <v>18501</v>
      </c>
      <c r="E24" s="188"/>
      <c r="F24" s="188">
        <f>18458+3060</f>
        <v>21518</v>
      </c>
      <c r="G24" s="186">
        <f>59748+1920+136+1769+1+3859</f>
        <v>67433</v>
      </c>
      <c r="H24" s="186">
        <f>31021+28+1</f>
        <v>31050</v>
      </c>
      <c r="I24" s="188">
        <f t="shared" si="1"/>
        <v>120001</v>
      </c>
      <c r="J24" s="188"/>
      <c r="K24" s="199">
        <f t="shared" si="7"/>
        <v>138502</v>
      </c>
      <c r="L24" s="188"/>
      <c r="M24" s="188">
        <f>13558+893+18829+1627</f>
        <v>34907</v>
      </c>
      <c r="N24" s="188">
        <f>3377+2081+3118</f>
        <v>8576</v>
      </c>
      <c r="O24" s="188">
        <f t="shared" si="2"/>
        <v>43483</v>
      </c>
      <c r="P24" s="188"/>
      <c r="Q24" s="188">
        <f>2524+22574+13231+23+4320</f>
        <v>42672</v>
      </c>
      <c r="R24" s="188">
        <f>5478+5285+5428</f>
        <v>16191</v>
      </c>
      <c r="S24" s="188">
        <f>4789+1122+13002+9787</f>
        <v>28700</v>
      </c>
      <c r="T24" s="188">
        <f t="shared" si="3"/>
        <v>87563</v>
      </c>
      <c r="V24" s="150">
        <f t="shared" si="4"/>
        <v>269548</v>
      </c>
      <c r="X24" s="150">
        <f t="shared" si="8"/>
        <v>138502</v>
      </c>
      <c r="Y24" s="150">
        <f t="shared" si="5"/>
        <v>131046</v>
      </c>
      <c r="Z24" s="150">
        <f t="shared" si="6"/>
        <v>269548</v>
      </c>
      <c r="AF24" s="75"/>
    </row>
    <row r="25" spans="1:32" s="11" customFormat="1">
      <c r="A25" s="11" t="s">
        <v>61</v>
      </c>
      <c r="B25" s="188">
        <v>7118</v>
      </c>
      <c r="C25" s="188">
        <v>11406</v>
      </c>
      <c r="D25" s="188">
        <f t="shared" si="0"/>
        <v>18524</v>
      </c>
      <c r="E25" s="188"/>
      <c r="F25" s="188">
        <f>3049+18504</f>
        <v>21553</v>
      </c>
      <c r="G25" s="186">
        <f>59803+1925+134+1785+1+3881</f>
        <v>67529</v>
      </c>
      <c r="H25" s="186">
        <f>31064+1+28</f>
        <v>31093</v>
      </c>
      <c r="I25" s="188">
        <f t="shared" si="1"/>
        <v>120175</v>
      </c>
      <c r="J25" s="188"/>
      <c r="K25" s="199">
        <f t="shared" si="7"/>
        <v>138699</v>
      </c>
      <c r="L25" s="188"/>
      <c r="M25" s="188">
        <f>42055-7118</f>
        <v>34937</v>
      </c>
      <c r="N25" s="188">
        <f>3383+2088+3129</f>
        <v>8600</v>
      </c>
      <c r="O25" s="188">
        <f t="shared" si="2"/>
        <v>43537</v>
      </c>
      <c r="P25" s="188"/>
      <c r="Q25" s="188">
        <f>4329+13206+22592+2523+23</f>
        <v>42673</v>
      </c>
      <c r="R25" s="188">
        <f>5497+5289+5433</f>
        <v>16219</v>
      </c>
      <c r="S25" s="188">
        <f>4787+1122+9807+13023</f>
        <v>28739</v>
      </c>
      <c r="T25" s="188">
        <f t="shared" si="3"/>
        <v>87631</v>
      </c>
      <c r="V25" s="150">
        <f t="shared" si="4"/>
        <v>269867</v>
      </c>
      <c r="X25" s="150">
        <f t="shared" si="8"/>
        <v>138699</v>
      </c>
      <c r="Y25" s="150">
        <f t="shared" si="5"/>
        <v>131168</v>
      </c>
      <c r="Z25" s="150">
        <f t="shared" si="6"/>
        <v>269867</v>
      </c>
      <c r="AF25" s="75"/>
    </row>
    <row r="26" spans="1:32" s="11" customFormat="1">
      <c r="A26" s="11" t="s">
        <v>68</v>
      </c>
      <c r="B26" s="188">
        <f>7135+1</f>
        <v>7136</v>
      </c>
      <c r="C26" s="188">
        <v>11462</v>
      </c>
      <c r="D26" s="188">
        <f t="shared" si="0"/>
        <v>18598</v>
      </c>
      <c r="E26" s="188"/>
      <c r="F26" s="188">
        <f>18492+3062+1</f>
        <v>21555</v>
      </c>
      <c r="G26" s="186">
        <f>59801+3913+1799+1927+138</f>
        <v>67578</v>
      </c>
      <c r="H26" s="186">
        <f>31193+1+29</f>
        <v>31223</v>
      </c>
      <c r="I26" s="188">
        <f t="shared" si="1"/>
        <v>120356</v>
      </c>
      <c r="J26" s="188"/>
      <c r="K26" s="199">
        <f t="shared" si="7"/>
        <v>138954</v>
      </c>
      <c r="L26" s="188"/>
      <c r="M26" s="188">
        <f>42101-7136</f>
        <v>34965</v>
      </c>
      <c r="N26" s="188">
        <f>3127+1+3378+2087</f>
        <v>8593</v>
      </c>
      <c r="O26" s="188">
        <f t="shared" si="2"/>
        <v>43558</v>
      </c>
      <c r="P26" s="188"/>
      <c r="Q26" s="188">
        <f>2536+22636+13173+21+4320</f>
        <v>42686</v>
      </c>
      <c r="R26" s="188">
        <f>5495+5292+5455</f>
        <v>16242</v>
      </c>
      <c r="S26" s="188">
        <f>13061+9892+1124+4787</f>
        <v>28864</v>
      </c>
      <c r="T26" s="188">
        <f t="shared" si="3"/>
        <v>87792</v>
      </c>
      <c r="V26" s="150">
        <f t="shared" si="4"/>
        <v>270304</v>
      </c>
      <c r="X26" s="150">
        <f t="shared" si="8"/>
        <v>138954</v>
      </c>
      <c r="Y26" s="150">
        <f t="shared" si="5"/>
        <v>131350</v>
      </c>
      <c r="Z26" s="150">
        <f t="shared" si="6"/>
        <v>270304</v>
      </c>
      <c r="AF26" s="75"/>
    </row>
    <row r="27" spans="1:32" s="11" customFormat="1">
      <c r="A27" s="11" t="s">
        <v>69</v>
      </c>
      <c r="B27" s="188">
        <v>7116</v>
      </c>
      <c r="C27" s="188">
        <v>11476</v>
      </c>
      <c r="D27" s="188">
        <f t="shared" si="0"/>
        <v>18592</v>
      </c>
      <c r="E27" s="188"/>
      <c r="F27" s="188">
        <f>3057+18494</f>
        <v>21551</v>
      </c>
      <c r="G27" s="186">
        <f>1922+141+1809+1+3921+59824</f>
        <v>67618</v>
      </c>
      <c r="H27" s="186">
        <v>31264</v>
      </c>
      <c r="I27" s="188">
        <f t="shared" si="1"/>
        <v>120433</v>
      </c>
      <c r="J27" s="188"/>
      <c r="K27" s="199">
        <f t="shared" si="7"/>
        <v>139025</v>
      </c>
      <c r="L27" s="188"/>
      <c r="M27" s="188">
        <v>34916</v>
      </c>
      <c r="N27" s="188">
        <v>8606</v>
      </c>
      <c r="O27" s="188">
        <f t="shared" si="2"/>
        <v>43522</v>
      </c>
      <c r="P27" s="188"/>
      <c r="Q27" s="188">
        <f>2553+22657+13178+4329</f>
        <v>42717</v>
      </c>
      <c r="R27" s="188">
        <f>5500+5300+5461</f>
        <v>16261</v>
      </c>
      <c r="S27" s="188">
        <v>28948</v>
      </c>
      <c r="T27" s="188">
        <f t="shared" si="3"/>
        <v>87926</v>
      </c>
      <c r="V27" s="150">
        <f t="shared" si="4"/>
        <v>270473</v>
      </c>
      <c r="X27" s="150">
        <f t="shared" si="8"/>
        <v>139025</v>
      </c>
      <c r="Y27" s="150">
        <f t="shared" si="5"/>
        <v>131448</v>
      </c>
      <c r="Z27" s="150">
        <f t="shared" si="6"/>
        <v>270473</v>
      </c>
      <c r="AF27" s="75"/>
    </row>
    <row r="28" spans="1:32" s="11" customFormat="1">
      <c r="A28" s="11" t="s">
        <v>70</v>
      </c>
      <c r="B28" s="330">
        <f>7143+1</f>
        <v>7144</v>
      </c>
      <c r="C28" s="330">
        <v>11445</v>
      </c>
      <c r="D28" s="188">
        <f t="shared" si="0"/>
        <v>18589</v>
      </c>
      <c r="E28" s="188"/>
      <c r="F28" s="330">
        <f>3055+18545</f>
        <v>21600</v>
      </c>
      <c r="G28" s="330">
        <f>145+1824+1923+3959+59896</f>
        <v>67747</v>
      </c>
      <c r="H28" s="330">
        <v>31297</v>
      </c>
      <c r="I28" s="188">
        <f t="shared" si="1"/>
        <v>120644</v>
      </c>
      <c r="J28" s="188"/>
      <c r="K28" s="199">
        <f t="shared" si="7"/>
        <v>139233</v>
      </c>
      <c r="L28" s="188"/>
      <c r="M28" s="330">
        <f>42087-7144</f>
        <v>34943</v>
      </c>
      <c r="N28" s="330">
        <f>20068-11445</f>
        <v>8623</v>
      </c>
      <c r="O28" s="188">
        <f t="shared" si="2"/>
        <v>43566</v>
      </c>
      <c r="P28" s="188"/>
      <c r="Q28" s="330">
        <f>2563+22664+13195+4341</f>
        <v>42763</v>
      </c>
      <c r="R28" s="330">
        <f>5501+5293+5465</f>
        <v>16259</v>
      </c>
      <c r="S28" s="330">
        <f>60315-31297</f>
        <v>29018</v>
      </c>
      <c r="T28" s="188">
        <f t="shared" si="3"/>
        <v>88040</v>
      </c>
      <c r="V28" s="150">
        <f t="shared" si="4"/>
        <v>270839</v>
      </c>
      <c r="X28" s="150">
        <f t="shared" si="8"/>
        <v>139233</v>
      </c>
      <c r="Y28" s="150">
        <f t="shared" si="5"/>
        <v>131606</v>
      </c>
      <c r="Z28" s="150">
        <f t="shared" si="6"/>
        <v>270839</v>
      </c>
      <c r="AF28" s="75"/>
    </row>
    <row r="29" spans="1:32" s="104" customFormat="1" ht="15">
      <c r="A29" s="11" t="s">
        <v>71</v>
      </c>
      <c r="B29" s="520">
        <f>7156+1</f>
        <v>7157</v>
      </c>
      <c r="C29" s="520">
        <v>11441</v>
      </c>
      <c r="D29" s="189">
        <f t="shared" si="0"/>
        <v>18598</v>
      </c>
      <c r="E29" s="190"/>
      <c r="F29" s="520">
        <f>3046+18540</f>
        <v>21586</v>
      </c>
      <c r="G29" s="520">
        <f>59883+3989+1+1838+148+2+1917</f>
        <v>67778</v>
      </c>
      <c r="H29" s="520">
        <f>31307+1+35</f>
        <v>31343</v>
      </c>
      <c r="I29" s="189">
        <f t="shared" si="1"/>
        <v>120707</v>
      </c>
      <c r="J29" s="189"/>
      <c r="K29" s="206">
        <f t="shared" si="7"/>
        <v>139305</v>
      </c>
      <c r="L29" s="190"/>
      <c r="M29" s="520">
        <f>46353-7157</f>
        <v>39196</v>
      </c>
      <c r="N29" s="520">
        <f>20054-11441</f>
        <v>8613</v>
      </c>
      <c r="O29" s="189">
        <f t="shared" si="2"/>
        <v>47809</v>
      </c>
      <c r="P29" s="190"/>
      <c r="Q29" s="520">
        <f>4339+20+13215+22671+2568</f>
        <v>42813</v>
      </c>
      <c r="R29" s="520">
        <f>5291+5523+5469</f>
        <v>16283</v>
      </c>
      <c r="S29" s="520">
        <f>60400-31343</f>
        <v>29057</v>
      </c>
      <c r="T29" s="189">
        <f t="shared" si="3"/>
        <v>88153</v>
      </c>
      <c r="U29" s="191"/>
      <c r="V29" s="192">
        <f t="shared" si="4"/>
        <v>275267</v>
      </c>
      <c r="X29" s="192">
        <f>+I29+D29</f>
        <v>139305</v>
      </c>
      <c r="Y29" s="192">
        <f>+T29+O29</f>
        <v>135962</v>
      </c>
      <c r="Z29" s="192">
        <f>+Y29+X29</f>
        <v>275267</v>
      </c>
      <c r="AF29" s="76"/>
    </row>
    <row r="30" spans="1:32" s="11" customFormat="1" ht="15">
      <c r="A30" s="77"/>
      <c r="B30" s="78">
        <f>SUM(B6:B29)</f>
        <v>166477</v>
      </c>
      <c r="C30" s="78">
        <f t="shared" ref="C30:V30" si="9">SUM(C6:C29)</f>
        <v>272358</v>
      </c>
      <c r="D30" s="78">
        <f t="shared" si="9"/>
        <v>438835</v>
      </c>
      <c r="E30" s="78"/>
      <c r="F30" s="78">
        <f t="shared" si="9"/>
        <v>514655</v>
      </c>
      <c r="G30" s="78">
        <f t="shared" si="9"/>
        <v>1600853</v>
      </c>
      <c r="H30" s="78">
        <f t="shared" si="9"/>
        <v>860319</v>
      </c>
      <c r="I30" s="78">
        <f t="shared" si="9"/>
        <v>2975827</v>
      </c>
      <c r="J30" s="78"/>
      <c r="K30" s="78">
        <f t="shared" si="9"/>
        <v>3414662</v>
      </c>
      <c r="L30" s="78"/>
      <c r="M30" s="78">
        <f t="shared" si="9"/>
        <v>840932</v>
      </c>
      <c r="N30" s="78">
        <f t="shared" si="9"/>
        <v>204167</v>
      </c>
      <c r="O30" s="78">
        <f t="shared" si="9"/>
        <v>1045099</v>
      </c>
      <c r="P30" s="78"/>
      <c r="Q30" s="78">
        <f t="shared" si="9"/>
        <v>1035977</v>
      </c>
      <c r="R30" s="78">
        <f t="shared" si="9"/>
        <v>394809</v>
      </c>
      <c r="S30" s="78">
        <f t="shared" si="9"/>
        <v>514697</v>
      </c>
      <c r="T30" s="78">
        <f t="shared" si="9"/>
        <v>1945483</v>
      </c>
      <c r="U30" s="78"/>
      <c r="V30" s="78">
        <f t="shared" si="9"/>
        <v>6405244</v>
      </c>
      <c r="X30" s="166">
        <f>SUM(X6:X29)</f>
        <v>3414662</v>
      </c>
      <c r="Y30" s="166">
        <f>SUM(Y6:Y29)</f>
        <v>2990582</v>
      </c>
      <c r="Z30" s="166">
        <f>SUM(Z6:Z29)</f>
        <v>6405244</v>
      </c>
      <c r="AF30" s="70"/>
    </row>
    <row r="31" spans="1:32" s="11" customFormat="1">
      <c r="AF31" s="70"/>
    </row>
    <row r="32" spans="1:32" s="11" customFormat="1" ht="15">
      <c r="A32" s="1" t="s">
        <v>52</v>
      </c>
      <c r="B32" s="166">
        <f>AVERAGE(B6:B29)</f>
        <v>6936.541666666667</v>
      </c>
      <c r="C32" s="166">
        <f t="shared" ref="C32:S32" si="10">AVERAGE(C6:C29)</f>
        <v>11348.25</v>
      </c>
      <c r="D32" s="166">
        <f>+C32+B32</f>
        <v>18284.791666666668</v>
      </c>
      <c r="E32" s="166"/>
      <c r="F32" s="166">
        <f t="shared" si="10"/>
        <v>21443.958333333332</v>
      </c>
      <c r="G32" s="166">
        <f t="shared" si="10"/>
        <v>66702.208333333328</v>
      </c>
      <c r="H32" s="166">
        <f t="shared" si="10"/>
        <v>35846.625</v>
      </c>
      <c r="I32" s="166">
        <f>+H32+G32+F32</f>
        <v>123992.79166666666</v>
      </c>
      <c r="J32" s="166"/>
      <c r="K32" s="166">
        <f t="shared" si="10"/>
        <v>142277.58333333334</v>
      </c>
      <c r="L32" s="166"/>
      <c r="M32" s="166">
        <f t="shared" si="10"/>
        <v>35038.833333333336</v>
      </c>
      <c r="N32" s="166">
        <f t="shared" si="10"/>
        <v>8506.9583333333339</v>
      </c>
      <c r="O32" s="166">
        <f>+N32+M32</f>
        <v>43545.791666666672</v>
      </c>
      <c r="P32" s="166"/>
      <c r="Q32" s="166">
        <f t="shared" si="10"/>
        <v>43165.708333333336</v>
      </c>
      <c r="R32" s="166">
        <f t="shared" si="10"/>
        <v>16450.375</v>
      </c>
      <c r="S32" s="166">
        <f t="shared" si="10"/>
        <v>21445.708333333332</v>
      </c>
      <c r="T32" s="166">
        <f>+S32+R32+Q32</f>
        <v>81061.791666666657</v>
      </c>
      <c r="U32" s="166"/>
      <c r="V32" s="90">
        <f>+T32+O32+I32+D32</f>
        <v>266885.16666666669</v>
      </c>
      <c r="X32" s="90">
        <f>+I32+D32</f>
        <v>142277.58333333331</v>
      </c>
      <c r="Y32" s="90">
        <f>+T32+O32</f>
        <v>124607.58333333333</v>
      </c>
      <c r="Z32" s="90">
        <f>+Y32+X32</f>
        <v>266885.16666666663</v>
      </c>
      <c r="AF32" s="70"/>
    </row>
    <row r="33" spans="1:32" s="11" customFormat="1">
      <c r="B33" s="153">
        <f>+B32/$I$36</f>
        <v>0.37297245223500736</v>
      </c>
      <c r="C33" s="153">
        <f>+C32/$I$36</f>
        <v>0.61018657920206476</v>
      </c>
      <c r="D33" s="153">
        <f>+D32/$I$36</f>
        <v>0.98315903143707217</v>
      </c>
      <c r="E33" s="153"/>
      <c r="F33" s="153"/>
      <c r="AF33" s="70"/>
    </row>
    <row r="34" spans="1:32" s="11" customFormat="1">
      <c r="B34" s="153"/>
      <c r="F34" s="193"/>
      <c r="AF34" s="70"/>
    </row>
    <row r="35" spans="1:32" s="11" customFormat="1">
      <c r="A35" s="105" t="s">
        <v>87</v>
      </c>
      <c r="AF35" s="70"/>
    </row>
    <row r="36" spans="1:32" s="11" customFormat="1">
      <c r="A36" s="95" t="s">
        <v>328</v>
      </c>
      <c r="G36" s="150"/>
      <c r="H36" s="150"/>
      <c r="I36" s="194">
        <f>+D29</f>
        <v>18598</v>
      </c>
      <c r="J36" s="194"/>
      <c r="K36" s="517">
        <f>+I36/$I$39</f>
        <v>0.13029938217905951</v>
      </c>
      <c r="AF36" s="70"/>
    </row>
    <row r="37" spans="1:32" s="11" customFormat="1">
      <c r="A37" s="95" t="s">
        <v>329</v>
      </c>
      <c r="G37" s="150"/>
      <c r="H37" s="150"/>
      <c r="I37" s="194">
        <f>+F29</f>
        <v>21586</v>
      </c>
      <c r="J37" s="194"/>
      <c r="K37" s="517">
        <f t="shared" ref="K37:K39" si="11">+I37/$I$39</f>
        <v>0.15123359843623929</v>
      </c>
      <c r="AF37" s="70"/>
    </row>
    <row r="38" spans="1:32" s="11" customFormat="1" ht="15">
      <c r="A38" s="95" t="s">
        <v>88</v>
      </c>
      <c r="I38" s="195">
        <f>+G32+H32</f>
        <v>102548.83333333333</v>
      </c>
      <c r="J38" s="195"/>
      <c r="K38" s="518">
        <f t="shared" si="11"/>
        <v>0.71846701938470137</v>
      </c>
      <c r="AF38" s="70"/>
    </row>
    <row r="39" spans="1:32" s="11" customFormat="1" ht="15">
      <c r="A39" s="95"/>
      <c r="I39" s="166">
        <f>SUM(I36:I38)</f>
        <v>142732.83333333331</v>
      </c>
      <c r="J39" s="166"/>
      <c r="K39" s="182">
        <f t="shared" si="11"/>
        <v>1</v>
      </c>
      <c r="AF39" s="70"/>
    </row>
    <row r="40" spans="1:32" s="11" customFormat="1">
      <c r="A40" s="105"/>
      <c r="AF40" s="70"/>
    </row>
    <row r="41" spans="1:32" s="11" customFormat="1">
      <c r="A41" s="95"/>
      <c r="I41" s="196"/>
      <c r="J41" s="196"/>
      <c r="K41" s="196"/>
      <c r="AF41" s="70"/>
    </row>
    <row r="42" spans="1:32" s="11" customFormat="1" ht="15">
      <c r="A42" s="105" t="s">
        <v>330</v>
      </c>
      <c r="I42" s="197"/>
      <c r="J42" s="197"/>
      <c r="K42" s="197"/>
      <c r="AF42" s="70"/>
    </row>
    <row r="43" spans="1:32" s="11" customFormat="1" ht="15">
      <c r="A43" s="95" t="s">
        <v>331</v>
      </c>
      <c r="I43" s="194">
        <f>+D29+O29</f>
        <v>66407</v>
      </c>
      <c r="J43" s="166"/>
      <c r="K43" s="517">
        <f>+I43/$I$46</f>
        <v>0.24124577228654362</v>
      </c>
      <c r="N43" s="187"/>
      <c r="AF43" s="70"/>
    </row>
    <row r="44" spans="1:32">
      <c r="A44" s="95" t="s">
        <v>332</v>
      </c>
      <c r="I44" s="519">
        <f>+F29+Q29</f>
        <v>64399</v>
      </c>
      <c r="K44" s="517">
        <f t="shared" ref="K44:K46" si="12">+I44/$I$46</f>
        <v>0.23395103662989025</v>
      </c>
      <c r="N44" s="110"/>
      <c r="Q44" s="108"/>
      <c r="R44" s="108"/>
      <c r="S44" s="108"/>
    </row>
    <row r="45" spans="1:32" ht="15">
      <c r="A45" s="95" t="s">
        <v>111</v>
      </c>
      <c r="I45" s="464">
        <f>+G29+H29+R29+S29</f>
        <v>144461</v>
      </c>
      <c r="K45" s="518">
        <f t="shared" si="12"/>
        <v>0.5248031910835661</v>
      </c>
      <c r="N45" s="110"/>
      <c r="Q45" s="108"/>
      <c r="R45" s="108"/>
      <c r="S45" s="108"/>
    </row>
    <row r="46" spans="1:32" ht="15">
      <c r="I46" s="166">
        <f>SUM(I43:I45)</f>
        <v>275267</v>
      </c>
      <c r="J46" s="166"/>
      <c r="K46" s="182">
        <f t="shared" si="12"/>
        <v>1</v>
      </c>
      <c r="N46" s="110"/>
      <c r="Q46" s="108"/>
      <c r="R46" s="108"/>
      <c r="S46" s="108"/>
    </row>
    <row r="47" spans="1:32">
      <c r="N47" s="110"/>
      <c r="Q47" s="108"/>
      <c r="R47" s="108"/>
      <c r="S47" s="108"/>
    </row>
    <row r="48" spans="1:32">
      <c r="N48" s="111"/>
      <c r="Q48" s="108"/>
      <c r="R48" s="108"/>
      <c r="S48" s="108"/>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64"/>
  <sheetViews>
    <sheetView workbookViewId="0">
      <pane xSplit="2" ySplit="5" topLeftCell="C60" activePane="bottomRight" state="frozen"/>
      <selection pane="topRight" activeCell="C1" sqref="C1"/>
      <selection pane="bottomLeft" activeCell="A4" sqref="A4"/>
      <selection pane="bottomRight" activeCell="M28" sqref="M28"/>
    </sheetView>
  </sheetViews>
  <sheetFormatPr defaultRowHeight="12.75"/>
  <cols>
    <col min="1" max="1" width="5.5703125" style="11" customWidth="1"/>
    <col min="2" max="2" width="11.7109375" style="11" customWidth="1"/>
    <col min="3" max="3" width="11.42578125"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10.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16384" width="9.140625" style="11"/>
  </cols>
  <sheetData>
    <row r="1" spans="2:14" ht="18">
      <c r="B1" s="581" t="s">
        <v>117</v>
      </c>
      <c r="C1" s="581"/>
      <c r="D1" s="581"/>
      <c r="E1" s="581"/>
      <c r="F1" s="581"/>
      <c r="G1" s="581"/>
      <c r="H1" s="581"/>
      <c r="I1" s="581"/>
      <c r="J1" s="581"/>
      <c r="K1" s="581"/>
      <c r="L1" s="581"/>
    </row>
    <row r="3" spans="2:14">
      <c r="B3" s="96"/>
      <c r="C3" s="582" t="s">
        <v>41</v>
      </c>
      <c r="D3" s="583"/>
      <c r="E3" s="583"/>
      <c r="F3" s="583"/>
      <c r="G3" s="583"/>
      <c r="H3" s="583"/>
      <c r="I3" s="583"/>
      <c r="J3" s="583"/>
      <c r="K3" s="583"/>
      <c r="L3" s="584"/>
      <c r="M3" s="97"/>
    </row>
    <row r="4" spans="2:14">
      <c r="B4" s="60"/>
      <c r="C4" s="61"/>
      <c r="D4" s="98"/>
      <c r="E4" s="98"/>
      <c r="F4" s="62"/>
      <c r="G4" s="98"/>
      <c r="H4" s="98"/>
      <c r="I4" s="98"/>
      <c r="J4" s="62" t="s">
        <v>42</v>
      </c>
      <c r="K4" s="62" t="s">
        <v>43</v>
      </c>
      <c r="L4" s="62" t="s">
        <v>44</v>
      </c>
      <c r="M4" s="97"/>
    </row>
    <row r="5" spans="2:14">
      <c r="B5" s="60" t="s">
        <v>45</v>
      </c>
      <c r="C5" s="63" t="s">
        <v>46</v>
      </c>
      <c r="D5" s="63" t="s">
        <v>47</v>
      </c>
      <c r="E5" s="63" t="s">
        <v>1</v>
      </c>
      <c r="F5" s="63" t="s">
        <v>48</v>
      </c>
      <c r="G5" s="63" t="s">
        <v>49</v>
      </c>
      <c r="H5" s="63" t="s">
        <v>2</v>
      </c>
      <c r="I5" s="63" t="s">
        <v>8</v>
      </c>
      <c r="J5" s="63" t="s">
        <v>50</v>
      </c>
      <c r="K5" s="63" t="s">
        <v>50</v>
      </c>
      <c r="L5" s="62" t="s">
        <v>51</v>
      </c>
      <c r="M5" s="97"/>
    </row>
    <row r="6" spans="2:14">
      <c r="B6" s="99"/>
      <c r="C6" s="64"/>
      <c r="D6" s="99"/>
      <c r="E6" s="99"/>
      <c r="F6" s="99"/>
      <c r="G6" s="99"/>
      <c r="H6" s="99"/>
      <c r="I6" s="99"/>
      <c r="J6" s="99"/>
      <c r="K6" s="99"/>
      <c r="L6" s="99"/>
      <c r="M6" s="97"/>
    </row>
    <row r="7" spans="2:14">
      <c r="B7" s="65">
        <v>43739</v>
      </c>
      <c r="C7" s="318">
        <v>0</v>
      </c>
      <c r="D7" s="318">
        <v>-9.07</v>
      </c>
      <c r="E7" s="318">
        <v>51.84</v>
      </c>
      <c r="F7" s="318">
        <v>895.65</v>
      </c>
      <c r="G7" s="318">
        <v>74.38</v>
      </c>
      <c r="H7" s="318">
        <v>-63.5</v>
      </c>
      <c r="I7" s="318">
        <v>83.72</v>
      </c>
      <c r="J7" s="318">
        <v>806.59</v>
      </c>
      <c r="K7" s="318">
        <v>260</v>
      </c>
      <c r="L7" s="318">
        <v>-167.5</v>
      </c>
      <c r="M7" s="97"/>
    </row>
    <row r="8" spans="2:14">
      <c r="B8" s="65">
        <v>43770</v>
      </c>
      <c r="C8" s="318">
        <v>0</v>
      </c>
      <c r="D8" s="318">
        <v>-12.81</v>
      </c>
      <c r="E8" s="318">
        <v>51.58</v>
      </c>
      <c r="F8" s="318">
        <v>754.07</v>
      </c>
      <c r="G8" s="318">
        <v>81.900000000000006</v>
      </c>
      <c r="H8" s="318">
        <v>-63.5</v>
      </c>
      <c r="I8" s="318">
        <v>80.19</v>
      </c>
      <c r="J8" s="318">
        <v>860</v>
      </c>
      <c r="K8" s="318">
        <v>310</v>
      </c>
      <c r="L8" s="318">
        <v>-167.5</v>
      </c>
      <c r="M8" s="97"/>
      <c r="N8" s="93"/>
    </row>
    <row r="9" spans="2:14">
      <c r="B9" s="65">
        <v>43800</v>
      </c>
      <c r="C9" s="326">
        <v>0</v>
      </c>
      <c r="D9" s="326">
        <v>-15.11</v>
      </c>
      <c r="E9" s="326">
        <v>48.09</v>
      </c>
      <c r="F9" s="326">
        <v>875.31</v>
      </c>
      <c r="G9" s="326">
        <v>99.69</v>
      </c>
      <c r="H9" s="326">
        <v>-63.5</v>
      </c>
      <c r="I9" s="326">
        <v>75.239999999999995</v>
      </c>
      <c r="J9" s="326">
        <v>1009.96</v>
      </c>
      <c r="K9" s="326">
        <v>260</v>
      </c>
      <c r="L9" s="326">
        <v>-167.5</v>
      </c>
      <c r="M9" s="97"/>
    </row>
    <row r="10" spans="2:14">
      <c r="B10" s="65">
        <v>43831</v>
      </c>
      <c r="C10" s="326">
        <v>0</v>
      </c>
      <c r="D10" s="326">
        <v>-4.72</v>
      </c>
      <c r="E10" s="326">
        <v>53.89</v>
      </c>
      <c r="F10" s="326">
        <v>884.94</v>
      </c>
      <c r="G10" s="326">
        <v>114.96</v>
      </c>
      <c r="H10" s="326">
        <v>-63.5</v>
      </c>
      <c r="I10" s="326">
        <v>140</v>
      </c>
      <c r="J10" s="326">
        <v>1043.83</v>
      </c>
      <c r="K10" s="326">
        <v>260</v>
      </c>
      <c r="L10" s="326">
        <v>-167.5</v>
      </c>
      <c r="M10" s="97"/>
    </row>
    <row r="11" spans="2:14">
      <c r="B11" s="65">
        <v>43862</v>
      </c>
      <c r="C11" s="326">
        <v>0</v>
      </c>
      <c r="D11" s="326">
        <v>-14.27</v>
      </c>
      <c r="E11" s="326">
        <v>59.61</v>
      </c>
      <c r="F11" s="326">
        <v>837.7</v>
      </c>
      <c r="G11" s="326">
        <v>100.34</v>
      </c>
      <c r="H11" s="326">
        <v>-63.5</v>
      </c>
      <c r="I11" s="326">
        <v>170</v>
      </c>
      <c r="J11" s="326">
        <v>1080</v>
      </c>
      <c r="K11" s="327">
        <v>160</v>
      </c>
      <c r="L11" s="326">
        <v>-167.5</v>
      </c>
      <c r="M11" s="97"/>
    </row>
    <row r="12" spans="2:14">
      <c r="B12" s="65">
        <v>43891</v>
      </c>
      <c r="C12" s="326">
        <v>0</v>
      </c>
      <c r="D12" s="326">
        <v>-25.98</v>
      </c>
      <c r="E12" s="326">
        <v>78.989999999999995</v>
      </c>
      <c r="F12" s="326">
        <v>816.06</v>
      </c>
      <c r="G12" s="326">
        <v>109.72</v>
      </c>
      <c r="H12" s="326">
        <v>-63.5</v>
      </c>
      <c r="I12" s="326">
        <v>160</v>
      </c>
      <c r="J12" s="326">
        <v>644.29</v>
      </c>
      <c r="K12" s="327">
        <v>150</v>
      </c>
      <c r="L12" s="326">
        <v>-167.5</v>
      </c>
      <c r="M12" s="100"/>
    </row>
    <row r="13" spans="2:14">
      <c r="B13" s="65">
        <v>43922</v>
      </c>
      <c r="C13" s="326">
        <v>0</v>
      </c>
      <c r="D13" s="326">
        <v>-17.05</v>
      </c>
      <c r="E13" s="326">
        <v>90.33</v>
      </c>
      <c r="F13" s="326">
        <v>712.74</v>
      </c>
      <c r="G13" s="326">
        <v>66.55</v>
      </c>
      <c r="H13" s="326">
        <v>-63.5</v>
      </c>
      <c r="I13" s="326">
        <v>150</v>
      </c>
      <c r="J13" s="326">
        <v>680</v>
      </c>
      <c r="K13" s="326">
        <v>60</v>
      </c>
      <c r="L13" s="326">
        <v>-167.5</v>
      </c>
      <c r="M13" s="100"/>
    </row>
    <row r="14" spans="2:14">
      <c r="B14" s="65">
        <v>43952</v>
      </c>
      <c r="C14" s="326">
        <v>0</v>
      </c>
      <c r="D14" s="326">
        <v>-4.43</v>
      </c>
      <c r="E14" s="326">
        <v>121.04</v>
      </c>
      <c r="F14" s="326">
        <v>694.88</v>
      </c>
      <c r="G14" s="326">
        <v>76.959999999999994</v>
      </c>
      <c r="H14" s="326">
        <v>-63.5</v>
      </c>
      <c r="I14" s="326">
        <v>130</v>
      </c>
      <c r="J14" s="326">
        <v>640</v>
      </c>
      <c r="K14" s="326">
        <v>60</v>
      </c>
      <c r="L14" s="326">
        <v>-167.5</v>
      </c>
      <c r="M14" s="100"/>
    </row>
    <row r="15" spans="2:14">
      <c r="B15" s="65">
        <v>43983</v>
      </c>
      <c r="C15" s="326">
        <v>0</v>
      </c>
      <c r="D15" s="326">
        <v>-0.71</v>
      </c>
      <c r="E15" s="326">
        <v>96.31</v>
      </c>
      <c r="F15" s="326">
        <v>730.34</v>
      </c>
      <c r="G15" s="326">
        <v>81.31</v>
      </c>
      <c r="H15" s="326">
        <v>-63.5</v>
      </c>
      <c r="I15" s="326">
        <v>49.96</v>
      </c>
      <c r="J15" s="326">
        <v>700</v>
      </c>
      <c r="K15" s="326">
        <v>60</v>
      </c>
      <c r="L15" s="326">
        <v>-167.5</v>
      </c>
      <c r="M15" s="100"/>
    </row>
    <row r="16" spans="2:14">
      <c r="B16" s="65">
        <v>44013</v>
      </c>
      <c r="C16" s="328">
        <v>0</v>
      </c>
      <c r="D16" s="328">
        <v>1.35</v>
      </c>
      <c r="E16" s="328">
        <v>86.25</v>
      </c>
      <c r="F16" s="328">
        <v>798.59</v>
      </c>
      <c r="G16" s="328">
        <v>77.48</v>
      </c>
      <c r="H16" s="326">
        <v>-63.5</v>
      </c>
      <c r="I16" s="328">
        <v>47.17</v>
      </c>
      <c r="J16" s="328">
        <v>728.16</v>
      </c>
      <c r="K16" s="328">
        <v>60</v>
      </c>
      <c r="L16" s="326">
        <v>-167.5</v>
      </c>
      <c r="M16" s="100"/>
    </row>
    <row r="17" spans="2:27">
      <c r="B17" s="65">
        <v>44044</v>
      </c>
      <c r="C17" s="328">
        <v>0</v>
      </c>
      <c r="D17" s="328">
        <v>10.02</v>
      </c>
      <c r="E17" s="328">
        <v>93.17</v>
      </c>
      <c r="F17" s="328">
        <v>877.78</v>
      </c>
      <c r="G17" s="328">
        <v>85.78</v>
      </c>
      <c r="H17" s="326">
        <v>-63.5</v>
      </c>
      <c r="I17" s="326">
        <v>42.12</v>
      </c>
      <c r="J17" s="326">
        <v>780</v>
      </c>
      <c r="K17" s="326">
        <v>60</v>
      </c>
      <c r="L17" s="326">
        <v>-167.5</v>
      </c>
      <c r="M17" s="100"/>
    </row>
    <row r="18" spans="2:27">
      <c r="B18" s="65">
        <v>44075</v>
      </c>
      <c r="C18" s="328">
        <v>0</v>
      </c>
      <c r="D18" s="328">
        <v>18.239999999999998</v>
      </c>
      <c r="E18" s="328">
        <v>100.16</v>
      </c>
      <c r="F18" s="328">
        <v>858.96</v>
      </c>
      <c r="G18" s="328">
        <v>105.53</v>
      </c>
      <c r="H18" s="326">
        <v>-63.5</v>
      </c>
      <c r="I18" s="328">
        <v>20</v>
      </c>
      <c r="J18" s="328">
        <v>960</v>
      </c>
      <c r="K18" s="328">
        <v>100</v>
      </c>
      <c r="L18" s="326">
        <v>-167.5</v>
      </c>
      <c r="M18" s="100"/>
    </row>
    <row r="19" spans="2:27">
      <c r="B19" s="65">
        <v>44105</v>
      </c>
      <c r="C19" s="326">
        <v>0</v>
      </c>
      <c r="D19" s="326">
        <v>25.04</v>
      </c>
      <c r="E19" s="326">
        <v>106.73</v>
      </c>
      <c r="F19" s="326">
        <v>909.06</v>
      </c>
      <c r="G19" s="326">
        <v>101.78</v>
      </c>
      <c r="H19" s="326">
        <v>-63.5</v>
      </c>
      <c r="I19" s="326">
        <v>20</v>
      </c>
      <c r="J19" s="326">
        <v>1099.78</v>
      </c>
      <c r="K19" s="326">
        <v>219.93</v>
      </c>
      <c r="L19" s="326">
        <v>-167.5</v>
      </c>
      <c r="M19" s="100"/>
    </row>
    <row r="20" spans="2:27">
      <c r="B20" s="65">
        <v>44136</v>
      </c>
      <c r="C20" s="326">
        <v>0</v>
      </c>
      <c r="D20" s="326">
        <v>29.93</v>
      </c>
      <c r="E20" s="326">
        <v>113.49</v>
      </c>
      <c r="F20" s="326">
        <v>986.17</v>
      </c>
      <c r="G20" s="326">
        <v>107.89</v>
      </c>
      <c r="H20" s="326">
        <v>-63.5</v>
      </c>
      <c r="I20" s="326">
        <v>20</v>
      </c>
      <c r="J20" s="326">
        <v>1200</v>
      </c>
      <c r="K20" s="326">
        <v>280</v>
      </c>
      <c r="L20" s="326">
        <v>-167.5</v>
      </c>
      <c r="M20" s="100"/>
    </row>
    <row r="21" spans="2:27">
      <c r="B21" s="65">
        <v>44166</v>
      </c>
      <c r="C21" s="326">
        <v>0</v>
      </c>
      <c r="D21" s="326">
        <v>39.54</v>
      </c>
      <c r="E21" s="326">
        <v>123.86</v>
      </c>
      <c r="F21" s="326">
        <v>1114.6300000000001</v>
      </c>
      <c r="G21" s="326">
        <v>146.46</v>
      </c>
      <c r="H21" s="326">
        <v>-63.5</v>
      </c>
      <c r="I21" s="326">
        <v>20.149999999999999</v>
      </c>
      <c r="J21" s="326">
        <v>1200</v>
      </c>
      <c r="K21" s="326">
        <v>280</v>
      </c>
      <c r="L21" s="326">
        <v>-167.5</v>
      </c>
      <c r="M21" s="100"/>
    </row>
    <row r="22" spans="2:27">
      <c r="B22" s="65">
        <v>44197</v>
      </c>
      <c r="C22" s="326">
        <v>0</v>
      </c>
      <c r="D22" s="326">
        <v>39.9</v>
      </c>
      <c r="E22" s="326">
        <v>126.58</v>
      </c>
      <c r="F22" s="326">
        <v>1085.31</v>
      </c>
      <c r="G22" s="326">
        <v>207.37</v>
      </c>
      <c r="H22" s="326">
        <v>-63.5</v>
      </c>
      <c r="I22" s="326">
        <v>50</v>
      </c>
      <c r="J22" s="326">
        <v>1240</v>
      </c>
      <c r="K22" s="326">
        <v>280</v>
      </c>
      <c r="L22" s="326">
        <v>-187.5</v>
      </c>
    </row>
    <row r="23" spans="2:27">
      <c r="B23" s="65">
        <v>44228</v>
      </c>
      <c r="C23" s="326">
        <v>0</v>
      </c>
      <c r="D23" s="326">
        <v>39.57</v>
      </c>
      <c r="E23" s="326">
        <v>115.68</v>
      </c>
      <c r="F23" s="326">
        <v>1155.8900000000001</v>
      </c>
      <c r="G23" s="326">
        <v>167.74</v>
      </c>
      <c r="H23" s="326">
        <v>-63.5</v>
      </c>
      <c r="I23" s="326">
        <v>70</v>
      </c>
      <c r="J23" s="326">
        <v>1280</v>
      </c>
      <c r="K23" s="326">
        <v>280</v>
      </c>
      <c r="L23" s="326">
        <v>-187.5</v>
      </c>
      <c r="M23" s="100"/>
    </row>
    <row r="24" spans="2:27">
      <c r="B24" s="65">
        <v>44256</v>
      </c>
      <c r="C24" s="326">
        <v>0</v>
      </c>
      <c r="D24" s="326">
        <v>39.35</v>
      </c>
      <c r="E24" s="326">
        <v>116.99</v>
      </c>
      <c r="F24" s="326">
        <v>1184.45</v>
      </c>
      <c r="G24" s="326">
        <v>203.1</v>
      </c>
      <c r="H24" s="326">
        <v>-63.5</v>
      </c>
      <c r="I24" s="326">
        <v>70</v>
      </c>
      <c r="J24" s="326">
        <v>1410</v>
      </c>
      <c r="K24" s="326">
        <v>320</v>
      </c>
      <c r="L24" s="326">
        <v>-187.5</v>
      </c>
      <c r="M24" s="100"/>
    </row>
    <row r="25" spans="2:27">
      <c r="B25" s="65">
        <v>44287</v>
      </c>
      <c r="C25" s="326">
        <v>0</v>
      </c>
      <c r="D25" s="326">
        <v>55.81</v>
      </c>
      <c r="E25" s="326">
        <v>134.31</v>
      </c>
      <c r="F25" s="326">
        <v>1277.46</v>
      </c>
      <c r="G25" s="326">
        <v>184.63</v>
      </c>
      <c r="H25" s="326">
        <v>-63.5</v>
      </c>
      <c r="I25" s="329">
        <v>115</v>
      </c>
      <c r="J25" s="326">
        <v>1520</v>
      </c>
      <c r="K25" s="326">
        <v>400</v>
      </c>
      <c r="L25" s="326">
        <v>-187.5</v>
      </c>
      <c r="M25" s="100"/>
    </row>
    <row r="26" spans="2:27">
      <c r="B26" s="65">
        <v>44317</v>
      </c>
      <c r="C26" s="66">
        <v>0</v>
      </c>
      <c r="D26" s="66">
        <v>55.19</v>
      </c>
      <c r="E26" s="66">
        <v>142.28</v>
      </c>
      <c r="F26" s="66">
        <v>1396.75</v>
      </c>
      <c r="G26" s="66">
        <v>142.28</v>
      </c>
      <c r="H26" s="326">
        <v>-63.5</v>
      </c>
      <c r="I26" s="66">
        <v>170</v>
      </c>
      <c r="J26" s="66">
        <v>1640</v>
      </c>
      <c r="K26" s="109">
        <v>660</v>
      </c>
      <c r="L26" s="326">
        <v>-187.5</v>
      </c>
      <c r="M26" s="100"/>
    </row>
    <row r="27" spans="2:27">
      <c r="B27" s="65">
        <v>44348</v>
      </c>
      <c r="C27" s="66">
        <v>0</v>
      </c>
      <c r="D27" s="66">
        <v>70.48</v>
      </c>
      <c r="E27" s="66">
        <v>155.07</v>
      </c>
      <c r="F27" s="66">
        <v>1434.66</v>
      </c>
      <c r="G27" s="66">
        <v>224.87</v>
      </c>
      <c r="H27" s="326">
        <v>-63.5</v>
      </c>
      <c r="I27" s="66">
        <v>300</v>
      </c>
      <c r="J27" s="66">
        <v>1800</v>
      </c>
      <c r="K27" s="109">
        <v>840</v>
      </c>
      <c r="L27" s="66">
        <v>-187.5</v>
      </c>
      <c r="M27" s="100"/>
    </row>
    <row r="28" spans="2:27">
      <c r="B28" s="65">
        <v>44378</v>
      </c>
      <c r="C28" s="66">
        <v>0</v>
      </c>
      <c r="D28" s="66">
        <v>90.44</v>
      </c>
      <c r="E28" s="66">
        <v>176.76</v>
      </c>
      <c r="F28" s="66">
        <v>1342.54</v>
      </c>
      <c r="G28" s="66">
        <v>247.32</v>
      </c>
      <c r="H28" s="326">
        <v>-63.5</v>
      </c>
      <c r="I28" s="66">
        <v>314.75</v>
      </c>
      <c r="J28" s="66">
        <v>1990</v>
      </c>
      <c r="K28" s="109">
        <v>1040</v>
      </c>
      <c r="L28" s="66">
        <v>-187.5</v>
      </c>
      <c r="M28" s="100"/>
    </row>
    <row r="29" spans="2:27">
      <c r="B29" s="65">
        <v>44409</v>
      </c>
      <c r="C29" s="329">
        <f>+C28</f>
        <v>0</v>
      </c>
      <c r="D29" s="329">
        <v>103.11</v>
      </c>
      <c r="E29" s="329">
        <v>197.7</v>
      </c>
      <c r="F29" s="329">
        <v>1530.03</v>
      </c>
      <c r="G29" s="329">
        <v>229.46</v>
      </c>
      <c r="H29" s="329">
        <f t="shared" ref="H29:L30" si="0">+H28</f>
        <v>-63.5</v>
      </c>
      <c r="I29" s="329">
        <v>333.16</v>
      </c>
      <c r="J29" s="329">
        <v>2040</v>
      </c>
      <c r="K29" s="329">
        <v>1050</v>
      </c>
      <c r="L29" s="329">
        <f t="shared" si="0"/>
        <v>-187.5</v>
      </c>
      <c r="M29" s="100"/>
    </row>
    <row r="30" spans="2:27" s="104" customFormat="1">
      <c r="B30" s="65">
        <v>44440</v>
      </c>
      <c r="C30" s="329">
        <f>+C29</f>
        <v>0</v>
      </c>
      <c r="D30" s="329">
        <v>115.1</v>
      </c>
      <c r="E30" s="329">
        <v>213.3</v>
      </c>
      <c r="F30" s="329">
        <v>1645.8</v>
      </c>
      <c r="G30" s="329">
        <v>209.96</v>
      </c>
      <c r="H30" s="329">
        <f t="shared" si="0"/>
        <v>-63.5</v>
      </c>
      <c r="I30" s="329">
        <v>348.64</v>
      </c>
      <c r="J30" s="329">
        <f t="shared" si="0"/>
        <v>2040</v>
      </c>
      <c r="K30" s="329">
        <f t="shared" si="0"/>
        <v>1050</v>
      </c>
      <c r="L30" s="329">
        <f t="shared" si="0"/>
        <v>-187.5</v>
      </c>
      <c r="M30" s="103"/>
      <c r="AA30" s="11"/>
    </row>
    <row r="31" spans="2:27" s="95" customFormat="1" ht="15">
      <c r="B31" s="95" t="s">
        <v>52</v>
      </c>
      <c r="C31" s="94">
        <f>AVERAGE(C7:C30)</f>
        <v>0</v>
      </c>
      <c r="D31" s="94">
        <f t="shared" ref="D31:L31" si="1">AVERAGE(D7:D30)</f>
        <v>26.204999999999998</v>
      </c>
      <c r="E31" s="94">
        <f t="shared" si="1"/>
        <v>110.58375000000001</v>
      </c>
      <c r="F31" s="94">
        <f t="shared" si="1"/>
        <v>1033.32375</v>
      </c>
      <c r="G31" s="94">
        <f t="shared" si="1"/>
        <v>135.31083333333333</v>
      </c>
      <c r="H31" s="94">
        <f t="shared" si="1"/>
        <v>-63.5</v>
      </c>
      <c r="I31" s="94">
        <f t="shared" si="1"/>
        <v>124.17083333333333</v>
      </c>
      <c r="J31" s="94">
        <f t="shared" si="1"/>
        <v>1183.0254166666666</v>
      </c>
      <c r="K31" s="94">
        <f t="shared" si="1"/>
        <v>354.16374999999999</v>
      </c>
      <c r="L31" s="94">
        <f t="shared" si="1"/>
        <v>-175</v>
      </c>
    </row>
    <row r="32" spans="2:27" ht="15">
      <c r="I32" s="94">
        <f>AVERAGE(I31:L31)</f>
        <v>371.59</v>
      </c>
      <c r="J32" s="95" t="s">
        <v>53</v>
      </c>
    </row>
    <row r="33" spans="2:23" ht="15">
      <c r="I33" s="94"/>
      <c r="J33" s="95"/>
      <c r="V33" s="94"/>
      <c r="W33" s="95"/>
    </row>
    <row r="34" spans="2:23" ht="15">
      <c r="I34" s="94"/>
      <c r="J34" s="95"/>
      <c r="V34" s="94"/>
      <c r="W34" s="95"/>
    </row>
    <row r="35" spans="2:23" ht="19.5">
      <c r="B35" s="581" t="s">
        <v>118</v>
      </c>
      <c r="C35" s="581"/>
      <c r="D35" s="581"/>
      <c r="E35" s="581"/>
      <c r="F35" s="581"/>
      <c r="G35" s="581"/>
      <c r="H35" s="581"/>
      <c r="I35" s="581"/>
      <c r="J35" s="581"/>
      <c r="K35" s="581"/>
      <c r="L35" s="581"/>
      <c r="V35" s="94"/>
      <c r="W35" s="95"/>
    </row>
    <row r="36" spans="2:23" ht="15">
      <c r="V36" s="94"/>
      <c r="W36" s="95"/>
    </row>
    <row r="37" spans="2:23" ht="15">
      <c r="B37" s="96"/>
      <c r="C37" s="582" t="s">
        <v>41</v>
      </c>
      <c r="D37" s="583"/>
      <c r="E37" s="583"/>
      <c r="F37" s="583"/>
      <c r="G37" s="583"/>
      <c r="H37" s="583"/>
      <c r="I37" s="583"/>
      <c r="J37" s="583"/>
      <c r="K37" s="583"/>
      <c r="L37" s="584"/>
      <c r="V37" s="94"/>
      <c r="W37" s="95"/>
    </row>
    <row r="38" spans="2:23" ht="15">
      <c r="B38" s="60"/>
      <c r="C38" s="61"/>
      <c r="D38" s="98"/>
      <c r="E38" s="98"/>
      <c r="F38" s="62"/>
      <c r="G38" s="98"/>
      <c r="H38" s="98"/>
      <c r="I38" s="98"/>
      <c r="J38" s="62" t="s">
        <v>42</v>
      </c>
      <c r="K38" s="62" t="s">
        <v>43</v>
      </c>
      <c r="L38" s="62" t="s">
        <v>44</v>
      </c>
      <c r="V38" s="94"/>
      <c r="W38" s="95"/>
    </row>
    <row r="39" spans="2:23" ht="15">
      <c r="B39" s="60" t="s">
        <v>45</v>
      </c>
      <c r="C39" s="63" t="s">
        <v>46</v>
      </c>
      <c r="D39" s="63" t="s">
        <v>47</v>
      </c>
      <c r="E39" s="63" t="s">
        <v>1</v>
      </c>
      <c r="F39" s="63" t="s">
        <v>48</v>
      </c>
      <c r="G39" s="63" t="s">
        <v>49</v>
      </c>
      <c r="H39" s="63" t="s">
        <v>2</v>
      </c>
      <c r="I39" s="63" t="s">
        <v>8</v>
      </c>
      <c r="J39" s="63" t="s">
        <v>50</v>
      </c>
      <c r="K39" s="63" t="s">
        <v>50</v>
      </c>
      <c r="L39" s="62" t="s">
        <v>51</v>
      </c>
      <c r="V39" s="94"/>
      <c r="W39" s="95"/>
    </row>
    <row r="40" spans="2:23" ht="15">
      <c r="B40" s="99"/>
      <c r="C40" s="64"/>
      <c r="D40" s="99"/>
      <c r="E40" s="99"/>
      <c r="F40" s="99"/>
      <c r="G40" s="99"/>
      <c r="H40" s="99"/>
      <c r="I40" s="99"/>
      <c r="J40" s="99"/>
      <c r="K40" s="99"/>
      <c r="L40" s="99"/>
      <c r="V40" s="94"/>
      <c r="W40" s="95"/>
    </row>
    <row r="41" spans="2:23" ht="15">
      <c r="B41" s="65">
        <v>43739</v>
      </c>
      <c r="C41" s="318">
        <v>0</v>
      </c>
      <c r="D41" s="318">
        <v>5.74</v>
      </c>
      <c r="E41" s="318">
        <v>65.28</v>
      </c>
      <c r="F41" s="318">
        <v>908.42</v>
      </c>
      <c r="G41" s="318">
        <v>87.32</v>
      </c>
      <c r="H41" s="92">
        <v>-63.5</v>
      </c>
      <c r="I41" s="318">
        <v>88.05</v>
      </c>
      <c r="J41" s="318">
        <v>790</v>
      </c>
      <c r="K41" s="318">
        <v>239.85</v>
      </c>
      <c r="L41" s="318">
        <v>-187.5</v>
      </c>
      <c r="V41" s="94"/>
      <c r="W41" s="95"/>
    </row>
    <row r="42" spans="2:23" ht="15">
      <c r="B42" s="65">
        <v>43770</v>
      </c>
      <c r="C42" s="318">
        <v>0</v>
      </c>
      <c r="D42" s="318">
        <v>-3.75</v>
      </c>
      <c r="E42" s="318">
        <v>62.34</v>
      </c>
      <c r="F42" s="318">
        <v>850.71</v>
      </c>
      <c r="G42" s="318">
        <v>96.2</v>
      </c>
      <c r="H42" s="92">
        <v>-63.5</v>
      </c>
      <c r="I42" s="318">
        <v>79</v>
      </c>
      <c r="J42" s="318">
        <v>860</v>
      </c>
      <c r="K42" s="318">
        <v>310</v>
      </c>
      <c r="L42" s="318">
        <v>-187.5</v>
      </c>
      <c r="V42" s="94"/>
      <c r="W42" s="95"/>
    </row>
    <row r="43" spans="2:23" ht="15">
      <c r="B43" s="65">
        <v>43800</v>
      </c>
      <c r="C43" s="318">
        <v>0</v>
      </c>
      <c r="D43" s="318">
        <v>2.31</v>
      </c>
      <c r="E43" s="318">
        <v>59.14</v>
      </c>
      <c r="F43" s="318">
        <v>860.47</v>
      </c>
      <c r="G43" s="318">
        <v>109.31</v>
      </c>
      <c r="H43" s="92">
        <v>-63.5</v>
      </c>
      <c r="I43" s="318">
        <v>152.85</v>
      </c>
      <c r="J43" s="318">
        <v>938.43</v>
      </c>
      <c r="K43" s="318">
        <v>260</v>
      </c>
      <c r="L43" s="318">
        <v>-187.5</v>
      </c>
      <c r="V43" s="94"/>
      <c r="W43" s="95"/>
    </row>
    <row r="44" spans="2:23" ht="15">
      <c r="B44" s="65">
        <v>43831</v>
      </c>
      <c r="C44" s="92">
        <v>0</v>
      </c>
      <c r="D44" s="92">
        <v>-0.11</v>
      </c>
      <c r="E44" s="92">
        <v>66.25</v>
      </c>
      <c r="F44" s="92">
        <v>864.23</v>
      </c>
      <c r="G44" s="92">
        <v>126.19</v>
      </c>
      <c r="H44" s="92">
        <v>-63.5</v>
      </c>
      <c r="I44" s="92">
        <v>180</v>
      </c>
      <c r="J44" s="92">
        <v>1030</v>
      </c>
      <c r="K44" s="92">
        <v>260</v>
      </c>
      <c r="L44" s="318">
        <v>-187.5</v>
      </c>
      <c r="V44" s="94"/>
      <c r="W44" s="95"/>
    </row>
    <row r="45" spans="2:23" ht="15">
      <c r="B45" s="65">
        <v>43862</v>
      </c>
      <c r="C45" s="92">
        <v>0</v>
      </c>
      <c r="D45" s="92">
        <v>2.08</v>
      </c>
      <c r="E45" s="92">
        <v>78.12</v>
      </c>
      <c r="F45" s="92">
        <v>799.14</v>
      </c>
      <c r="G45" s="92">
        <v>110.02</v>
      </c>
      <c r="H45" s="92">
        <v>-63.5</v>
      </c>
      <c r="I45" s="92">
        <v>180</v>
      </c>
      <c r="J45" s="92">
        <v>1072.69</v>
      </c>
      <c r="K45" s="92">
        <v>160</v>
      </c>
      <c r="L45" s="92">
        <v>-187.5</v>
      </c>
      <c r="V45" s="94"/>
      <c r="W45" s="95"/>
    </row>
    <row r="46" spans="2:23" ht="15">
      <c r="B46" s="65">
        <v>43891</v>
      </c>
      <c r="C46" s="92">
        <v>0</v>
      </c>
      <c r="D46" s="92">
        <v>-17.27</v>
      </c>
      <c r="E46" s="92">
        <v>82.04</v>
      </c>
      <c r="F46" s="92">
        <v>832.47</v>
      </c>
      <c r="G46" s="92">
        <v>119.1</v>
      </c>
      <c r="H46" s="92">
        <v>-63.5</v>
      </c>
      <c r="I46" s="92">
        <v>180</v>
      </c>
      <c r="J46" s="92">
        <v>649.80999999999995</v>
      </c>
      <c r="K46" s="92">
        <v>150</v>
      </c>
      <c r="L46" s="92">
        <v>-187.5</v>
      </c>
      <c r="V46" s="94"/>
      <c r="W46" s="95"/>
    </row>
    <row r="47" spans="2:23" ht="15">
      <c r="B47" s="65">
        <v>43922</v>
      </c>
      <c r="C47" s="92">
        <v>0</v>
      </c>
      <c r="D47" s="92">
        <v>-10.76</v>
      </c>
      <c r="E47" s="92">
        <v>84.21</v>
      </c>
      <c r="F47" s="92">
        <v>813.28</v>
      </c>
      <c r="G47" s="92">
        <v>78.25</v>
      </c>
      <c r="H47" s="92">
        <v>-63.5</v>
      </c>
      <c r="I47" s="92">
        <v>150</v>
      </c>
      <c r="J47" s="92">
        <v>680</v>
      </c>
      <c r="K47" s="92">
        <v>60</v>
      </c>
      <c r="L47" s="92">
        <v>-187.5</v>
      </c>
      <c r="V47" s="94"/>
      <c r="W47" s="95"/>
    </row>
    <row r="48" spans="2:23" ht="15">
      <c r="B48" s="65">
        <v>43952</v>
      </c>
      <c r="C48" s="92">
        <v>0</v>
      </c>
      <c r="D48" s="92">
        <v>-5.37</v>
      </c>
      <c r="E48" s="92">
        <v>110.43</v>
      </c>
      <c r="F48" s="92">
        <v>693.51</v>
      </c>
      <c r="G48" s="92">
        <v>90.06</v>
      </c>
      <c r="H48" s="92">
        <v>-63.5</v>
      </c>
      <c r="I48" s="92">
        <v>130</v>
      </c>
      <c r="J48" s="92">
        <v>640</v>
      </c>
      <c r="K48" s="92">
        <v>60</v>
      </c>
      <c r="L48" s="92">
        <v>-187.5</v>
      </c>
      <c r="V48" s="94"/>
      <c r="W48" s="95"/>
    </row>
    <row r="49" spans="2:23" ht="15">
      <c r="B49" s="65">
        <v>43983</v>
      </c>
      <c r="C49" s="92">
        <v>0</v>
      </c>
      <c r="D49" s="92">
        <v>2.2599999999999998</v>
      </c>
      <c r="E49" s="92">
        <v>77.239999999999995</v>
      </c>
      <c r="F49" s="92">
        <v>731.99</v>
      </c>
      <c r="G49" s="92">
        <v>94.5</v>
      </c>
      <c r="H49" s="92">
        <v>-63.5</v>
      </c>
      <c r="I49" s="92">
        <v>88.62</v>
      </c>
      <c r="J49" s="92">
        <v>709.87</v>
      </c>
      <c r="K49" s="92">
        <v>60</v>
      </c>
      <c r="L49" s="92">
        <v>-187.5</v>
      </c>
      <c r="V49" s="94"/>
      <c r="W49" s="95"/>
    </row>
    <row r="50" spans="2:23" ht="15">
      <c r="B50" s="65">
        <v>44013</v>
      </c>
      <c r="C50" s="92">
        <v>0</v>
      </c>
      <c r="D50" s="92">
        <v>6.43</v>
      </c>
      <c r="E50" s="92">
        <v>82.82</v>
      </c>
      <c r="F50" s="92">
        <v>810.19</v>
      </c>
      <c r="G50" s="92">
        <v>89.83</v>
      </c>
      <c r="H50" s="92">
        <v>-63.5</v>
      </c>
      <c r="I50" s="92">
        <v>77.11</v>
      </c>
      <c r="J50" s="92">
        <v>735</v>
      </c>
      <c r="K50" s="92">
        <v>60</v>
      </c>
      <c r="L50" s="92">
        <v>-187.5</v>
      </c>
      <c r="V50" s="94"/>
      <c r="W50" s="95"/>
    </row>
    <row r="51" spans="2:23" ht="15">
      <c r="B51" s="65">
        <v>44044</v>
      </c>
      <c r="C51" s="92">
        <v>0</v>
      </c>
      <c r="D51" s="92">
        <v>10.63</v>
      </c>
      <c r="E51" s="92">
        <v>88.36</v>
      </c>
      <c r="F51" s="92">
        <v>881.39</v>
      </c>
      <c r="G51" s="92">
        <v>100.29</v>
      </c>
      <c r="H51" s="92">
        <v>-63.5</v>
      </c>
      <c r="I51" s="92">
        <v>42</v>
      </c>
      <c r="J51" s="92">
        <v>781.32</v>
      </c>
      <c r="K51" s="92">
        <v>60</v>
      </c>
      <c r="L51" s="92">
        <v>-187.5</v>
      </c>
      <c r="V51" s="94"/>
      <c r="W51" s="95"/>
    </row>
    <row r="52" spans="2:23" ht="15">
      <c r="B52" s="65">
        <v>44075</v>
      </c>
      <c r="C52" s="92">
        <v>0</v>
      </c>
      <c r="D52" s="92">
        <v>21.56</v>
      </c>
      <c r="E52" s="92">
        <v>97.72</v>
      </c>
      <c r="F52" s="92">
        <v>878.12</v>
      </c>
      <c r="G52" s="92">
        <v>114.02</v>
      </c>
      <c r="H52" s="92">
        <v>-63.5</v>
      </c>
      <c r="I52" s="92">
        <v>20</v>
      </c>
      <c r="J52" s="92">
        <v>950</v>
      </c>
      <c r="K52" s="92">
        <v>100</v>
      </c>
      <c r="L52" s="92">
        <v>-187.5</v>
      </c>
      <c r="V52" s="94"/>
      <c r="W52" s="95"/>
    </row>
    <row r="53" spans="2:23" ht="15">
      <c r="B53" s="65">
        <v>44105</v>
      </c>
      <c r="C53" s="326">
        <v>0</v>
      </c>
      <c r="D53" s="326">
        <v>36.94</v>
      </c>
      <c r="E53" s="326">
        <v>99.28</v>
      </c>
      <c r="F53" s="326">
        <v>857.11</v>
      </c>
      <c r="G53" s="326">
        <v>114.8</v>
      </c>
      <c r="H53" s="326">
        <v>-63.5</v>
      </c>
      <c r="I53" s="326">
        <v>20</v>
      </c>
      <c r="J53" s="326">
        <v>1120</v>
      </c>
      <c r="K53" s="326">
        <v>220</v>
      </c>
      <c r="L53" s="326">
        <v>-187.5</v>
      </c>
      <c r="V53" s="94"/>
      <c r="W53" s="95"/>
    </row>
    <row r="54" spans="2:23" ht="15">
      <c r="B54" s="65">
        <v>44136</v>
      </c>
      <c r="C54" s="326">
        <v>0</v>
      </c>
      <c r="D54" s="326">
        <v>40.090000000000003</v>
      </c>
      <c r="E54" s="326">
        <v>105.55</v>
      </c>
      <c r="F54" s="326">
        <v>1028.23</v>
      </c>
      <c r="G54" s="326">
        <v>120.59</v>
      </c>
      <c r="H54" s="326">
        <v>-63.5</v>
      </c>
      <c r="I54" s="326">
        <v>45.04</v>
      </c>
      <c r="J54" s="326">
        <v>1200</v>
      </c>
      <c r="K54" s="326">
        <v>280</v>
      </c>
      <c r="L54" s="326">
        <v>-187.5</v>
      </c>
      <c r="V54" s="94"/>
      <c r="W54" s="95"/>
    </row>
    <row r="55" spans="2:23" ht="15">
      <c r="B55" s="65">
        <v>44166</v>
      </c>
      <c r="C55" s="326">
        <v>0</v>
      </c>
      <c r="D55" s="326">
        <v>48.15</v>
      </c>
      <c r="E55" s="326">
        <v>114.62</v>
      </c>
      <c r="F55" s="326">
        <v>1112.5899999999999</v>
      </c>
      <c r="G55" s="326">
        <v>161.34</v>
      </c>
      <c r="H55" s="326">
        <v>-63.5</v>
      </c>
      <c r="I55" s="326">
        <v>47.73</v>
      </c>
      <c r="J55" s="326">
        <v>1200</v>
      </c>
      <c r="K55" s="326">
        <v>280</v>
      </c>
      <c r="L55" s="326">
        <v>-187.5</v>
      </c>
      <c r="V55" s="94"/>
      <c r="W55" s="95"/>
    </row>
    <row r="56" spans="2:23" ht="15">
      <c r="B56" s="65">
        <v>44197</v>
      </c>
      <c r="C56" s="92">
        <v>0</v>
      </c>
      <c r="D56" s="92">
        <v>43.98</v>
      </c>
      <c r="E56" s="92">
        <v>112.5</v>
      </c>
      <c r="F56" s="92">
        <v>1102.0899999999999</v>
      </c>
      <c r="G56" s="92">
        <v>219.63</v>
      </c>
      <c r="H56" s="326">
        <v>-63.5</v>
      </c>
      <c r="I56" s="92">
        <v>60.71</v>
      </c>
      <c r="J56" s="92">
        <v>1240</v>
      </c>
      <c r="K56" s="92">
        <v>280</v>
      </c>
      <c r="L56" s="92">
        <v>-187.5</v>
      </c>
      <c r="V56" s="94"/>
      <c r="W56" s="95"/>
    </row>
    <row r="57" spans="2:23" ht="15">
      <c r="B57" s="65">
        <v>44228</v>
      </c>
      <c r="C57" s="92">
        <v>0</v>
      </c>
      <c r="D57" s="92">
        <v>44.95</v>
      </c>
      <c r="E57" s="92">
        <v>110.86</v>
      </c>
      <c r="F57" s="92">
        <v>1111.52</v>
      </c>
      <c r="G57" s="92">
        <v>176.15</v>
      </c>
      <c r="H57" s="326">
        <v>-63.5</v>
      </c>
      <c r="I57" s="92">
        <v>68.83</v>
      </c>
      <c r="J57" s="92">
        <v>1280</v>
      </c>
      <c r="K57" s="92">
        <v>280</v>
      </c>
      <c r="L57" s="92">
        <v>-187.5</v>
      </c>
      <c r="V57" s="94"/>
      <c r="W57" s="95"/>
    </row>
    <row r="58" spans="2:23" ht="15">
      <c r="B58" s="65">
        <v>44256</v>
      </c>
      <c r="C58" s="326">
        <v>0</v>
      </c>
      <c r="D58" s="326">
        <v>49.97</v>
      </c>
      <c r="E58" s="326">
        <v>114.37</v>
      </c>
      <c r="F58" s="326">
        <v>1234.18</v>
      </c>
      <c r="G58" s="326">
        <v>211.97</v>
      </c>
      <c r="H58" s="326">
        <v>-63.5</v>
      </c>
      <c r="I58" s="326">
        <v>105.64</v>
      </c>
      <c r="J58" s="326">
        <v>1410</v>
      </c>
      <c r="K58" s="326">
        <v>320</v>
      </c>
      <c r="L58" s="326">
        <v>-187.5</v>
      </c>
      <c r="V58" s="94"/>
      <c r="W58" s="95"/>
    </row>
    <row r="59" spans="2:23" ht="15">
      <c r="B59" s="65">
        <v>44287</v>
      </c>
      <c r="C59" s="66">
        <v>0</v>
      </c>
      <c r="D59" s="66">
        <v>66.25</v>
      </c>
      <c r="E59" s="66">
        <v>122.67</v>
      </c>
      <c r="F59" s="66">
        <v>1371.16</v>
      </c>
      <c r="G59" s="66">
        <v>192.74</v>
      </c>
      <c r="H59" s="326">
        <v>-63.5</v>
      </c>
      <c r="I59" s="66">
        <v>122.4</v>
      </c>
      <c r="J59" s="92">
        <v>1520</v>
      </c>
      <c r="K59" s="92">
        <v>400</v>
      </c>
      <c r="L59" s="326">
        <v>-187.5</v>
      </c>
      <c r="V59" s="94"/>
      <c r="W59" s="95"/>
    </row>
    <row r="60" spans="2:23" ht="15">
      <c r="B60" s="65">
        <v>44317</v>
      </c>
      <c r="C60" s="66">
        <v>0</v>
      </c>
      <c r="D60" s="66">
        <v>70.36</v>
      </c>
      <c r="E60" s="66">
        <v>124.17</v>
      </c>
      <c r="F60" s="66">
        <v>1290.49</v>
      </c>
      <c r="G60" s="66">
        <v>202.59</v>
      </c>
      <c r="H60" s="326">
        <v>-63.5</v>
      </c>
      <c r="I60" s="66">
        <v>153.28</v>
      </c>
      <c r="J60" s="66">
        <v>1640</v>
      </c>
      <c r="K60" s="109">
        <v>660</v>
      </c>
      <c r="L60" s="326">
        <v>-187.5</v>
      </c>
      <c r="V60" s="94"/>
      <c r="W60" s="95"/>
    </row>
    <row r="61" spans="2:23" ht="15">
      <c r="B61" s="65">
        <v>44348</v>
      </c>
      <c r="C61" s="66">
        <v>0</v>
      </c>
      <c r="D61" s="66">
        <v>67.59</v>
      </c>
      <c r="E61" s="66">
        <v>144.74</v>
      </c>
      <c r="F61" s="66">
        <v>1306.74</v>
      </c>
      <c r="G61" s="66">
        <v>227.38</v>
      </c>
      <c r="H61" s="326">
        <v>-63.5</v>
      </c>
      <c r="I61" s="66">
        <v>303.76</v>
      </c>
      <c r="J61" s="66">
        <v>1800</v>
      </c>
      <c r="K61" s="109">
        <v>840</v>
      </c>
      <c r="L61" s="66">
        <v>-187.5</v>
      </c>
      <c r="V61" s="94"/>
      <c r="W61" s="95"/>
    </row>
    <row r="62" spans="2:23" ht="15">
      <c r="B62" s="65">
        <v>44378</v>
      </c>
      <c r="C62" s="66">
        <v>0</v>
      </c>
      <c r="D62" s="66">
        <v>112.12</v>
      </c>
      <c r="E62" s="66">
        <v>159.79</v>
      </c>
      <c r="F62" s="66">
        <v>1491.81</v>
      </c>
      <c r="G62" s="66">
        <v>250.51</v>
      </c>
      <c r="H62" s="326">
        <v>-63.5</v>
      </c>
      <c r="I62" s="66">
        <v>368.13</v>
      </c>
      <c r="J62" s="66">
        <v>1990</v>
      </c>
      <c r="K62" s="109">
        <v>1040</v>
      </c>
      <c r="L62" s="66">
        <v>-187.5</v>
      </c>
      <c r="V62" s="94"/>
      <c r="W62" s="95"/>
    </row>
    <row r="63" spans="2:23" ht="15">
      <c r="B63" s="65">
        <v>44409</v>
      </c>
      <c r="C63" s="329">
        <f>+C62</f>
        <v>0</v>
      </c>
      <c r="D63" s="329">
        <v>123.46</v>
      </c>
      <c r="E63" s="329">
        <v>182.84</v>
      </c>
      <c r="F63" s="329">
        <v>1605.21</v>
      </c>
      <c r="G63" s="329">
        <v>234.59</v>
      </c>
      <c r="H63" s="329">
        <f t="shared" ref="H63:L64" si="2">+H62</f>
        <v>-63.5</v>
      </c>
      <c r="I63" s="329">
        <v>299</v>
      </c>
      <c r="J63" s="329">
        <v>2040</v>
      </c>
      <c r="K63" s="329">
        <v>1050</v>
      </c>
      <c r="L63" s="329">
        <f t="shared" si="2"/>
        <v>-187.5</v>
      </c>
      <c r="V63" s="94"/>
      <c r="W63" s="95"/>
    </row>
    <row r="64" spans="2:23" ht="15">
      <c r="B64" s="65">
        <v>44440</v>
      </c>
      <c r="C64" s="329">
        <f>+C63</f>
        <v>0</v>
      </c>
      <c r="D64" s="329">
        <v>130.35</v>
      </c>
      <c r="E64" s="329">
        <v>180.19</v>
      </c>
      <c r="F64" s="329">
        <v>1692.65</v>
      </c>
      <c r="G64" s="329">
        <v>214.68</v>
      </c>
      <c r="H64" s="329">
        <f t="shared" si="2"/>
        <v>-63.5</v>
      </c>
      <c r="I64" s="329">
        <v>341.37</v>
      </c>
      <c r="J64" s="329">
        <f t="shared" si="2"/>
        <v>2040</v>
      </c>
      <c r="K64" s="329">
        <f t="shared" si="2"/>
        <v>1050</v>
      </c>
      <c r="L64" s="329">
        <f t="shared" si="2"/>
        <v>-187.5</v>
      </c>
      <c r="V64" s="94"/>
      <c r="W64" s="95"/>
    </row>
    <row r="65" spans="1:23" ht="15">
      <c r="B65" s="95" t="s">
        <v>52</v>
      </c>
      <c r="C65" s="94">
        <f>AVERAGE(C41:C64)</f>
        <v>0</v>
      </c>
      <c r="D65" s="94">
        <f t="shared" ref="D65:L65" si="3">AVERAGE(D41:D64)</f>
        <v>35.331666666666671</v>
      </c>
      <c r="E65" s="94">
        <f t="shared" si="3"/>
        <v>105.2304166666667</v>
      </c>
      <c r="F65" s="94">
        <f t="shared" si="3"/>
        <v>1046.9875000000004</v>
      </c>
      <c r="G65" s="94">
        <f t="shared" si="3"/>
        <v>147.58583333333334</v>
      </c>
      <c r="H65" s="94">
        <f t="shared" si="3"/>
        <v>-63.5</v>
      </c>
      <c r="I65" s="94">
        <f t="shared" si="3"/>
        <v>137.64666666666668</v>
      </c>
      <c r="J65" s="94">
        <f t="shared" si="3"/>
        <v>1179.8800000000001</v>
      </c>
      <c r="K65" s="94">
        <f t="shared" si="3"/>
        <v>353.32708333333335</v>
      </c>
      <c r="L65" s="94">
        <f t="shared" si="3"/>
        <v>-187.5</v>
      </c>
      <c r="V65" s="94"/>
      <c r="W65" s="95"/>
    </row>
    <row r="66" spans="1:23" ht="15">
      <c r="I66" s="94">
        <f>AVERAGE(I65:L65)</f>
        <v>370.83843750000005</v>
      </c>
      <c r="J66" s="95" t="s">
        <v>53</v>
      </c>
      <c r="V66" s="94"/>
      <c r="W66" s="95"/>
    </row>
    <row r="67" spans="1:23" ht="15">
      <c r="I67" s="94"/>
      <c r="J67" s="95"/>
      <c r="V67" s="94"/>
      <c r="W67" s="95"/>
    </row>
    <row r="68" spans="1:23">
      <c r="A68" s="1" t="s">
        <v>223</v>
      </c>
      <c r="B68" s="1"/>
      <c r="C68" s="305">
        <f>+'Customer Counts - Enspire'!K37+'Customer Counts - Enspire'!K38</f>
        <v>0.86970061782094066</v>
      </c>
      <c r="D68" s="93"/>
      <c r="E68" s="93"/>
      <c r="F68" s="93"/>
      <c r="G68" s="93"/>
      <c r="H68" s="93"/>
      <c r="I68" s="93"/>
      <c r="J68" s="93"/>
      <c r="K68" s="93"/>
      <c r="L68" s="93"/>
      <c r="M68" s="93"/>
    </row>
    <row r="69" spans="1:23">
      <c r="A69" s="1" t="s">
        <v>224</v>
      </c>
      <c r="B69" s="1"/>
      <c r="C69" s="305">
        <f>1-C68</f>
        <v>0.13029938217905934</v>
      </c>
      <c r="D69" s="93"/>
      <c r="E69" s="93"/>
      <c r="F69" s="93"/>
      <c r="G69" s="93"/>
      <c r="H69" s="93"/>
      <c r="I69" s="93"/>
      <c r="J69" s="93"/>
      <c r="K69" s="93"/>
      <c r="L69" s="93"/>
      <c r="M69" s="93"/>
    </row>
    <row r="70" spans="1:23">
      <c r="A70" s="1"/>
      <c r="B70" s="1"/>
      <c r="C70" s="305"/>
      <c r="D70" s="93"/>
      <c r="E70" s="93"/>
      <c r="F70" s="93"/>
      <c r="G70" s="93"/>
      <c r="H70" s="93"/>
      <c r="I70" s="93"/>
      <c r="J70" s="93"/>
      <c r="K70" s="93"/>
      <c r="L70" s="93"/>
      <c r="M70" s="93"/>
    </row>
    <row r="71" spans="1:23">
      <c r="A71" s="325"/>
      <c r="C71" s="93"/>
      <c r="D71" s="93"/>
      <c r="E71" s="93"/>
      <c r="F71" s="93"/>
      <c r="G71" s="93"/>
      <c r="H71" s="93"/>
      <c r="I71" s="93"/>
      <c r="J71" s="93"/>
      <c r="K71" s="93"/>
      <c r="L71" s="93"/>
      <c r="M71" s="93"/>
    </row>
    <row r="72" spans="1:23">
      <c r="B72" s="105" t="s">
        <v>54</v>
      </c>
    </row>
    <row r="73" spans="1:23">
      <c r="B73" s="11" t="s">
        <v>220</v>
      </c>
      <c r="C73" s="106"/>
      <c r="D73" s="106">
        <f t="shared" ref="D73:L73" si="4">+D170</f>
        <v>0.30872960409494554</v>
      </c>
      <c r="E73" s="106">
        <f t="shared" si="4"/>
        <v>0.2669492234757726</v>
      </c>
      <c r="F73" s="106">
        <f t="shared" si="4"/>
        <v>7.804430674405032E-3</v>
      </c>
      <c r="G73" s="106">
        <f t="shared" si="4"/>
        <v>1.0687020161069373E-2</v>
      </c>
      <c r="H73" s="106">
        <f t="shared" si="4"/>
        <v>0.22715955779516506</v>
      </c>
      <c r="I73" s="106">
        <f t="shared" si="4"/>
        <v>5.2497654280706102E-3</v>
      </c>
      <c r="J73" s="106">
        <f t="shared" si="4"/>
        <v>3.6933257247186236E-3</v>
      </c>
      <c r="K73" s="106">
        <f t="shared" si="4"/>
        <v>3.7445714499941187E-3</v>
      </c>
      <c r="L73" s="106">
        <f t="shared" si="4"/>
        <v>2.7505360170524281E-3</v>
      </c>
      <c r="M73" s="101">
        <f>SUM(C73:L73)</f>
        <v>0.83676803482119333</v>
      </c>
      <c r="N73" s="116"/>
    </row>
    <row r="74" spans="1:23">
      <c r="C74" s="107">
        <f t="shared" ref="C74:L74" si="5">+C73*$M74</f>
        <v>0</v>
      </c>
      <c r="D74" s="107">
        <f t="shared" si="5"/>
        <v>1164.3428288836776</v>
      </c>
      <c r="E74" s="107">
        <f t="shared" si="5"/>
        <v>1006.7723014165288</v>
      </c>
      <c r="F74" s="107">
        <f t="shared" si="5"/>
        <v>29.43362984545114</v>
      </c>
      <c r="G74" s="107">
        <f t="shared" si="5"/>
        <v>40.305027835457032</v>
      </c>
      <c r="H74" s="107">
        <f t="shared" si="5"/>
        <v>856.70955626868556</v>
      </c>
      <c r="I74" s="107">
        <f t="shared" si="5"/>
        <v>19.7989653354255</v>
      </c>
      <c r="J74" s="107">
        <f t="shared" si="5"/>
        <v>13.929008638203817</v>
      </c>
      <c r="K74" s="107">
        <f t="shared" si="5"/>
        <v>14.12227676650782</v>
      </c>
      <c r="L74" s="107">
        <f t="shared" si="5"/>
        <v>10.373371534711527</v>
      </c>
      <c r="M74" s="102">
        <f>+'2020-2021 Recy. Tons &amp; Revenue'!$C$7</f>
        <v>3771.4</v>
      </c>
      <c r="N74" s="116"/>
      <c r="O74" s="102"/>
      <c r="P74" s="102"/>
    </row>
    <row r="75" spans="1:23">
      <c r="C75" s="70"/>
      <c r="D75" s="70">
        <f>+$C$68*D74*D7+D74*D41*$C$69</f>
        <v>-8313.717687989687</v>
      </c>
      <c r="E75" s="70">
        <f t="shared" ref="E75:L75" si="6">+$C$68*E74*E7+E74*E41*$C$69</f>
        <v>53954.159616639787</v>
      </c>
      <c r="F75" s="70">
        <f t="shared" si="6"/>
        <v>26411.2058680019</v>
      </c>
      <c r="G75" s="70">
        <f t="shared" si="6"/>
        <v>3065.8452301214616</v>
      </c>
      <c r="H75" s="70">
        <f t="shared" si="6"/>
        <v>-54401.056823061524</v>
      </c>
      <c r="I75" s="70">
        <f t="shared" si="6"/>
        <v>1668.7398813596119</v>
      </c>
      <c r="J75" s="70">
        <f t="shared" si="6"/>
        <v>11204.889202650265</v>
      </c>
      <c r="K75" s="70">
        <f t="shared" si="6"/>
        <v>3634.7134619486346</v>
      </c>
      <c r="L75" s="70">
        <f t="shared" si="6"/>
        <v>-1764.5726101059158</v>
      </c>
      <c r="M75" s="102">
        <f>SUM(C75:L75)</f>
        <v>35460.206139564521</v>
      </c>
      <c r="N75" s="116"/>
    </row>
    <row r="76" spans="1:23">
      <c r="C76" s="106"/>
      <c r="D76" s="156"/>
      <c r="E76" s="106"/>
      <c r="F76" s="106"/>
      <c r="G76" s="106"/>
      <c r="H76" s="106"/>
      <c r="I76" s="106"/>
      <c r="J76" s="106"/>
      <c r="K76" s="106"/>
      <c r="L76" s="106"/>
      <c r="N76" s="116"/>
    </row>
    <row r="77" spans="1:23">
      <c r="B77" s="11" t="s">
        <v>56</v>
      </c>
      <c r="C77" s="106"/>
      <c r="D77" s="106">
        <f t="shared" ref="D77:L77" si="7">+D174</f>
        <v>0.35549842167274731</v>
      </c>
      <c r="E77" s="106">
        <f t="shared" si="7"/>
        <v>0.25670093848202374</v>
      </c>
      <c r="F77" s="106">
        <f t="shared" si="7"/>
        <v>1.1865578135265864E-2</v>
      </c>
      <c r="G77" s="106">
        <f t="shared" si="7"/>
        <v>7.1222620684243893E-3</v>
      </c>
      <c r="H77" s="106">
        <f t="shared" si="7"/>
        <v>0.17046225865716313</v>
      </c>
      <c r="I77" s="106">
        <f t="shared" si="7"/>
        <v>8.0366515091929384E-3</v>
      </c>
      <c r="J77" s="106">
        <f t="shared" si="7"/>
        <v>2.6353426422411302E-3</v>
      </c>
      <c r="K77" s="106">
        <f t="shared" si="7"/>
        <v>4.7239701733053155E-3</v>
      </c>
      <c r="L77" s="106">
        <f t="shared" si="7"/>
        <v>2.8336807193065573E-3</v>
      </c>
      <c r="M77" s="101">
        <f>SUM(C77:L77)</f>
        <v>0.81987910405967035</v>
      </c>
      <c r="N77" s="116"/>
    </row>
    <row r="78" spans="1:23">
      <c r="C78" s="107">
        <f t="shared" ref="C78:L78" si="8">+C77*$M78</f>
        <v>0</v>
      </c>
      <c r="D78" s="107">
        <f t="shared" si="8"/>
        <v>1226.0074068228039</v>
      </c>
      <c r="E78" s="107">
        <f t="shared" si="8"/>
        <v>885.28452654295552</v>
      </c>
      <c r="F78" s="107">
        <f t="shared" si="8"/>
        <v>40.920819315091393</v>
      </c>
      <c r="G78" s="107">
        <f t="shared" si="8"/>
        <v>24.562545195375197</v>
      </c>
      <c r="H78" s="107">
        <f t="shared" si="8"/>
        <v>587.87319143095863</v>
      </c>
      <c r="I78" s="107">
        <f t="shared" si="8"/>
        <v>27.716000059753693</v>
      </c>
      <c r="J78" s="107">
        <f t="shared" si="8"/>
        <v>9.0885061702969878</v>
      </c>
      <c r="K78" s="107">
        <f t="shared" si="8"/>
        <v>16.291555936678044</v>
      </c>
      <c r="L78" s="107">
        <f t="shared" si="8"/>
        <v>9.7725146966725269</v>
      </c>
      <c r="M78" s="102">
        <f>+'2020-2021 Recy. Tons &amp; Revenue'!$C$8</f>
        <v>3448.7000000000007</v>
      </c>
      <c r="N78" s="116"/>
      <c r="O78" s="102"/>
      <c r="P78" s="102"/>
    </row>
    <row r="79" spans="1:23">
      <c r="C79" s="70"/>
      <c r="D79" s="70">
        <f t="shared" ref="D79:L79" si="9">+$C$68*D78*D8+D78*D42*$C$69</f>
        <v>-14257.837932037102</v>
      </c>
      <c r="E79" s="70">
        <f t="shared" si="9"/>
        <v>46904.163688112458</v>
      </c>
      <c r="F79" s="70">
        <f t="shared" si="9"/>
        <v>31372.442591316645</v>
      </c>
      <c r="G79" s="70">
        <f t="shared" si="9"/>
        <v>2057.439379332176</v>
      </c>
      <c r="H79" s="70">
        <f t="shared" si="9"/>
        <v>-37329.947655865872</v>
      </c>
      <c r="I79" s="70">
        <f t="shared" si="9"/>
        <v>2218.2485053473783</v>
      </c>
      <c r="J79" s="70">
        <f t="shared" si="9"/>
        <v>7816.1153064554092</v>
      </c>
      <c r="K79" s="70">
        <f t="shared" si="9"/>
        <v>5050.3823403701936</v>
      </c>
      <c r="L79" s="70">
        <f t="shared" si="9"/>
        <v>-1662.3632642388923</v>
      </c>
      <c r="M79" s="102">
        <f>SUM(C79:L79)</f>
        <v>42168.642958792399</v>
      </c>
      <c r="N79" s="116"/>
    </row>
    <row r="80" spans="1:23">
      <c r="N80" s="116"/>
    </row>
    <row r="81" spans="2:16">
      <c r="B81" s="11" t="s">
        <v>57</v>
      </c>
      <c r="C81" s="106"/>
      <c r="D81" s="106">
        <f t="shared" ref="D81:L81" si="10">+D178</f>
        <v>0.38563459339255646</v>
      </c>
      <c r="E81" s="106">
        <f t="shared" si="10"/>
        <v>0.23374350411983905</v>
      </c>
      <c r="F81" s="106">
        <f t="shared" si="10"/>
        <v>6.2869961001905637E-3</v>
      </c>
      <c r="G81" s="106">
        <f t="shared" si="10"/>
        <v>1.023076652999097E-2</v>
      </c>
      <c r="H81" s="106">
        <f t="shared" si="10"/>
        <v>0.19376044497853739</v>
      </c>
      <c r="I81" s="106">
        <f t="shared" si="10"/>
        <v>2.6596826883564873E-3</v>
      </c>
      <c r="J81" s="106">
        <f t="shared" si="10"/>
        <v>2.6712625686327244E-3</v>
      </c>
      <c r="K81" s="106">
        <f t="shared" si="10"/>
        <v>9.9527739475783572E-4</v>
      </c>
      <c r="L81" s="106">
        <f t="shared" si="10"/>
        <v>2.2893391561799197E-3</v>
      </c>
      <c r="M81" s="101">
        <f>SUM(C81:L81)</f>
        <v>0.83827186692904132</v>
      </c>
      <c r="N81" s="116"/>
    </row>
    <row r="82" spans="2:16">
      <c r="C82" s="107">
        <f t="shared" ref="C82:L82" si="11">+C81*$M82</f>
        <v>0</v>
      </c>
      <c r="D82" s="107">
        <f t="shared" si="11"/>
        <v>1543.6181504317253</v>
      </c>
      <c r="E82" s="107">
        <f t="shared" si="11"/>
        <v>935.62849829089191</v>
      </c>
      <c r="F82" s="107">
        <f t="shared" si="11"/>
        <v>25.165587989842791</v>
      </c>
      <c r="G82" s="107">
        <f t="shared" si="11"/>
        <v>40.95171226624786</v>
      </c>
      <c r="H82" s="107">
        <f t="shared" si="11"/>
        <v>775.58430916008956</v>
      </c>
      <c r="I82" s="107">
        <f t="shared" si="11"/>
        <v>10.64617786495335</v>
      </c>
      <c r="J82" s="107">
        <f t="shared" si="11"/>
        <v>10.692529809723071</v>
      </c>
      <c r="K82" s="107">
        <f t="shared" si="11"/>
        <v>3.9838963557366656</v>
      </c>
      <c r="L82" s="107">
        <f t="shared" si="11"/>
        <v>9.1637667743569846</v>
      </c>
      <c r="M82" s="102">
        <f>+'2020-2021 Recy. Tons &amp; Revenue'!$C$9</f>
        <v>4002.8000000000006</v>
      </c>
      <c r="N82" s="116"/>
      <c r="O82" s="102"/>
      <c r="P82" s="102"/>
    </row>
    <row r="83" spans="2:16">
      <c r="C83" s="70"/>
      <c r="D83" s="70">
        <f>+$C$68*D82*D9+D82*D43*$C$69</f>
        <v>-19820.34225420047</v>
      </c>
      <c r="E83" s="70">
        <f t="shared" ref="E83:L83" si="12">+$C$68*E82*E9+E82*E43*$C$69</f>
        <v>46341.500041613486</v>
      </c>
      <c r="F83" s="70">
        <f t="shared" si="12"/>
        <v>21979.029564571312</v>
      </c>
      <c r="G83" s="70">
        <f t="shared" si="12"/>
        <v>4133.8083504300794</v>
      </c>
      <c r="H83" s="70">
        <f t="shared" si="12"/>
        <v>-49249.603631665683</v>
      </c>
      <c r="I83" s="70">
        <f t="shared" si="12"/>
        <v>908.67826937672521</v>
      </c>
      <c r="J83" s="70">
        <f t="shared" si="12"/>
        <v>10699.369662715195</v>
      </c>
      <c r="K83" s="70">
        <f t="shared" si="12"/>
        <v>1035.813052491533</v>
      </c>
      <c r="L83" s="70">
        <f t="shared" si="12"/>
        <v>-1558.8115976874292</v>
      </c>
      <c r="M83" s="102">
        <f>SUM(C83:L83)</f>
        <v>14469.441457644751</v>
      </c>
      <c r="N83" s="116"/>
    </row>
    <row r="84" spans="2:16">
      <c r="N84" s="116"/>
    </row>
    <row r="85" spans="2:16">
      <c r="B85" s="11" t="s">
        <v>221</v>
      </c>
      <c r="C85" s="106"/>
      <c r="D85" s="106">
        <f t="shared" ref="D85:L85" si="13">+D182</f>
        <v>0.36724834199014944</v>
      </c>
      <c r="E85" s="106">
        <f t="shared" si="13"/>
        <v>0.20878493243651855</v>
      </c>
      <c r="F85" s="106">
        <f t="shared" si="13"/>
        <v>6.829141552940966E-3</v>
      </c>
      <c r="G85" s="106">
        <f t="shared" si="13"/>
        <v>1.0534885960727396E-2</v>
      </c>
      <c r="H85" s="106">
        <f t="shared" si="13"/>
        <v>0.21017472657676123</v>
      </c>
      <c r="I85" s="106">
        <f t="shared" si="13"/>
        <v>3.7057444077864318E-3</v>
      </c>
      <c r="J85" s="106">
        <f t="shared" si="13"/>
        <v>4.8435613670825975E-3</v>
      </c>
      <c r="K85" s="106">
        <f t="shared" si="13"/>
        <v>2.5231315052108884E-3</v>
      </c>
      <c r="L85" s="106">
        <f t="shared" si="13"/>
        <v>2.048294506449496E-3</v>
      </c>
      <c r="M85" s="101">
        <f>SUM(C85:L85)</f>
        <v>0.81669276030362703</v>
      </c>
      <c r="N85" s="116"/>
    </row>
    <row r="86" spans="2:16">
      <c r="C86" s="107">
        <f t="shared" ref="C86:L86" si="14">+C85*$M86</f>
        <v>0</v>
      </c>
      <c r="D86" s="107">
        <f t="shared" si="14"/>
        <v>1468.8831934580007</v>
      </c>
      <c r="E86" s="107">
        <f t="shared" si="14"/>
        <v>835.07709426634335</v>
      </c>
      <c r="F86" s="107">
        <f t="shared" si="14"/>
        <v>27.314517469297982</v>
      </c>
      <c r="G86" s="107">
        <f t="shared" si="14"/>
        <v>42.136383377121369</v>
      </c>
      <c r="H86" s="107">
        <f t="shared" si="14"/>
        <v>840.635853889072</v>
      </c>
      <c r="I86" s="107">
        <f t="shared" si="14"/>
        <v>14.821865907823392</v>
      </c>
      <c r="J86" s="107">
        <f t="shared" si="14"/>
        <v>19.372792399920268</v>
      </c>
      <c r="K86" s="107">
        <f t="shared" si="14"/>
        <v>10.091769081391991</v>
      </c>
      <c r="L86" s="107">
        <f t="shared" si="14"/>
        <v>8.1925635374460501</v>
      </c>
      <c r="M86" s="102">
        <f>+'2020-2021 Recy. Tons &amp; Revenue'!C10</f>
        <v>3999.7000000000003</v>
      </c>
      <c r="N86" s="116"/>
      <c r="O86" s="102"/>
      <c r="P86" s="102"/>
    </row>
    <row r="87" spans="2:16">
      <c r="C87" s="70"/>
      <c r="D87" s="70">
        <f t="shared" ref="D87:L87" si="15">+$C$68*D86*D10+D86*D44*$C$69</f>
        <v>-6050.7996934321618</v>
      </c>
      <c r="E87" s="70">
        <f t="shared" si="15"/>
        <v>46347.196574074434</v>
      </c>
      <c r="F87" s="70">
        <f t="shared" si="15"/>
        <v>24098.00085829214</v>
      </c>
      <c r="G87" s="70">
        <f t="shared" si="15"/>
        <v>4905.6552042540588</v>
      </c>
      <c r="H87" s="70">
        <f t="shared" si="15"/>
        <v>-53380.376721956069</v>
      </c>
      <c r="I87" s="70">
        <f t="shared" si="15"/>
        <v>2152.3124259164852</v>
      </c>
      <c r="J87" s="70">
        <f t="shared" si="15"/>
        <v>20186.991335167411</v>
      </c>
      <c r="K87" s="70">
        <f t="shared" si="15"/>
        <v>2623.8599611619175</v>
      </c>
      <c r="L87" s="70">
        <f t="shared" si="15"/>
        <v>-1393.6041118700516</v>
      </c>
      <c r="M87" s="102">
        <f>SUM(C87:L87)</f>
        <v>39489.235831608152</v>
      </c>
      <c r="N87" s="116"/>
    </row>
    <row r="88" spans="2:16">
      <c r="C88" s="106"/>
      <c r="D88" s="106"/>
      <c r="E88" s="106"/>
      <c r="F88" s="106"/>
      <c r="G88" s="106"/>
      <c r="H88" s="106"/>
      <c r="I88" s="106"/>
      <c r="J88" s="106"/>
      <c r="K88" s="106"/>
      <c r="L88" s="106"/>
      <c r="N88" s="116"/>
    </row>
    <row r="89" spans="2:16">
      <c r="B89" s="11" t="s">
        <v>58</v>
      </c>
      <c r="C89" s="106"/>
      <c r="D89" s="106">
        <f t="shared" ref="D89:L89" si="16">+D186</f>
        <v>0.38310898135249</v>
      </c>
      <c r="E89" s="106">
        <f t="shared" si="16"/>
        <v>0.21532195348472899</v>
      </c>
      <c r="F89" s="106">
        <f t="shared" si="16"/>
        <v>7.7600049234349908E-3</v>
      </c>
      <c r="G89" s="106">
        <f t="shared" si="16"/>
        <v>1.0375579762444263E-2</v>
      </c>
      <c r="H89" s="106">
        <f t="shared" si="16"/>
        <v>0.18167055506134711</v>
      </c>
      <c r="I89" s="106">
        <f t="shared" si="16"/>
        <v>7.8369335951705577E-3</v>
      </c>
      <c r="J89" s="106">
        <f t="shared" si="16"/>
        <v>3.3121289939967665E-3</v>
      </c>
      <c r="K89" s="106">
        <f t="shared" si="16"/>
        <v>3.8520283992681988E-3</v>
      </c>
      <c r="L89" s="106">
        <f t="shared" si="16"/>
        <v>2.401573261272149E-3</v>
      </c>
      <c r="M89" s="101">
        <f>SUM(C89:L89)</f>
        <v>0.81563973883415308</v>
      </c>
      <c r="N89" s="116"/>
    </row>
    <row r="90" spans="2:16">
      <c r="C90" s="107">
        <f t="shared" ref="C90:L90" si="17">+C89*$M90</f>
        <v>0</v>
      </c>
      <c r="D90" s="107">
        <f t="shared" si="17"/>
        <v>1327.8174184695954</v>
      </c>
      <c r="E90" s="107">
        <f t="shared" si="17"/>
        <v>746.28435858272235</v>
      </c>
      <c r="F90" s="107">
        <f t="shared" si="17"/>
        <v>26.895401064133338</v>
      </c>
      <c r="G90" s="107">
        <f t="shared" si="17"/>
        <v>35.960721898655578</v>
      </c>
      <c r="H90" s="107">
        <f t="shared" si="17"/>
        <v>629.65197678712298</v>
      </c>
      <c r="I90" s="107">
        <f t="shared" si="17"/>
        <v>27.162028147501641</v>
      </c>
      <c r="J90" s="107">
        <f t="shared" si="17"/>
        <v>11.479507880293395</v>
      </c>
      <c r="K90" s="107">
        <f t="shared" si="17"/>
        <v>13.350745229023651</v>
      </c>
      <c r="L90" s="107">
        <f t="shared" si="17"/>
        <v>8.3236127662431425</v>
      </c>
      <c r="M90" s="102">
        <f>+'2020-2021 Recy. Tons &amp; Revenue'!C11</f>
        <v>3465.9000000000005</v>
      </c>
      <c r="N90" s="116"/>
      <c r="O90" s="102"/>
      <c r="P90" s="102"/>
    </row>
    <row r="91" spans="2:16">
      <c r="C91" s="70"/>
      <c r="D91" s="70">
        <f t="shared" ref="D91:L91" si="18">+$C$68*D90*D11+D90*D45*$C$69</f>
        <v>-16119.179106944604</v>
      </c>
      <c r="E91" s="70">
        <f t="shared" si="18"/>
        <v>46285.930249809258</v>
      </c>
      <c r="F91" s="70">
        <f t="shared" si="18"/>
        <v>22395.14571970456</v>
      </c>
      <c r="G91" s="70">
        <f t="shared" si="18"/>
        <v>3653.6560226214237</v>
      </c>
      <c r="H91" s="70">
        <f t="shared" si="18"/>
        <v>-39982.90052598231</v>
      </c>
      <c r="I91" s="70">
        <f t="shared" si="18"/>
        <v>4652.9367399387756</v>
      </c>
      <c r="J91" s="70">
        <f t="shared" si="18"/>
        <v>12386.934411662014</v>
      </c>
      <c r="K91" s="70">
        <f t="shared" si="18"/>
        <v>2136.119236643784</v>
      </c>
      <c r="L91" s="70">
        <f t="shared" si="18"/>
        <v>-1415.8963703645106</v>
      </c>
      <c r="M91" s="102">
        <f>SUM(C91:L91)</f>
        <v>33992.746377088384</v>
      </c>
      <c r="N91" s="116"/>
    </row>
    <row r="92" spans="2:16">
      <c r="N92" s="116"/>
    </row>
    <row r="93" spans="2:16">
      <c r="B93" s="11" t="s">
        <v>59</v>
      </c>
      <c r="C93" s="106"/>
      <c r="D93" s="106">
        <f t="shared" ref="D93:L93" si="19">+D190</f>
        <v>0.43619881388715953</v>
      </c>
      <c r="E93" s="106">
        <f t="shared" si="19"/>
        <v>0.17379531819094143</v>
      </c>
      <c r="F93" s="106">
        <f t="shared" si="19"/>
        <v>9.5599825624281699E-3</v>
      </c>
      <c r="G93" s="106">
        <f t="shared" si="19"/>
        <v>1.0155723652838912E-2</v>
      </c>
      <c r="H93" s="106">
        <f t="shared" si="19"/>
        <v>0.17031675272525981</v>
      </c>
      <c r="I93" s="106">
        <f t="shared" si="19"/>
        <v>7.0044322625760821E-3</v>
      </c>
      <c r="J93" s="106">
        <f t="shared" si="19"/>
        <v>3.5105258246092208E-3</v>
      </c>
      <c r="K93" s="106">
        <f t="shared" si="19"/>
        <v>3.643480917748099E-3</v>
      </c>
      <c r="L93" s="106">
        <f t="shared" si="19"/>
        <v>3.3047011131153809E-3</v>
      </c>
      <c r="M93" s="101">
        <f>SUM(C93:L93)</f>
        <v>0.81748973113667667</v>
      </c>
      <c r="N93" s="116"/>
    </row>
    <row r="94" spans="2:16">
      <c r="C94" s="107">
        <f t="shared" ref="C94:L94" si="20">+C93*$M94</f>
        <v>0</v>
      </c>
      <c r="D94" s="107">
        <f t="shared" si="20"/>
        <v>1546.4294829453136</v>
      </c>
      <c r="E94" s="107">
        <f t="shared" si="20"/>
        <v>616.14611386325328</v>
      </c>
      <c r="F94" s="107">
        <f t="shared" si="20"/>
        <v>33.892432579622849</v>
      </c>
      <c r="G94" s="107">
        <f t="shared" si="20"/>
        <v>36.004477722990629</v>
      </c>
      <c r="H94" s="107">
        <f t="shared" si="20"/>
        <v>603.81376443170018</v>
      </c>
      <c r="I94" s="107">
        <f t="shared" si="20"/>
        <v>24.832393434575231</v>
      </c>
      <c r="J94" s="107">
        <f t="shared" si="20"/>
        <v>12.445656574437594</v>
      </c>
      <c r="K94" s="107">
        <f t="shared" si="20"/>
        <v>12.917014288837272</v>
      </c>
      <c r="L94" s="107">
        <f t="shared" si="20"/>
        <v>11.715958574261174</v>
      </c>
      <c r="M94" s="102">
        <f>+'2020-2021 Recy. Tons &amp; Revenue'!C12</f>
        <v>3545.2400000000002</v>
      </c>
      <c r="N94" s="116"/>
      <c r="O94" s="102"/>
      <c r="P94" s="102"/>
    </row>
    <row r="95" spans="2:16">
      <c r="C95" s="70"/>
      <c r="D95" s="70">
        <f t="shared" ref="D95:L95" si="21">+$C$68*D94*D12+D94*D46*$C$69</f>
        <v>-38421.183364819204</v>
      </c>
      <c r="E95" s="70">
        <f t="shared" si="21"/>
        <v>48914.246080862024</v>
      </c>
      <c r="F95" s="70">
        <f t="shared" si="21"/>
        <v>27730.727766178272</v>
      </c>
      <c r="G95" s="70">
        <f t="shared" si="21"/>
        <v>3994.416263850535</v>
      </c>
      <c r="H95" s="70">
        <f t="shared" si="21"/>
        <v>-38342.17404141296</v>
      </c>
      <c r="I95" s="70">
        <f t="shared" si="21"/>
        <v>4037.8958599830867</v>
      </c>
      <c r="J95" s="70">
        <f t="shared" si="21"/>
        <v>8027.5636450651873</v>
      </c>
      <c r="K95" s="70">
        <f t="shared" si="21"/>
        <v>1937.5521433255908</v>
      </c>
      <c r="L95" s="70">
        <f t="shared" si="21"/>
        <v>-1992.9547044659803</v>
      </c>
      <c r="M95" s="102">
        <f>SUM(C95:L95)</f>
        <v>15886.089648566554</v>
      </c>
      <c r="N95" s="116"/>
    </row>
    <row r="96" spans="2:16">
      <c r="N96" s="116"/>
    </row>
    <row r="97" spans="2:16">
      <c r="B97" s="11" t="s">
        <v>60</v>
      </c>
      <c r="C97" s="106">
        <f>+C194</f>
        <v>0</v>
      </c>
      <c r="D97" s="106">
        <f t="shared" ref="D97:L97" si="22">+D194</f>
        <v>0.41806970306780766</v>
      </c>
      <c r="E97" s="106">
        <f t="shared" si="22"/>
        <v>0.14513732550160097</v>
      </c>
      <c r="F97" s="106">
        <f t="shared" si="22"/>
        <v>1.2733675189505899E-2</v>
      </c>
      <c r="G97" s="106">
        <f t="shared" si="22"/>
        <v>1.3073743666376977E-2</v>
      </c>
      <c r="H97" s="106">
        <f t="shared" si="22"/>
        <v>0.19867556126534724</v>
      </c>
      <c r="I97" s="106">
        <f t="shared" si="22"/>
        <v>8.8978490364117029E-3</v>
      </c>
      <c r="J97" s="106">
        <f t="shared" si="22"/>
        <v>2.8278095567774177E-3</v>
      </c>
      <c r="K97" s="106">
        <f t="shared" si="22"/>
        <v>3.7943841164862508E-3</v>
      </c>
      <c r="L97" s="106">
        <f t="shared" si="22"/>
        <v>2.9375090654455076E-3</v>
      </c>
      <c r="M97" s="101">
        <f>SUM(C97:L97)</f>
        <v>0.80614756046575953</v>
      </c>
      <c r="N97" s="116"/>
    </row>
    <row r="98" spans="2:16">
      <c r="C98" s="107">
        <f>+C97*$M98</f>
        <v>0</v>
      </c>
      <c r="D98" s="107">
        <f>+D97*$M98</f>
        <v>1580.5125124478468</v>
      </c>
      <c r="E98" s="107">
        <f>+E97*$M98</f>
        <v>548.69165905880243</v>
      </c>
      <c r="F98" s="107">
        <f>+F97*$M98</f>
        <v>48.139659053927048</v>
      </c>
      <c r="G98" s="107">
        <f t="shared" ref="G98:L98" si="23">+G97*$M98</f>
        <v>49.425287930738158</v>
      </c>
      <c r="H98" s="107">
        <f t="shared" si="23"/>
        <v>751.09295936364526</v>
      </c>
      <c r="I98" s="107">
        <f t="shared" si="23"/>
        <v>33.638318282154444</v>
      </c>
      <c r="J98" s="107">
        <f t="shared" si="23"/>
        <v>10.690534029397028</v>
      </c>
      <c r="K98" s="107">
        <f t="shared" si="23"/>
        <v>14.344669152376271</v>
      </c>
      <c r="L98" s="107">
        <f t="shared" si="23"/>
        <v>11.105253021916742</v>
      </c>
      <c r="M98" s="102">
        <f>+'2020-2021 Recy. Tons &amp; Revenue'!C13</f>
        <v>3780.5</v>
      </c>
      <c r="N98" s="116"/>
      <c r="O98" s="102"/>
      <c r="P98" s="102"/>
    </row>
    <row r="99" spans="2:16">
      <c r="C99" s="70"/>
      <c r="D99" s="70">
        <f t="shared" ref="D99:L99" si="24">+$C$68*D98*D13+D98*D47*$C$69</f>
        <v>-25652.376970715941</v>
      </c>
      <c r="E99" s="70">
        <f t="shared" si="24"/>
        <v>49125.773155586765</v>
      </c>
      <c r="F99" s="70">
        <f t="shared" si="24"/>
        <v>34941.704564029525</v>
      </c>
      <c r="G99" s="70">
        <f t="shared" si="24"/>
        <v>3364.6019002229727</v>
      </c>
      <c r="H99" s="70">
        <f t="shared" si="24"/>
        <v>-47694.40291959147</v>
      </c>
      <c r="I99" s="70">
        <f t="shared" si="24"/>
        <v>5045.7477423231667</v>
      </c>
      <c r="J99" s="70">
        <f t="shared" si="24"/>
        <v>7269.5631399899794</v>
      </c>
      <c r="K99" s="70">
        <f t="shared" si="24"/>
        <v>860.68014914257628</v>
      </c>
      <c r="L99" s="70">
        <f t="shared" si="24"/>
        <v>-1889.070033325012</v>
      </c>
      <c r="M99" s="102">
        <f>SUM(C99:L99)</f>
        <v>25372.220727662567</v>
      </c>
      <c r="N99" s="116"/>
    </row>
    <row r="100" spans="2:16">
      <c r="N100" s="116"/>
    </row>
    <row r="101" spans="2:16">
      <c r="B101" s="11" t="s">
        <v>61</v>
      </c>
      <c r="C101" s="106"/>
      <c r="D101" s="106">
        <f t="shared" ref="D101:L101" si="25">+D198</f>
        <v>0.39529452819477334</v>
      </c>
      <c r="E101" s="106">
        <f t="shared" si="25"/>
        <v>0.15116909783552848</v>
      </c>
      <c r="F101" s="106">
        <f t="shared" si="25"/>
        <v>1.2733449739476981E-2</v>
      </c>
      <c r="G101" s="106">
        <f t="shared" si="25"/>
        <v>1.2024139313119461E-2</v>
      </c>
      <c r="H101" s="106">
        <f t="shared" si="25"/>
        <v>0.22375140502889712</v>
      </c>
      <c r="I101" s="106">
        <f t="shared" si="25"/>
        <v>3.278506123966221E-3</v>
      </c>
      <c r="J101" s="106">
        <f t="shared" si="25"/>
        <v>2.9270118306910149E-3</v>
      </c>
      <c r="K101" s="106">
        <f t="shared" si="25"/>
        <v>4.2052878396882567E-3</v>
      </c>
      <c r="L101" s="106">
        <f t="shared" si="25"/>
        <v>3.6186211055886327E-3</v>
      </c>
      <c r="M101" s="101">
        <f>SUM(C101:L101)</f>
        <v>0.8090020470117294</v>
      </c>
      <c r="N101" s="116"/>
    </row>
    <row r="102" spans="2:16">
      <c r="C102" s="107">
        <f>+C101*$M102</f>
        <v>0</v>
      </c>
      <c r="D102" s="107">
        <f>+D101*$M102</f>
        <v>1417.609189957378</v>
      </c>
      <c r="E102" s="107">
        <f>+E101*$M102</f>
        <v>542.12413034875055</v>
      </c>
      <c r="F102" s="107">
        <f>+F101*$M102</f>
        <v>45.664824790209742</v>
      </c>
      <c r="G102" s="107">
        <f t="shared" ref="G102:L102" si="26">+G101*$M102</f>
        <v>43.121088646102145</v>
      </c>
      <c r="H102" s="107">
        <f t="shared" si="26"/>
        <v>802.41952622868121</v>
      </c>
      <c r="I102" s="107">
        <f t="shared" si="26"/>
        <v>11.757411446828902</v>
      </c>
      <c r="J102" s="107">
        <f t="shared" si="26"/>
        <v>10.496879097342424</v>
      </c>
      <c r="K102" s="107">
        <f t="shared" si="26"/>
        <v>15.081045303568423</v>
      </c>
      <c r="L102" s="107">
        <f t="shared" si="26"/>
        <v>12.977135195073011</v>
      </c>
      <c r="M102" s="102">
        <f>+'2020-2021 Recy. Tons &amp; Revenue'!C14</f>
        <v>3586.21</v>
      </c>
      <c r="N102" s="116"/>
      <c r="O102" s="102"/>
      <c r="P102" s="102"/>
    </row>
    <row r="103" spans="2:16">
      <c r="C103" s="70"/>
      <c r="D103" s="70">
        <f t="shared" ref="D103:L103" si="27">+$C$68*D102*D14+D102*D48*$C$69</f>
        <v>-6453.63949703662</v>
      </c>
      <c r="E103" s="70">
        <f t="shared" si="27"/>
        <v>64869.230896982976</v>
      </c>
      <c r="F103" s="70">
        <f t="shared" si="27"/>
        <v>31723.421815334201</v>
      </c>
      <c r="G103" s="70">
        <f t="shared" si="27"/>
        <v>3392.2033130481509</v>
      </c>
      <c r="H103" s="70">
        <f t="shared" si="27"/>
        <v>-50953.639915521257</v>
      </c>
      <c r="I103" s="70">
        <f t="shared" si="27"/>
        <v>1528.4634880877572</v>
      </c>
      <c r="J103" s="70">
        <f t="shared" si="27"/>
        <v>6718.002622299151</v>
      </c>
      <c r="K103" s="70">
        <f t="shared" si="27"/>
        <v>904.86271821410537</v>
      </c>
      <c r="L103" s="70">
        <f t="shared" si="27"/>
        <v>-2207.4883991421721</v>
      </c>
      <c r="M103" s="102">
        <f>SUM(C103:L103)</f>
        <v>49521.417042266286</v>
      </c>
      <c r="N103" s="116"/>
    </row>
    <row r="104" spans="2:16">
      <c r="N104" s="116"/>
    </row>
    <row r="105" spans="2:16">
      <c r="B105" s="11" t="s">
        <v>62</v>
      </c>
      <c r="C105" s="106"/>
      <c r="D105" s="106">
        <f t="shared" ref="D105:L105" si="28">+D202</f>
        <v>0.35663297667387889</v>
      </c>
      <c r="E105" s="106">
        <f t="shared" si="28"/>
        <v>0.17631109398618811</v>
      </c>
      <c r="F105" s="106">
        <f t="shared" si="28"/>
        <v>1.0501793177035479E-2</v>
      </c>
      <c r="G105" s="106">
        <f t="shared" si="28"/>
        <v>1.0060760544177361E-2</v>
      </c>
      <c r="H105" s="106">
        <f t="shared" si="28"/>
        <v>0.23727792762085423</v>
      </c>
      <c r="I105" s="106">
        <f t="shared" si="28"/>
        <v>2.2110910222591065E-3</v>
      </c>
      <c r="J105" s="106">
        <f t="shared" si="28"/>
        <v>2.9449598387622632E-3</v>
      </c>
      <c r="K105" s="106">
        <f t="shared" si="28"/>
        <v>3.4832093423041582E-3</v>
      </c>
      <c r="L105" s="106">
        <f t="shared" si="28"/>
        <v>4.1992945849017461E-3</v>
      </c>
      <c r="M105" s="101">
        <f>SUM(C105:L105)</f>
        <v>0.80362310679036142</v>
      </c>
      <c r="N105" s="116"/>
    </row>
    <row r="106" spans="2:16">
      <c r="C106" s="107">
        <f>+C105*$M106</f>
        <v>0</v>
      </c>
      <c r="D106" s="107">
        <f>+D105*$M106</f>
        <v>1386.3393702243695</v>
      </c>
      <c r="E106" s="107">
        <f>+E105*$M106</f>
        <v>685.37411565250909</v>
      </c>
      <c r="F106" s="107">
        <f>+F105*$M106</f>
        <v>40.823620617090022</v>
      </c>
      <c r="G106" s="107">
        <f t="shared" ref="G106:L106" si="29">+G105*$M106</f>
        <v>39.109194463380661</v>
      </c>
      <c r="H106" s="107">
        <f t="shared" si="29"/>
        <v>922.37048804054666</v>
      </c>
      <c r="I106" s="107">
        <f t="shared" si="29"/>
        <v>8.5951741308278251</v>
      </c>
      <c r="J106" s="107">
        <f t="shared" si="29"/>
        <v>11.447942381220546</v>
      </c>
      <c r="K106" s="107">
        <f t="shared" si="29"/>
        <v>13.540279676338955</v>
      </c>
      <c r="L106" s="107">
        <f t="shared" si="29"/>
        <v>16.323917839888558</v>
      </c>
      <c r="M106" s="102">
        <f>+'2020-2021 Recy. Tons &amp; Revenue'!C15</f>
        <v>3887.3</v>
      </c>
      <c r="N106" s="116"/>
      <c r="O106" s="102"/>
      <c r="P106" s="102"/>
    </row>
    <row r="107" spans="2:16">
      <c r="C107" s="70"/>
      <c r="D107" s="70">
        <f t="shared" ref="D107:L107" si="30">+$C$68*D106*D15+D106*D49*$C$69</f>
        <v>-447.80263746999992</v>
      </c>
      <c r="E107" s="70">
        <f t="shared" si="30"/>
        <v>64305.3571580352</v>
      </c>
      <c r="F107" s="70">
        <f t="shared" si="30"/>
        <v>29823.899914184312</v>
      </c>
      <c r="G107" s="70">
        <f t="shared" si="30"/>
        <v>3247.1835739432299</v>
      </c>
      <c r="H107" s="70">
        <f t="shared" si="30"/>
        <v>-58570.525990574715</v>
      </c>
      <c r="I107" s="70">
        <f t="shared" si="30"/>
        <v>472.71200725707263</v>
      </c>
      <c r="J107" s="70">
        <f t="shared" si="30"/>
        <v>8028.282349272793</v>
      </c>
      <c r="K107" s="70">
        <f t="shared" si="30"/>
        <v>812.41678058033733</v>
      </c>
      <c r="L107" s="70">
        <f t="shared" si="30"/>
        <v>-2776.7961663669175</v>
      </c>
      <c r="M107" s="102">
        <f>SUM(C107:L107)</f>
        <v>44894.726988861308</v>
      </c>
      <c r="N107" s="116"/>
    </row>
    <row r="108" spans="2:16">
      <c r="N108" s="116"/>
    </row>
    <row r="109" spans="2:16">
      <c r="B109" s="11" t="s">
        <v>63</v>
      </c>
      <c r="C109" s="106"/>
      <c r="D109" s="106">
        <f t="shared" ref="D109:L109" si="31">+D206</f>
        <v>0.3916852843481447</v>
      </c>
      <c r="E109" s="106">
        <f t="shared" si="31"/>
        <v>0.17503693984420249</v>
      </c>
      <c r="F109" s="106">
        <f t="shared" si="31"/>
        <v>9.0925210113833813E-3</v>
      </c>
      <c r="G109" s="106">
        <f t="shared" si="31"/>
        <v>7.1231840372590035E-3</v>
      </c>
      <c r="H109" s="106">
        <f t="shared" si="31"/>
        <v>0.23789968911427117</v>
      </c>
      <c r="I109" s="106">
        <f t="shared" si="31"/>
        <v>9.7994018700426721E-4</v>
      </c>
      <c r="J109" s="106">
        <f t="shared" si="31"/>
        <v>3.4776646926013926E-3</v>
      </c>
      <c r="K109" s="106">
        <f t="shared" si="31"/>
        <v>3.910304147901225E-3</v>
      </c>
      <c r="L109" s="106">
        <f t="shared" si="31"/>
        <v>4.1396267007104267E-3</v>
      </c>
      <c r="M109" s="101">
        <f>SUM(C109:L109)</f>
        <v>0.83334515408347809</v>
      </c>
      <c r="N109" s="116"/>
    </row>
    <row r="110" spans="2:16">
      <c r="C110" s="107">
        <f>+C109*$M110</f>
        <v>0</v>
      </c>
      <c r="D110" s="107">
        <f>+D109*$M110</f>
        <v>1614.3465668522524</v>
      </c>
      <c r="E110" s="107">
        <f>+E109*$M110</f>
        <v>721.42174904547437</v>
      </c>
      <c r="F110" s="107">
        <f>+F109*$M110</f>
        <v>37.475189049257061</v>
      </c>
      <c r="G110" s="107">
        <f t="shared" ref="G110:L110" si="32">+G109*$M110</f>
        <v>29.358487936924472</v>
      </c>
      <c r="H110" s="107">
        <f t="shared" si="32"/>
        <v>980.51308467203319</v>
      </c>
      <c r="I110" s="107">
        <f t="shared" si="32"/>
        <v>4.0388626783455672</v>
      </c>
      <c r="J110" s="107">
        <f t="shared" si="32"/>
        <v>14.333334137144343</v>
      </c>
      <c r="K110" s="107">
        <f t="shared" si="32"/>
        <v>16.116474957740813</v>
      </c>
      <c r="L110" s="107">
        <f t="shared" si="32"/>
        <v>17.06163703204605</v>
      </c>
      <c r="M110" s="102">
        <f>+'2020-2021 Recy. Tons &amp; Revenue'!C16</f>
        <v>4121.54</v>
      </c>
      <c r="N110" s="116"/>
      <c r="O110" s="102"/>
      <c r="P110" s="102"/>
    </row>
    <row r="111" spans="2:16">
      <c r="C111" s="70"/>
      <c r="D111" s="70">
        <f t="shared" ref="D111:L111" si="33">+$C$68*D110*D16+D110*D50*$C$69</f>
        <v>3247.9375354919093</v>
      </c>
      <c r="E111" s="70">
        <f t="shared" si="33"/>
        <v>61900.203083076478</v>
      </c>
      <c r="F111" s="70">
        <f t="shared" si="33"/>
        <v>29983.953953016073</v>
      </c>
      <c r="G111" s="70">
        <f t="shared" si="33"/>
        <v>2321.9392469255822</v>
      </c>
      <c r="H111" s="70">
        <f t="shared" si="33"/>
        <v>-62262.58087667411</v>
      </c>
      <c r="I111" s="70">
        <f t="shared" si="33"/>
        <v>206.26941620969339</v>
      </c>
      <c r="J111" s="70">
        <f t="shared" si="33"/>
        <v>10449.735137448255</v>
      </c>
      <c r="K111" s="70">
        <f t="shared" si="33"/>
        <v>966.98849746444876</v>
      </c>
      <c r="L111" s="70">
        <f t="shared" si="33"/>
        <v>-2902.2866181524923</v>
      </c>
      <c r="M111" s="102">
        <f>SUM(C111:L111)</f>
        <v>43912.159374805837</v>
      </c>
      <c r="N111" s="116"/>
    </row>
    <row r="112" spans="2:16">
      <c r="C112" s="70"/>
      <c r="D112" s="70"/>
      <c r="E112" s="70"/>
      <c r="F112" s="70"/>
      <c r="G112" s="70"/>
      <c r="H112" s="70"/>
      <c r="I112" s="70"/>
      <c r="J112" s="70"/>
      <c r="K112" s="70"/>
      <c r="L112" s="70"/>
      <c r="M112" s="102"/>
      <c r="N112" s="116"/>
    </row>
    <row r="113" spans="2:16">
      <c r="B113" s="11" t="s">
        <v>64</v>
      </c>
      <c r="C113" s="106"/>
      <c r="D113" s="106">
        <f t="shared" ref="D113:L113" si="34">+D210</f>
        <v>0.36236331197857496</v>
      </c>
      <c r="E113" s="106">
        <f t="shared" si="34"/>
        <v>0.21082911378403454</v>
      </c>
      <c r="F113" s="106">
        <f t="shared" si="34"/>
        <v>8.3662243459861254E-3</v>
      </c>
      <c r="G113" s="106">
        <f t="shared" si="34"/>
        <v>8.7344995816237159E-3</v>
      </c>
      <c r="H113" s="106">
        <f t="shared" si="34"/>
        <v>0.20005283383239181</v>
      </c>
      <c r="I113" s="106">
        <f t="shared" si="34"/>
        <v>5.3783800314140071E-3</v>
      </c>
      <c r="J113" s="106">
        <f t="shared" si="34"/>
        <v>8.7188836705719456E-4</v>
      </c>
      <c r="K113" s="106">
        <f t="shared" si="34"/>
        <v>4.6756640340843286E-3</v>
      </c>
      <c r="L113" s="106">
        <f t="shared" si="34"/>
        <v>5.7778870891551396E-3</v>
      </c>
      <c r="M113" s="101">
        <f>SUM(C113:L113)</f>
        <v>0.80704980304432195</v>
      </c>
      <c r="N113" s="116"/>
    </row>
    <row r="114" spans="2:16">
      <c r="C114" s="107">
        <f>+C113*$M114</f>
        <v>0</v>
      </c>
      <c r="D114" s="107">
        <f>+D113*$M114</f>
        <v>1414.4815646752475</v>
      </c>
      <c r="E114" s="107">
        <f>+E113*$M114</f>
        <v>822.96933736484095</v>
      </c>
      <c r="F114" s="107">
        <f>+F113*$M114</f>
        <v>32.65747307231338</v>
      </c>
      <c r="G114" s="107">
        <f t="shared" ref="G114:L114" si="35">+G113*$M114</f>
        <v>34.095031771872357</v>
      </c>
      <c r="H114" s="107">
        <f t="shared" si="35"/>
        <v>780.90423633640307</v>
      </c>
      <c r="I114" s="107">
        <f t="shared" si="35"/>
        <v>20.994452668824263</v>
      </c>
      <c r="J114" s="107">
        <f t="shared" si="35"/>
        <v>3.403407521924088</v>
      </c>
      <c r="K114" s="107">
        <f t="shared" si="35"/>
        <v>18.251407800407836</v>
      </c>
      <c r="L114" s="107">
        <f t="shared" si="35"/>
        <v>22.553924473646195</v>
      </c>
      <c r="M114" s="102">
        <f>+'2020-2021 Recy. Tons &amp; Revenue'!C17</f>
        <v>3903.49</v>
      </c>
      <c r="N114" s="116"/>
      <c r="O114" s="102"/>
      <c r="P114" s="102"/>
    </row>
    <row r="115" spans="2:16">
      <c r="C115" s="70"/>
      <c r="D115" s="70">
        <f t="shared" ref="D115:L115" si="36">+$C$68*D114*D17+D114*D51*$C$69</f>
        <v>14285.5319831743</v>
      </c>
      <c r="E115" s="70">
        <f t="shared" si="36"/>
        <v>76160.265336507568</v>
      </c>
      <c r="F115" s="70">
        <f t="shared" si="36"/>
        <v>28681.438160734353</v>
      </c>
      <c r="G115" s="70">
        <f t="shared" si="36"/>
        <v>2989.1333938480939</v>
      </c>
      <c r="H115" s="70">
        <f t="shared" si="36"/>
        <v>-49587.419007361597</v>
      </c>
      <c r="I115" s="70">
        <f t="shared" si="36"/>
        <v>883.9580787054457</v>
      </c>
      <c r="J115" s="70">
        <f t="shared" si="36"/>
        <v>2655.2432368053701</v>
      </c>
      <c r="K115" s="70">
        <f t="shared" si="36"/>
        <v>1095.0844680244702</v>
      </c>
      <c r="L115" s="70">
        <f t="shared" si="36"/>
        <v>-3836.5575978283232</v>
      </c>
      <c r="M115" s="102">
        <f>SUM(C115:L115)</f>
        <v>73326.678052609699</v>
      </c>
      <c r="N115" s="116"/>
    </row>
    <row r="116" spans="2:16">
      <c r="C116" s="70"/>
      <c r="D116" s="70"/>
      <c r="E116" s="70"/>
      <c r="F116" s="70"/>
      <c r="G116" s="70"/>
      <c r="H116" s="70"/>
      <c r="I116" s="70"/>
      <c r="J116" s="70"/>
      <c r="K116" s="70"/>
      <c r="L116" s="70"/>
      <c r="M116" s="102"/>
      <c r="N116" s="116"/>
    </row>
    <row r="117" spans="2:16">
      <c r="B117" s="11" t="s">
        <v>65</v>
      </c>
      <c r="C117" s="106"/>
      <c r="D117" s="106">
        <f t="shared" ref="D117:L117" si="37">+D214</f>
        <v>0.3901543366206835</v>
      </c>
      <c r="E117" s="106">
        <f t="shared" si="37"/>
        <v>0.21807496350147484</v>
      </c>
      <c r="F117" s="106">
        <f t="shared" si="37"/>
        <v>8.251894447258391E-3</v>
      </c>
      <c r="G117" s="106">
        <f t="shared" si="37"/>
        <v>8.3710733049290401E-3</v>
      </c>
      <c r="H117" s="106">
        <f t="shared" si="37"/>
        <v>0.19450486150423585</v>
      </c>
      <c r="I117" s="106">
        <f t="shared" si="37"/>
        <v>5.1520027013874413E-3</v>
      </c>
      <c r="J117" s="106">
        <f t="shared" si="37"/>
        <v>1.1570280765525532E-3</v>
      </c>
      <c r="K117" s="106">
        <f t="shared" si="37"/>
        <v>4.3425796263742815E-3</v>
      </c>
      <c r="L117" s="106">
        <f t="shared" si="37"/>
        <v>5.1135178619312934E-3</v>
      </c>
      <c r="M117" s="101">
        <f>SUM(C117:L117)</f>
        <v>0.83512225764482728</v>
      </c>
      <c r="N117" s="116"/>
    </row>
    <row r="118" spans="2:16">
      <c r="C118" s="107">
        <f>+C117*$M118</f>
        <v>0</v>
      </c>
      <c r="D118" s="107">
        <f>+D117*$M118</f>
        <v>1636.3033862437803</v>
      </c>
      <c r="E118" s="107">
        <f>+E117*$M118</f>
        <v>914.60421617555039</v>
      </c>
      <c r="F118" s="107">
        <f>+F117*$M118</f>
        <v>34.608362792857214</v>
      </c>
      <c r="G118" s="107">
        <f t="shared" ref="G118:L118" si="38">+G117*$M118</f>
        <v>35.108197730139345</v>
      </c>
      <c r="H118" s="107">
        <f t="shared" si="38"/>
        <v>815.75144410015002</v>
      </c>
      <c r="I118" s="107">
        <f t="shared" si="38"/>
        <v>21.607447809591914</v>
      </c>
      <c r="J118" s="107">
        <f t="shared" si="38"/>
        <v>4.8525641827806423</v>
      </c>
      <c r="K118" s="107">
        <f t="shared" si="38"/>
        <v>18.212735527217472</v>
      </c>
      <c r="L118" s="107">
        <f t="shared" si="38"/>
        <v>21.446042777761225</v>
      </c>
      <c r="M118" s="102">
        <f>+'2020-2021 Recy. Tons &amp; Revenue'!C18</f>
        <v>4193.99</v>
      </c>
      <c r="N118" s="116"/>
      <c r="O118" s="102"/>
      <c r="P118" s="102"/>
    </row>
    <row r="119" spans="2:16">
      <c r="C119" s="70"/>
      <c r="D119" s="70">
        <f t="shared" ref="D119:L119" si="39">+$C$68*D118*D18+D118*D52*$C$69</f>
        <v>30554.028708432976</v>
      </c>
      <c r="E119" s="70">
        <f t="shared" si="39"/>
        <v>91315.977723236399</v>
      </c>
      <c r="F119" s="70">
        <f t="shared" si="39"/>
        <v>29813.600333791681</v>
      </c>
      <c r="G119" s="70">
        <f t="shared" si="39"/>
        <v>3743.8062607229567</v>
      </c>
      <c r="H119" s="70">
        <f t="shared" si="39"/>
        <v>-51800.216700359524</v>
      </c>
      <c r="I119" s="70">
        <f t="shared" si="39"/>
        <v>432.14895619183829</v>
      </c>
      <c r="J119" s="70">
        <f t="shared" si="39"/>
        <v>4652.1387543194105</v>
      </c>
      <c r="K119" s="70">
        <f t="shared" si="39"/>
        <v>1821.2735527217474</v>
      </c>
      <c r="L119" s="70">
        <f t="shared" si="39"/>
        <v>-3648.1002877575643</v>
      </c>
      <c r="M119" s="102">
        <f>SUM(C119:L119)</f>
        <v>106884.65730129993</v>
      </c>
      <c r="N119" s="116"/>
    </row>
    <row r="120" spans="2:16">
      <c r="C120" s="70"/>
      <c r="D120" s="70"/>
      <c r="E120" s="70"/>
      <c r="F120" s="70"/>
      <c r="G120" s="70"/>
      <c r="H120" s="70"/>
      <c r="I120" s="70"/>
      <c r="J120" s="70"/>
      <c r="K120" s="70"/>
      <c r="L120" s="70"/>
      <c r="M120" s="102"/>
      <c r="N120" s="116"/>
    </row>
    <row r="121" spans="2:16">
      <c r="B121" s="11" t="s">
        <v>66</v>
      </c>
      <c r="C121" s="106"/>
      <c r="D121" s="106">
        <f t="shared" ref="D121:L121" si="40">+D218</f>
        <v>0.36270715798537662</v>
      </c>
      <c r="E121" s="106">
        <f t="shared" si="40"/>
        <v>0.24348267360822468</v>
      </c>
      <c r="F121" s="106">
        <f t="shared" si="40"/>
        <v>7.0325459975408419E-3</v>
      </c>
      <c r="G121" s="106">
        <f t="shared" si="40"/>
        <v>8.5350889056251683E-3</v>
      </c>
      <c r="H121" s="106">
        <f t="shared" si="40"/>
        <v>0.19386773900172091</v>
      </c>
      <c r="I121" s="106">
        <f t="shared" si="40"/>
        <v>7.007731085764057E-3</v>
      </c>
      <c r="J121" s="106">
        <f t="shared" si="40"/>
        <v>4.2421091682413791E-3</v>
      </c>
      <c r="K121" s="106">
        <f t="shared" si="40"/>
        <v>4.8984635847373397E-3</v>
      </c>
      <c r="L121" s="106">
        <f t="shared" si="40"/>
        <v>2.4653614850235804E-3</v>
      </c>
      <c r="M121" s="101">
        <f>SUM(C121:L121)</f>
        <v>0.83423887082225467</v>
      </c>
      <c r="N121" s="116"/>
    </row>
    <row r="122" spans="2:16">
      <c r="C122" s="107">
        <f>+C121*$M122</f>
        <v>0</v>
      </c>
      <c r="D122" s="107">
        <f>+D121*$M122</f>
        <v>1541.4328800062535</v>
      </c>
      <c r="E122" s="107">
        <f>+E121*$M122</f>
        <v>1034.7526663002332</v>
      </c>
      <c r="F122" s="107">
        <f>+F121*$M122</f>
        <v>29.886913980349071</v>
      </c>
      <c r="G122" s="107">
        <f t="shared" ref="G122:L122" si="41">+G121*$M122</f>
        <v>36.272420831125842</v>
      </c>
      <c r="H122" s="107">
        <f t="shared" si="41"/>
        <v>823.89911720951352</v>
      </c>
      <c r="I122" s="107">
        <f t="shared" si="41"/>
        <v>29.781455568280091</v>
      </c>
      <c r="J122" s="107">
        <f t="shared" si="41"/>
        <v>18.028115543192214</v>
      </c>
      <c r="K122" s="107">
        <f t="shared" si="41"/>
        <v>20.817490542416749</v>
      </c>
      <c r="L122" s="107">
        <f t="shared" si="41"/>
        <v>10.477293239053212</v>
      </c>
      <c r="M122" s="102">
        <f>+'2020-2021 Recy. Tons &amp; Revenue'!C19</f>
        <v>4249.8</v>
      </c>
      <c r="N122" s="116"/>
      <c r="O122" s="102"/>
      <c r="P122" s="102"/>
    </row>
    <row r="123" spans="2:16">
      <c r="C123" s="70"/>
      <c r="D123" s="70">
        <f t="shared" ref="D123:L123" si="42">+$C$68*D122*D19+D122*D53*$C$69</f>
        <v>40987.567563386692</v>
      </c>
      <c r="E123" s="70">
        <f t="shared" si="42"/>
        <v>109434.68620742734</v>
      </c>
      <c r="F123" s="70">
        <f t="shared" si="42"/>
        <v>26966.691921099802</v>
      </c>
      <c r="G123" s="70">
        <f t="shared" si="42"/>
        <v>3753.3430799901262</v>
      </c>
      <c r="H123" s="70">
        <f t="shared" si="42"/>
        <v>-52317.593942804109</v>
      </c>
      <c r="I123" s="70">
        <f t="shared" si="42"/>
        <v>595.62911136560183</v>
      </c>
      <c r="J123" s="70">
        <f t="shared" si="42"/>
        <v>19874.458749944315</v>
      </c>
      <c r="K123" s="70">
        <f t="shared" si="42"/>
        <v>4578.5805704246495</v>
      </c>
      <c r="L123" s="70">
        <f t="shared" si="42"/>
        <v>-1782.2503142605624</v>
      </c>
      <c r="M123" s="102">
        <f>SUM(C123:L123)</f>
        <v>152091.11294657382</v>
      </c>
      <c r="N123" s="116"/>
    </row>
    <row r="124" spans="2:16">
      <c r="C124" s="70"/>
      <c r="D124" s="70"/>
      <c r="E124" s="70"/>
      <c r="F124" s="70"/>
      <c r="G124" s="70"/>
      <c r="H124" s="70"/>
      <c r="I124" s="70"/>
      <c r="J124" s="70"/>
      <c r="K124" s="70"/>
      <c r="L124" s="70"/>
      <c r="M124" s="102"/>
      <c r="N124" s="116"/>
    </row>
    <row r="125" spans="2:16">
      <c r="B125" s="11" t="s">
        <v>67</v>
      </c>
      <c r="C125" s="106"/>
      <c r="D125" s="106">
        <f t="shared" ref="D125:L125" si="43">+D222</f>
        <v>0.34391796258803226</v>
      </c>
      <c r="E125" s="106">
        <f t="shared" si="43"/>
        <v>0.25199817948496406</v>
      </c>
      <c r="F125" s="106">
        <f t="shared" si="43"/>
        <v>8.005094179513764E-3</v>
      </c>
      <c r="G125" s="106">
        <f t="shared" si="43"/>
        <v>1.1793420999592977E-2</v>
      </c>
      <c r="H125" s="106">
        <f t="shared" si="43"/>
        <v>0.18707797926345587</v>
      </c>
      <c r="I125" s="106">
        <f t="shared" si="43"/>
        <v>1.4136621495792194E-2</v>
      </c>
      <c r="J125" s="106">
        <f t="shared" si="43"/>
        <v>4.1302779671441043E-3</v>
      </c>
      <c r="K125" s="106">
        <f t="shared" si="43"/>
        <v>4.1302779671441043E-3</v>
      </c>
      <c r="L125" s="106">
        <f t="shared" si="43"/>
        <v>2.5199727803287839E-3</v>
      </c>
      <c r="M125" s="101">
        <f>SUM(C125:L125)</f>
        <v>0.8277097867259684</v>
      </c>
      <c r="N125" s="116"/>
    </row>
    <row r="126" spans="2:16">
      <c r="C126" s="107">
        <f>+C125*$M126</f>
        <v>0</v>
      </c>
      <c r="D126" s="107">
        <f>+D125*$M126</f>
        <v>1385.5079040821465</v>
      </c>
      <c r="E126" s="107">
        <f>+E125*$M126</f>
        <v>1015.1998658731261</v>
      </c>
      <c r="F126" s="107">
        <f>+F125*$M126</f>
        <v>32.249322411589148</v>
      </c>
      <c r="G126" s="107">
        <f t="shared" ref="G126:L126" si="44">+G125*$M126</f>
        <v>47.510975838960256</v>
      </c>
      <c r="H126" s="107">
        <f t="shared" si="44"/>
        <v>753.66234726075822</v>
      </c>
      <c r="I126" s="107">
        <f t="shared" si="44"/>
        <v>56.950793357948427</v>
      </c>
      <c r="J126" s="107">
        <f t="shared" si="44"/>
        <v>16.639237818436737</v>
      </c>
      <c r="K126" s="107">
        <f t="shared" si="44"/>
        <v>16.639237818436737</v>
      </c>
      <c r="L126" s="107">
        <f t="shared" si="44"/>
        <v>10.151962342832537</v>
      </c>
      <c r="M126" s="102">
        <f>+'2020-2021 Recy. Tons &amp; Revenue'!C20</f>
        <v>4028.5999999999995</v>
      </c>
      <c r="N126" s="116"/>
      <c r="O126" s="102"/>
      <c r="P126" s="102"/>
    </row>
    <row r="127" spans="2:16">
      <c r="C127" s="70"/>
      <c r="D127" s="70">
        <f t="shared" ref="D127:L127" si="45">+$C$68*D126*D20+D126*D54*$C$69</f>
        <v>43302.444740064697</v>
      </c>
      <c r="E127" s="70">
        <f t="shared" si="45"/>
        <v>114164.7302503675</v>
      </c>
      <c r="F127" s="70">
        <f t="shared" si="45"/>
        <v>31980.053211652808</v>
      </c>
      <c r="G127" s="70">
        <f t="shared" si="45"/>
        <v>5204.5804484068894</v>
      </c>
      <c r="H127" s="70">
        <f t="shared" si="45"/>
        <v>-47857.559051058146</v>
      </c>
      <c r="I127" s="70">
        <f t="shared" si="45"/>
        <v>1324.8290230152334</v>
      </c>
      <c r="J127" s="70">
        <f t="shared" si="45"/>
        <v>19967.085382124085</v>
      </c>
      <c r="K127" s="70">
        <f t="shared" si="45"/>
        <v>4658.9865891622867</v>
      </c>
      <c r="L127" s="70">
        <f t="shared" si="45"/>
        <v>-1726.9095808479731</v>
      </c>
      <c r="M127" s="102">
        <f>SUM(C127:L127)</f>
        <v>171018.24101288739</v>
      </c>
      <c r="N127" s="116"/>
    </row>
    <row r="128" spans="2:16">
      <c r="C128" s="70"/>
      <c r="D128" s="70"/>
      <c r="E128" s="70"/>
      <c r="F128" s="70"/>
      <c r="G128" s="70"/>
      <c r="H128" s="70"/>
      <c r="I128" s="70"/>
      <c r="J128" s="70"/>
      <c r="K128" s="70"/>
      <c r="L128" s="70"/>
      <c r="M128" s="102"/>
      <c r="N128" s="116"/>
    </row>
    <row r="129" spans="2:16">
      <c r="B129" s="11" t="s">
        <v>57</v>
      </c>
      <c r="C129" s="106"/>
      <c r="D129" s="106">
        <f t="shared" ref="D129:L129" si="46">+D226</f>
        <v>0.34885022320051023</v>
      </c>
      <c r="E129" s="106">
        <f t="shared" si="46"/>
        <v>0.24928889627554995</v>
      </c>
      <c r="F129" s="106">
        <f t="shared" si="46"/>
        <v>8.2108404335162217E-3</v>
      </c>
      <c r="G129" s="106">
        <f t="shared" si="46"/>
        <v>1.267028587672123E-2</v>
      </c>
      <c r="H129" s="106">
        <f t="shared" si="46"/>
        <v>0.19985353522870183</v>
      </c>
      <c r="I129" s="106">
        <f t="shared" si="46"/>
        <v>9.865081236115578E-3</v>
      </c>
      <c r="J129" s="106">
        <f t="shared" si="46"/>
        <v>4.9810793618391526E-3</v>
      </c>
      <c r="K129" s="106">
        <f t="shared" si="46"/>
        <v>3.8708253374148786E-3</v>
      </c>
      <c r="L129" s="106">
        <f t="shared" si="46"/>
        <v>6.7284741379682099E-4</v>
      </c>
      <c r="M129" s="101">
        <f>SUM(C129:L129)</f>
        <v>0.83826361436416597</v>
      </c>
      <c r="N129" s="116"/>
    </row>
    <row r="130" spans="2:16">
      <c r="C130" s="107">
        <f>+C129*$M130</f>
        <v>0</v>
      </c>
      <c r="D130" s="107">
        <f>+D129*$M130</f>
        <v>1598.4596307225938</v>
      </c>
      <c r="E130" s="107">
        <f>+E129*$M130</f>
        <v>1142.2616658462719</v>
      </c>
      <c r="F130" s="107">
        <f>+F129*$M130</f>
        <v>37.622727733606006</v>
      </c>
      <c r="G130" s="107">
        <f t="shared" ref="G130:L130" si="47">+G129*$M130</f>
        <v>58.056263510006815</v>
      </c>
      <c r="H130" s="107">
        <f t="shared" si="47"/>
        <v>915.74488670073004</v>
      </c>
      <c r="I130" s="107">
        <f t="shared" si="47"/>
        <v>45.202591430380465</v>
      </c>
      <c r="J130" s="107">
        <f t="shared" si="47"/>
        <v>22.823704122295943</v>
      </c>
      <c r="K130" s="107">
        <f t="shared" si="47"/>
        <v>17.736431362061968</v>
      </c>
      <c r="L130" s="107">
        <f t="shared" si="47"/>
        <v>3.0830406778101374</v>
      </c>
      <c r="M130" s="102">
        <f>+'2020-2021 Recy. Tons &amp; Revenue'!C21</f>
        <v>4582.08</v>
      </c>
      <c r="N130" s="116"/>
      <c r="O130" s="102"/>
      <c r="P130" s="102"/>
    </row>
    <row r="131" spans="2:16">
      <c r="C131" s="70"/>
      <c r="D131" s="70">
        <f t="shared" ref="D131:L131" si="48">+$C$68*D130*D21+D130*D55*$C$69</f>
        <v>64996.36998175794</v>
      </c>
      <c r="E131" s="70">
        <f t="shared" si="48"/>
        <v>140105.28539015673</v>
      </c>
      <c r="F131" s="70">
        <f t="shared" si="48"/>
        <v>41925.420488622927</v>
      </c>
      <c r="G131" s="70">
        <f t="shared" si="48"/>
        <v>8615.4830192482405</v>
      </c>
      <c r="H131" s="70">
        <f t="shared" si="48"/>
        <v>-58149.800305496356</v>
      </c>
      <c r="I131" s="70">
        <f t="shared" si="48"/>
        <v>1073.274824648521</v>
      </c>
      <c r="J131" s="70">
        <f t="shared" si="48"/>
        <v>27388.444946755135</v>
      </c>
      <c r="K131" s="70">
        <f t="shared" si="48"/>
        <v>4966.2007813773507</v>
      </c>
      <c r="L131" s="70">
        <f t="shared" si="48"/>
        <v>-524.44367944422936</v>
      </c>
      <c r="M131" s="102">
        <f>SUM(C131:L131)</f>
        <v>230396.23544762624</v>
      </c>
      <c r="N131" s="116"/>
    </row>
    <row r="132" spans="2:16">
      <c r="C132" s="70"/>
      <c r="D132" s="70"/>
      <c r="E132" s="70"/>
      <c r="F132" s="70"/>
      <c r="G132" s="70"/>
      <c r="H132" s="70"/>
      <c r="I132" s="70"/>
      <c r="J132" s="70"/>
      <c r="K132" s="70"/>
      <c r="L132" s="70"/>
      <c r="M132" s="102"/>
      <c r="N132" s="116"/>
    </row>
    <row r="133" spans="2:16">
      <c r="B133" s="11" t="s">
        <v>222</v>
      </c>
      <c r="C133" s="106"/>
      <c r="D133" s="106">
        <f t="shared" ref="D133:L133" si="49">+D230</f>
        <v>0.36660452374631708</v>
      </c>
      <c r="E133" s="106">
        <f t="shared" si="49"/>
        <v>0.23943338148700957</v>
      </c>
      <c r="F133" s="106">
        <f t="shared" si="49"/>
        <v>7.2673127193504158E-3</v>
      </c>
      <c r="G133" s="106">
        <f t="shared" si="49"/>
        <v>1.1212925829081755E-2</v>
      </c>
      <c r="H133" s="106">
        <f t="shared" si="49"/>
        <v>0.18049848323603754</v>
      </c>
      <c r="I133" s="106">
        <f t="shared" si="49"/>
        <v>1.3033949358633711E-2</v>
      </c>
      <c r="J133" s="106">
        <f t="shared" si="49"/>
        <v>2.6164673784942901E-3</v>
      </c>
      <c r="K133" s="106">
        <f t="shared" si="49"/>
        <v>3.8922460145575854E-3</v>
      </c>
      <c r="L133" s="106">
        <f t="shared" si="49"/>
        <v>2.5232328620752331E-3</v>
      </c>
      <c r="M133" s="101">
        <f>SUM(C133:L133)</f>
        <v>0.82708252263155724</v>
      </c>
      <c r="N133" s="116"/>
    </row>
    <row r="134" spans="2:16">
      <c r="C134" s="107">
        <f t="shared" ref="C134:L134" si="50">+C133*$M134</f>
        <v>0</v>
      </c>
      <c r="D134" s="107">
        <f t="shared" si="50"/>
        <v>1626.1770143434387</v>
      </c>
      <c r="E134" s="107">
        <f t="shared" si="50"/>
        <v>1062.0738049324475</v>
      </c>
      <c r="F134" s="107">
        <f t="shared" si="50"/>
        <v>32.236200414240194</v>
      </c>
      <c r="G134" s="107">
        <f t="shared" si="50"/>
        <v>49.738072134124273</v>
      </c>
      <c r="H134" s="107">
        <f t="shared" si="50"/>
        <v>800.65156196875068</v>
      </c>
      <c r="I134" s="107">
        <f t="shared" si="50"/>
        <v>57.815731886040247</v>
      </c>
      <c r="J134" s="107">
        <f t="shared" si="50"/>
        <v>11.606073668177403</v>
      </c>
      <c r="K134" s="107">
        <f t="shared" si="50"/>
        <v>17.265147026454247</v>
      </c>
      <c r="L134" s="107">
        <f t="shared" si="50"/>
        <v>11.192505864936079</v>
      </c>
      <c r="M134" s="102">
        <f>+'2020-2021 Recy. Tons &amp; Revenue'!C22</f>
        <v>4435.7800000000007</v>
      </c>
      <c r="N134" s="116"/>
      <c r="O134" s="102"/>
      <c r="P134" s="102"/>
    </row>
    <row r="135" spans="2:16">
      <c r="C135" s="70"/>
      <c r="D135" s="70">
        <f t="shared" ref="D135:L135" si="51">+$C$68*D134*D22+D134*D56*$C$69</f>
        <v>65748.973502256762</v>
      </c>
      <c r="E135" s="70">
        <f t="shared" si="51"/>
        <v>132488.80537494266</v>
      </c>
      <c r="F135" s="70">
        <f t="shared" si="51"/>
        <v>35056.752662001702</v>
      </c>
      <c r="G135" s="70">
        <f t="shared" si="51"/>
        <v>10393.639117709758</v>
      </c>
      <c r="H135" s="70">
        <f t="shared" si="51"/>
        <v>-50841.374185015666</v>
      </c>
      <c r="I135" s="70">
        <f t="shared" si="51"/>
        <v>2971.4688171947605</v>
      </c>
      <c r="J135" s="70">
        <f t="shared" si="51"/>
        <v>14391.53134853998</v>
      </c>
      <c r="K135" s="70">
        <f t="shared" si="51"/>
        <v>4834.2411674071891</v>
      </c>
      <c r="L135" s="70">
        <f t="shared" si="51"/>
        <v>-2098.594849675515</v>
      </c>
      <c r="M135" s="102">
        <f>SUM(C135:L135)</f>
        <v>212945.44295536165</v>
      </c>
      <c r="N135" s="116"/>
    </row>
    <row r="136" spans="2:16">
      <c r="C136" s="106"/>
      <c r="D136" s="106"/>
      <c r="E136" s="106"/>
      <c r="F136" s="106"/>
      <c r="G136" s="106"/>
      <c r="H136" s="106"/>
      <c r="I136" s="106"/>
      <c r="J136" s="106"/>
      <c r="K136" s="106"/>
      <c r="L136" s="106"/>
      <c r="N136" s="116"/>
    </row>
    <row r="137" spans="2:16">
      <c r="B137" s="11" t="s">
        <v>58</v>
      </c>
      <c r="C137" s="106"/>
      <c r="D137" s="106">
        <f t="shared" ref="D137:L137" si="52">+D234</f>
        <v>0.29113524020790449</v>
      </c>
      <c r="E137" s="106">
        <f t="shared" si="52"/>
        <v>0.24939702030083274</v>
      </c>
      <c r="F137" s="106">
        <f t="shared" si="52"/>
        <v>9.694213178053435E-3</v>
      </c>
      <c r="G137" s="106">
        <f t="shared" si="52"/>
        <v>1.5042524872236267E-2</v>
      </c>
      <c r="H137" s="106">
        <f t="shared" si="52"/>
        <v>0.21100571871944293</v>
      </c>
      <c r="I137" s="106">
        <f t="shared" si="52"/>
        <v>1.7891729569721213E-2</v>
      </c>
      <c r="J137" s="106">
        <f t="shared" si="52"/>
        <v>7.0195728872907244E-3</v>
      </c>
      <c r="K137" s="106">
        <f t="shared" si="52"/>
        <v>2.3112015543022644E-3</v>
      </c>
      <c r="L137" s="106">
        <f t="shared" si="52"/>
        <v>4.3886469019897666E-4</v>
      </c>
      <c r="M137" s="101">
        <f>SUM(C137:L137)</f>
        <v>0.80393608597998301</v>
      </c>
      <c r="N137" s="116"/>
    </row>
    <row r="138" spans="2:16">
      <c r="C138" s="107">
        <f t="shared" ref="C138:L138" si="53">+C137*$M138</f>
        <v>0</v>
      </c>
      <c r="D138" s="107">
        <f t="shared" si="53"/>
        <v>1041.5334104913761</v>
      </c>
      <c r="E138" s="107">
        <f t="shared" si="53"/>
        <v>892.21534615602604</v>
      </c>
      <c r="F138" s="107">
        <f t="shared" si="53"/>
        <v>34.68095070235438</v>
      </c>
      <c r="G138" s="107">
        <f t="shared" si="53"/>
        <v>53.814482305176519</v>
      </c>
      <c r="H138" s="107">
        <f t="shared" si="53"/>
        <v>754.87084866161979</v>
      </c>
      <c r="I138" s="107">
        <f t="shared" si="53"/>
        <v>64.00748361838194</v>
      </c>
      <c r="J138" s="107">
        <f t="shared" si="53"/>
        <v>25.112451808553693</v>
      </c>
      <c r="K138" s="107">
        <f t="shared" si="53"/>
        <v>8.268300448500808</v>
      </c>
      <c r="L138" s="107">
        <f t="shared" si="53"/>
        <v>1.5700340405399369</v>
      </c>
      <c r="M138" s="102">
        <f>+'2020-2021 Recy. Tons &amp; Revenue'!C23</f>
        <v>3577.49</v>
      </c>
      <c r="N138" s="116"/>
      <c r="O138" s="102"/>
      <c r="P138" s="102"/>
    </row>
    <row r="139" spans="2:16">
      <c r="C139" s="70"/>
      <c r="D139" s="70">
        <f t="shared" ref="D139:L139" si="54">+$C$68*D138*D23+D138*D57*$C$69</f>
        <v>41943.603093437356</v>
      </c>
      <c r="E139" s="70">
        <f t="shared" si="54"/>
        <v>102651.12162096254</v>
      </c>
      <c r="F139" s="70">
        <f t="shared" si="54"/>
        <v>39886.860228162375</v>
      </c>
      <c r="G139" s="70">
        <f t="shared" si="54"/>
        <v>9085.8121297001398</v>
      </c>
      <c r="H139" s="70">
        <f t="shared" si="54"/>
        <v>-47934.298890012855</v>
      </c>
      <c r="I139" s="70">
        <f t="shared" si="54"/>
        <v>4470.765894669471</v>
      </c>
      <c r="J139" s="70">
        <f t="shared" si="54"/>
        <v>32143.938314948726</v>
      </c>
      <c r="K139" s="70">
        <f t="shared" si="54"/>
        <v>2315.1241255802261</v>
      </c>
      <c r="L139" s="70">
        <f t="shared" si="54"/>
        <v>-294.38138260123816</v>
      </c>
      <c r="M139" s="102">
        <f>SUM(C139:L139)</f>
        <v>184268.54513484673</v>
      </c>
      <c r="N139" s="116"/>
    </row>
    <row r="140" spans="2:16">
      <c r="N140" s="116"/>
    </row>
    <row r="141" spans="2:16">
      <c r="B141" s="11" t="s">
        <v>59</v>
      </c>
      <c r="C141" s="106"/>
      <c r="D141" s="106">
        <f t="shared" ref="D141:L141" si="55">+D238</f>
        <v>0.33945272361122508</v>
      </c>
      <c r="E141" s="106">
        <f t="shared" si="55"/>
        <v>0.27057687031591826</v>
      </c>
      <c r="F141" s="106">
        <f t="shared" si="55"/>
        <v>8.8102323931298319E-3</v>
      </c>
      <c r="G141" s="106">
        <f t="shared" si="55"/>
        <v>1.0916633662399875E-2</v>
      </c>
      <c r="H141" s="106">
        <f t="shared" si="55"/>
        <v>0.1889745402725112</v>
      </c>
      <c r="I141" s="106">
        <f t="shared" si="55"/>
        <v>1.8119424531526665E-2</v>
      </c>
      <c r="J141" s="106">
        <f t="shared" si="55"/>
        <v>4.1690351007470199E-3</v>
      </c>
      <c r="K141" s="106">
        <f t="shared" si="55"/>
        <v>4.0670333148607671E-3</v>
      </c>
      <c r="L141" s="106">
        <f t="shared" si="55"/>
        <v>2.7429211477153132E-3</v>
      </c>
      <c r="M141" s="101">
        <f>SUM(C141:L141)</f>
        <v>0.84782941435003434</v>
      </c>
      <c r="N141" s="116"/>
    </row>
    <row r="142" spans="2:16">
      <c r="C142" s="107"/>
      <c r="D142" s="107">
        <f t="shared" ref="D142:L142" si="56">+D141*$M142</f>
        <v>1419.4113801986291</v>
      </c>
      <c r="E142" s="107">
        <f t="shared" si="56"/>
        <v>1131.4090659199026</v>
      </c>
      <c r="F142" s="107">
        <f t="shared" si="56"/>
        <v>36.839722444900595</v>
      </c>
      <c r="G142" s="107">
        <f t="shared" si="56"/>
        <v>45.647576160315197</v>
      </c>
      <c r="H142" s="107">
        <f t="shared" si="56"/>
        <v>790.19137091329731</v>
      </c>
      <c r="I142" s="107">
        <f t="shared" si="56"/>
        <v>75.765830095842787</v>
      </c>
      <c r="J142" s="107">
        <f t="shared" si="56"/>
        <v>17.432695202720637</v>
      </c>
      <c r="K142" s="107">
        <f t="shared" si="56"/>
        <v>17.006177795090849</v>
      </c>
      <c r="L142" s="107">
        <f t="shared" si="56"/>
        <v>11.46944249153715</v>
      </c>
      <c r="M142" s="102">
        <f>+'2020-2021 Recy. Tons &amp; Revenue'!C24</f>
        <v>4181.4699999999993</v>
      </c>
      <c r="N142" s="116"/>
      <c r="O142" s="102"/>
      <c r="P142" s="102"/>
    </row>
    <row r="143" spans="2:16">
      <c r="C143" s="70"/>
      <c r="D143" s="70">
        <f t="shared" ref="D143:L143" si="57">+$C$68*D142*D24+D142*D58*$C$69</f>
        <v>57817.990093850771</v>
      </c>
      <c r="E143" s="70">
        <f t="shared" si="57"/>
        <v>131977.30123799277</v>
      </c>
      <c r="F143" s="70">
        <f t="shared" si="57"/>
        <v>43873.522851443398</v>
      </c>
      <c r="G143" s="70">
        <f t="shared" si="57"/>
        <v>9323.7801562786462</v>
      </c>
      <c r="H143" s="70">
        <f t="shared" si="57"/>
        <v>-50177.152052994381</v>
      </c>
      <c r="I143" s="70">
        <f t="shared" si="57"/>
        <v>5655.4547706661451</v>
      </c>
      <c r="J143" s="70">
        <f t="shared" si="57"/>
        <v>24580.100235836097</v>
      </c>
      <c r="K143" s="70">
        <f t="shared" si="57"/>
        <v>5441.9768944290718</v>
      </c>
      <c r="L143" s="70">
        <f t="shared" si="57"/>
        <v>-2150.5204671632155</v>
      </c>
      <c r="M143" s="102">
        <f>SUM(C143:L143)</f>
        <v>226342.45372033925</v>
      </c>
      <c r="N143" s="116"/>
    </row>
    <row r="144" spans="2:16">
      <c r="C144" s="70"/>
      <c r="D144" s="70"/>
      <c r="E144" s="70"/>
      <c r="F144" s="70"/>
      <c r="G144" s="70"/>
      <c r="H144" s="70"/>
      <c r="I144" s="70"/>
      <c r="J144" s="70"/>
      <c r="K144" s="70"/>
      <c r="L144" s="70"/>
      <c r="M144" s="102"/>
      <c r="N144" s="116"/>
    </row>
    <row r="145" spans="2:17">
      <c r="B145" s="11" t="s">
        <v>60</v>
      </c>
      <c r="C145" s="106"/>
      <c r="D145" s="106">
        <f>+D242</f>
        <v>0.33302084216153494</v>
      </c>
      <c r="E145" s="106">
        <f t="shared" ref="E145:L145" si="58">+E242</f>
        <v>0.26697133469369133</v>
      </c>
      <c r="F145" s="106">
        <f t="shared" si="58"/>
        <v>8.5546088101648727E-3</v>
      </c>
      <c r="G145" s="106">
        <f t="shared" si="58"/>
        <v>1.1374852501124577E-2</v>
      </c>
      <c r="H145" s="106">
        <f t="shared" si="58"/>
        <v>0.19843015561538813</v>
      </c>
      <c r="I145" s="106">
        <f t="shared" si="58"/>
        <v>1.7722030627611789E-2</v>
      </c>
      <c r="J145" s="106">
        <f t="shared" si="58"/>
        <v>5.1776179828021207E-3</v>
      </c>
      <c r="K145" s="106">
        <f t="shared" si="58"/>
        <v>4.5843628374546098E-3</v>
      </c>
      <c r="L145" s="106">
        <f t="shared" si="58"/>
        <v>2.8789172767633045E-3</v>
      </c>
      <c r="M145" s="101">
        <f>SUM(C145:L145)</f>
        <v>0.84871472250653568</v>
      </c>
      <c r="N145" s="116"/>
    </row>
    <row r="146" spans="2:17">
      <c r="C146" s="107"/>
      <c r="D146" s="107">
        <f t="shared" ref="D146:L146" si="59">+D145*$M146</f>
        <v>1290.7754633844229</v>
      </c>
      <c r="E146" s="107">
        <f t="shared" si="59"/>
        <v>1034.7702144193599</v>
      </c>
      <c r="F146" s="107">
        <f t="shared" si="59"/>
        <v>33.157321563846644</v>
      </c>
      <c r="G146" s="107">
        <f t="shared" si="59"/>
        <v>44.088473300258819</v>
      </c>
      <c r="H146" s="107">
        <f t="shared" si="59"/>
        <v>769.10734595901977</v>
      </c>
      <c r="I146" s="107">
        <f t="shared" si="59"/>
        <v>68.689881831398182</v>
      </c>
      <c r="J146" s="107">
        <f t="shared" si="59"/>
        <v>20.068240196621709</v>
      </c>
      <c r="K146" s="107">
        <f t="shared" si="59"/>
        <v>17.768806983460571</v>
      </c>
      <c r="L146" s="107">
        <f t="shared" si="59"/>
        <v>11.158568208043498</v>
      </c>
      <c r="M146" s="102">
        <f>+'2020-2021 Recy. Tons &amp; Revenue'!C25</f>
        <v>3875.96</v>
      </c>
      <c r="N146" s="116"/>
      <c r="O146" s="102"/>
      <c r="P146" s="102"/>
    </row>
    <row r="147" spans="2:17">
      <c r="C147" s="70"/>
      <c r="D147" s="70">
        <f t="shared" ref="D147:L147" si="60">+$C$68*D146*D25+D146*D59*$C$69</f>
        <v>73794.053453574219</v>
      </c>
      <c r="E147" s="70">
        <f t="shared" si="60"/>
        <v>137410.56723409961</v>
      </c>
      <c r="F147" s="70">
        <f t="shared" si="60"/>
        <v>42761.971471758457</v>
      </c>
      <c r="G147" s="70">
        <f t="shared" si="60"/>
        <v>8186.6443491762657</v>
      </c>
      <c r="H147" s="70">
        <f t="shared" si="60"/>
        <v>-48838.316468397759</v>
      </c>
      <c r="I147" s="70">
        <f t="shared" si="60"/>
        <v>7965.568254428712</v>
      </c>
      <c r="J147" s="70">
        <f t="shared" si="60"/>
        <v>30503.725098864998</v>
      </c>
      <c r="K147" s="70">
        <f t="shared" si="60"/>
        <v>7107.5227933842289</v>
      </c>
      <c r="L147" s="70">
        <f t="shared" si="60"/>
        <v>-2092.2315390081558</v>
      </c>
      <c r="M147" s="102">
        <f>SUM(C147:L147)</f>
        <v>256799.50464788059</v>
      </c>
      <c r="N147" s="116"/>
    </row>
    <row r="148" spans="2:17">
      <c r="C148" s="70"/>
      <c r="D148" s="70"/>
      <c r="E148" s="70"/>
      <c r="F148" s="70"/>
      <c r="G148" s="70"/>
      <c r="H148" s="70"/>
      <c r="I148" s="70"/>
      <c r="J148" s="70"/>
      <c r="K148" s="70"/>
      <c r="L148" s="70"/>
      <c r="M148" s="102"/>
      <c r="N148" s="116"/>
    </row>
    <row r="149" spans="2:17">
      <c r="B149" s="11" t="s">
        <v>61</v>
      </c>
      <c r="C149" s="106"/>
      <c r="D149" s="106">
        <f t="shared" ref="D149:L149" si="61">+D246</f>
        <v>0.34645433320556152</v>
      </c>
      <c r="E149" s="106">
        <f t="shared" si="61"/>
        <v>0.26730599017318879</v>
      </c>
      <c r="F149" s="106">
        <f t="shared" si="61"/>
        <v>7.8168449663727907E-3</v>
      </c>
      <c r="G149" s="106">
        <f t="shared" si="61"/>
        <v>8.5374777851343342E-3</v>
      </c>
      <c r="H149" s="106">
        <f t="shared" si="61"/>
        <v>0.2062361919364393</v>
      </c>
      <c r="I149" s="106">
        <f t="shared" si="61"/>
        <v>1.7038714848241973E-2</v>
      </c>
      <c r="J149" s="106">
        <f t="shared" si="61"/>
        <v>6.0173537303550885E-3</v>
      </c>
      <c r="K149" s="106">
        <f t="shared" si="61"/>
        <v>3.9488448269853985E-3</v>
      </c>
      <c r="L149" s="106">
        <f t="shared" si="61"/>
        <v>3.0748858765724633E-3</v>
      </c>
      <c r="M149" s="101">
        <f>SUM(C149:L149)</f>
        <v>0.86643063734885162</v>
      </c>
      <c r="N149" s="116"/>
    </row>
    <row r="150" spans="2:17">
      <c r="C150" s="107"/>
      <c r="D150" s="107">
        <f t="shared" ref="D150:L150" si="62">+D149*$M150</f>
        <v>1307.8408560476703</v>
      </c>
      <c r="E150" s="107">
        <f t="shared" si="62"/>
        <v>1009.0614014844755</v>
      </c>
      <c r="F150" s="107">
        <f t="shared" si="62"/>
        <v>29.508042568909637</v>
      </c>
      <c r="G150" s="107">
        <f t="shared" si="62"/>
        <v>32.228381015437151</v>
      </c>
      <c r="H150" s="107">
        <f t="shared" si="62"/>
        <v>778.52718802662275</v>
      </c>
      <c r="I150" s="107">
        <f t="shared" si="62"/>
        <v>64.319955842074066</v>
      </c>
      <c r="J150" s="107">
        <f t="shared" si="62"/>
        <v>22.715089117329335</v>
      </c>
      <c r="K150" s="107">
        <f t="shared" si="62"/>
        <v>14.90661280273199</v>
      </c>
      <c r="L150" s="107">
        <f t="shared" si="62"/>
        <v>11.607478942049688</v>
      </c>
      <c r="M150" s="102">
        <f>+'2020-2021 Recy. Tons &amp; Revenue'!C26</f>
        <v>3774.93</v>
      </c>
      <c r="N150" s="116"/>
      <c r="O150" s="102"/>
      <c r="P150" s="102"/>
    </row>
    <row r="151" spans="2:17">
      <c r="C151" s="70"/>
      <c r="D151" s="70">
        <f t="shared" ref="D151:L151" si="63">+$C$68*D150*D26+D150*D60*$C$69</f>
        <v>74764.869523684436</v>
      </c>
      <c r="E151" s="70">
        <f t="shared" si="63"/>
        <v>141188.15200522487</v>
      </c>
      <c r="F151" s="70">
        <f t="shared" si="63"/>
        <v>40806.801539497879</v>
      </c>
      <c r="G151" s="70">
        <f t="shared" si="63"/>
        <v>4838.7161337947973</v>
      </c>
      <c r="H151" s="70">
        <f t="shared" si="63"/>
        <v>-49436.476439690545</v>
      </c>
      <c r="I151" s="70">
        <f t="shared" si="63"/>
        <v>10794.264672658721</v>
      </c>
      <c r="J151" s="70">
        <f t="shared" si="63"/>
        <v>37252.746152420114</v>
      </c>
      <c r="K151" s="70">
        <f t="shared" si="63"/>
        <v>9838.3644498031135</v>
      </c>
      <c r="L151" s="70">
        <f t="shared" si="63"/>
        <v>-2176.4023016343167</v>
      </c>
      <c r="M151" s="102">
        <f>SUM(C151:L151)</f>
        <v>267871.03573575913</v>
      </c>
      <c r="N151" s="116"/>
    </row>
    <row r="152" spans="2:17">
      <c r="C152" s="70"/>
      <c r="D152" s="70"/>
      <c r="E152" s="70"/>
      <c r="F152" s="70"/>
      <c r="G152" s="70"/>
      <c r="H152" s="70"/>
      <c r="I152" s="70"/>
      <c r="J152" s="70"/>
      <c r="K152" s="70"/>
      <c r="L152" s="70"/>
      <c r="M152" s="102"/>
      <c r="N152" s="116"/>
    </row>
    <row r="153" spans="2:17">
      <c r="B153" s="11" t="s">
        <v>68</v>
      </c>
      <c r="C153" s="106"/>
      <c r="D153" s="106">
        <f t="shared" ref="D153:L153" si="64">+D250</f>
        <v>0.34738319507557769</v>
      </c>
      <c r="E153" s="106">
        <f t="shared" si="64"/>
        <v>0.2635625598168993</v>
      </c>
      <c r="F153" s="106">
        <f t="shared" si="64"/>
        <v>7.2832286885056614E-3</v>
      </c>
      <c r="G153" s="106">
        <f t="shared" si="64"/>
        <v>6.145264297682247E-3</v>
      </c>
      <c r="H153" s="106">
        <f t="shared" si="64"/>
        <v>0.21971436708909475</v>
      </c>
      <c r="I153" s="106">
        <f t="shared" si="64"/>
        <v>1.1713207314788917E-2</v>
      </c>
      <c r="J153" s="106">
        <f t="shared" si="64"/>
        <v>5.7103489329819786E-3</v>
      </c>
      <c r="K153" s="106">
        <f t="shared" si="64"/>
        <v>2.3516220162111811E-3</v>
      </c>
      <c r="L153" s="106">
        <f t="shared" si="64"/>
        <v>1.874369757602038E-3</v>
      </c>
      <c r="M153" s="101">
        <f>SUM(C153:L153)</f>
        <v>0.8657381629893437</v>
      </c>
      <c r="N153" s="116"/>
    </row>
    <row r="154" spans="2:17">
      <c r="C154" s="107"/>
      <c r="D154" s="107">
        <f t="shared" ref="D154:L154" si="65">+D153*$M154</f>
        <v>1376.1029459806889</v>
      </c>
      <c r="E154" s="107">
        <f t="shared" si="65"/>
        <v>1044.0609107050757</v>
      </c>
      <c r="F154" s="107">
        <f t="shared" si="65"/>
        <v>28.851345132925015</v>
      </c>
      <c r="G154" s="107">
        <f t="shared" si="65"/>
        <v>24.34348127298059</v>
      </c>
      <c r="H154" s="107">
        <f t="shared" si="65"/>
        <v>870.3633109247146</v>
      </c>
      <c r="I154" s="107">
        <f t="shared" si="65"/>
        <v>46.399996664365922</v>
      </c>
      <c r="J154" s="107">
        <f t="shared" si="65"/>
        <v>22.620633642178831</v>
      </c>
      <c r="K154" s="107">
        <f t="shared" si="65"/>
        <v>9.315574357697999</v>
      </c>
      <c r="L154" s="107">
        <f t="shared" si="65"/>
        <v>7.4250158955792571</v>
      </c>
      <c r="M154" s="102">
        <f>+'2020-2021 Recy. Tons &amp; Revenue'!C27</f>
        <v>3961.3399999999997</v>
      </c>
      <c r="N154" s="116"/>
      <c r="O154" s="102"/>
      <c r="P154" s="102"/>
    </row>
    <row r="155" spans="2:17">
      <c r="C155" s="70"/>
      <c r="D155" s="70">
        <f t="shared" ref="D155:L155" si="66">+$C$68*D154*D27+D154*D61*$C$69</f>
        <v>96469.543131695129</v>
      </c>
      <c r="E155" s="70">
        <f t="shared" si="66"/>
        <v>160497.22714457897</v>
      </c>
      <c r="F155" s="70">
        <f t="shared" si="66"/>
        <v>40910.979560328444</v>
      </c>
      <c r="G155" s="70">
        <f t="shared" si="66"/>
        <v>5482.080204685737</v>
      </c>
      <c r="H155" s="70">
        <f t="shared" si="66"/>
        <v>-55268.070243719376</v>
      </c>
      <c r="I155" s="70">
        <f t="shared" si="66"/>
        <v>13942.731549088052</v>
      </c>
      <c r="J155" s="70">
        <f t="shared" si="66"/>
        <v>40717.140555921898</v>
      </c>
      <c r="K155" s="70">
        <f t="shared" si="66"/>
        <v>7825.0824604663194</v>
      </c>
      <c r="L155" s="70">
        <f t="shared" si="66"/>
        <v>-1392.1904804211106</v>
      </c>
      <c r="M155" s="102">
        <f>SUM(C155:L155)</f>
        <v>309184.52388262405</v>
      </c>
      <c r="N155" s="116"/>
    </row>
    <row r="156" spans="2:17">
      <c r="C156" s="107"/>
      <c r="D156" s="107"/>
      <c r="E156" s="107"/>
      <c r="F156" s="107"/>
      <c r="G156" s="107"/>
      <c r="H156" s="107"/>
      <c r="I156" s="107"/>
      <c r="J156" s="107"/>
      <c r="K156" s="107"/>
      <c r="L156" s="107"/>
      <c r="M156" s="102"/>
      <c r="N156" s="116"/>
    </row>
    <row r="157" spans="2:17">
      <c r="B157" s="11" t="s">
        <v>69</v>
      </c>
      <c r="C157" s="106"/>
      <c r="D157" s="106">
        <f t="shared" ref="D157:L157" si="67">+D254</f>
        <v>0.3796869727656812</v>
      </c>
      <c r="E157" s="106">
        <f t="shared" si="67"/>
        <v>0.26312352374390735</v>
      </c>
      <c r="F157" s="106">
        <f t="shared" si="67"/>
        <v>5.800459571912997E-3</v>
      </c>
      <c r="G157" s="106">
        <f t="shared" si="67"/>
        <v>3.0278886506778751E-3</v>
      </c>
      <c r="H157" s="106">
        <f t="shared" si="67"/>
        <v>0.20210002039975827</v>
      </c>
      <c r="I157" s="106">
        <f t="shared" si="67"/>
        <v>5.2846920983653251E-3</v>
      </c>
      <c r="J157" s="106">
        <f t="shared" si="67"/>
        <v>1.2053819437762134E-2</v>
      </c>
      <c r="K157" s="106">
        <f t="shared" si="67"/>
        <v>3.6950505567594406E-4</v>
      </c>
      <c r="L157" s="106">
        <f t="shared" si="67"/>
        <v>3.6655414724519868E-3</v>
      </c>
      <c r="M157" s="101">
        <f>SUM(C157:L157)</f>
        <v>0.87511242319619309</v>
      </c>
      <c r="N157" s="116"/>
    </row>
    <row r="158" spans="2:17">
      <c r="C158" s="107"/>
      <c r="D158" s="107">
        <f t="shared" ref="D158:L158" si="68">+D157*$M158</f>
        <v>1519.4465150926135</v>
      </c>
      <c r="E158" s="107">
        <f t="shared" si="68"/>
        <v>1052.9782422593182</v>
      </c>
      <c r="F158" s="107">
        <f t="shared" si="68"/>
        <v>23.212511133264307</v>
      </c>
      <c r="G158" s="107">
        <f t="shared" si="68"/>
        <v>12.117125917828746</v>
      </c>
      <c r="H158" s="107">
        <f t="shared" si="68"/>
        <v>808.7719456365686</v>
      </c>
      <c r="I158" s="107">
        <f t="shared" si="68"/>
        <v>21.14849222692229</v>
      </c>
      <c r="J158" s="107">
        <f t="shared" si="68"/>
        <v>48.237456778814014</v>
      </c>
      <c r="K158" s="107">
        <f t="shared" si="68"/>
        <v>1.4787001120062198</v>
      </c>
      <c r="L158" s="107">
        <f t="shared" si="68"/>
        <v>14.668910486117259</v>
      </c>
      <c r="M158" s="102">
        <f>+'2020-2021 Recy. Tons &amp; Revenue'!C28</f>
        <v>4001.8399999999997</v>
      </c>
      <c r="N158" s="116"/>
      <c r="O158" s="102"/>
      <c r="P158" s="102"/>
    </row>
    <row r="159" spans="2:17">
      <c r="C159" s="70"/>
      <c r="D159" s="70">
        <f t="shared" ref="D159:L159" si="69">+$C$68*D158*D28+D158*D62*$C$69</f>
        <v>141711.01301123656</v>
      </c>
      <c r="E159" s="70">
        <f t="shared" si="69"/>
        <v>183796.10912914504</v>
      </c>
      <c r="F159" s="70">
        <f t="shared" si="69"/>
        <v>31615.203135398562</v>
      </c>
      <c r="G159" s="70">
        <f t="shared" si="69"/>
        <v>3001.8441263240093</v>
      </c>
      <c r="H159" s="70">
        <f t="shared" si="69"/>
        <v>-51357.018547922104</v>
      </c>
      <c r="I159" s="70">
        <f t="shared" si="69"/>
        <v>6803.5837498757319</v>
      </c>
      <c r="J159" s="70">
        <f t="shared" si="69"/>
        <v>95992.538989839886</v>
      </c>
      <c r="K159" s="70">
        <f t="shared" si="69"/>
        <v>1537.8481164864686</v>
      </c>
      <c r="L159" s="70">
        <f t="shared" si="69"/>
        <v>-2750.4207161469858</v>
      </c>
      <c r="M159" s="150">
        <f>SUM(C159:L159)</f>
        <v>410350.70099423715</v>
      </c>
      <c r="N159" s="116"/>
      <c r="Q159" s="116"/>
    </row>
    <row r="160" spans="2:17">
      <c r="C160" s="107"/>
      <c r="D160" s="107"/>
      <c r="E160" s="107"/>
      <c r="F160" s="107"/>
      <c r="G160" s="107"/>
      <c r="H160" s="107"/>
      <c r="I160" s="107"/>
      <c r="J160" s="107"/>
      <c r="K160" s="107"/>
      <c r="L160" s="107"/>
      <c r="M160" s="102"/>
    </row>
    <row r="161" spans="2:16">
      <c r="B161" s="11" t="s">
        <v>70</v>
      </c>
      <c r="C161" s="106"/>
      <c r="D161" s="106">
        <f t="shared" ref="D161:L161" si="70">+D258</f>
        <v>0.40906588832977991</v>
      </c>
      <c r="E161" s="106">
        <f t="shared" si="70"/>
        <v>0.21030535580986956</v>
      </c>
      <c r="F161" s="106">
        <f t="shared" si="70"/>
        <v>7.3868610002738857E-3</v>
      </c>
      <c r="G161" s="106">
        <f t="shared" si="70"/>
        <v>5.5126229129633907E-3</v>
      </c>
      <c r="H161" s="106">
        <f t="shared" si="70"/>
        <v>0.23728310661675855</v>
      </c>
      <c r="I161" s="106">
        <f t="shared" si="70"/>
        <v>8.5924955292171687E-3</v>
      </c>
      <c r="J161" s="106">
        <f t="shared" si="70"/>
        <v>1.1351492140551745E-2</v>
      </c>
      <c r="K161" s="106">
        <f t="shared" si="70"/>
        <v>8.6999017233323846E-4</v>
      </c>
      <c r="L161" s="106">
        <f t="shared" si="70"/>
        <v>1.9413669586325042E-3</v>
      </c>
      <c r="M161" s="101">
        <f>SUM(C161:L161)</f>
        <v>0.89230917947037991</v>
      </c>
    </row>
    <row r="162" spans="2:16">
      <c r="C162" s="107"/>
      <c r="D162" s="107">
        <f t="shared" ref="D162:L162" si="71">+D161*$M162</f>
        <v>1594.6656431348642</v>
      </c>
      <c r="E162" s="107">
        <f t="shared" si="71"/>
        <v>819.83547160717262</v>
      </c>
      <c r="F162" s="107">
        <f t="shared" si="71"/>
        <v>28.796274105977691</v>
      </c>
      <c r="G162" s="107">
        <f t="shared" si="71"/>
        <v>21.489913027834316</v>
      </c>
      <c r="H162" s="107">
        <f t="shared" si="71"/>
        <v>925.00310735517598</v>
      </c>
      <c r="I162" s="107">
        <f t="shared" si="71"/>
        <v>33.496211246502583</v>
      </c>
      <c r="J162" s="107">
        <f t="shared" si="71"/>
        <v>44.251635326434275</v>
      </c>
      <c r="K162" s="107">
        <f t="shared" si="71"/>
        <v>3.3914913887083866</v>
      </c>
      <c r="L162" s="107">
        <f t="shared" si="71"/>
        <v>7.568050228506678</v>
      </c>
      <c r="M162" s="102">
        <f>+'2020-2021 Recy. Tons &amp; Revenue'!C29</f>
        <v>3898.31</v>
      </c>
      <c r="O162" s="102"/>
      <c r="P162" s="102"/>
    </row>
    <row r="163" spans="2:16">
      <c r="C163" s="205"/>
      <c r="D163" s="70">
        <f t="shared" ref="D163:L163" si="72">+$C$68*D162*D29+D162*D63*$C$69</f>
        <v>168654.37780711771</v>
      </c>
      <c r="E163" s="70">
        <f t="shared" si="72"/>
        <v>160494.06727291609</v>
      </c>
      <c r="F163" s="70">
        <f t="shared" si="72"/>
        <v>44341.248909359645</v>
      </c>
      <c r="G163" s="70">
        <f t="shared" si="72"/>
        <v>4945.4400712306842</v>
      </c>
      <c r="H163" s="70">
        <f t="shared" si="72"/>
        <v>-58737.697317053673</v>
      </c>
      <c r="I163" s="70">
        <f t="shared" si="72"/>
        <v>11010.505201738089</v>
      </c>
      <c r="J163" s="70">
        <f t="shared" si="72"/>
        <v>90273.33606592592</v>
      </c>
      <c r="K163" s="70">
        <f t="shared" si="72"/>
        <v>3561.0659581438063</v>
      </c>
      <c r="L163" s="70">
        <f t="shared" si="72"/>
        <v>-1419.0094178450022</v>
      </c>
      <c r="M163" s="150">
        <f>SUM(C163:L163)</f>
        <v>423123.33455153328</v>
      </c>
    </row>
    <row r="164" spans="2:16">
      <c r="C164" s="70"/>
      <c r="D164" s="70"/>
      <c r="E164" s="70"/>
      <c r="F164" s="70"/>
      <c r="G164" s="70"/>
      <c r="H164" s="70"/>
      <c r="I164" s="70"/>
      <c r="J164" s="70"/>
      <c r="K164" s="70"/>
      <c r="L164" s="70"/>
      <c r="M164" s="102"/>
    </row>
    <row r="165" spans="2:16">
      <c r="B165" s="11" t="s">
        <v>71</v>
      </c>
      <c r="C165" s="106"/>
      <c r="D165" s="106">
        <f t="shared" ref="D165:L165" si="73">+D262</f>
        <v>0.33314255367009049</v>
      </c>
      <c r="E165" s="106">
        <f t="shared" si="73"/>
        <v>0.2250556699494079</v>
      </c>
      <c r="F165" s="106">
        <f t="shared" si="73"/>
        <v>6.6697457616966792E-3</v>
      </c>
      <c r="G165" s="106">
        <f t="shared" si="73"/>
        <v>7.361876632996275E-3</v>
      </c>
      <c r="H165" s="106">
        <f t="shared" si="73"/>
        <v>0.21989530189550688</v>
      </c>
      <c r="I165" s="106">
        <f t="shared" si="73"/>
        <v>6.7762274342043089E-3</v>
      </c>
      <c r="J165" s="106">
        <f t="shared" si="73"/>
        <v>1.0326060191427427E-2</v>
      </c>
      <c r="K165" s="106">
        <f t="shared" si="73"/>
        <v>7.0810312217574009E-4</v>
      </c>
      <c r="L165" s="106">
        <f t="shared" si="73"/>
        <v>1.2658008819344526E-3</v>
      </c>
      <c r="M165" s="101">
        <f>SUM(C165:L165)</f>
        <v>0.81120133953944018</v>
      </c>
    </row>
    <row r="166" spans="2:16">
      <c r="C166" s="107">
        <f t="shared" ref="C166:L166" si="74">+C165*$M166</f>
        <v>0</v>
      </c>
      <c r="D166" s="107">
        <f t="shared" si="74"/>
        <v>1302.797264658866</v>
      </c>
      <c r="E166" s="107">
        <f t="shared" si="74"/>
        <v>880.10945457425294</v>
      </c>
      <c r="F166" s="107">
        <f t="shared" si="74"/>
        <v>26.082907868063881</v>
      </c>
      <c r="G166" s="107">
        <f t="shared" si="74"/>
        <v>28.789575617294222</v>
      </c>
      <c r="H166" s="107">
        <f t="shared" si="74"/>
        <v>859.92916445162598</v>
      </c>
      <c r="I166" s="107">
        <f t="shared" si="74"/>
        <v>26.499318291022394</v>
      </c>
      <c r="J166" s="107">
        <f t="shared" si="74"/>
        <v>40.381400766401839</v>
      </c>
      <c r="K166" s="107">
        <f t="shared" si="74"/>
        <v>2.7691293126741141</v>
      </c>
      <c r="L166" s="107">
        <f t="shared" si="74"/>
        <v>4.9500789029193282</v>
      </c>
      <c r="M166" s="102">
        <f>+'2020-2021 Recy. Tons &amp; Revenue'!C30</f>
        <v>3910.6299999999997</v>
      </c>
      <c r="O166" s="102"/>
      <c r="P166" s="102"/>
    </row>
    <row r="167" spans="2:16">
      <c r="C167" s="204"/>
      <c r="D167" s="70">
        <f t="shared" ref="D167:L167" si="75">+$C$68*D166*D30+D166*D64*$C$69</f>
        <v>152540.70876225215</v>
      </c>
      <c r="E167" s="70">
        <f t="shared" si="75"/>
        <v>183930.36741171611</v>
      </c>
      <c r="F167" s="70">
        <f t="shared" si="75"/>
        <v>43086.473559932616</v>
      </c>
      <c r="G167" s="70">
        <f t="shared" si="75"/>
        <v>6062.3652622912314</v>
      </c>
      <c r="H167" s="70">
        <f t="shared" si="75"/>
        <v>-54605.501942678246</v>
      </c>
      <c r="I167" s="70">
        <f t="shared" si="75"/>
        <v>9213.6201472752418</v>
      </c>
      <c r="J167" s="70">
        <f t="shared" si="75"/>
        <v>82378.057563459763</v>
      </c>
      <c r="K167" s="70">
        <f t="shared" si="75"/>
        <v>2907.58577830782</v>
      </c>
      <c r="L167" s="70">
        <f t="shared" si="75"/>
        <v>-928.13979429737401</v>
      </c>
      <c r="M167" s="102">
        <f>SUM(C167:L167)</f>
        <v>424585.53674825927</v>
      </c>
    </row>
    <row r="169" spans="2:16">
      <c r="B169" s="105" t="s">
        <v>72</v>
      </c>
    </row>
    <row r="170" spans="2:16">
      <c r="B170" s="11" t="str">
        <f>+B73</f>
        <v>Oct; '19</v>
      </c>
      <c r="C170" s="106"/>
      <c r="D170" s="106">
        <f>+'Composition-Rec. Acct. Analysis'!$D$7</f>
        <v>0.30872960409494554</v>
      </c>
      <c r="E170" s="106">
        <f>+'Composition-Rec. Acct. Analysis'!$D$8</f>
        <v>0.2669492234757726</v>
      </c>
      <c r="F170" s="106">
        <f>+'Composition-Rec. Acct. Analysis'!$D$9</f>
        <v>7.804430674405032E-3</v>
      </c>
      <c r="G170" s="106">
        <f>+'Composition-Rec. Acct. Analysis'!$D$10</f>
        <v>1.0687020161069373E-2</v>
      </c>
      <c r="H170" s="106">
        <f>+'Composition-Rec. Acct. Analysis'!$D$11</f>
        <v>0.22715955779516506</v>
      </c>
      <c r="I170" s="106">
        <f>+'Composition-Rec. Acct. Analysis'!$D$12</f>
        <v>5.2497654280706102E-3</v>
      </c>
      <c r="J170" s="106">
        <f>+'Composition-Rec. Acct. Analysis'!$D$13</f>
        <v>3.6933257247186236E-3</v>
      </c>
      <c r="K170" s="106">
        <f>+'Composition-Rec. Acct. Analysis'!$D$14</f>
        <v>3.7445714499941187E-3</v>
      </c>
      <c r="L170" s="106">
        <f>+'Composition-Rec. Acct. Analysis'!$D$15</f>
        <v>2.7505360170524281E-3</v>
      </c>
      <c r="M170" s="106">
        <f>+M73</f>
        <v>0.83676803482119333</v>
      </c>
    </row>
    <row r="171" spans="2:16">
      <c r="C171" s="107">
        <f t="shared" ref="C171:L171" si="76">+C170*$M171</f>
        <v>0</v>
      </c>
      <c r="D171" s="107">
        <f t="shared" si="76"/>
        <v>1082.9308322838403</v>
      </c>
      <c r="E171" s="107">
        <f t="shared" si="76"/>
        <v>936.37779118596745</v>
      </c>
      <c r="F171" s="107">
        <f t="shared" si="76"/>
        <v>27.37560147661053</v>
      </c>
      <c r="G171" s="107">
        <f t="shared" si="76"/>
        <v>37.486860618983037</v>
      </c>
      <c r="H171" s="107">
        <f t="shared" si="76"/>
        <v>796.80758087810045</v>
      </c>
      <c r="I171" s="107">
        <f t="shared" si="76"/>
        <v>18.414602192043279</v>
      </c>
      <c r="J171" s="107">
        <f t="shared" si="76"/>
        <v>12.955078644595515</v>
      </c>
      <c r="K171" s="107">
        <f t="shared" si="76"/>
        <v>13.13483327514437</v>
      </c>
      <c r="L171" s="107">
        <f t="shared" si="76"/>
        <v>9.6480551870148012</v>
      </c>
      <c r="M171" s="102">
        <f>+'2020-2021 Recy. Tons &amp; Revenue'!$D$7</f>
        <v>3507.7</v>
      </c>
    </row>
    <row r="172" spans="2:16">
      <c r="C172" s="70">
        <f t="shared" ref="C172:L172" si="77">+C171*C7</f>
        <v>0</v>
      </c>
      <c r="D172" s="70">
        <f t="shared" si="77"/>
        <v>-9822.1826488144325</v>
      </c>
      <c r="E172" s="70">
        <f t="shared" si="77"/>
        <v>48541.824695080555</v>
      </c>
      <c r="F172" s="70">
        <f t="shared" si="77"/>
        <v>24518.957462526221</v>
      </c>
      <c r="G172" s="70">
        <f t="shared" si="77"/>
        <v>2788.2726928399579</v>
      </c>
      <c r="H172" s="70">
        <f t="shared" si="77"/>
        <v>-50597.281385759379</v>
      </c>
      <c r="I172" s="70">
        <f t="shared" si="77"/>
        <v>1541.6704955178634</v>
      </c>
      <c r="J172" s="70">
        <f t="shared" si="77"/>
        <v>10449.436883944298</v>
      </c>
      <c r="K172" s="70">
        <f t="shared" si="77"/>
        <v>3415.0566515375363</v>
      </c>
      <c r="L172" s="70">
        <f t="shared" si="77"/>
        <v>-1616.0492438249792</v>
      </c>
      <c r="M172" s="102">
        <f>SUM(C172:L172)</f>
        <v>29219.705603047641</v>
      </c>
      <c r="N172" s="116"/>
    </row>
    <row r="173" spans="2:16">
      <c r="C173" s="106"/>
      <c r="D173" s="106"/>
      <c r="E173" s="106"/>
      <c r="F173" s="106"/>
      <c r="G173" s="106"/>
      <c r="H173" s="106"/>
      <c r="I173" s="106"/>
      <c r="J173" s="106"/>
      <c r="K173" s="106"/>
      <c r="L173" s="106"/>
      <c r="N173" s="116"/>
    </row>
    <row r="174" spans="2:16">
      <c r="B174" s="11" t="s">
        <v>56</v>
      </c>
      <c r="C174" s="106"/>
      <c r="D174" s="106">
        <f>+'Composition-Rec. Acct. Analysis'!$F$7</f>
        <v>0.35549842167274731</v>
      </c>
      <c r="E174" s="106">
        <f>+'Composition-Rec. Acct. Analysis'!$F$8</f>
        <v>0.25670093848202374</v>
      </c>
      <c r="F174" s="106">
        <f>+'Composition-Rec. Acct. Analysis'!$F$9</f>
        <v>1.1865578135265864E-2</v>
      </c>
      <c r="G174" s="106">
        <f>+'Composition-Rec. Acct. Analysis'!$F$10</f>
        <v>7.1222620684243893E-3</v>
      </c>
      <c r="H174" s="106">
        <f>+'Composition-Rec. Acct. Analysis'!$F$11</f>
        <v>0.17046225865716313</v>
      </c>
      <c r="I174" s="106">
        <f>+'Composition-Rec. Acct. Analysis'!$F$12</f>
        <v>8.0366515091929384E-3</v>
      </c>
      <c r="J174" s="106">
        <f>+'Composition-Rec. Acct. Analysis'!$F$13</f>
        <v>2.6353426422411302E-3</v>
      </c>
      <c r="K174" s="106">
        <f>+'Composition-Rec. Acct. Analysis'!$F$14</f>
        <v>4.7239701733053155E-3</v>
      </c>
      <c r="L174" s="106">
        <f>+'Composition-Rec. Acct. Analysis'!$F$15</f>
        <v>2.8336807193065573E-3</v>
      </c>
      <c r="M174" s="106">
        <f>+M77</f>
        <v>0.81987910405967035</v>
      </c>
      <c r="N174" s="116"/>
    </row>
    <row r="175" spans="2:16">
      <c r="C175" s="107">
        <f t="shared" ref="C175:L175" si="78">+C174*$M175</f>
        <v>0</v>
      </c>
      <c r="D175" s="107">
        <f t="shared" si="78"/>
        <v>1161.6977423422038</v>
      </c>
      <c r="E175" s="107">
        <f t="shared" si="78"/>
        <v>838.84732677155728</v>
      </c>
      <c r="F175" s="107">
        <f t="shared" si="78"/>
        <v>38.774336230421795</v>
      </c>
      <c r="G175" s="107">
        <f t="shared" si="78"/>
        <v>23.274127987197222</v>
      </c>
      <c r="H175" s="107">
        <f t="shared" si="78"/>
        <v>557.03656883987776</v>
      </c>
      <c r="I175" s="107">
        <f t="shared" si="78"/>
        <v>26.262169801740686</v>
      </c>
      <c r="J175" s="107">
        <f t="shared" si="78"/>
        <v>8.6117726863155664</v>
      </c>
      <c r="K175" s="107">
        <f t="shared" si="78"/>
        <v>15.436989732327111</v>
      </c>
      <c r="L175" s="107">
        <f t="shared" si="78"/>
        <v>9.2599018545499678</v>
      </c>
      <c r="M175" s="102">
        <f>+'2020-2021 Recy. Tons &amp; Revenue'!$D$8</f>
        <v>3267.8</v>
      </c>
      <c r="N175" s="116"/>
    </row>
    <row r="176" spans="2:16">
      <c r="C176" s="70">
        <f t="shared" ref="C176:L176" si="79">+C175*C8</f>
        <v>0</v>
      </c>
      <c r="D176" s="70">
        <f t="shared" si="79"/>
        <v>-14881.348079403631</v>
      </c>
      <c r="E176" s="70">
        <f t="shared" si="79"/>
        <v>43267.745114876925</v>
      </c>
      <c r="F176" s="70">
        <f t="shared" si="79"/>
        <v>29238.563721274164</v>
      </c>
      <c r="G176" s="70">
        <f t="shared" si="79"/>
        <v>1906.1510821514526</v>
      </c>
      <c r="H176" s="70">
        <f t="shared" si="79"/>
        <v>-35371.822121332239</v>
      </c>
      <c r="I176" s="70">
        <f t="shared" si="79"/>
        <v>2105.9633964015857</v>
      </c>
      <c r="J176" s="70">
        <f t="shared" si="79"/>
        <v>7406.1245102313869</v>
      </c>
      <c r="K176" s="70">
        <f t="shared" si="79"/>
        <v>4785.4668170214045</v>
      </c>
      <c r="L176" s="70">
        <f t="shared" si="79"/>
        <v>-1551.0335606371195</v>
      </c>
      <c r="M176" s="102">
        <f>SUM(C176:L176)</f>
        <v>36905.810880583929</v>
      </c>
      <c r="N176" s="116"/>
    </row>
    <row r="177" spans="2:14">
      <c r="N177" s="116"/>
    </row>
    <row r="178" spans="2:14">
      <c r="B178" s="11" t="s">
        <v>73</v>
      </c>
      <c r="C178" s="106"/>
      <c r="D178" s="106">
        <f>+'Composition-Rec. Acct. Analysis'!$H$7</f>
        <v>0.38563459339255646</v>
      </c>
      <c r="E178" s="106">
        <f>+'Composition-Rec. Acct. Analysis'!$H$8</f>
        <v>0.23374350411983905</v>
      </c>
      <c r="F178" s="106">
        <f>+'Composition-Rec. Acct. Analysis'!$H$9</f>
        <v>6.2869961001905637E-3</v>
      </c>
      <c r="G178" s="106">
        <f>+'Composition-Rec. Acct. Analysis'!$H$10</f>
        <v>1.023076652999097E-2</v>
      </c>
      <c r="H178" s="106">
        <f>+'Composition-Rec. Acct. Analysis'!$H$11</f>
        <v>0.19376044497853739</v>
      </c>
      <c r="I178" s="106">
        <f>+'Composition-Rec. Acct. Analysis'!$H12</f>
        <v>2.6596826883564873E-3</v>
      </c>
      <c r="J178" s="106">
        <f>+'Composition-Rec. Acct. Analysis'!$H$13</f>
        <v>2.6712625686327244E-3</v>
      </c>
      <c r="K178" s="106">
        <f>+'Composition-Rec. Acct. Analysis'!$H$14</f>
        <v>9.9527739475783572E-4</v>
      </c>
      <c r="L178" s="106">
        <f>+'Composition-Rec. Acct. Analysis'!$H$15</f>
        <v>2.2893391561799197E-3</v>
      </c>
      <c r="M178" s="106">
        <f>+M81</f>
        <v>0.83827186692904132</v>
      </c>
      <c r="N178" s="116"/>
    </row>
    <row r="179" spans="2:14">
      <c r="C179" s="107">
        <f t="shared" ref="C179:L179" si="80">+C178*$M179</f>
        <v>0</v>
      </c>
      <c r="D179" s="107">
        <f t="shared" si="80"/>
        <v>1417.662179537848</v>
      </c>
      <c r="E179" s="107">
        <f t="shared" si="80"/>
        <v>859.28319497526991</v>
      </c>
      <c r="F179" s="107">
        <f t="shared" si="80"/>
        <v>23.112129323598545</v>
      </c>
      <c r="G179" s="107">
        <f t="shared" si="80"/>
        <v>37.610139302222201</v>
      </c>
      <c r="H179" s="107">
        <f t="shared" si="80"/>
        <v>712.29827262119954</v>
      </c>
      <c r="I179" s="107">
        <f t="shared" si="80"/>
        <v>9.7774723052823518</v>
      </c>
      <c r="J179" s="107">
        <f t="shared" si="80"/>
        <v>9.8200420295562481</v>
      </c>
      <c r="K179" s="107">
        <f t="shared" si="80"/>
        <v>3.6588188530608603</v>
      </c>
      <c r="L179" s="107">
        <f t="shared" si="80"/>
        <v>8.4160228191654962</v>
      </c>
      <c r="M179" s="102">
        <f>+'2020-2021 Recy. Tons &amp; Revenue'!$D$9</f>
        <v>3676.18</v>
      </c>
      <c r="N179" s="116"/>
    </row>
    <row r="180" spans="2:14">
      <c r="C180" s="70">
        <f t="shared" ref="C180:L180" si="81">+C179*C9</f>
        <v>0</v>
      </c>
      <c r="D180" s="70">
        <f t="shared" si="81"/>
        <v>-21420.875532816885</v>
      </c>
      <c r="E180" s="70">
        <f t="shared" si="81"/>
        <v>41322.92884636073</v>
      </c>
      <c r="F180" s="70">
        <f t="shared" si="81"/>
        <v>20230.27791823904</v>
      </c>
      <c r="G180" s="70">
        <f t="shared" si="81"/>
        <v>3749.354787038531</v>
      </c>
      <c r="H180" s="70">
        <f t="shared" si="81"/>
        <v>-45230.940311446167</v>
      </c>
      <c r="I180" s="70">
        <f t="shared" si="81"/>
        <v>735.65701624944415</v>
      </c>
      <c r="J180" s="70">
        <f t="shared" si="81"/>
        <v>9917.8496481706279</v>
      </c>
      <c r="K180" s="70">
        <f t="shared" si="81"/>
        <v>951.2929017958237</v>
      </c>
      <c r="L180" s="70">
        <f t="shared" si="81"/>
        <v>-1409.6838222102206</v>
      </c>
      <c r="M180" s="102">
        <f>SUM(C180:L180)</f>
        <v>8845.8614513809189</v>
      </c>
      <c r="N180" s="116"/>
    </row>
    <row r="181" spans="2:14">
      <c r="N181" s="116"/>
    </row>
    <row r="182" spans="2:14">
      <c r="B182" s="11" t="str">
        <f>+B85</f>
        <v>Jan. '20</v>
      </c>
      <c r="C182" s="106"/>
      <c r="D182" s="106">
        <f>+'Composition-Rec. Acct. Analysis'!$J$7</f>
        <v>0.36724834199014944</v>
      </c>
      <c r="E182" s="106">
        <f>+'Composition-Rec. Acct. Analysis'!$J$8</f>
        <v>0.20878493243651855</v>
      </c>
      <c r="F182" s="106">
        <f>+'Composition-Rec. Acct. Analysis'!$J$9</f>
        <v>6.829141552940966E-3</v>
      </c>
      <c r="G182" s="106">
        <f>+'Composition-Rec. Acct. Analysis'!$J$10</f>
        <v>1.0534885960727396E-2</v>
      </c>
      <c r="H182" s="106">
        <f>+'Composition-Rec. Acct. Analysis'!$J$11</f>
        <v>0.21017472657676123</v>
      </c>
      <c r="I182" s="106">
        <f>+'Composition-Rec. Acct. Analysis'!$J$12</f>
        <v>3.7057444077864318E-3</v>
      </c>
      <c r="J182" s="106">
        <f>+'Composition-Rec. Acct. Analysis'!$J$13</f>
        <v>4.8435613670825975E-3</v>
      </c>
      <c r="K182" s="106">
        <f>+'Composition-Rec. Acct. Analysis'!$J$14</f>
        <v>2.5231315052108884E-3</v>
      </c>
      <c r="L182" s="106">
        <f>+'Composition-Rec. Acct. Analysis'!$J$15</f>
        <v>2.048294506449496E-3</v>
      </c>
      <c r="M182" s="101">
        <f>SUM(C182:L182)</f>
        <v>0.81669276030362703</v>
      </c>
      <c r="N182" s="116"/>
    </row>
    <row r="183" spans="2:14">
      <c r="C183" s="107">
        <f t="shared" ref="C183:L183" si="82">+C182*$M183</f>
        <v>0</v>
      </c>
      <c r="D183" s="107">
        <f t="shared" si="82"/>
        <v>1389.8513502617207</v>
      </c>
      <c r="E183" s="107">
        <f t="shared" si="82"/>
        <v>790.14657680600442</v>
      </c>
      <c r="F183" s="107">
        <f t="shared" si="82"/>
        <v>25.844886207105084</v>
      </c>
      <c r="G183" s="107">
        <f t="shared" si="82"/>
        <v>39.869275918372828</v>
      </c>
      <c r="H183" s="107">
        <f t="shared" si="82"/>
        <v>795.40625272975285</v>
      </c>
      <c r="I183" s="107">
        <f t="shared" si="82"/>
        <v>14.024389711267752</v>
      </c>
      <c r="J183" s="107">
        <f t="shared" si="82"/>
        <v>18.330457993724089</v>
      </c>
      <c r="K183" s="107">
        <f t="shared" si="82"/>
        <v>9.548791181470607</v>
      </c>
      <c r="L183" s="107">
        <f t="shared" si="82"/>
        <v>7.7517705596581177</v>
      </c>
      <c r="M183" s="102">
        <f>+'2020-2021 Recy. Tons &amp; Revenue'!D10</f>
        <v>3784.5</v>
      </c>
      <c r="N183" s="116"/>
    </row>
    <row r="184" spans="2:14">
      <c r="C184" s="70">
        <f t="shared" ref="C184:L184" si="83">+C183*C10</f>
        <v>0</v>
      </c>
      <c r="D184" s="70">
        <f t="shared" si="83"/>
        <v>-6560.0983732353216</v>
      </c>
      <c r="E184" s="70">
        <f t="shared" si="83"/>
        <v>42580.99902407558</v>
      </c>
      <c r="F184" s="70">
        <f t="shared" si="83"/>
        <v>22871.173600115573</v>
      </c>
      <c r="G184" s="70">
        <f t="shared" si="83"/>
        <v>4583.3719595761404</v>
      </c>
      <c r="H184" s="70">
        <f t="shared" si="83"/>
        <v>-50508.297048339307</v>
      </c>
      <c r="I184" s="70">
        <f t="shared" si="83"/>
        <v>1963.4145595774853</v>
      </c>
      <c r="J184" s="70">
        <f t="shared" si="83"/>
        <v>19133.881967589015</v>
      </c>
      <c r="K184" s="70">
        <f t="shared" si="83"/>
        <v>2482.6857071823579</v>
      </c>
      <c r="L184" s="70">
        <f t="shared" si="83"/>
        <v>-1298.4215687427347</v>
      </c>
      <c r="M184" s="102">
        <f>SUM(C184:L184)</f>
        <v>35248.709827798797</v>
      </c>
      <c r="N184" s="116"/>
    </row>
    <row r="185" spans="2:14">
      <c r="C185" s="106"/>
      <c r="D185" s="106"/>
      <c r="E185" s="106"/>
      <c r="F185" s="106"/>
      <c r="G185" s="106"/>
      <c r="H185" s="106"/>
      <c r="I185" s="106"/>
      <c r="J185" s="106"/>
      <c r="K185" s="106"/>
      <c r="L185" s="106"/>
      <c r="N185" s="116"/>
    </row>
    <row r="186" spans="2:14">
      <c r="B186" s="11" t="s">
        <v>58</v>
      </c>
      <c r="C186" s="106"/>
      <c r="D186" s="106">
        <f>+'Composition-Rec. Acct. Analysis'!$L$7</f>
        <v>0.38310898135249</v>
      </c>
      <c r="E186" s="106">
        <f>+'Composition-Rec. Acct. Analysis'!$L$8</f>
        <v>0.21532195348472899</v>
      </c>
      <c r="F186" s="106">
        <f>+'Composition-Rec. Acct. Analysis'!$L$9</f>
        <v>7.7600049234349908E-3</v>
      </c>
      <c r="G186" s="106">
        <f>+'Composition-Rec. Acct. Analysis'!$L$10</f>
        <v>1.0375579762444263E-2</v>
      </c>
      <c r="H186" s="106">
        <f>+'Composition-Rec. Acct. Analysis'!$L$11</f>
        <v>0.18167055506134711</v>
      </c>
      <c r="I186" s="106">
        <f>+'Composition-Rec. Acct. Analysis'!$L$12</f>
        <v>7.8369335951705577E-3</v>
      </c>
      <c r="J186" s="106">
        <f>+'Composition-Rec. Acct. Analysis'!$L$13</f>
        <v>3.3121289939967665E-3</v>
      </c>
      <c r="K186" s="106">
        <f>+'Composition-Rec. Acct. Analysis'!$L$14</f>
        <v>3.8520283992681988E-3</v>
      </c>
      <c r="L186" s="106">
        <f>+'Composition-Rec. Acct. Analysis'!$L$15</f>
        <v>2.401573261272149E-3</v>
      </c>
      <c r="M186" s="101">
        <f>SUM(C186:L186)</f>
        <v>0.81563973883415308</v>
      </c>
      <c r="N186" s="116"/>
    </row>
    <row r="187" spans="2:14">
      <c r="C187" s="107">
        <f t="shared" ref="C187:L187" si="84">+C186*$M187</f>
        <v>0</v>
      </c>
      <c r="D187" s="107">
        <f t="shared" si="84"/>
        <v>1246.9048016079491</v>
      </c>
      <c r="E187" s="107">
        <f t="shared" si="84"/>
        <v>700.80836200674742</v>
      </c>
      <c r="F187" s="107">
        <f t="shared" si="84"/>
        <v>25.256488024303863</v>
      </c>
      <c r="G187" s="107">
        <f t="shared" si="84"/>
        <v>33.769399452827344</v>
      </c>
      <c r="H187" s="107">
        <f t="shared" si="84"/>
        <v>591.28315555816641</v>
      </c>
      <c r="I187" s="107">
        <f t="shared" si="84"/>
        <v>25.506867772201613</v>
      </c>
      <c r="J187" s="107">
        <f t="shared" si="84"/>
        <v>10.779986236761275</v>
      </c>
      <c r="K187" s="107">
        <f t="shared" si="84"/>
        <v>12.537196831098205</v>
      </c>
      <c r="L187" s="107">
        <f t="shared" si="84"/>
        <v>7.8164004934624627</v>
      </c>
      <c r="M187" s="102">
        <f>+'2020-2021 Recy. Tons &amp; Revenue'!D11</f>
        <v>3254.7</v>
      </c>
      <c r="N187" s="116"/>
    </row>
    <row r="188" spans="2:14">
      <c r="C188" s="70">
        <f t="shared" ref="C188:L188" si="85">+C187*C11</f>
        <v>0</v>
      </c>
      <c r="D188" s="70">
        <f t="shared" si="85"/>
        <v>-17793.331518945433</v>
      </c>
      <c r="E188" s="70">
        <f t="shared" si="85"/>
        <v>41775.186459222212</v>
      </c>
      <c r="F188" s="70">
        <f t="shared" si="85"/>
        <v>21157.360017959349</v>
      </c>
      <c r="G188" s="70">
        <f t="shared" si="85"/>
        <v>3388.4215410966958</v>
      </c>
      <c r="H188" s="70">
        <f t="shared" si="85"/>
        <v>-37546.480377943568</v>
      </c>
      <c r="I188" s="70">
        <f t="shared" si="85"/>
        <v>4336.1675212742739</v>
      </c>
      <c r="J188" s="70">
        <f t="shared" si="85"/>
        <v>11642.385135702176</v>
      </c>
      <c r="K188" s="70">
        <f t="shared" si="85"/>
        <v>2005.9514929757129</v>
      </c>
      <c r="L188" s="70">
        <f t="shared" si="85"/>
        <v>-1309.2470826549625</v>
      </c>
      <c r="M188" s="102">
        <f>SUM(C188:L188)</f>
        <v>27656.413188686456</v>
      </c>
      <c r="N188" s="116"/>
    </row>
    <row r="189" spans="2:14">
      <c r="N189" s="116"/>
    </row>
    <row r="190" spans="2:14">
      <c r="B190" s="11" t="s">
        <v>59</v>
      </c>
      <c r="C190" s="106"/>
      <c r="D190" s="106">
        <f>+'Composition-Rec. Acct. Analysis'!N$7</f>
        <v>0.43619881388715953</v>
      </c>
      <c r="E190" s="106">
        <f>+'Composition-Rec. Acct. Analysis'!N$8</f>
        <v>0.17379531819094143</v>
      </c>
      <c r="F190" s="106">
        <f>+'Composition-Rec. Acct. Analysis'!N$9</f>
        <v>9.5599825624281699E-3</v>
      </c>
      <c r="G190" s="106">
        <f>+'Composition-Rec. Acct. Analysis'!N$10</f>
        <v>1.0155723652838912E-2</v>
      </c>
      <c r="H190" s="106">
        <f>+'Composition-Rec. Acct. Analysis'!N$11</f>
        <v>0.17031675272525981</v>
      </c>
      <c r="I190" s="106">
        <f>+'Composition-Rec. Acct. Analysis'!N$12</f>
        <v>7.0044322625760821E-3</v>
      </c>
      <c r="J190" s="106">
        <f>+'Composition-Rec. Acct. Analysis'!N$13</f>
        <v>3.5105258246092208E-3</v>
      </c>
      <c r="K190" s="106">
        <f>+'Composition-Rec. Acct. Analysis'!N$14</f>
        <v>3.643480917748099E-3</v>
      </c>
      <c r="L190" s="106">
        <f>+'Composition-Rec. Acct. Analysis'!N$15</f>
        <v>3.3047011131153809E-3</v>
      </c>
      <c r="M190" s="101">
        <f>SUM(C190:L190)</f>
        <v>0.81748973113667667</v>
      </c>
      <c r="N190" s="116"/>
    </row>
    <row r="191" spans="2:14">
      <c r="C191" s="107">
        <f t="shared" ref="C191:L191" si="86">+C190*$M191</f>
        <v>0</v>
      </c>
      <c r="D191" s="107">
        <f t="shared" si="86"/>
        <v>1461.2005966999011</v>
      </c>
      <c r="E191" s="107">
        <f t="shared" si="86"/>
        <v>582.18824664192505</v>
      </c>
      <c r="F191" s="107">
        <f t="shared" si="86"/>
        <v>32.024507586749998</v>
      </c>
      <c r="G191" s="107">
        <f t="shared" si="86"/>
        <v>34.020150878462424</v>
      </c>
      <c r="H191" s="107">
        <f t="shared" si="86"/>
        <v>570.53557411671147</v>
      </c>
      <c r="I191" s="107">
        <f t="shared" si="86"/>
        <v>23.463797414790484</v>
      </c>
      <c r="J191" s="107">
        <f t="shared" si="86"/>
        <v>11.759734933567197</v>
      </c>
      <c r="K191" s="107">
        <f t="shared" si="86"/>
        <v>12.205114552318468</v>
      </c>
      <c r="L191" s="107">
        <f t="shared" si="86"/>
        <v>11.070253023769556</v>
      </c>
      <c r="M191" s="102">
        <f>+'2020-2021 Recy. Tons &amp; Revenue'!D12</f>
        <v>3349.8499999999995</v>
      </c>
      <c r="N191" s="116"/>
    </row>
    <row r="192" spans="2:14">
      <c r="C192" s="70">
        <f t="shared" ref="C192:L192" si="87">+C191*C12</f>
        <v>0</v>
      </c>
      <c r="D192" s="70">
        <f t="shared" si="87"/>
        <v>-37961.99150226343</v>
      </c>
      <c r="E192" s="70">
        <f t="shared" si="87"/>
        <v>45987.049602245657</v>
      </c>
      <c r="F192" s="70">
        <f t="shared" si="87"/>
        <v>26133.919661243202</v>
      </c>
      <c r="G192" s="70">
        <f t="shared" si="87"/>
        <v>3732.6909543848969</v>
      </c>
      <c r="H192" s="70">
        <f t="shared" si="87"/>
        <v>-36229.008956411177</v>
      </c>
      <c r="I192" s="70">
        <f t="shared" si="87"/>
        <v>3754.2075863664777</v>
      </c>
      <c r="J192" s="70">
        <f t="shared" si="87"/>
        <v>7576.6796203480089</v>
      </c>
      <c r="K192" s="70">
        <f t="shared" si="87"/>
        <v>1830.7671828477703</v>
      </c>
      <c r="L192" s="70">
        <f t="shared" si="87"/>
        <v>-1854.2673814814007</v>
      </c>
      <c r="M192" s="102">
        <f>SUM(C192:L192)</f>
        <v>12970.046767280002</v>
      </c>
      <c r="N192" s="116"/>
    </row>
    <row r="193" spans="2:14">
      <c r="N193" s="116"/>
    </row>
    <row r="194" spans="2:14">
      <c r="B194" s="11" t="s">
        <v>60</v>
      </c>
      <c r="C194" s="106"/>
      <c r="D194" s="106">
        <f>+'Composition-Rec. Acct. Analysis'!P$7</f>
        <v>0.41806970306780766</v>
      </c>
      <c r="E194" s="106">
        <f>+'Composition-Rec. Acct. Analysis'!P$8</f>
        <v>0.14513732550160097</v>
      </c>
      <c r="F194" s="106">
        <f>+'Composition-Rec. Acct. Analysis'!P$9</f>
        <v>1.2733675189505899E-2</v>
      </c>
      <c r="G194" s="106">
        <f>+'Composition-Rec. Acct. Analysis'!P$10</f>
        <v>1.3073743666376977E-2</v>
      </c>
      <c r="H194" s="106">
        <f>+'Composition-Rec. Acct. Analysis'!P$11</f>
        <v>0.19867556126534724</v>
      </c>
      <c r="I194" s="106">
        <f>+'Composition-Rec. Acct. Analysis'!P$12</f>
        <v>8.8978490364117029E-3</v>
      </c>
      <c r="J194" s="106">
        <f>+'Composition-Rec. Acct. Analysis'!P$13</f>
        <v>2.8278095567774177E-3</v>
      </c>
      <c r="K194" s="106">
        <f>+'Composition-Rec. Acct. Analysis'!P$14</f>
        <v>3.7943841164862508E-3</v>
      </c>
      <c r="L194" s="106">
        <f>+'Composition-Rec. Acct. Analysis'!P$15</f>
        <v>2.9375090654455076E-3</v>
      </c>
      <c r="M194" s="106">
        <f>+M97</f>
        <v>0.80614756046575953</v>
      </c>
      <c r="N194" s="116"/>
    </row>
    <row r="195" spans="2:14">
      <c r="C195" s="107">
        <f>+C194*$M195</f>
        <v>0</v>
      </c>
      <c r="D195" s="107">
        <f>+D194*$M195</f>
        <v>1557.7318943276819</v>
      </c>
      <c r="E195" s="107">
        <f>+E194*$M195</f>
        <v>540.78312619222015</v>
      </c>
      <c r="F195" s="107">
        <f>+F194*$M195</f>
        <v>47.445801092850871</v>
      </c>
      <c r="G195" s="107">
        <f t="shared" ref="G195:L195" si="88">+G194*$M195</f>
        <v>48.712899638357278</v>
      </c>
      <c r="H195" s="107">
        <f t="shared" si="88"/>
        <v>740.26712803029648</v>
      </c>
      <c r="I195" s="107">
        <f t="shared" si="88"/>
        <v>33.15347448816037</v>
      </c>
      <c r="J195" s="107">
        <f t="shared" si="88"/>
        <v>10.536446686648226</v>
      </c>
      <c r="K195" s="107">
        <f t="shared" si="88"/>
        <v>14.137913161868935</v>
      </c>
      <c r="L195" s="107">
        <f t="shared" si="88"/>
        <v>10.945188152940615</v>
      </c>
      <c r="M195" s="102">
        <f>+'2020-2021 Recy. Tons &amp; Revenue'!D13</f>
        <v>3726.0099999999998</v>
      </c>
      <c r="N195" s="116"/>
    </row>
    <row r="196" spans="2:14">
      <c r="C196" s="70">
        <f t="shared" ref="C196:L196" si="89">+C195*C13</f>
        <v>0</v>
      </c>
      <c r="D196" s="70">
        <f t="shared" si="89"/>
        <v>-26559.328798286977</v>
      </c>
      <c r="E196" s="70">
        <f t="shared" si="89"/>
        <v>48848.939788943244</v>
      </c>
      <c r="F196" s="70">
        <f t="shared" si="89"/>
        <v>33816.520270918532</v>
      </c>
      <c r="G196" s="70">
        <f t="shared" si="89"/>
        <v>3241.8434709326766</v>
      </c>
      <c r="H196" s="70">
        <f t="shared" si="89"/>
        <v>-47006.96262992383</v>
      </c>
      <c r="I196" s="70">
        <f t="shared" si="89"/>
        <v>4973.0211732240559</v>
      </c>
      <c r="J196" s="70">
        <f t="shared" si="89"/>
        <v>7164.7837469207934</v>
      </c>
      <c r="K196" s="70">
        <f t="shared" si="89"/>
        <v>848.27478971213611</v>
      </c>
      <c r="L196" s="70">
        <f t="shared" si="89"/>
        <v>-1833.3190156175531</v>
      </c>
      <c r="M196" s="102">
        <f>SUM(C196:L196)</f>
        <v>23493.772796823087</v>
      </c>
      <c r="N196" s="116"/>
    </row>
    <row r="198" spans="2:14">
      <c r="B198" s="11" t="s">
        <v>61</v>
      </c>
      <c r="C198" s="106"/>
      <c r="D198" s="106">
        <f>+'Composition-Rec. Acct. Analysis'!R$7</f>
        <v>0.39529452819477334</v>
      </c>
      <c r="E198" s="106">
        <f>+'Composition-Rec. Acct. Analysis'!R$8</f>
        <v>0.15116909783552848</v>
      </c>
      <c r="F198" s="106">
        <f>+'Composition-Rec. Acct. Analysis'!R$9</f>
        <v>1.2733449739476981E-2</v>
      </c>
      <c r="G198" s="106">
        <f>+'Composition-Rec. Acct. Analysis'!R$10</f>
        <v>1.2024139313119461E-2</v>
      </c>
      <c r="H198" s="106">
        <f>+'Composition-Rec. Acct. Analysis'!R$11</f>
        <v>0.22375140502889712</v>
      </c>
      <c r="I198" s="106">
        <f>+'Composition-Rec. Acct. Analysis'!R$12</f>
        <v>3.278506123966221E-3</v>
      </c>
      <c r="J198" s="106">
        <f>+'Composition-Rec. Acct. Analysis'!R$13</f>
        <v>2.9270118306910149E-3</v>
      </c>
      <c r="K198" s="106">
        <f>+'Composition-Rec. Acct. Analysis'!R$14</f>
        <v>4.2052878396882567E-3</v>
      </c>
      <c r="L198" s="106">
        <f>+'Composition-Rec. Acct. Analysis'!R$15</f>
        <v>3.6186211055886327E-3</v>
      </c>
      <c r="M198" s="106">
        <f>+M101</f>
        <v>0.8090020470117294</v>
      </c>
    </row>
    <row r="199" spans="2:14">
      <c r="C199" s="107">
        <f>+C198*$M199</f>
        <v>0</v>
      </c>
      <c r="D199" s="107">
        <f>+D198*$M199</f>
        <v>1420.9652405017519</v>
      </c>
      <c r="E199" s="107">
        <f>+E198*$M199</f>
        <v>543.40755598937426</v>
      </c>
      <c r="F199" s="107">
        <f>+F198*$M199</f>
        <v>45.772931778497906</v>
      </c>
      <c r="G199" s="107">
        <f t="shared" ref="G199:L199" si="90">+G198*$M199</f>
        <v>43.22317358887053</v>
      </c>
      <c r="H199" s="107">
        <f t="shared" si="90"/>
        <v>804.31917565737649</v>
      </c>
      <c r="I199" s="107">
        <f t="shared" si="90"/>
        <v>11.785245963821376</v>
      </c>
      <c r="J199" s="107">
        <f t="shared" si="90"/>
        <v>10.521729427784992</v>
      </c>
      <c r="K199" s="107">
        <f t="shared" si="90"/>
        <v>15.116748197327377</v>
      </c>
      <c r="L199" s="107">
        <f t="shared" si="90"/>
        <v>13.007857288259459</v>
      </c>
      <c r="M199" s="102">
        <f>+'2020-2021 Recy. Tons &amp; Revenue'!D14</f>
        <v>3594.7000000000003</v>
      </c>
    </row>
    <row r="200" spans="2:14">
      <c r="C200" s="70">
        <f t="shared" ref="C200:L200" si="91">+C199*C14</f>
        <v>0</v>
      </c>
      <c r="D200" s="70">
        <f t="shared" si="91"/>
        <v>-6294.8760154227602</v>
      </c>
      <c r="E200" s="70">
        <f t="shared" si="91"/>
        <v>65774.050576953858</v>
      </c>
      <c r="F200" s="70">
        <f t="shared" si="91"/>
        <v>31806.694834242626</v>
      </c>
      <c r="G200" s="70">
        <f t="shared" si="91"/>
        <v>3326.4554393994758</v>
      </c>
      <c r="H200" s="70">
        <f t="shared" si="91"/>
        <v>-51074.267654243406</v>
      </c>
      <c r="I200" s="70">
        <f t="shared" si="91"/>
        <v>1532.0819752967789</v>
      </c>
      <c r="J200" s="70">
        <f t="shared" si="91"/>
        <v>6733.9068337823946</v>
      </c>
      <c r="K200" s="70">
        <f t="shared" si="91"/>
        <v>907.0048918396426</v>
      </c>
      <c r="L200" s="70">
        <f t="shared" si="91"/>
        <v>-2178.8160957834593</v>
      </c>
      <c r="M200" s="102">
        <f>SUM(C200:L200)</f>
        <v>50532.234786065135</v>
      </c>
    </row>
    <row r="202" spans="2:14">
      <c r="B202" s="11" t="s">
        <v>62</v>
      </c>
      <c r="C202" s="106"/>
      <c r="D202" s="106">
        <f>+'Composition-Rec. Acct. Analysis'!T$7</f>
        <v>0.35663297667387889</v>
      </c>
      <c r="E202" s="106">
        <f>+'Composition-Rec. Acct. Analysis'!T$8</f>
        <v>0.17631109398618811</v>
      </c>
      <c r="F202" s="106">
        <f>+'Composition-Rec. Acct. Analysis'!T$9</f>
        <v>1.0501793177035479E-2</v>
      </c>
      <c r="G202" s="106">
        <f>+'Composition-Rec. Acct. Analysis'!T$10</f>
        <v>1.0060760544177361E-2</v>
      </c>
      <c r="H202" s="106">
        <f>+'Composition-Rec. Acct. Analysis'!T$11</f>
        <v>0.23727792762085423</v>
      </c>
      <c r="I202" s="106">
        <f>+'Composition-Rec. Acct. Analysis'!T$12</f>
        <v>2.2110910222591065E-3</v>
      </c>
      <c r="J202" s="106">
        <f>+'Composition-Rec. Acct. Analysis'!T$13</f>
        <v>2.9449598387622632E-3</v>
      </c>
      <c r="K202" s="106">
        <f>+'Composition-Rec. Acct. Analysis'!T$14</f>
        <v>3.4832093423041582E-3</v>
      </c>
      <c r="L202" s="106">
        <f>+'Composition-Rec. Acct. Analysis'!T$15</f>
        <v>4.1992945849017461E-3</v>
      </c>
      <c r="M202" s="106">
        <f>+M105</f>
        <v>0.80362310679036142</v>
      </c>
    </row>
    <row r="203" spans="2:14">
      <c r="C203" s="107">
        <f>+C202*$M203</f>
        <v>0</v>
      </c>
      <c r="D203" s="107">
        <f>+D202*$M203</f>
        <v>1356.3928991730638</v>
      </c>
      <c r="E203" s="107">
        <f>+E202*$M203</f>
        <v>670.56927309048876</v>
      </c>
      <c r="F203" s="107">
        <f>+F202*$M203</f>
        <v>39.941785044014345</v>
      </c>
      <c r="G203" s="107">
        <f t="shared" ref="G203:L203" si="92">+G202*$M203</f>
        <v>38.264392400486081</v>
      </c>
      <c r="H203" s="107">
        <f t="shared" si="92"/>
        <v>902.44626045822349</v>
      </c>
      <c r="I203" s="107">
        <f t="shared" si="92"/>
        <v>8.409508817688728</v>
      </c>
      <c r="J203" s="107">
        <f t="shared" si="92"/>
        <v>11.200654103559678</v>
      </c>
      <c r="K203" s="107">
        <f t="shared" si="92"/>
        <v>13.247794587865673</v>
      </c>
      <c r="L203" s="107">
        <f t="shared" si="92"/>
        <v>15.971303073594358</v>
      </c>
      <c r="M203" s="102">
        <f>+'2020-2021 Recy. Tons &amp; Revenue'!D15</f>
        <v>3803.33</v>
      </c>
    </row>
    <row r="204" spans="2:14">
      <c r="C204" s="70">
        <f t="shared" ref="C204:L204" si="93">+C203*C15</f>
        <v>0</v>
      </c>
      <c r="D204" s="70">
        <f t="shared" si="93"/>
        <v>-963.03895841287522</v>
      </c>
      <c r="E204" s="70">
        <f t="shared" si="93"/>
        <v>64582.526691344974</v>
      </c>
      <c r="F204" s="70">
        <f t="shared" si="93"/>
        <v>29171.083289045437</v>
      </c>
      <c r="G204" s="70">
        <f t="shared" si="93"/>
        <v>3111.2777460835232</v>
      </c>
      <c r="H204" s="70">
        <f t="shared" si="93"/>
        <v>-57305.337539097192</v>
      </c>
      <c r="I204" s="70">
        <f t="shared" si="93"/>
        <v>420.13906053172889</v>
      </c>
      <c r="J204" s="70">
        <f t="shared" si="93"/>
        <v>7840.4578724917747</v>
      </c>
      <c r="K204" s="70">
        <f t="shared" si="93"/>
        <v>794.86767527194036</v>
      </c>
      <c r="L204" s="70">
        <f t="shared" si="93"/>
        <v>-2675.1932648270549</v>
      </c>
      <c r="M204" s="102">
        <f>SUM(C204:L204)</f>
        <v>44976.782572432254</v>
      </c>
    </row>
    <row r="206" spans="2:14">
      <c r="B206" s="11" t="s">
        <v>63</v>
      </c>
      <c r="C206" s="106"/>
      <c r="D206" s="106">
        <f>+'Composition-Rec. Acct. Analysis'!V$7</f>
        <v>0.3916852843481447</v>
      </c>
      <c r="E206" s="106">
        <f>+'Composition-Rec. Acct. Analysis'!V$8</f>
        <v>0.17503693984420249</v>
      </c>
      <c r="F206" s="106">
        <f>+'Composition-Rec. Acct. Analysis'!V$9</f>
        <v>9.0925210113833813E-3</v>
      </c>
      <c r="G206" s="106">
        <f>+'Composition-Rec. Acct. Analysis'!V$10</f>
        <v>7.1231840372590035E-3</v>
      </c>
      <c r="H206" s="106">
        <f>+'Composition-Rec. Acct. Analysis'!V$11</f>
        <v>0.23789968911427117</v>
      </c>
      <c r="I206" s="106">
        <f>+'Composition-Rec. Acct. Analysis'!V$12</f>
        <v>9.7994018700426721E-4</v>
      </c>
      <c r="J206" s="106">
        <f>+'Composition-Rec. Acct. Analysis'!V$13</f>
        <v>3.4776646926013926E-3</v>
      </c>
      <c r="K206" s="106">
        <f>+'Composition-Rec. Acct. Analysis'!V$14</f>
        <v>3.910304147901225E-3</v>
      </c>
      <c r="L206" s="106">
        <f>+'Composition-Rec. Acct. Analysis'!V$15</f>
        <v>4.1396267007104267E-3</v>
      </c>
      <c r="M206" s="106">
        <f>+M109</f>
        <v>0.83334515408347809</v>
      </c>
    </row>
    <row r="207" spans="2:14">
      <c r="C207" s="107">
        <f>+C206*$M207</f>
        <v>0</v>
      </c>
      <c r="D207" s="107">
        <f>+D206*$M207</f>
        <v>1524.7955602917361</v>
      </c>
      <c r="E207" s="107">
        <f>+E206*$M207</f>
        <v>681.40305348889433</v>
      </c>
      <c r="F207" s="107">
        <f>+F206*$M207</f>
        <v>35.396365970424483</v>
      </c>
      <c r="G207" s="107">
        <f t="shared" ref="G207:L207" si="94">+G206*$M207</f>
        <v>27.72991437048595</v>
      </c>
      <c r="H207" s="107">
        <f t="shared" si="94"/>
        <v>926.12207874983744</v>
      </c>
      <c r="I207" s="107">
        <f t="shared" si="94"/>
        <v>3.8148189533907821</v>
      </c>
      <c r="J207" s="107">
        <f t="shared" si="94"/>
        <v>13.538235658474889</v>
      </c>
      <c r="K207" s="107">
        <f t="shared" si="94"/>
        <v>15.222462120406158</v>
      </c>
      <c r="L207" s="107">
        <f t="shared" si="94"/>
        <v>16.11519417946263</v>
      </c>
      <c r="M207" s="102">
        <f>+'2020-2021 Recy. Tons &amp; Revenue'!D16</f>
        <v>3892.9100000000003</v>
      </c>
    </row>
    <row r="208" spans="2:14">
      <c r="C208" s="70">
        <f t="shared" ref="C208:L208" si="95">+C207*C16</f>
        <v>0</v>
      </c>
      <c r="D208" s="70">
        <f t="shared" si="95"/>
        <v>2058.4740063938439</v>
      </c>
      <c r="E208" s="70">
        <f t="shared" si="95"/>
        <v>58771.013363417136</v>
      </c>
      <c r="F208" s="70">
        <f t="shared" si="95"/>
        <v>28267.183900321288</v>
      </c>
      <c r="G208" s="70">
        <f t="shared" si="95"/>
        <v>2148.5137654252517</v>
      </c>
      <c r="H208" s="70">
        <f t="shared" si="95"/>
        <v>-58808.752000614681</v>
      </c>
      <c r="I208" s="70">
        <f t="shared" si="95"/>
        <v>179.94501003144319</v>
      </c>
      <c r="J208" s="70">
        <f t="shared" si="95"/>
        <v>9858.0016770750753</v>
      </c>
      <c r="K208" s="70">
        <f t="shared" si="95"/>
        <v>913.34772722436946</v>
      </c>
      <c r="L208" s="70">
        <f t="shared" si="95"/>
        <v>-2699.2950250599906</v>
      </c>
      <c r="M208" s="102">
        <f>SUM(C208:L208)</f>
        <v>40688.43242421373</v>
      </c>
    </row>
    <row r="209" spans="2:13">
      <c r="C209" s="70"/>
      <c r="D209" s="70"/>
      <c r="E209" s="70"/>
      <c r="F209" s="70"/>
      <c r="G209" s="70"/>
      <c r="H209" s="70"/>
      <c r="I209" s="70"/>
      <c r="J209" s="70"/>
      <c r="K209" s="70"/>
      <c r="L209" s="70"/>
      <c r="M209" s="102"/>
    </row>
    <row r="210" spans="2:13">
      <c r="B210" s="11" t="s">
        <v>64</v>
      </c>
      <c r="C210" s="106"/>
      <c r="D210" s="106">
        <f>+'Composition-Rec. Acct. Analysis'!X$7</f>
        <v>0.36236331197857496</v>
      </c>
      <c r="E210" s="106">
        <f>+'Composition-Rec. Acct. Analysis'!X$8</f>
        <v>0.21082911378403454</v>
      </c>
      <c r="F210" s="106">
        <f>+'Composition-Rec. Acct. Analysis'!X$9</f>
        <v>8.3662243459861254E-3</v>
      </c>
      <c r="G210" s="106">
        <f>+'Composition-Rec. Acct. Analysis'!X$10</f>
        <v>8.7344995816237159E-3</v>
      </c>
      <c r="H210" s="106">
        <f>+'Composition-Rec. Acct. Analysis'!X$11</f>
        <v>0.20005283383239181</v>
      </c>
      <c r="I210" s="106">
        <f>+'Composition-Rec. Acct. Analysis'!X$12</f>
        <v>5.3783800314140071E-3</v>
      </c>
      <c r="J210" s="106">
        <f>+'Composition-Rec. Acct. Analysis'!X$13</f>
        <v>8.7188836705719456E-4</v>
      </c>
      <c r="K210" s="106">
        <f>+'Composition-Rec. Acct. Analysis'!X$14</f>
        <v>4.6756640340843286E-3</v>
      </c>
      <c r="L210" s="106">
        <f>+'Composition-Rec. Acct. Analysis'!X$15</f>
        <v>5.7778870891551396E-3</v>
      </c>
      <c r="M210" s="106">
        <f>+M113</f>
        <v>0.80704980304432195</v>
      </c>
    </row>
    <row r="211" spans="2:13">
      <c r="C211" s="107">
        <f>+C210*$M211</f>
        <v>0</v>
      </c>
      <c r="D211" s="107">
        <f>+D210*$M211</f>
        <v>1281.2260803282466</v>
      </c>
      <c r="E211" s="107">
        <f>+E210*$M211</f>
        <v>745.43903906190019</v>
      </c>
      <c r="F211" s="107">
        <f>+F210*$M211</f>
        <v>29.580877731320445</v>
      </c>
      <c r="G211" s="107">
        <f t="shared" ref="G211:L211" si="96">+G210*$M211</f>
        <v>30.883006895726059</v>
      </c>
      <c r="H211" s="107">
        <f t="shared" si="96"/>
        <v>707.33680722287943</v>
      </c>
      <c r="I211" s="107">
        <f t="shared" si="96"/>
        <v>19.016607196072076</v>
      </c>
      <c r="J211" s="107">
        <f t="shared" si="96"/>
        <v>3.0827792938224761</v>
      </c>
      <c r="K211" s="107">
        <f t="shared" si="96"/>
        <v>16.531979108513667</v>
      </c>
      <c r="L211" s="107">
        <f t="shared" si="96"/>
        <v>20.429164275480289</v>
      </c>
      <c r="M211" s="102">
        <f>+'2020-2021 Recy. Tons &amp; Revenue'!D17</f>
        <v>3535.7500000000005</v>
      </c>
    </row>
    <row r="212" spans="2:13">
      <c r="C212" s="70">
        <f t="shared" ref="C212:L212" si="97">+C211*C17</f>
        <v>0</v>
      </c>
      <c r="D212" s="70">
        <f t="shared" si="97"/>
        <v>12837.88532488903</v>
      </c>
      <c r="E212" s="70">
        <f t="shared" si="97"/>
        <v>69452.555269397242</v>
      </c>
      <c r="F212" s="70">
        <f t="shared" si="97"/>
        <v>25965.50285499846</v>
      </c>
      <c r="G212" s="70">
        <f t="shared" si="97"/>
        <v>2649.1443315153815</v>
      </c>
      <c r="H212" s="70">
        <f t="shared" si="97"/>
        <v>-44915.887258652845</v>
      </c>
      <c r="I212" s="70">
        <f t="shared" si="97"/>
        <v>800.97949509855584</v>
      </c>
      <c r="J212" s="70">
        <f t="shared" si="97"/>
        <v>2404.5678491815315</v>
      </c>
      <c r="K212" s="70">
        <f t="shared" si="97"/>
        <v>991.91874651082003</v>
      </c>
      <c r="L212" s="70">
        <f t="shared" si="97"/>
        <v>-3421.8850161429486</v>
      </c>
      <c r="M212" s="102">
        <f>SUM(C212:L212)</f>
        <v>66764.781596795248</v>
      </c>
    </row>
    <row r="214" spans="2:13">
      <c r="B214" s="11" t="s">
        <v>65</v>
      </c>
      <c r="C214" s="106"/>
      <c r="D214" s="106">
        <f>+'Composition-Rec. Acct. Analysis'!Z$7</f>
        <v>0.3901543366206835</v>
      </c>
      <c r="E214" s="106">
        <f>+'Composition-Rec. Acct. Analysis'!Z$8</f>
        <v>0.21807496350147484</v>
      </c>
      <c r="F214" s="106">
        <f>+'Composition-Rec. Acct. Analysis'!Z$9</f>
        <v>8.251894447258391E-3</v>
      </c>
      <c r="G214" s="106">
        <f>+'Composition-Rec. Acct. Analysis'!Z$10</f>
        <v>8.3710733049290401E-3</v>
      </c>
      <c r="H214" s="106">
        <f>+'Composition-Rec. Acct. Analysis'!Z$11</f>
        <v>0.19450486150423585</v>
      </c>
      <c r="I214" s="106">
        <f>+'Composition-Rec. Acct. Analysis'!Z$12</f>
        <v>5.1520027013874413E-3</v>
      </c>
      <c r="J214" s="106">
        <f>+'Composition-Rec. Acct. Analysis'!Z$13</f>
        <v>1.1570280765525532E-3</v>
      </c>
      <c r="K214" s="106">
        <f>+'Composition-Rec. Acct. Analysis'!Z$14</f>
        <v>4.3425796263742815E-3</v>
      </c>
      <c r="L214" s="106">
        <f>+'Composition-Rec. Acct. Analysis'!Z$15</f>
        <v>5.1135178619312934E-3</v>
      </c>
      <c r="M214" s="106">
        <f>+M117</f>
        <v>0.83512225764482728</v>
      </c>
    </row>
    <row r="215" spans="2:13">
      <c r="C215" s="107">
        <f>+C214*$M215</f>
        <v>0</v>
      </c>
      <c r="D215" s="107">
        <f>+D214*$M215</f>
        <v>1479.2194472335607</v>
      </c>
      <c r="E215" s="107">
        <f>+E214*$M215</f>
        <v>826.80287437058666</v>
      </c>
      <c r="F215" s="107">
        <f>+F214*$M215</f>
        <v>31.285985050502045</v>
      </c>
      <c r="G215" s="107">
        <f t="shared" ref="G215:L215" si="98">+G214*$M215</f>
        <v>31.737836196108812</v>
      </c>
      <c r="H215" s="107">
        <f t="shared" si="98"/>
        <v>737.43989676131469</v>
      </c>
      <c r="I215" s="107">
        <f t="shared" si="98"/>
        <v>19.533148481959302</v>
      </c>
      <c r="J215" s="107">
        <f t="shared" si="98"/>
        <v>4.3867215385990539</v>
      </c>
      <c r="K215" s="107">
        <f t="shared" si="98"/>
        <v>16.46432611804666</v>
      </c>
      <c r="L215" s="107">
        <f t="shared" si="98"/>
        <v>19.387238216190447</v>
      </c>
      <c r="M215" s="102">
        <f>+'2020-2021 Recy. Tons &amp; Revenue'!D18</f>
        <v>3791.37</v>
      </c>
    </row>
    <row r="216" spans="2:13">
      <c r="C216" s="70">
        <f t="shared" ref="C216:L216" si="99">+C215*C18</f>
        <v>0</v>
      </c>
      <c r="D216" s="70">
        <f t="shared" si="99"/>
        <v>26980.962717540144</v>
      </c>
      <c r="E216" s="70">
        <f t="shared" si="99"/>
        <v>82812.575896957962</v>
      </c>
      <c r="F216" s="70">
        <f t="shared" si="99"/>
        <v>26873.409718979237</v>
      </c>
      <c r="G216" s="70">
        <f t="shared" si="99"/>
        <v>3349.293853775363</v>
      </c>
      <c r="H216" s="70">
        <f t="shared" si="99"/>
        <v>-46827.433444343485</v>
      </c>
      <c r="I216" s="70">
        <f t="shared" si="99"/>
        <v>390.66296963918603</v>
      </c>
      <c r="J216" s="70">
        <f t="shared" si="99"/>
        <v>4211.2526770550921</v>
      </c>
      <c r="K216" s="70">
        <f t="shared" si="99"/>
        <v>1646.4326118046661</v>
      </c>
      <c r="L216" s="70">
        <f t="shared" si="99"/>
        <v>-3247.3624012118999</v>
      </c>
      <c r="M216" s="102">
        <f>SUM(C216:L216)</f>
        <v>96189.79460019627</v>
      </c>
    </row>
    <row r="218" spans="2:13">
      <c r="B218" s="11" t="s">
        <v>66</v>
      </c>
      <c r="C218" s="106"/>
      <c r="D218" s="106">
        <f>+'Composition-Rec. Acct. Analysis'!AB$7</f>
        <v>0.36270715798537662</v>
      </c>
      <c r="E218" s="106">
        <f>+'Composition-Rec. Acct. Analysis'!AB$8</f>
        <v>0.24348267360822468</v>
      </c>
      <c r="F218" s="106">
        <f>+'Composition-Rec. Acct. Analysis'!AB$9</f>
        <v>7.0325459975408419E-3</v>
      </c>
      <c r="G218" s="106">
        <f>+'Composition-Rec. Acct. Analysis'!AB$10</f>
        <v>8.5350889056251683E-3</v>
      </c>
      <c r="H218" s="106">
        <f>+'Composition-Rec. Acct. Analysis'!AB$11</f>
        <v>0.19386773900172091</v>
      </c>
      <c r="I218" s="106">
        <f>+'Composition-Rec. Acct. Analysis'!AB$12</f>
        <v>7.007731085764057E-3</v>
      </c>
      <c r="J218" s="106">
        <f>+'Composition-Rec. Acct. Analysis'!AB$13</f>
        <v>4.2421091682413791E-3</v>
      </c>
      <c r="K218" s="106">
        <f>+'Composition-Rec. Acct. Analysis'!AB$14</f>
        <v>4.8984635847373397E-3</v>
      </c>
      <c r="L218" s="106">
        <f>+'Composition-Rec. Acct. Analysis'!AB$15</f>
        <v>2.4653614850235804E-3</v>
      </c>
      <c r="M218" s="106">
        <f>+M121</f>
        <v>0.83423887082225467</v>
      </c>
    </row>
    <row r="219" spans="2:13">
      <c r="C219" s="107">
        <f>+C218*$M219</f>
        <v>0</v>
      </c>
      <c r="D219" s="107">
        <f>+D218*$M219</f>
        <v>1393.7747959904066</v>
      </c>
      <c r="E219" s="107">
        <f>+E218*$M219</f>
        <v>935.63086987432496</v>
      </c>
      <c r="F219" s="107">
        <f>+F218*$M219</f>
        <v>27.023964504750193</v>
      </c>
      <c r="G219" s="107">
        <f t="shared" ref="G219:L219" si="100">+G218*$M219</f>
        <v>32.797786137645829</v>
      </c>
      <c r="H219" s="107">
        <f t="shared" si="100"/>
        <v>744.97556066191294</v>
      </c>
      <c r="I219" s="107">
        <f t="shared" si="100"/>
        <v>26.92860824326554</v>
      </c>
      <c r="J219" s="107">
        <f t="shared" si="100"/>
        <v>16.301152900801146</v>
      </c>
      <c r="K219" s="107">
        <f t="shared" si="100"/>
        <v>18.823326017070176</v>
      </c>
      <c r="L219" s="107">
        <f t="shared" si="100"/>
        <v>9.473644578500112</v>
      </c>
      <c r="M219" s="102">
        <f>+'2020-2021 Recy. Tons &amp; Revenue'!D19</f>
        <v>3842.7</v>
      </c>
    </row>
    <row r="220" spans="2:13">
      <c r="C220" s="70">
        <f t="shared" ref="C220:L220" si="101">+C219*C19</f>
        <v>0</v>
      </c>
      <c r="D220" s="70">
        <f t="shared" si="101"/>
        <v>34900.120891599778</v>
      </c>
      <c r="E220" s="70">
        <f t="shared" si="101"/>
        <v>99859.882741686713</v>
      </c>
      <c r="F220" s="70">
        <f t="shared" si="101"/>
        <v>24566.40517268821</v>
      </c>
      <c r="G220" s="70">
        <f t="shared" si="101"/>
        <v>3338.1586730895924</v>
      </c>
      <c r="H220" s="70">
        <f t="shared" si="101"/>
        <v>-47305.948102031471</v>
      </c>
      <c r="I220" s="70">
        <f t="shared" si="101"/>
        <v>538.57216486531081</v>
      </c>
      <c r="J220" s="70">
        <f t="shared" si="101"/>
        <v>17927.681937243084</v>
      </c>
      <c r="K220" s="70">
        <f t="shared" si="101"/>
        <v>4139.8140909342437</v>
      </c>
      <c r="L220" s="70">
        <f t="shared" si="101"/>
        <v>-1586.8354668987688</v>
      </c>
      <c r="M220" s="102">
        <f>SUM(C220:L220)</f>
        <v>136377.85210317667</v>
      </c>
    </row>
    <row r="221" spans="2:13">
      <c r="C221" s="70"/>
      <c r="D221" s="70"/>
      <c r="E221" s="70"/>
      <c r="F221" s="70"/>
      <c r="G221" s="70"/>
      <c r="H221" s="70"/>
      <c r="I221" s="70"/>
      <c r="J221" s="70"/>
      <c r="K221" s="70"/>
      <c r="L221" s="70"/>
      <c r="M221" s="102"/>
    </row>
    <row r="222" spans="2:13">
      <c r="B222" s="11" t="s">
        <v>67</v>
      </c>
      <c r="C222" s="106"/>
      <c r="D222" s="106">
        <f>+'Composition-Rec. Acct. Analysis'!AD$7</f>
        <v>0.34391796258803226</v>
      </c>
      <c r="E222" s="106">
        <f>+'Composition-Rec. Acct. Analysis'!AD$8</f>
        <v>0.25199817948496406</v>
      </c>
      <c r="F222" s="106">
        <f>+'Composition-Rec. Acct. Analysis'!AD$9</f>
        <v>8.005094179513764E-3</v>
      </c>
      <c r="G222" s="106">
        <f>+'Composition-Rec. Acct. Analysis'!AD$10</f>
        <v>1.1793420999592977E-2</v>
      </c>
      <c r="H222" s="106">
        <f>+'Composition-Rec. Acct. Analysis'!AD$11</f>
        <v>0.18707797926345587</v>
      </c>
      <c r="I222" s="106">
        <f>+'Composition-Rec. Acct. Analysis'!AD$12</f>
        <v>1.4136621495792194E-2</v>
      </c>
      <c r="J222" s="106">
        <f>+'Composition-Rec. Acct. Analysis'!AD$13</f>
        <v>4.1302779671441043E-3</v>
      </c>
      <c r="K222" s="106">
        <f>+'Composition-Rec. Acct. Analysis'!AD$14</f>
        <v>4.1302779671441043E-3</v>
      </c>
      <c r="L222" s="106">
        <f>+'Composition-Rec. Acct. Analysis'!AD$15</f>
        <v>2.5199727803287839E-3</v>
      </c>
      <c r="M222" s="106">
        <f>+M125</f>
        <v>0.8277097867259684</v>
      </c>
    </row>
    <row r="223" spans="2:13">
      <c r="C223" s="107">
        <f>+C222*$M223</f>
        <v>0</v>
      </c>
      <c r="D223" s="107">
        <f>+D222*$M223</f>
        <v>1243.0570839781838</v>
      </c>
      <c r="E223" s="107">
        <f>+E222*$M223</f>
        <v>910.82221993045403</v>
      </c>
      <c r="F223" s="107">
        <f>+F222*$M223</f>
        <v>28.933612402434544</v>
      </c>
      <c r="G223" s="107">
        <f t="shared" ref="G223:L223" si="102">+G222*$M223</f>
        <v>42.626140860928849</v>
      </c>
      <c r="H223" s="107">
        <f t="shared" si="102"/>
        <v>676.17464824983483</v>
      </c>
      <c r="I223" s="107">
        <f t="shared" si="102"/>
        <v>51.095404734391302</v>
      </c>
      <c r="J223" s="107">
        <f t="shared" si="102"/>
        <v>14.928476684445648</v>
      </c>
      <c r="K223" s="107">
        <f t="shared" si="102"/>
        <v>14.928476684445648</v>
      </c>
      <c r="L223" s="107">
        <f t="shared" si="102"/>
        <v>9.108189617220356</v>
      </c>
      <c r="M223" s="102">
        <f>+'2020-2021 Recy. Tons &amp; Revenue'!D20</f>
        <v>3614.3999999999996</v>
      </c>
    </row>
    <row r="224" spans="2:13">
      <c r="C224" s="70">
        <f t="shared" ref="C224:L224" si="103">+C223*C20</f>
        <v>0</v>
      </c>
      <c r="D224" s="70">
        <f t="shared" si="103"/>
        <v>37204.698523467043</v>
      </c>
      <c r="E224" s="70">
        <f t="shared" si="103"/>
        <v>103369.21373990722</v>
      </c>
      <c r="F224" s="70">
        <f t="shared" si="103"/>
        <v>28533.460542908873</v>
      </c>
      <c r="G224" s="70">
        <f t="shared" si="103"/>
        <v>4598.9343374856135</v>
      </c>
      <c r="H224" s="70">
        <f t="shared" si="103"/>
        <v>-42937.090163864508</v>
      </c>
      <c r="I224" s="70">
        <f t="shared" si="103"/>
        <v>1021.9080946878261</v>
      </c>
      <c r="J224" s="70">
        <f t="shared" si="103"/>
        <v>17914.17202133478</v>
      </c>
      <c r="K224" s="70">
        <f t="shared" si="103"/>
        <v>4179.973471644782</v>
      </c>
      <c r="L224" s="70">
        <f t="shared" si="103"/>
        <v>-1525.6217608844097</v>
      </c>
      <c r="M224" s="102">
        <f>SUM(C224:L224)</f>
        <v>152359.64880668718</v>
      </c>
    </row>
    <row r="226" spans="2:13">
      <c r="B226" s="11" t="s">
        <v>57</v>
      </c>
      <c r="C226" s="106"/>
      <c r="D226" s="106">
        <f>+'Composition-Rec. Acct. Analysis'!AF$7</f>
        <v>0.34885022320051023</v>
      </c>
      <c r="E226" s="106">
        <f>+'Composition-Rec. Acct. Analysis'!AF$8</f>
        <v>0.24928889627554995</v>
      </c>
      <c r="F226" s="106">
        <f>+'Composition-Rec. Acct. Analysis'!AF$9</f>
        <v>8.2108404335162217E-3</v>
      </c>
      <c r="G226" s="106">
        <f>+'Composition-Rec. Acct. Analysis'!AF$10</f>
        <v>1.267028587672123E-2</v>
      </c>
      <c r="H226" s="106">
        <f>+'Composition-Rec. Acct. Analysis'!AF$11</f>
        <v>0.19985353522870183</v>
      </c>
      <c r="I226" s="106">
        <f>+'Composition-Rec. Acct. Analysis'!AF$12</f>
        <v>9.865081236115578E-3</v>
      </c>
      <c r="J226" s="106">
        <f>+'Composition-Rec. Acct. Analysis'!AF$13</f>
        <v>4.9810793618391526E-3</v>
      </c>
      <c r="K226" s="106">
        <f>+'Composition-Rec. Acct. Analysis'!AF$14</f>
        <v>3.8708253374148786E-3</v>
      </c>
      <c r="L226" s="106">
        <f>+'Composition-Rec. Acct. Analysis'!AF$15</f>
        <v>6.7284741379682099E-4</v>
      </c>
      <c r="M226" s="106">
        <f>+M129</f>
        <v>0.83826361436416597</v>
      </c>
    </row>
    <row r="227" spans="2:13">
      <c r="C227" s="107">
        <f>+C226*$M227</f>
        <v>0</v>
      </c>
      <c r="D227" s="107">
        <f>+D226*$M227</f>
        <v>1468.7885142567325</v>
      </c>
      <c r="E227" s="107">
        <f>+E226*$M227</f>
        <v>1049.5984902116875</v>
      </c>
      <c r="F227" s="107">
        <f>+F226*$M227</f>
        <v>34.570676236063704</v>
      </c>
      <c r="G227" s="107">
        <f t="shared" ref="G227:L227" si="104">+G226*$M227</f>
        <v>53.346591546770775</v>
      </c>
      <c r="H227" s="107">
        <f t="shared" si="104"/>
        <v>841.45732912086953</v>
      </c>
      <c r="I227" s="107">
        <f t="shared" si="104"/>
        <v>41.535642084103955</v>
      </c>
      <c r="J227" s="107">
        <f t="shared" si="104"/>
        <v>20.972187112706717</v>
      </c>
      <c r="K227" s="107">
        <f t="shared" si="104"/>
        <v>16.297606875891486</v>
      </c>
      <c r="L227" s="107">
        <f t="shared" si="104"/>
        <v>2.8329365656277217</v>
      </c>
      <c r="M227" s="102">
        <f>+'2020-2021 Recy. Tons &amp; Revenue'!D21</f>
        <v>4210.3700000000008</v>
      </c>
    </row>
    <row r="228" spans="2:13">
      <c r="C228" s="70">
        <f t="shared" ref="C228:L228" si="105">+C227*C21</f>
        <v>0</v>
      </c>
      <c r="D228" s="70">
        <f t="shared" si="105"/>
        <v>58075.897853711198</v>
      </c>
      <c r="E228" s="70">
        <f t="shared" si="105"/>
        <v>130003.26899761961</v>
      </c>
      <c r="F228" s="70">
        <f t="shared" si="105"/>
        <v>38533.512853003689</v>
      </c>
      <c r="G228" s="70">
        <f t="shared" si="105"/>
        <v>7813.1417979400485</v>
      </c>
      <c r="H228" s="70">
        <f t="shared" si="105"/>
        <v>-53432.540399175217</v>
      </c>
      <c r="I228" s="70">
        <f t="shared" si="105"/>
        <v>836.94318799469465</v>
      </c>
      <c r="J228" s="70">
        <f t="shared" si="105"/>
        <v>25166.624535248062</v>
      </c>
      <c r="K228" s="70">
        <f t="shared" si="105"/>
        <v>4563.3299252496163</v>
      </c>
      <c r="L228" s="70">
        <f t="shared" si="105"/>
        <v>-474.51687474264338</v>
      </c>
      <c r="M228" s="102">
        <f>SUM(C228:L228)</f>
        <v>211085.66187684907</v>
      </c>
    </row>
    <row r="230" spans="2:13">
      <c r="B230" s="11" t="s">
        <v>222</v>
      </c>
      <c r="C230" s="106"/>
      <c r="D230" s="106">
        <f>+'Composition-Rec. Acct. Analysis'!AH$7</f>
        <v>0.36660452374631708</v>
      </c>
      <c r="E230" s="106">
        <f>+'Composition-Rec. Acct. Analysis'!AH$8</f>
        <v>0.23943338148700957</v>
      </c>
      <c r="F230" s="106">
        <f>+'Composition-Rec. Acct. Analysis'!AH$9</f>
        <v>7.2673127193504158E-3</v>
      </c>
      <c r="G230" s="106">
        <f>+'Composition-Rec. Acct. Analysis'!AH$10</f>
        <v>1.1212925829081755E-2</v>
      </c>
      <c r="H230" s="106">
        <f>+'Composition-Rec. Acct. Analysis'!AH$11</f>
        <v>0.18049848323603754</v>
      </c>
      <c r="I230" s="106">
        <f>+'Composition-Rec. Acct. Analysis'!AH$12</f>
        <v>1.3033949358633711E-2</v>
      </c>
      <c r="J230" s="106">
        <f>+'Composition-Rec. Acct. Analysis'!AH$13</f>
        <v>2.6164673784942901E-3</v>
      </c>
      <c r="K230" s="106">
        <f>+'Composition-Rec. Acct. Analysis'!AH$14</f>
        <v>3.8922460145575854E-3</v>
      </c>
      <c r="L230" s="106">
        <f>+'Composition-Rec. Acct. Analysis'!AH$15</f>
        <v>2.5232328620752331E-3</v>
      </c>
      <c r="M230" s="101">
        <f>SUM(C230:L230)</f>
        <v>0.82708252263155724</v>
      </c>
    </row>
    <row r="231" spans="2:13">
      <c r="C231" s="107">
        <f t="shared" ref="C231:L231" si="106">+C230*$M231</f>
        <v>0</v>
      </c>
      <c r="D231" s="107">
        <f t="shared" si="106"/>
        <v>1445.1770288794064</v>
      </c>
      <c r="E231" s="107">
        <f t="shared" si="106"/>
        <v>943.86075582468084</v>
      </c>
      <c r="F231" s="107">
        <f t="shared" si="106"/>
        <v>28.648182778442496</v>
      </c>
      <c r="G231" s="107">
        <f t="shared" si="106"/>
        <v>44.202026393790014</v>
      </c>
      <c r="H231" s="107">
        <f t="shared" si="106"/>
        <v>711.53585082545408</v>
      </c>
      <c r="I231" s="107">
        <f t="shared" si="106"/>
        <v>51.380610408695603</v>
      </c>
      <c r="J231" s="107">
        <f t="shared" si="106"/>
        <v>10.3142713940672</v>
      </c>
      <c r="K231" s="107">
        <f t="shared" si="106"/>
        <v>15.343467324146873</v>
      </c>
      <c r="L231" s="107">
        <f t="shared" si="106"/>
        <v>9.9467353362722921</v>
      </c>
      <c r="M231" s="102">
        <f>+'2020-2021 Recy. Tons &amp; Revenue'!D22</f>
        <v>3942.0599999999995</v>
      </c>
    </row>
    <row r="232" spans="2:13">
      <c r="C232" s="70">
        <f t="shared" ref="C232:L232" si="107">+C231*C22</f>
        <v>0</v>
      </c>
      <c r="D232" s="70">
        <f t="shared" si="107"/>
        <v>57662.563452288312</v>
      </c>
      <c r="E232" s="70">
        <f t="shared" si="107"/>
        <v>119473.8944722881</v>
      </c>
      <c r="F232" s="70">
        <f t="shared" si="107"/>
        <v>31092.159251271423</v>
      </c>
      <c r="G232" s="70">
        <f t="shared" si="107"/>
        <v>9166.1742132802356</v>
      </c>
      <c r="H232" s="70">
        <f t="shared" si="107"/>
        <v>-45182.526527416332</v>
      </c>
      <c r="I232" s="70">
        <f t="shared" si="107"/>
        <v>2569.0305204347801</v>
      </c>
      <c r="J232" s="70">
        <f t="shared" si="107"/>
        <v>12789.696528643328</v>
      </c>
      <c r="K232" s="70">
        <f t="shared" si="107"/>
        <v>4296.1708507611247</v>
      </c>
      <c r="L232" s="70">
        <f t="shared" si="107"/>
        <v>-1865.0128755510548</v>
      </c>
      <c r="M232" s="102">
        <f>SUM(C232:L232)</f>
        <v>190002.14988599991</v>
      </c>
    </row>
    <row r="233" spans="2:13">
      <c r="C233" s="106"/>
      <c r="D233" s="106"/>
      <c r="E233" s="106"/>
      <c r="F233" s="106"/>
      <c r="G233" s="106"/>
      <c r="H233" s="106"/>
      <c r="I233" s="106"/>
      <c r="J233" s="106"/>
      <c r="K233" s="106"/>
      <c r="L233" s="106"/>
    </row>
    <row r="234" spans="2:13">
      <c r="B234" s="11" t="s">
        <v>58</v>
      </c>
      <c r="C234" s="106"/>
      <c r="D234" s="106">
        <f>+'Composition-Rec. Acct. Analysis'!AJ$7</f>
        <v>0.29113524020790449</v>
      </c>
      <c r="E234" s="106">
        <f>+'Composition-Rec. Acct. Analysis'!AJ$8</f>
        <v>0.24939702030083274</v>
      </c>
      <c r="F234" s="106">
        <f>+'Composition-Rec. Acct. Analysis'!AJ$9</f>
        <v>9.694213178053435E-3</v>
      </c>
      <c r="G234" s="106">
        <f>+'Composition-Rec. Acct. Analysis'!AJ$10</f>
        <v>1.5042524872236267E-2</v>
      </c>
      <c r="H234" s="106">
        <f>+'Composition-Rec. Acct. Analysis'!AJ$11</f>
        <v>0.21100571871944293</v>
      </c>
      <c r="I234" s="106">
        <f>+'Composition-Rec. Acct. Analysis'!AJ$12</f>
        <v>1.7891729569721213E-2</v>
      </c>
      <c r="J234" s="106">
        <f>+'Composition-Rec. Acct. Analysis'!AJ$13</f>
        <v>7.0195728872907244E-3</v>
      </c>
      <c r="K234" s="106">
        <f>+'Composition-Rec. Acct. Analysis'!AJ$14</f>
        <v>2.3112015543022644E-3</v>
      </c>
      <c r="L234" s="106">
        <f>+'Composition-Rec. Acct. Analysis'!AJ$15</f>
        <v>4.3886469019897666E-4</v>
      </c>
      <c r="M234" s="101">
        <f>SUM(C234:L234)</f>
        <v>0.80393608597998301</v>
      </c>
    </row>
    <row r="235" spans="2:13">
      <c r="C235" s="107">
        <f t="shared" ref="C235:L235" si="108">+C234*$M235</f>
        <v>0</v>
      </c>
      <c r="D235" s="107">
        <f t="shared" si="108"/>
        <v>965.26762296651361</v>
      </c>
      <c r="E235" s="107">
        <f t="shared" si="108"/>
        <v>826.88330271801999</v>
      </c>
      <c r="F235" s="107">
        <f t="shared" si="108"/>
        <v>32.141454618231506</v>
      </c>
      <c r="G235" s="107">
        <f t="shared" si="108"/>
        <v>49.873942489645515</v>
      </c>
      <c r="H235" s="107">
        <f t="shared" si="108"/>
        <v>699.59579058587462</v>
      </c>
      <c r="I235" s="107">
        <f t="shared" si="108"/>
        <v>59.320566140297778</v>
      </c>
      <c r="J235" s="107">
        <f t="shared" si="108"/>
        <v>23.273604494999017</v>
      </c>
      <c r="K235" s="107">
        <f t="shared" si="108"/>
        <v>7.6628580893357867</v>
      </c>
      <c r="L235" s="107">
        <f t="shared" si="108"/>
        <v>1.4550690462954132</v>
      </c>
      <c r="M235" s="102">
        <f>+'2020-2021 Recy. Tons &amp; Revenue'!D23</f>
        <v>3315.53</v>
      </c>
    </row>
    <row r="236" spans="2:13">
      <c r="C236" s="70">
        <f t="shared" ref="C236:L236" si="109">+C235*C23</f>
        <v>0</v>
      </c>
      <c r="D236" s="70">
        <f t="shared" si="109"/>
        <v>38195.639840784941</v>
      </c>
      <c r="E236" s="70">
        <f t="shared" si="109"/>
        <v>95653.86045842056</v>
      </c>
      <c r="F236" s="70">
        <f t="shared" si="109"/>
        <v>37151.985978667617</v>
      </c>
      <c r="G236" s="70">
        <f t="shared" si="109"/>
        <v>8365.8551132131397</v>
      </c>
      <c r="H236" s="70">
        <f t="shared" si="109"/>
        <v>-44424.332702203035</v>
      </c>
      <c r="I236" s="70">
        <f t="shared" si="109"/>
        <v>4152.4396298208449</v>
      </c>
      <c r="J236" s="70">
        <f t="shared" si="109"/>
        <v>29790.213753598742</v>
      </c>
      <c r="K236" s="70">
        <f t="shared" si="109"/>
        <v>2145.6002650140204</v>
      </c>
      <c r="L236" s="70">
        <f t="shared" si="109"/>
        <v>-272.82544618038997</v>
      </c>
      <c r="M236" s="102">
        <f>SUM(C236:L236)</f>
        <v>170758.43689113646</v>
      </c>
    </row>
    <row r="238" spans="2:13">
      <c r="B238" s="11" t="s">
        <v>59</v>
      </c>
      <c r="C238" s="106"/>
      <c r="D238" s="106">
        <f>+'Composition-Rec. Acct. Analysis'!AL$7</f>
        <v>0.33945272361122508</v>
      </c>
      <c r="E238" s="106">
        <f>+'Composition-Rec. Acct. Analysis'!AL$8</f>
        <v>0.27057687031591826</v>
      </c>
      <c r="F238" s="106">
        <f>+'Composition-Rec. Acct. Analysis'!AL$9</f>
        <v>8.8102323931298319E-3</v>
      </c>
      <c r="G238" s="106">
        <f>+'Composition-Rec. Acct. Analysis'!AL$10</f>
        <v>1.0916633662399875E-2</v>
      </c>
      <c r="H238" s="106">
        <f>+'Composition-Rec. Acct. Analysis'!AL$11</f>
        <v>0.1889745402725112</v>
      </c>
      <c r="I238" s="106">
        <f>+'Composition-Rec. Acct. Analysis'!AL$12</f>
        <v>1.8119424531526665E-2</v>
      </c>
      <c r="J238" s="106">
        <f>+'Composition-Rec. Acct. Analysis'!AL$13</f>
        <v>4.1690351007470199E-3</v>
      </c>
      <c r="K238" s="106">
        <f>+'Composition-Rec. Acct. Analysis'!AL$14</f>
        <v>4.0670333148607671E-3</v>
      </c>
      <c r="L238" s="106">
        <f>+'Composition-Rec. Acct. Analysis'!AL$15</f>
        <v>2.7429211477153132E-3</v>
      </c>
      <c r="M238" s="101">
        <f>SUM(C238:L238)</f>
        <v>0.84782941435003434</v>
      </c>
    </row>
    <row r="239" spans="2:13">
      <c r="C239" s="107">
        <f t="shared" ref="C239:L239" si="110">+C238*$M239</f>
        <v>0</v>
      </c>
      <c r="D239" s="107">
        <f t="shared" si="110"/>
        <v>1288.0295980521405</v>
      </c>
      <c r="E239" s="107">
        <f t="shared" si="110"/>
        <v>1026.6849940328295</v>
      </c>
      <c r="F239" s="107">
        <f t="shared" si="110"/>
        <v>33.429810099463623</v>
      </c>
      <c r="G239" s="107">
        <f t="shared" si="110"/>
        <v>41.422402267619951</v>
      </c>
      <c r="H239" s="107">
        <f t="shared" si="110"/>
        <v>717.05066484622455</v>
      </c>
      <c r="I239" s="107">
        <f t="shared" si="110"/>
        <v>68.752888025160715</v>
      </c>
      <c r="J239" s="107">
        <f t="shared" si="110"/>
        <v>15.819111857327512</v>
      </c>
      <c r="K239" s="107">
        <f t="shared" si="110"/>
        <v>15.432073220907139</v>
      </c>
      <c r="L239" s="107">
        <f t="shared" si="110"/>
        <v>10.407822290525415</v>
      </c>
      <c r="M239" s="102">
        <f>+'2020-2021 Recy. Tons &amp; Revenue'!D24</f>
        <v>3794.4299999999994</v>
      </c>
    </row>
    <row r="240" spans="2:13">
      <c r="C240" s="70">
        <f t="shared" ref="C240:L240" si="111">+C239*C24</f>
        <v>0</v>
      </c>
      <c r="D240" s="70">
        <f t="shared" si="111"/>
        <v>50683.964683351733</v>
      </c>
      <c r="E240" s="70">
        <f t="shared" si="111"/>
        <v>120111.87745190073</v>
      </c>
      <c r="F240" s="70">
        <f t="shared" si="111"/>
        <v>39595.938572309693</v>
      </c>
      <c r="G240" s="70">
        <f t="shared" si="111"/>
        <v>8412.8899005536114</v>
      </c>
      <c r="H240" s="70">
        <f t="shared" si="111"/>
        <v>-45532.717217735262</v>
      </c>
      <c r="I240" s="70">
        <f t="shared" si="111"/>
        <v>4812.70216176125</v>
      </c>
      <c r="J240" s="70">
        <f t="shared" si="111"/>
        <v>22304.947718831791</v>
      </c>
      <c r="K240" s="70">
        <f t="shared" si="111"/>
        <v>4938.2634306902846</v>
      </c>
      <c r="L240" s="70">
        <f t="shared" si="111"/>
        <v>-1951.4666794735153</v>
      </c>
      <c r="M240" s="102">
        <f>SUM(C240:L240)</f>
        <v>203376.40002219036</v>
      </c>
    </row>
    <row r="242" spans="2:13">
      <c r="B242" s="11" t="s">
        <v>60</v>
      </c>
      <c r="C242" s="106"/>
      <c r="D242" s="106">
        <f>+'Composition-Rec. Acct. Analysis'!AN$7</f>
        <v>0.33302084216153494</v>
      </c>
      <c r="E242" s="106">
        <f>+'Composition-Rec. Acct. Analysis'!AN$8</f>
        <v>0.26697133469369133</v>
      </c>
      <c r="F242" s="106">
        <f>+'Composition-Rec. Acct. Analysis'!AN$9</f>
        <v>8.5546088101648727E-3</v>
      </c>
      <c r="G242" s="106">
        <f>+'Composition-Rec. Acct. Analysis'!AN$10</f>
        <v>1.1374852501124577E-2</v>
      </c>
      <c r="H242" s="106">
        <f>+'Composition-Rec. Acct. Analysis'!AN$11</f>
        <v>0.19843015561538813</v>
      </c>
      <c r="I242" s="106">
        <f>+'Composition-Rec. Acct. Analysis'!AN$12</f>
        <v>1.7722030627611789E-2</v>
      </c>
      <c r="J242" s="106">
        <f>+'Composition-Rec. Acct. Analysis'!AN$13</f>
        <v>5.1776179828021207E-3</v>
      </c>
      <c r="K242" s="106">
        <f>+'Composition-Rec. Acct. Analysis'!AN$14</f>
        <v>4.5843628374546098E-3</v>
      </c>
      <c r="L242" s="106">
        <f>+'Composition-Rec. Acct. Analysis'!AN$15</f>
        <v>2.8789172767633045E-3</v>
      </c>
      <c r="M242" s="101">
        <f>SUM(C242:L242)</f>
        <v>0.84871472250653568</v>
      </c>
    </row>
    <row r="243" spans="2:13">
      <c r="C243" s="107">
        <f t="shared" ref="C243:L243" si="112">+C242*$M243</f>
        <v>0</v>
      </c>
      <c r="D243" s="107">
        <f>+D242*$M243</f>
        <v>1234.8546035686581</v>
      </c>
      <c r="E243" s="107">
        <f t="shared" si="112"/>
        <v>989.94038789759531</v>
      </c>
      <c r="F243" s="107">
        <f t="shared" si="112"/>
        <v>31.720831652443756</v>
      </c>
      <c r="G243" s="107">
        <f t="shared" si="112"/>
        <v>42.178408068269981</v>
      </c>
      <c r="H243" s="107">
        <f t="shared" si="112"/>
        <v>735.78695422808391</v>
      </c>
      <c r="I243" s="107">
        <f t="shared" si="112"/>
        <v>65.713998448409626</v>
      </c>
      <c r="J243" s="107">
        <f t="shared" si="112"/>
        <v>19.198814584949577</v>
      </c>
      <c r="K243" s="107">
        <f t="shared" si="112"/>
        <v>16.999000775795192</v>
      </c>
      <c r="L243" s="107">
        <f t="shared" si="112"/>
        <v>10.675140418929404</v>
      </c>
      <c r="M243" s="102">
        <f>+'2020-2021 Recy. Tons &amp; Revenue'!D25</f>
        <v>3708.0400000000004</v>
      </c>
    </row>
    <row r="244" spans="2:13">
      <c r="C244" s="70">
        <f t="shared" ref="C244:L244" si="113">+C243*C25</f>
        <v>0</v>
      </c>
      <c r="D244" s="70">
        <f t="shared" si="113"/>
        <v>68917.235425166815</v>
      </c>
      <c r="E244" s="70">
        <f t="shared" si="113"/>
        <v>132958.89349852604</v>
      </c>
      <c r="F244" s="70">
        <f t="shared" si="113"/>
        <v>40522.093602730805</v>
      </c>
      <c r="G244" s="70">
        <f t="shared" si="113"/>
        <v>7787.3994816446866</v>
      </c>
      <c r="H244" s="70">
        <f t="shared" si="113"/>
        <v>-46722.471593483329</v>
      </c>
      <c r="I244" s="70">
        <f t="shared" si="113"/>
        <v>7557.1098215671072</v>
      </c>
      <c r="J244" s="70">
        <f t="shared" si="113"/>
        <v>29182.198169123356</v>
      </c>
      <c r="K244" s="70">
        <f t="shared" si="113"/>
        <v>6799.6003103180765</v>
      </c>
      <c r="L244" s="70">
        <f t="shared" si="113"/>
        <v>-2001.5888285492633</v>
      </c>
      <c r="M244" s="102">
        <f>SUM(C244:L244)</f>
        <v>245000.46988704431</v>
      </c>
    </row>
    <row r="246" spans="2:13">
      <c r="B246" s="11" t="s">
        <v>61</v>
      </c>
      <c r="C246" s="106"/>
      <c r="D246" s="106">
        <f>+'Composition-Rec. Acct. Analysis'!AP$7</f>
        <v>0.34645433320556152</v>
      </c>
      <c r="E246" s="106">
        <f>+'Composition-Rec. Acct. Analysis'!AP$8</f>
        <v>0.26730599017318879</v>
      </c>
      <c r="F246" s="106">
        <f>+'Composition-Rec. Acct. Analysis'!AP$9</f>
        <v>7.8168449663727907E-3</v>
      </c>
      <c r="G246" s="106">
        <f>+'Composition-Rec. Acct. Analysis'!AP$10</f>
        <v>8.5374777851343342E-3</v>
      </c>
      <c r="H246" s="106">
        <f>+'Composition-Rec. Acct. Analysis'!AP$11</f>
        <v>0.2062361919364393</v>
      </c>
      <c r="I246" s="106">
        <f>+'Composition-Rec. Acct. Analysis'!AP$12</f>
        <v>1.7038714848241973E-2</v>
      </c>
      <c r="J246" s="106">
        <f>+'Composition-Rec. Acct. Analysis'!AP$13</f>
        <v>6.0173537303550885E-3</v>
      </c>
      <c r="K246" s="106">
        <f>+'Composition-Rec. Acct. Analysis'!AP$14</f>
        <v>3.9488448269853985E-3</v>
      </c>
      <c r="L246" s="106">
        <f>+'Composition-Rec. Acct. Analysis'!AP$15</f>
        <v>3.0748858765724633E-3</v>
      </c>
      <c r="M246" s="101">
        <f>SUM(C246:L246)</f>
        <v>0.86643063734885162</v>
      </c>
    </row>
    <row r="247" spans="2:13">
      <c r="C247" s="107">
        <f t="shared" ref="C247:L247" si="114">+C246*$M247</f>
        <v>0</v>
      </c>
      <c r="D247" s="107">
        <f t="shared" si="114"/>
        <v>1245.8428531205352</v>
      </c>
      <c r="E247" s="107">
        <f t="shared" si="114"/>
        <v>961.22699454298345</v>
      </c>
      <c r="F247" s="107">
        <f t="shared" si="114"/>
        <v>28.109218162177228</v>
      </c>
      <c r="G247" s="107">
        <f t="shared" si="114"/>
        <v>30.700599365787362</v>
      </c>
      <c r="H247" s="107">
        <f t="shared" si="114"/>
        <v>741.62122147959701</v>
      </c>
      <c r="I247" s="107">
        <f t="shared" si="114"/>
        <v>61.270877819981173</v>
      </c>
      <c r="J247" s="107">
        <f t="shared" si="114"/>
        <v>21.638283667282291</v>
      </c>
      <c r="K247" s="107">
        <f t="shared" si="114"/>
        <v>14.199967020942953</v>
      </c>
      <c r="L247" s="107">
        <f t="shared" si="114"/>
        <v>11.057228114437047</v>
      </c>
      <c r="M247" s="102">
        <f>+'2020-2021 Recy. Tons &amp; Revenue'!D26</f>
        <v>3595.98</v>
      </c>
    </row>
    <row r="248" spans="2:13">
      <c r="C248" s="70">
        <f t="shared" ref="C248:L248" si="115">+C247*C26</f>
        <v>0</v>
      </c>
      <c r="D248" s="70">
        <f t="shared" si="115"/>
        <v>68758.067063722337</v>
      </c>
      <c r="E248" s="70">
        <f t="shared" si="115"/>
        <v>136763.37678357569</v>
      </c>
      <c r="F248" s="70">
        <f t="shared" si="115"/>
        <v>39261.550468021043</v>
      </c>
      <c r="G248" s="70">
        <f t="shared" si="115"/>
        <v>4368.0812777642259</v>
      </c>
      <c r="H248" s="70">
        <f t="shared" si="115"/>
        <v>-47092.947563954411</v>
      </c>
      <c r="I248" s="70">
        <f t="shared" si="115"/>
        <v>10416.0492293968</v>
      </c>
      <c r="J248" s="70">
        <f t="shared" si="115"/>
        <v>35486.785214342955</v>
      </c>
      <c r="K248" s="70">
        <f t="shared" si="115"/>
        <v>9371.9782338223486</v>
      </c>
      <c r="L248" s="70">
        <f t="shared" si="115"/>
        <v>-2073.2302714569464</v>
      </c>
      <c r="M248" s="102">
        <f>SUM(C248:L248)</f>
        <v>255259.71043523407</v>
      </c>
    </row>
    <row r="250" spans="2:13">
      <c r="B250" s="11" t="s">
        <v>68</v>
      </c>
      <c r="C250" s="106"/>
      <c r="D250" s="106">
        <f>+'Composition-Rec. Acct. Analysis'!AR$7</f>
        <v>0.34738319507557769</v>
      </c>
      <c r="E250" s="106">
        <f>+'Composition-Rec. Acct. Analysis'!AR$8</f>
        <v>0.2635625598168993</v>
      </c>
      <c r="F250" s="106">
        <f>+'Composition-Rec. Acct. Analysis'!AR$9</f>
        <v>7.2832286885056614E-3</v>
      </c>
      <c r="G250" s="106">
        <f>+'Composition-Rec. Acct. Analysis'!AR$10</f>
        <v>6.145264297682247E-3</v>
      </c>
      <c r="H250" s="106">
        <f>+'Composition-Rec. Acct. Analysis'!AR$11</f>
        <v>0.21971436708909475</v>
      </c>
      <c r="I250" s="106">
        <f>+'Composition-Rec. Acct. Analysis'!AR$12</f>
        <v>1.1713207314788917E-2</v>
      </c>
      <c r="J250" s="106">
        <f>+'Composition-Rec. Acct. Analysis'!AR$13</f>
        <v>5.7103489329819786E-3</v>
      </c>
      <c r="K250" s="106">
        <f>+'Composition-Rec. Acct. Analysis'!AR$14</f>
        <v>2.3516220162111811E-3</v>
      </c>
      <c r="L250" s="106">
        <f>+'Composition-Rec. Acct. Analysis'!AR$15</f>
        <v>1.874369757602038E-3</v>
      </c>
      <c r="M250" s="101">
        <f>SUM(C250:L250)</f>
        <v>0.8657381629893437</v>
      </c>
    </row>
    <row r="251" spans="2:13">
      <c r="C251" s="107">
        <f t="shared" ref="C251:L251" si="116">+C250*$M251</f>
        <v>0</v>
      </c>
      <c r="D251" s="107">
        <f t="shared" si="116"/>
        <v>1336.6054767005958</v>
      </c>
      <c r="E251" s="107">
        <f t="shared" si="116"/>
        <v>1014.0938476538945</v>
      </c>
      <c r="F251" s="107">
        <f t="shared" si="116"/>
        <v>28.023242031041924</v>
      </c>
      <c r="G251" s="107">
        <f t="shared" si="116"/>
        <v>23.644764722334124</v>
      </c>
      <c r="H251" s="107">
        <f t="shared" si="116"/>
        <v>845.38178738668466</v>
      </c>
      <c r="I251" s="107">
        <f t="shared" si="116"/>
        <v>45.068204992674431</v>
      </c>
      <c r="J251" s="107">
        <f t="shared" si="116"/>
        <v>21.971366968498781</v>
      </c>
      <c r="K251" s="107">
        <f t="shared" si="116"/>
        <v>9.0481949344547896</v>
      </c>
      <c r="L251" s="107">
        <f t="shared" si="116"/>
        <v>7.2119000541399059</v>
      </c>
      <c r="M251" s="102">
        <f>+'2020-2021 Recy. Tons &amp; Revenue'!D27</f>
        <v>3847.6400000000003</v>
      </c>
    </row>
    <row r="252" spans="2:13">
      <c r="C252" s="70">
        <f t="shared" ref="C252:L252" si="117">+C251*C27</f>
        <v>0</v>
      </c>
      <c r="D252" s="70">
        <f t="shared" si="117"/>
        <v>94203.953997858</v>
      </c>
      <c r="E252" s="70">
        <f t="shared" si="117"/>
        <v>157255.53295568941</v>
      </c>
      <c r="F252" s="70">
        <f t="shared" si="117"/>
        <v>40203.824412254609</v>
      </c>
      <c r="G252" s="70">
        <f t="shared" si="117"/>
        <v>5316.9982431112749</v>
      </c>
      <c r="H252" s="70">
        <f t="shared" si="117"/>
        <v>-53681.743499054479</v>
      </c>
      <c r="I252" s="70">
        <f t="shared" si="117"/>
        <v>13520.461497802329</v>
      </c>
      <c r="J252" s="70">
        <f t="shared" si="117"/>
        <v>39548.460543297806</v>
      </c>
      <c r="K252" s="70">
        <f t="shared" si="117"/>
        <v>7600.4837449420229</v>
      </c>
      <c r="L252" s="70">
        <f t="shared" si="117"/>
        <v>-1352.2312601512324</v>
      </c>
      <c r="M252" s="102">
        <f>SUM(C252:L252)</f>
        <v>302615.74063574971</v>
      </c>
    </row>
    <row r="254" spans="2:13">
      <c r="B254" s="11" t="s">
        <v>69</v>
      </c>
      <c r="C254" s="106"/>
      <c r="D254" s="106">
        <f>+'Composition-Rec. Acct. Analysis'!AT$7</f>
        <v>0.3796869727656812</v>
      </c>
      <c r="E254" s="106">
        <f>+'Composition-Rec. Acct. Analysis'!AT$8</f>
        <v>0.26312352374390735</v>
      </c>
      <c r="F254" s="106">
        <f>+'Composition-Rec. Acct. Analysis'!AT$9</f>
        <v>5.800459571912997E-3</v>
      </c>
      <c r="G254" s="106">
        <f>+'Composition-Rec. Acct. Analysis'!AT$10</f>
        <v>3.0278886506778751E-3</v>
      </c>
      <c r="H254" s="106">
        <f>+'Composition-Rec. Acct. Analysis'!AT$11</f>
        <v>0.20210002039975827</v>
      </c>
      <c r="I254" s="106">
        <f>+'Composition-Rec. Acct. Analysis'!AT$12</f>
        <v>5.2846920983653251E-3</v>
      </c>
      <c r="J254" s="106">
        <f>+'Composition-Rec. Acct. Analysis'!AT$13</f>
        <v>1.2053819437762134E-2</v>
      </c>
      <c r="K254" s="106">
        <f>+'Composition-Rec. Acct. Analysis'!AT$14</f>
        <v>3.6950505567594406E-4</v>
      </c>
      <c r="L254" s="106">
        <f>+'Composition-Rec. Acct. Analysis'!AT$15</f>
        <v>3.6655414724519868E-3</v>
      </c>
      <c r="M254" s="101">
        <f>SUM(C254:L254)</f>
        <v>0.87511242319619309</v>
      </c>
    </row>
    <row r="255" spans="2:13">
      <c r="C255" s="107">
        <f t="shared" ref="C255:L255" si="118">+C254*$M255</f>
        <v>0</v>
      </c>
      <c r="D255" s="107">
        <f t="shared" si="118"/>
        <v>1405.8403759713942</v>
      </c>
      <c r="E255" s="107">
        <f t="shared" si="118"/>
        <v>974.24905271990372</v>
      </c>
      <c r="F255" s="107">
        <f t="shared" si="118"/>
        <v>21.476955624752222</v>
      </c>
      <c r="G255" s="107">
        <f t="shared" si="118"/>
        <v>11.211151354659421</v>
      </c>
      <c r="H255" s="107">
        <f t="shared" si="118"/>
        <v>748.301598532757</v>
      </c>
      <c r="I255" s="107">
        <f t="shared" si="118"/>
        <v>19.567259504170405</v>
      </c>
      <c r="J255" s="107">
        <f t="shared" si="118"/>
        <v>44.63083346484121</v>
      </c>
      <c r="K255" s="107">
        <f t="shared" si="118"/>
        <v>1.3681405042974208</v>
      </c>
      <c r="L255" s="107">
        <f t="shared" si="118"/>
        <v>13.5721438221449</v>
      </c>
      <c r="M255" s="102">
        <f>+'2020-2021 Recy. Tons &amp; Revenue'!D28</f>
        <v>3702.63</v>
      </c>
    </row>
    <row r="256" spans="2:13">
      <c r="C256" s="70">
        <f t="shared" ref="C256:L256" si="119">+C255*C28</f>
        <v>0</v>
      </c>
      <c r="D256" s="70">
        <f t="shared" si="119"/>
        <v>127144.2036028529</v>
      </c>
      <c r="E256" s="70">
        <f t="shared" si="119"/>
        <v>172208.26255877016</v>
      </c>
      <c r="F256" s="70">
        <f t="shared" si="119"/>
        <v>28833.672004454846</v>
      </c>
      <c r="G256" s="70">
        <f t="shared" si="119"/>
        <v>2772.7419530343677</v>
      </c>
      <c r="H256" s="70">
        <f t="shared" si="119"/>
        <v>-47517.151506830072</v>
      </c>
      <c r="I256" s="70">
        <f t="shared" si="119"/>
        <v>6158.7949289376347</v>
      </c>
      <c r="J256" s="70">
        <f t="shared" si="119"/>
        <v>88815.358595034006</v>
      </c>
      <c r="K256" s="70">
        <f t="shared" si="119"/>
        <v>1422.8661244693176</v>
      </c>
      <c r="L256" s="70">
        <f t="shared" si="119"/>
        <v>-2544.776966652169</v>
      </c>
      <c r="M256" s="102">
        <f>SUM(C256:L256)</f>
        <v>377293.97129407094</v>
      </c>
    </row>
    <row r="258" spans="2:13">
      <c r="B258" s="11" t="s">
        <v>70</v>
      </c>
      <c r="C258" s="106"/>
      <c r="D258" s="106">
        <f>+'Composition-Rec. Acct. Analysis'!AV$7</f>
        <v>0.40906588832977991</v>
      </c>
      <c r="E258" s="106">
        <f>+'Composition-Rec. Acct. Analysis'!AV$8</f>
        <v>0.21030535580986956</v>
      </c>
      <c r="F258" s="106">
        <f>+'Composition-Rec. Acct. Analysis'!AV$9</f>
        <v>7.3868610002738857E-3</v>
      </c>
      <c r="G258" s="106">
        <f>+'Composition-Rec. Acct. Analysis'!AV$10</f>
        <v>5.5126229129633907E-3</v>
      </c>
      <c r="H258" s="106">
        <f>+'Composition-Rec. Acct. Analysis'!AV$11</f>
        <v>0.23728310661675855</v>
      </c>
      <c r="I258" s="106">
        <f>+'Composition-Rec. Acct. Analysis'!AV$12</f>
        <v>8.5924955292171687E-3</v>
      </c>
      <c r="J258" s="106">
        <f>+'Composition-Rec. Acct. Analysis'!AV$13</f>
        <v>1.1351492140551745E-2</v>
      </c>
      <c r="K258" s="106">
        <f>+'Composition-Rec. Acct. Analysis'!AV$14</f>
        <v>8.6999017233323846E-4</v>
      </c>
      <c r="L258" s="106">
        <f>+'Composition-Rec. Acct. Analysis'!AV$15</f>
        <v>1.9413669586325042E-3</v>
      </c>
      <c r="M258" s="101">
        <f>SUM(C258:L258)</f>
        <v>0.89230917947037991</v>
      </c>
    </row>
    <row r="259" spans="2:13">
      <c r="C259" s="107">
        <f t="shared" ref="C259:L259" si="120">+C258*$M259</f>
        <v>0</v>
      </c>
      <c r="D259" s="107">
        <f t="shared" si="120"/>
        <v>1493.4300170910103</v>
      </c>
      <c r="E259" s="107">
        <f t="shared" si="120"/>
        <v>767.78910215134601</v>
      </c>
      <c r="F259" s="107">
        <f t="shared" si="120"/>
        <v>26.968173745629908</v>
      </c>
      <c r="G259" s="107">
        <f t="shared" si="120"/>
        <v>20.125649109334134</v>
      </c>
      <c r="H259" s="107">
        <f t="shared" si="120"/>
        <v>866.28028412966057</v>
      </c>
      <c r="I259" s="107">
        <f t="shared" si="120"/>
        <v>31.369740452931914</v>
      </c>
      <c r="J259" s="107">
        <f t="shared" si="120"/>
        <v>41.442368051490526</v>
      </c>
      <c r="K259" s="107">
        <f t="shared" si="120"/>
        <v>3.176186220859357</v>
      </c>
      <c r="L259" s="107">
        <f t="shared" si="120"/>
        <v>7.0876007335843054</v>
      </c>
      <c r="M259" s="102">
        <f>+'2020-2021 Recy. Tons &amp; Revenue'!D29</f>
        <v>3650.83</v>
      </c>
    </row>
    <row r="260" spans="2:13">
      <c r="C260" s="70">
        <f t="shared" ref="C260:L260" si="121">+C259*C29</f>
        <v>0</v>
      </c>
      <c r="D260" s="70">
        <f t="shared" si="121"/>
        <v>153987.56906225407</v>
      </c>
      <c r="E260" s="70">
        <f t="shared" si="121"/>
        <v>151791.90549532109</v>
      </c>
      <c r="F260" s="70">
        <f t="shared" si="121"/>
        <v>41262.114876026128</v>
      </c>
      <c r="G260" s="70">
        <f t="shared" si="121"/>
        <v>4618.0314446278107</v>
      </c>
      <c r="H260" s="70">
        <f t="shared" si="121"/>
        <v>-55008.798042233444</v>
      </c>
      <c r="I260" s="70">
        <f t="shared" si="121"/>
        <v>10451.142729298797</v>
      </c>
      <c r="J260" s="70">
        <f t="shared" si="121"/>
        <v>84542.430825040676</v>
      </c>
      <c r="K260" s="70">
        <f t="shared" si="121"/>
        <v>3334.9955319023247</v>
      </c>
      <c r="L260" s="70">
        <f t="shared" si="121"/>
        <v>-1328.9251375470574</v>
      </c>
      <c r="M260" s="102">
        <f>SUM(C260:L260)</f>
        <v>393650.46678469033</v>
      </c>
    </row>
    <row r="262" spans="2:13">
      <c r="B262" s="11" t="s">
        <v>71</v>
      </c>
      <c r="C262" s="106"/>
      <c r="D262" s="106">
        <f>+'Composition-Rec. Acct. Analysis'!AX$7</f>
        <v>0.33314255367009049</v>
      </c>
      <c r="E262" s="106">
        <f>+'Composition-Rec. Acct. Analysis'!AX$8</f>
        <v>0.2250556699494079</v>
      </c>
      <c r="F262" s="106">
        <f>+'Composition-Rec. Acct. Analysis'!AX$9</f>
        <v>6.6697457616966792E-3</v>
      </c>
      <c r="G262" s="106">
        <f>+'Composition-Rec. Acct. Analysis'!AX$10</f>
        <v>7.361876632996275E-3</v>
      </c>
      <c r="H262" s="106">
        <f>+'Composition-Rec. Acct. Analysis'!AX$11</f>
        <v>0.21989530189550688</v>
      </c>
      <c r="I262" s="106">
        <f>+'Composition-Rec. Acct. Analysis'!AX$12</f>
        <v>6.7762274342043089E-3</v>
      </c>
      <c r="J262" s="106">
        <f>+'Composition-Rec. Acct. Analysis'!AX$13</f>
        <v>1.0326060191427427E-2</v>
      </c>
      <c r="K262" s="106">
        <f>+'Composition-Rec. Acct. Analysis'!AX$14</f>
        <v>7.0810312217574009E-4</v>
      </c>
      <c r="L262" s="106">
        <f>+'Composition-Rec. Acct. Analysis'!AX$15</f>
        <v>1.2658008819344526E-3</v>
      </c>
      <c r="M262" s="101">
        <f>SUM(C262:L262)</f>
        <v>0.81120133953944018</v>
      </c>
    </row>
    <row r="263" spans="2:13">
      <c r="C263" s="107">
        <f t="shared" ref="C263:L263" si="122">+C262*$M263</f>
        <v>0</v>
      </c>
      <c r="D263" s="107">
        <f t="shared" si="122"/>
        <v>1112.3063524703082</v>
      </c>
      <c r="E263" s="107">
        <f t="shared" si="122"/>
        <v>751.42262249718158</v>
      </c>
      <c r="F263" s="107">
        <f t="shared" si="122"/>
        <v>22.269147241525722</v>
      </c>
      <c r="G263" s="107">
        <f t="shared" si="122"/>
        <v>24.580054558546951</v>
      </c>
      <c r="H263" s="107">
        <f t="shared" si="122"/>
        <v>734.19303082777526</v>
      </c>
      <c r="I263" s="107">
        <f t="shared" si="122"/>
        <v>22.624671444144372</v>
      </c>
      <c r="J263" s="107">
        <f t="shared" si="122"/>
        <v>34.47695954894364</v>
      </c>
      <c r="K263" s="107">
        <f t="shared" si="122"/>
        <v>2.3642359474140262</v>
      </c>
      <c r="L263" s="107">
        <f t="shared" si="122"/>
        <v>4.2262939586292081</v>
      </c>
      <c r="M263" s="102">
        <f>+'2020-2021 Recy. Tons &amp; Revenue'!D30</f>
        <v>3338.83</v>
      </c>
    </row>
    <row r="264" spans="2:13">
      <c r="C264" s="70">
        <f t="shared" ref="C264:L264" si="123">+C263*C30</f>
        <v>0</v>
      </c>
      <c r="D264" s="70">
        <f t="shared" si="123"/>
        <v>128026.46116933247</v>
      </c>
      <c r="E264" s="70">
        <f t="shared" si="123"/>
        <v>160278.44537864884</v>
      </c>
      <c r="F264" s="70">
        <f t="shared" si="123"/>
        <v>36650.56253010303</v>
      </c>
      <c r="G264" s="70">
        <f t="shared" si="123"/>
        <v>5160.8282551125185</v>
      </c>
      <c r="H264" s="70">
        <f t="shared" si="123"/>
        <v>-46621.257457563726</v>
      </c>
      <c r="I264" s="70">
        <f t="shared" si="123"/>
        <v>7887.8654522864936</v>
      </c>
      <c r="J264" s="70">
        <f t="shared" si="123"/>
        <v>70332.997479845028</v>
      </c>
      <c r="K264" s="70">
        <f t="shared" si="123"/>
        <v>2482.4477447847275</v>
      </c>
      <c r="L264" s="70">
        <f t="shared" si="123"/>
        <v>-792.43011724297651</v>
      </c>
      <c r="M264" s="102">
        <f>SUM(C264:L264)</f>
        <v>363405.92043530638</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CG19"/>
  <sheetViews>
    <sheetView zoomScaleNormal="100" workbookViewId="0">
      <pane xSplit="1" topLeftCell="AI1" activePane="topRight" state="frozen"/>
      <selection pane="topRight" activeCell="AY7" sqref="AY7"/>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bestFit="1" customWidth="1"/>
    <col min="30" max="30" width="7.7109375" bestFit="1" customWidth="1"/>
    <col min="31" max="31" width="9.28515625" bestFit="1" customWidth="1"/>
    <col min="32" max="32" width="7.7109375" bestFit="1" customWidth="1"/>
    <col min="33" max="33" width="9.28515625" bestFit="1" customWidth="1"/>
    <col min="34" max="34" width="7.7109375" bestFit="1" customWidth="1"/>
    <col min="35" max="35" width="9.28515625" bestFit="1" customWidth="1"/>
    <col min="36" max="36" width="7.7109375" bestFit="1" customWidth="1"/>
    <col min="37" max="37" width="9.28515625" bestFit="1" customWidth="1"/>
    <col min="38" max="38" width="7.7109375" bestFit="1" customWidth="1"/>
    <col min="39" max="39" width="9.28515625" bestFit="1" customWidth="1"/>
    <col min="40" max="40" width="7.7109375" bestFit="1" customWidth="1"/>
    <col min="41" max="41" width="9.28515625" bestFit="1" customWidth="1"/>
    <col min="42" max="42" width="7.7109375" bestFit="1" customWidth="1"/>
    <col min="43" max="43" width="9.28515625" bestFit="1" customWidth="1"/>
    <col min="44" max="44" width="7.7109375" bestFit="1" customWidth="1"/>
    <col min="45" max="45" width="9.28515625" bestFit="1" customWidth="1"/>
    <col min="46" max="46" width="7.7109375" bestFit="1" customWidth="1"/>
    <col min="47" max="47" width="9.28515625" bestFit="1" customWidth="1"/>
    <col min="48" max="48" width="7.7109375" bestFit="1" customWidth="1"/>
    <col min="49" max="49" width="9.28515625" bestFit="1" customWidth="1"/>
    <col min="50" max="50" width="7.7109375" bestFit="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154</v>
      </c>
      <c r="B3" s="1"/>
      <c r="BD3" s="13"/>
    </row>
    <row r="4" spans="1:85" ht="15">
      <c r="A4" s="8"/>
      <c r="B4" s="301"/>
      <c r="C4" s="10">
        <v>43743</v>
      </c>
      <c r="D4" s="6"/>
      <c r="E4" s="10">
        <v>43774</v>
      </c>
      <c r="F4" s="6"/>
      <c r="G4" s="10">
        <v>43804</v>
      </c>
      <c r="H4" s="2"/>
      <c r="I4" s="10">
        <v>43841</v>
      </c>
      <c r="J4" s="6"/>
      <c r="K4" s="10">
        <v>43862</v>
      </c>
      <c r="L4" s="6"/>
      <c r="M4" s="10">
        <v>43895</v>
      </c>
      <c r="N4" s="6"/>
      <c r="O4" s="10">
        <v>43926</v>
      </c>
      <c r="P4" s="6"/>
      <c r="Q4" s="10">
        <v>43956</v>
      </c>
      <c r="R4" s="6"/>
      <c r="S4" s="10">
        <v>43987</v>
      </c>
      <c r="T4" s="6"/>
      <c r="U4" s="10">
        <v>44017</v>
      </c>
      <c r="V4" s="6"/>
      <c r="W4" s="10">
        <v>44048</v>
      </c>
      <c r="X4" s="6"/>
      <c r="Y4" s="10">
        <v>44079</v>
      </c>
      <c r="Z4" s="6"/>
      <c r="AA4" s="10">
        <v>44109</v>
      </c>
      <c r="AB4" s="6"/>
      <c r="AC4" s="10">
        <v>44140</v>
      </c>
      <c r="AD4" s="6"/>
      <c r="AE4" s="10">
        <v>44170</v>
      </c>
      <c r="AF4" s="6"/>
      <c r="AG4" s="10">
        <v>44201</v>
      </c>
      <c r="AH4" s="6"/>
      <c r="AI4" s="10">
        <v>44232</v>
      </c>
      <c r="AJ4" s="6"/>
      <c r="AK4" s="10">
        <v>44260</v>
      </c>
      <c r="AL4" s="6"/>
      <c r="AM4" s="10">
        <v>44291</v>
      </c>
      <c r="AN4" s="6"/>
      <c r="AO4" s="10">
        <v>44321</v>
      </c>
      <c r="AP4" s="6"/>
      <c r="AQ4" s="10">
        <v>44352</v>
      </c>
      <c r="AR4" s="6"/>
      <c r="AS4" s="10">
        <v>44382</v>
      </c>
      <c r="AT4" s="6"/>
      <c r="AU4" s="10">
        <v>44413</v>
      </c>
      <c r="AV4" s="6"/>
      <c r="AW4" s="10">
        <v>44444</v>
      </c>
      <c r="AX4" s="6"/>
      <c r="AY4" s="10" t="s">
        <v>80</v>
      </c>
      <c r="AZ4" s="6"/>
      <c r="BD4" s="1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row>
    <row r="5" spans="1:85" ht="15">
      <c r="A5" s="9"/>
      <c r="B5" s="302"/>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row>
    <row r="6" spans="1:85" ht="15">
      <c r="A6" s="9" t="s">
        <v>3</v>
      </c>
      <c r="B6" s="12"/>
      <c r="C6" s="319">
        <v>0</v>
      </c>
      <c r="D6" s="5">
        <f t="shared" ref="D6:D16" si="0">C6/$C$17</f>
        <v>0</v>
      </c>
      <c r="E6" s="79">
        <v>0</v>
      </c>
      <c r="F6" s="5">
        <f t="shared" ref="F6:F16" si="1">E6/E$17</f>
        <v>0</v>
      </c>
      <c r="G6" s="79">
        <v>0</v>
      </c>
      <c r="H6" s="5">
        <f t="shared" ref="H6:H16" si="2">G6/G$17</f>
        <v>0</v>
      </c>
      <c r="I6" s="79">
        <v>0</v>
      </c>
      <c r="J6" s="5">
        <f t="shared" ref="J6:J16" si="3">I6/I$17</f>
        <v>0</v>
      </c>
      <c r="K6" s="79">
        <v>0</v>
      </c>
      <c r="L6" s="5">
        <f t="shared" ref="L6:R16" si="4">K6/K$17</f>
        <v>0</v>
      </c>
      <c r="M6" s="79">
        <v>0</v>
      </c>
      <c r="N6" s="5">
        <f t="shared" si="4"/>
        <v>0</v>
      </c>
      <c r="O6" s="79">
        <v>0</v>
      </c>
      <c r="P6" s="5">
        <f t="shared" si="4"/>
        <v>0</v>
      </c>
      <c r="Q6" s="79">
        <v>0</v>
      </c>
      <c r="R6" s="5">
        <f t="shared" si="4"/>
        <v>0</v>
      </c>
      <c r="S6" s="79">
        <v>0</v>
      </c>
      <c r="T6" s="5">
        <f t="shared" ref="T6:T16" si="5">S6/S$17</f>
        <v>0</v>
      </c>
      <c r="U6" s="79">
        <v>0</v>
      </c>
      <c r="V6" s="5">
        <f t="shared" ref="V6:V16" si="6">U6/U$17</f>
        <v>0</v>
      </c>
      <c r="W6" s="79">
        <v>0</v>
      </c>
      <c r="X6" s="5">
        <f t="shared" ref="X6:X16" si="7">W6/W$17</f>
        <v>0</v>
      </c>
      <c r="Y6" s="79">
        <v>0</v>
      </c>
      <c r="Z6" s="5">
        <f t="shared" ref="Z6:Z16" si="8">Y6/Y$17</f>
        <v>0</v>
      </c>
      <c r="AA6" s="79">
        <v>0</v>
      </c>
      <c r="AB6" s="5">
        <f t="shared" ref="AB6:AB16" si="9">AA6/AA$17</f>
        <v>0</v>
      </c>
      <c r="AC6" s="79">
        <v>0</v>
      </c>
      <c r="AD6" s="5">
        <f t="shared" ref="AD6:AD16" si="10">AC6/AC$17</f>
        <v>0</v>
      </c>
      <c r="AE6" s="79">
        <v>0</v>
      </c>
      <c r="AF6" s="112">
        <f t="shared" ref="AF6:AF16" si="11">AE6/AE$17</f>
        <v>0</v>
      </c>
      <c r="AG6" s="331">
        <v>0</v>
      </c>
      <c r="AH6" s="112">
        <f t="shared" ref="AH6:AH16" si="12">AG6/AG$17</f>
        <v>0</v>
      </c>
      <c r="AI6" s="335">
        <v>0</v>
      </c>
      <c r="AJ6" s="112">
        <f t="shared" ref="AJ6:AJ16" si="13">AI6/AI$17</f>
        <v>0</v>
      </c>
      <c r="AK6" s="79">
        <v>0</v>
      </c>
      <c r="AL6" s="112">
        <f t="shared" ref="AL6:AL16" si="14">AK6/AK$17</f>
        <v>0</v>
      </c>
      <c r="AM6" s="79">
        <v>0</v>
      </c>
      <c r="AN6" s="112">
        <f t="shared" ref="AN6:AN16" si="15">AM6/AM$17</f>
        <v>0</v>
      </c>
      <c r="AO6" s="79">
        <v>0</v>
      </c>
      <c r="AP6" s="112">
        <f t="shared" ref="AP6:AP16" si="16">AO6/AO$17</f>
        <v>0</v>
      </c>
      <c r="AQ6" s="79">
        <v>0</v>
      </c>
      <c r="AR6" s="112">
        <f t="shared" ref="AR6:AR16" si="17">AQ6/AQ$17</f>
        <v>0</v>
      </c>
      <c r="AS6" s="79">
        <v>0</v>
      </c>
      <c r="AT6" s="112">
        <f t="shared" ref="AT6:AT16" si="18">AS6/AS$17</f>
        <v>0</v>
      </c>
      <c r="AU6" s="79">
        <f>+AS6</f>
        <v>0</v>
      </c>
      <c r="AV6" s="112">
        <f t="shared" ref="AV6:AV16" si="19">AU6/AU$17</f>
        <v>0</v>
      </c>
      <c r="AW6" s="79">
        <f>+AU6</f>
        <v>0</v>
      </c>
      <c r="AX6" s="112">
        <f t="shared" ref="AX6:AX16" si="20">AW6/AW$17</f>
        <v>0</v>
      </c>
      <c r="AY6" s="16">
        <f>+Y6+W6+U6+S6+Q6+O6+M6+K6+I6+G6+E6+C6+AA6+AC6+AE6+AG6+AI6+AK6+AM6+AO6+AQ6+AS6+AU6+AW6</f>
        <v>0</v>
      </c>
      <c r="AZ6" s="15">
        <f t="shared" ref="AZ6:AZ16" si="21">AY6/AY$17</f>
        <v>0</v>
      </c>
      <c r="BD6" s="13"/>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row>
    <row r="7" spans="1:85" ht="15">
      <c r="A7" s="9" t="s">
        <v>6</v>
      </c>
      <c r="B7" s="12"/>
      <c r="C7" s="319">
        <v>2379.1927858110125</v>
      </c>
      <c r="D7" s="5">
        <f t="shared" si="0"/>
        <v>0.30872960409494554</v>
      </c>
      <c r="E7" s="79">
        <v>2565.5818694978334</v>
      </c>
      <c r="F7" s="5">
        <f t="shared" si="1"/>
        <v>0.35549842167274731</v>
      </c>
      <c r="G7" s="79">
        <v>3250.0548423570476</v>
      </c>
      <c r="H7" s="5">
        <f t="shared" si="2"/>
        <v>0.38563459339255646</v>
      </c>
      <c r="I7" s="79">
        <v>3279.3</v>
      </c>
      <c r="J7" s="5">
        <f t="shared" si="3"/>
        <v>0.36724834199014944</v>
      </c>
      <c r="K7" s="79">
        <v>2739.03</v>
      </c>
      <c r="L7" s="5">
        <f t="shared" si="4"/>
        <v>0.38310898135249</v>
      </c>
      <c r="M7" s="79">
        <v>3412.03</v>
      </c>
      <c r="N7" s="5">
        <f t="shared" si="4"/>
        <v>0.43619881388715953</v>
      </c>
      <c r="O7" s="79">
        <v>3429.94</v>
      </c>
      <c r="P7" s="5">
        <f t="shared" si="4"/>
        <v>0.41806970306780766</v>
      </c>
      <c r="Q7" s="79">
        <v>3126.42</v>
      </c>
      <c r="R7" s="5">
        <f t="shared" si="4"/>
        <v>0.39529452819477334</v>
      </c>
      <c r="S7" s="79">
        <v>3008.11</v>
      </c>
      <c r="T7" s="5">
        <f t="shared" si="5"/>
        <v>0.35663297667387889</v>
      </c>
      <c r="U7" s="79">
        <v>3313.54</v>
      </c>
      <c r="V7" s="5">
        <f t="shared" si="6"/>
        <v>0.3916852843481447</v>
      </c>
      <c r="W7" s="79">
        <v>2784.57</v>
      </c>
      <c r="X7" s="5">
        <f t="shared" si="7"/>
        <v>0.36236331197857496</v>
      </c>
      <c r="Y7" s="79">
        <v>3142.74</v>
      </c>
      <c r="Z7" s="5">
        <f t="shared" si="8"/>
        <v>0.3901543366206835</v>
      </c>
      <c r="AA7" s="79">
        <v>2923.3</v>
      </c>
      <c r="AB7" s="5">
        <f t="shared" si="9"/>
        <v>0.36270715798537662</v>
      </c>
      <c r="AC7" s="79">
        <v>2665.3930001846816</v>
      </c>
      <c r="AD7" s="5">
        <f t="shared" si="10"/>
        <v>0.34391796258803226</v>
      </c>
      <c r="AE7" s="79">
        <v>3126.3653582746601</v>
      </c>
      <c r="AF7" s="112">
        <f t="shared" si="11"/>
        <v>0.34885022320051023</v>
      </c>
      <c r="AG7" s="331">
        <v>3106.3342727907766</v>
      </c>
      <c r="AH7" s="112">
        <f t="shared" si="12"/>
        <v>0.36660452374631708</v>
      </c>
      <c r="AI7" s="335">
        <v>2016.5085937964691</v>
      </c>
      <c r="AJ7" s="112">
        <f t="shared" si="13"/>
        <v>0.29113524020790449</v>
      </c>
      <c r="AK7" s="79">
        <v>2757.5045990162662</v>
      </c>
      <c r="AL7" s="112">
        <f t="shared" si="14"/>
        <v>0.33945272361122508</v>
      </c>
      <c r="AM7" s="79">
        <v>2554.12</v>
      </c>
      <c r="AN7" s="112">
        <f t="shared" si="15"/>
        <v>0.33302084216153494</v>
      </c>
      <c r="AO7" s="79">
        <v>2485.5500000000002</v>
      </c>
      <c r="AP7" s="112">
        <f t="shared" si="16"/>
        <v>0.34645433320556152</v>
      </c>
      <c r="AQ7" s="79">
        <v>2707.72</v>
      </c>
      <c r="AR7" s="112">
        <f t="shared" si="17"/>
        <v>0.34738319507557769</v>
      </c>
      <c r="AS7" s="79">
        <v>2959.36</v>
      </c>
      <c r="AT7" s="112">
        <f t="shared" si="18"/>
        <v>0.3796869727656812</v>
      </c>
      <c r="AU7" s="79">
        <v>3046.87</v>
      </c>
      <c r="AV7" s="112">
        <f t="shared" si="19"/>
        <v>0.40906588832977991</v>
      </c>
      <c r="AW7" s="79">
        <v>2502.91</v>
      </c>
      <c r="AX7" s="112">
        <f t="shared" si="20"/>
        <v>0.33314255367009049</v>
      </c>
      <c r="AY7" s="16">
        <f t="shared" ref="AY7:AY16" si="22">+Y7+W7+U7+S7+Q7+O7+M7+K7+I7+G7+E7+C7+AA7+AC7+AE7+AG7+AI7+AK7+AM7+AO7+AQ7+AS7+AU7+AW7</f>
        <v>69282.445321728766</v>
      </c>
      <c r="AZ7" s="15">
        <f t="shared" si="21"/>
        <v>0.36524390005700408</v>
      </c>
      <c r="BD7" s="13"/>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row>
    <row r="8" spans="1:85" ht="15">
      <c r="A8" s="9" t="s">
        <v>1</v>
      </c>
      <c r="B8" s="12"/>
      <c r="C8" s="319">
        <v>2057.2166006991879</v>
      </c>
      <c r="D8" s="5">
        <f t="shared" si="0"/>
        <v>0.2669492234757726</v>
      </c>
      <c r="E8" s="79">
        <v>1852.5743955589733</v>
      </c>
      <c r="F8" s="5">
        <f t="shared" si="1"/>
        <v>0.25670093848202374</v>
      </c>
      <c r="G8" s="79">
        <v>1969.9456958750391</v>
      </c>
      <c r="H8" s="5">
        <f t="shared" si="2"/>
        <v>0.23374350411983905</v>
      </c>
      <c r="I8" s="79">
        <v>1864.32</v>
      </c>
      <c r="J8" s="5">
        <f t="shared" si="3"/>
        <v>0.20878493243651855</v>
      </c>
      <c r="K8" s="79">
        <v>1539.44</v>
      </c>
      <c r="L8" s="5">
        <f t="shared" si="4"/>
        <v>0.21532195348472899</v>
      </c>
      <c r="M8" s="79">
        <v>1359.46</v>
      </c>
      <c r="N8" s="5">
        <f t="shared" si="4"/>
        <v>0.17379531819094143</v>
      </c>
      <c r="O8" s="79">
        <v>1190.74</v>
      </c>
      <c r="P8" s="5">
        <f t="shared" si="4"/>
        <v>0.14513732550160097</v>
      </c>
      <c r="Q8" s="79">
        <v>1195.6099999999999</v>
      </c>
      <c r="R8" s="5">
        <f t="shared" si="4"/>
        <v>0.15116909783552848</v>
      </c>
      <c r="S8" s="79">
        <v>1487.14</v>
      </c>
      <c r="T8" s="5">
        <f t="shared" si="5"/>
        <v>0.17631109398618811</v>
      </c>
      <c r="U8" s="79">
        <v>1480.76</v>
      </c>
      <c r="V8" s="5">
        <f t="shared" si="6"/>
        <v>0.17503693984420249</v>
      </c>
      <c r="W8" s="79">
        <v>1620.11</v>
      </c>
      <c r="X8" s="5">
        <f t="shared" si="7"/>
        <v>0.21082911378403454</v>
      </c>
      <c r="Y8" s="79">
        <v>1756.62</v>
      </c>
      <c r="Z8" s="5">
        <f t="shared" si="8"/>
        <v>0.21807496350147484</v>
      </c>
      <c r="AA8" s="79">
        <v>1962.39</v>
      </c>
      <c r="AB8" s="5">
        <f t="shared" si="9"/>
        <v>0.24348267360822468</v>
      </c>
      <c r="AC8" s="79">
        <v>1953.0069863291267</v>
      </c>
      <c r="AD8" s="5">
        <f t="shared" si="10"/>
        <v>0.25199817948496406</v>
      </c>
      <c r="AE8" s="79">
        <v>2234.105405947937</v>
      </c>
      <c r="AF8" s="112">
        <f t="shared" si="11"/>
        <v>0.24928889627554995</v>
      </c>
      <c r="AG8" s="331">
        <v>2028.7805272090791</v>
      </c>
      <c r="AH8" s="112">
        <f t="shared" si="12"/>
        <v>0.23943338148700957</v>
      </c>
      <c r="AI8" s="335">
        <v>1727.4144976222201</v>
      </c>
      <c r="AJ8" s="112">
        <f t="shared" si="13"/>
        <v>0.24939702030083274</v>
      </c>
      <c r="AK8" s="79">
        <v>2197.9996399678312</v>
      </c>
      <c r="AL8" s="112">
        <f t="shared" si="14"/>
        <v>0.27057687031591826</v>
      </c>
      <c r="AM8" s="79">
        <v>2047.55</v>
      </c>
      <c r="AN8" s="112">
        <f t="shared" si="15"/>
        <v>0.26697133469369133</v>
      </c>
      <c r="AO8" s="79">
        <v>1917.72</v>
      </c>
      <c r="AP8" s="112">
        <f t="shared" si="16"/>
        <v>0.26730599017318879</v>
      </c>
      <c r="AQ8" s="79">
        <v>2054.37</v>
      </c>
      <c r="AR8" s="112">
        <f t="shared" si="17"/>
        <v>0.2635625598168993</v>
      </c>
      <c r="AS8" s="79">
        <v>2050.84</v>
      </c>
      <c r="AT8" s="112">
        <f t="shared" si="18"/>
        <v>0.26312352374390735</v>
      </c>
      <c r="AU8" s="79">
        <v>1566.43</v>
      </c>
      <c r="AV8" s="112">
        <f t="shared" si="19"/>
        <v>0.21030535580986956</v>
      </c>
      <c r="AW8" s="79">
        <v>1690.85</v>
      </c>
      <c r="AX8" s="112">
        <f t="shared" si="20"/>
        <v>0.2250556699494079</v>
      </c>
      <c r="AY8" s="16">
        <f t="shared" si="22"/>
        <v>42805.393749209397</v>
      </c>
      <c r="AZ8" s="15">
        <f t="shared" si="21"/>
        <v>0.22566191022610443</v>
      </c>
      <c r="BD8" s="13"/>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row>
    <row r="9" spans="1:85" ht="15">
      <c r="A9" s="9" t="s">
        <v>0</v>
      </c>
      <c r="B9" s="12"/>
      <c r="C9" s="320">
        <v>60.144038380576617</v>
      </c>
      <c r="D9" s="5">
        <f t="shared" si="0"/>
        <v>7.804430674405032E-3</v>
      </c>
      <c r="E9" s="79">
        <v>85.632200536100783</v>
      </c>
      <c r="F9" s="5">
        <f t="shared" si="1"/>
        <v>1.1865578135265864E-2</v>
      </c>
      <c r="G9" s="115">
        <v>52.985604687451819</v>
      </c>
      <c r="H9" s="5">
        <f t="shared" si="2"/>
        <v>6.2869961001905637E-3</v>
      </c>
      <c r="I9" s="79">
        <v>60.98</v>
      </c>
      <c r="J9" s="5">
        <f t="shared" si="3"/>
        <v>6.829141552940966E-3</v>
      </c>
      <c r="K9" s="79">
        <v>55.48</v>
      </c>
      <c r="L9" s="5">
        <f t="shared" si="4"/>
        <v>7.7600049234349908E-3</v>
      </c>
      <c r="M9" s="79">
        <v>74.78</v>
      </c>
      <c r="N9" s="5">
        <f t="shared" si="4"/>
        <v>9.5599825624281699E-3</v>
      </c>
      <c r="O9" s="79">
        <v>104.47</v>
      </c>
      <c r="P9" s="5">
        <f t="shared" si="4"/>
        <v>1.2733675189505899E-2</v>
      </c>
      <c r="Q9" s="79">
        <v>100.71</v>
      </c>
      <c r="R9" s="5">
        <f t="shared" si="4"/>
        <v>1.2733449739476981E-2</v>
      </c>
      <c r="S9" s="79">
        <v>88.58</v>
      </c>
      <c r="T9" s="5">
        <f t="shared" si="5"/>
        <v>1.0501793177035479E-2</v>
      </c>
      <c r="U9" s="79">
        <v>76.92</v>
      </c>
      <c r="V9" s="5">
        <f t="shared" si="6"/>
        <v>9.0925210113833813E-3</v>
      </c>
      <c r="W9" s="79">
        <v>64.290000000000006</v>
      </c>
      <c r="X9" s="5">
        <f t="shared" si="7"/>
        <v>8.3662243459861254E-3</v>
      </c>
      <c r="Y9" s="79">
        <v>66.47</v>
      </c>
      <c r="Z9" s="5">
        <f t="shared" si="8"/>
        <v>8.251894447258391E-3</v>
      </c>
      <c r="AA9" s="115">
        <v>56.68</v>
      </c>
      <c r="AB9" s="5">
        <f t="shared" si="9"/>
        <v>7.0325459975408419E-3</v>
      </c>
      <c r="AC9" s="79">
        <v>62.040150015233898</v>
      </c>
      <c r="AD9" s="5">
        <f t="shared" si="10"/>
        <v>8.005094179513764E-3</v>
      </c>
      <c r="AE9" s="115">
        <v>73.584837808492665</v>
      </c>
      <c r="AF9" s="112">
        <f t="shared" si="11"/>
        <v>8.2108404335162217E-3</v>
      </c>
      <c r="AG9" s="331">
        <v>61.577806898061553</v>
      </c>
      <c r="AH9" s="112">
        <f t="shared" si="12"/>
        <v>7.2673127193504158E-3</v>
      </c>
      <c r="AI9" s="335">
        <v>67.145647396309187</v>
      </c>
      <c r="AJ9" s="112">
        <f t="shared" si="13"/>
        <v>9.694213178053435E-3</v>
      </c>
      <c r="AK9" s="115">
        <v>71.568895026106162</v>
      </c>
      <c r="AL9" s="112">
        <f t="shared" si="14"/>
        <v>8.8102323931298319E-3</v>
      </c>
      <c r="AM9" s="79">
        <v>65.61</v>
      </c>
      <c r="AN9" s="112">
        <f t="shared" si="15"/>
        <v>8.5546088101648727E-3</v>
      </c>
      <c r="AO9" s="79">
        <v>56.08</v>
      </c>
      <c r="AP9" s="112">
        <f t="shared" si="16"/>
        <v>7.8168449663727907E-3</v>
      </c>
      <c r="AQ9" s="79">
        <v>56.77</v>
      </c>
      <c r="AR9" s="112">
        <f t="shared" si="17"/>
        <v>7.2832286885056614E-3</v>
      </c>
      <c r="AS9" s="79">
        <v>45.21</v>
      </c>
      <c r="AT9" s="112">
        <f t="shared" si="18"/>
        <v>5.800459571912997E-3</v>
      </c>
      <c r="AU9" s="79">
        <v>55.02</v>
      </c>
      <c r="AV9" s="112">
        <f t="shared" si="19"/>
        <v>7.3868610002738857E-3</v>
      </c>
      <c r="AW9" s="79">
        <v>50.11</v>
      </c>
      <c r="AX9" s="112">
        <f t="shared" si="20"/>
        <v>6.6697457616966792E-3</v>
      </c>
      <c r="AY9" s="16">
        <f t="shared" si="22"/>
        <v>1612.8391807483322</v>
      </c>
      <c r="AZ9" s="15">
        <f t="shared" si="21"/>
        <v>8.5025820004726877E-3</v>
      </c>
      <c r="BD9" s="13"/>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row>
    <row r="10" spans="1:85" ht="15">
      <c r="A10" s="9" t="s">
        <v>4</v>
      </c>
      <c r="B10" s="12"/>
      <c r="C10" s="320">
        <v>82.358416335135558</v>
      </c>
      <c r="D10" s="5">
        <f t="shared" si="0"/>
        <v>1.0687020161069373E-2</v>
      </c>
      <c r="E10" s="79">
        <v>51.40035881617122</v>
      </c>
      <c r="F10" s="5">
        <f t="shared" si="1"/>
        <v>7.1222620684243893E-3</v>
      </c>
      <c r="G10" s="115">
        <v>86.222950097151127</v>
      </c>
      <c r="H10" s="5">
        <f t="shared" si="2"/>
        <v>1.023076652999097E-2</v>
      </c>
      <c r="I10" s="79">
        <v>94.07</v>
      </c>
      <c r="J10" s="5">
        <f t="shared" si="3"/>
        <v>1.0534885960727396E-2</v>
      </c>
      <c r="K10" s="79">
        <v>74.180000000000007</v>
      </c>
      <c r="L10" s="5">
        <f t="shared" si="4"/>
        <v>1.0375579762444263E-2</v>
      </c>
      <c r="M10" s="79">
        <v>79.44</v>
      </c>
      <c r="N10" s="5">
        <f t="shared" si="4"/>
        <v>1.0155723652838912E-2</v>
      </c>
      <c r="O10" s="79">
        <v>107.26</v>
      </c>
      <c r="P10" s="5">
        <f>O10/O$17</f>
        <v>1.3073743666376977E-2</v>
      </c>
      <c r="Q10" s="79">
        <v>95.1</v>
      </c>
      <c r="R10" s="5">
        <f t="shared" si="4"/>
        <v>1.2024139313119461E-2</v>
      </c>
      <c r="S10" s="79">
        <v>84.86</v>
      </c>
      <c r="T10" s="5">
        <f t="shared" si="5"/>
        <v>1.0060760544177361E-2</v>
      </c>
      <c r="U10" s="79">
        <v>60.26</v>
      </c>
      <c r="V10" s="5">
        <f t="shared" si="6"/>
        <v>7.1231840372590035E-3</v>
      </c>
      <c r="W10" s="79">
        <v>67.12</v>
      </c>
      <c r="X10" s="5">
        <f t="shared" si="7"/>
        <v>8.7344995816237159E-3</v>
      </c>
      <c r="Y10" s="79">
        <v>67.430000000000007</v>
      </c>
      <c r="Z10" s="5">
        <f t="shared" si="8"/>
        <v>8.3710733049290401E-3</v>
      </c>
      <c r="AA10" s="115">
        <v>68.790000000000006</v>
      </c>
      <c r="AB10" s="5">
        <f t="shared" si="9"/>
        <v>8.5350889056251683E-3</v>
      </c>
      <c r="AC10" s="79">
        <v>91.4</v>
      </c>
      <c r="AD10" s="5">
        <f t="shared" si="10"/>
        <v>1.1793420999592977E-2</v>
      </c>
      <c r="AE10" s="115">
        <v>113.55</v>
      </c>
      <c r="AF10" s="112">
        <f t="shared" si="11"/>
        <v>1.267028587672123E-2</v>
      </c>
      <c r="AG10" s="331">
        <v>95.01</v>
      </c>
      <c r="AH10" s="112">
        <f t="shared" si="12"/>
        <v>1.1212925829081755E-2</v>
      </c>
      <c r="AI10" s="79">
        <v>104.19</v>
      </c>
      <c r="AJ10" s="112">
        <f t="shared" si="13"/>
        <v>1.5042524872236267E-2</v>
      </c>
      <c r="AK10" s="79">
        <v>88.68</v>
      </c>
      <c r="AL10" s="112">
        <f t="shared" si="14"/>
        <v>1.0916633662399875E-2</v>
      </c>
      <c r="AM10" s="79">
        <v>87.24</v>
      </c>
      <c r="AN10" s="112">
        <f t="shared" si="15"/>
        <v>1.1374852501124577E-2</v>
      </c>
      <c r="AO10" s="79">
        <v>61.25</v>
      </c>
      <c r="AP10" s="112">
        <f t="shared" si="16"/>
        <v>8.5374777851343342E-3</v>
      </c>
      <c r="AQ10" s="79">
        <v>47.9</v>
      </c>
      <c r="AR10" s="112">
        <f t="shared" si="17"/>
        <v>6.145264297682247E-3</v>
      </c>
      <c r="AS10" s="79">
        <v>23.6</v>
      </c>
      <c r="AT10" s="112">
        <f t="shared" si="18"/>
        <v>3.0278886506778751E-3</v>
      </c>
      <c r="AU10" s="79">
        <v>41.06</v>
      </c>
      <c r="AV10" s="112">
        <f t="shared" si="19"/>
        <v>5.5126229129633907E-3</v>
      </c>
      <c r="AW10" s="79">
        <v>55.31</v>
      </c>
      <c r="AX10" s="112">
        <f t="shared" si="20"/>
        <v>7.361876632996275E-3</v>
      </c>
      <c r="AY10" s="16">
        <f t="shared" si="22"/>
        <v>1827.681725248458</v>
      </c>
      <c r="AZ10" s="15">
        <f t="shared" si="21"/>
        <v>9.6351911121604107E-3</v>
      </c>
      <c r="BD10" s="13"/>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row>
    <row r="11" spans="1:85" ht="15">
      <c r="A11" s="9" t="s">
        <v>2</v>
      </c>
      <c r="B11" s="12"/>
      <c r="C11" s="320">
        <v>1750.5816545149539</v>
      </c>
      <c r="D11" s="5">
        <f t="shared" si="0"/>
        <v>0.22715955779516506</v>
      </c>
      <c r="E11" s="79">
        <v>1230.2020306775223</v>
      </c>
      <c r="F11" s="5">
        <f t="shared" si="1"/>
        <v>0.17046225865716313</v>
      </c>
      <c r="G11" s="115">
        <v>1632.9760951158146</v>
      </c>
      <c r="H11" s="5">
        <f t="shared" si="2"/>
        <v>0.19376044497853739</v>
      </c>
      <c r="I11" s="79">
        <v>1876.73</v>
      </c>
      <c r="J11" s="5">
        <f t="shared" si="3"/>
        <v>0.21017472657676123</v>
      </c>
      <c r="K11" s="79">
        <v>1298.8499999999999</v>
      </c>
      <c r="L11" s="5">
        <f t="shared" si="4"/>
        <v>0.18167055506134711</v>
      </c>
      <c r="M11" s="79">
        <v>1332.25</v>
      </c>
      <c r="N11" s="5">
        <f t="shared" si="4"/>
        <v>0.17031675272525981</v>
      </c>
      <c r="O11" s="79">
        <v>1629.98</v>
      </c>
      <c r="P11" s="5">
        <f>O11/O$17</f>
        <v>0.19867556126534724</v>
      </c>
      <c r="Q11" s="79">
        <v>1769.67</v>
      </c>
      <c r="R11" s="5">
        <f t="shared" si="4"/>
        <v>0.22375140502889712</v>
      </c>
      <c r="S11" s="79">
        <v>2001.38</v>
      </c>
      <c r="T11" s="5">
        <f t="shared" si="5"/>
        <v>0.23727792762085423</v>
      </c>
      <c r="U11" s="79">
        <v>2012.56</v>
      </c>
      <c r="V11" s="5">
        <f t="shared" si="6"/>
        <v>0.23789968911427117</v>
      </c>
      <c r="W11" s="79">
        <v>1537.3</v>
      </c>
      <c r="X11" s="5">
        <f t="shared" si="7"/>
        <v>0.20005283383239181</v>
      </c>
      <c r="Y11" s="79">
        <v>1566.76</v>
      </c>
      <c r="Z11" s="5">
        <f t="shared" si="8"/>
        <v>0.19450486150423585</v>
      </c>
      <c r="AA11" s="115">
        <v>1562.51</v>
      </c>
      <c r="AB11" s="5">
        <f t="shared" si="9"/>
        <v>0.19386773900172091</v>
      </c>
      <c r="AC11" s="79">
        <v>1449.87</v>
      </c>
      <c r="AD11" s="5">
        <f t="shared" si="10"/>
        <v>0.18707797926345587</v>
      </c>
      <c r="AE11" s="115">
        <v>1791.07</v>
      </c>
      <c r="AF11" s="112">
        <f t="shared" si="11"/>
        <v>0.19985353522870183</v>
      </c>
      <c r="AG11" s="331">
        <v>1529.41</v>
      </c>
      <c r="AH11" s="112">
        <f t="shared" si="12"/>
        <v>0.18049848323603754</v>
      </c>
      <c r="AI11" s="335">
        <v>1461.5023754393465</v>
      </c>
      <c r="AJ11" s="112">
        <f t="shared" si="13"/>
        <v>0.21100571871944293</v>
      </c>
      <c r="AK11" s="115">
        <v>1535.1126317526548</v>
      </c>
      <c r="AL11" s="112">
        <f t="shared" si="14"/>
        <v>0.1889745402725112</v>
      </c>
      <c r="AM11" s="79">
        <v>1521.87</v>
      </c>
      <c r="AN11" s="112">
        <f t="shared" si="15"/>
        <v>0.19843015561538813</v>
      </c>
      <c r="AO11" s="79">
        <v>1479.59</v>
      </c>
      <c r="AP11" s="112">
        <f t="shared" si="16"/>
        <v>0.2062361919364393</v>
      </c>
      <c r="AQ11" s="79">
        <v>1712.59</v>
      </c>
      <c r="AR11" s="112">
        <f t="shared" si="17"/>
        <v>0.21971436708909475</v>
      </c>
      <c r="AS11" s="79">
        <v>1575.21</v>
      </c>
      <c r="AT11" s="112">
        <f t="shared" si="18"/>
        <v>0.20210002039975827</v>
      </c>
      <c r="AU11" s="79">
        <v>1767.37</v>
      </c>
      <c r="AV11" s="112">
        <f t="shared" si="19"/>
        <v>0.23728310661675855</v>
      </c>
      <c r="AW11" s="79">
        <v>1652.08</v>
      </c>
      <c r="AX11" s="112">
        <f t="shared" si="20"/>
        <v>0.21989530189550688</v>
      </c>
      <c r="AY11" s="16">
        <f t="shared" si="22"/>
        <v>38677.424787500291</v>
      </c>
      <c r="AZ11" s="15">
        <f t="shared" si="21"/>
        <v>0.20390004145996204</v>
      </c>
      <c r="BD11" s="13"/>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row>
    <row r="12" spans="1:85" ht="15">
      <c r="A12" s="9" t="s">
        <v>8</v>
      </c>
      <c r="B12" s="12"/>
      <c r="C12" s="320">
        <v>40.456774692149274</v>
      </c>
      <c r="D12" s="5">
        <f t="shared" si="0"/>
        <v>5.2497654280706102E-3</v>
      </c>
      <c r="E12" s="79">
        <v>57.999378186939623</v>
      </c>
      <c r="F12" s="5">
        <f t="shared" si="1"/>
        <v>8.0366515091929384E-3</v>
      </c>
      <c r="G12" s="115">
        <v>22.41529870124214</v>
      </c>
      <c r="H12" s="5">
        <f t="shared" si="2"/>
        <v>2.6596826883564873E-3</v>
      </c>
      <c r="I12" s="79">
        <v>33.090000000000003</v>
      </c>
      <c r="J12" s="5">
        <f t="shared" si="3"/>
        <v>3.7057444077864318E-3</v>
      </c>
      <c r="K12" s="79">
        <v>56.03</v>
      </c>
      <c r="L12" s="5">
        <f t="shared" si="4"/>
        <v>7.8369335951705577E-3</v>
      </c>
      <c r="M12" s="79">
        <v>54.79</v>
      </c>
      <c r="N12" s="5">
        <f t="shared" si="4"/>
        <v>7.0044322625760821E-3</v>
      </c>
      <c r="O12" s="79">
        <v>73</v>
      </c>
      <c r="P12" s="5">
        <f t="shared" si="4"/>
        <v>8.8978490364117029E-3</v>
      </c>
      <c r="Q12" s="79">
        <v>25.93</v>
      </c>
      <c r="R12" s="5">
        <f t="shared" si="4"/>
        <v>3.278506123966221E-3</v>
      </c>
      <c r="S12" s="79">
        <v>18.649999999999999</v>
      </c>
      <c r="T12" s="5">
        <f t="shared" si="5"/>
        <v>2.2110910222591065E-3</v>
      </c>
      <c r="U12" s="79">
        <v>8.2899999999999991</v>
      </c>
      <c r="V12" s="5">
        <f t="shared" si="6"/>
        <v>9.7994018700426721E-4</v>
      </c>
      <c r="W12" s="79">
        <v>41.33</v>
      </c>
      <c r="X12" s="5">
        <f t="shared" si="7"/>
        <v>5.3783800314140071E-3</v>
      </c>
      <c r="Y12" s="79">
        <v>41.5</v>
      </c>
      <c r="Z12" s="5">
        <f t="shared" si="8"/>
        <v>5.1520027013874413E-3</v>
      </c>
      <c r="AA12" s="115">
        <v>56.48</v>
      </c>
      <c r="AB12" s="5">
        <f t="shared" si="9"/>
        <v>7.007731085764057E-3</v>
      </c>
      <c r="AC12" s="79">
        <v>109.56</v>
      </c>
      <c r="AD12" s="5">
        <f t="shared" si="10"/>
        <v>1.4136621495792194E-2</v>
      </c>
      <c r="AE12" s="115">
        <v>88.41</v>
      </c>
      <c r="AF12" s="112">
        <f t="shared" si="11"/>
        <v>9.865081236115578E-3</v>
      </c>
      <c r="AG12" s="331">
        <v>110.44</v>
      </c>
      <c r="AH12" s="112">
        <f t="shared" si="12"/>
        <v>1.3033949358633711E-2</v>
      </c>
      <c r="AI12" s="335">
        <v>123.9246283255189</v>
      </c>
      <c r="AJ12" s="112">
        <f t="shared" si="13"/>
        <v>1.7891729569721213E-2</v>
      </c>
      <c r="AK12" s="115">
        <v>147.19103133323839</v>
      </c>
      <c r="AL12" s="112">
        <f t="shared" si="14"/>
        <v>1.8119424531526665E-2</v>
      </c>
      <c r="AM12" s="79">
        <v>135.91999999999999</v>
      </c>
      <c r="AN12" s="112">
        <f t="shared" si="15"/>
        <v>1.7722030627611789E-2</v>
      </c>
      <c r="AO12" s="79">
        <v>122.24</v>
      </c>
      <c r="AP12" s="112">
        <f t="shared" si="16"/>
        <v>1.7038714848241973E-2</v>
      </c>
      <c r="AQ12" s="79">
        <v>91.3</v>
      </c>
      <c r="AR12" s="112">
        <f t="shared" si="17"/>
        <v>1.1713207314788917E-2</v>
      </c>
      <c r="AS12" s="79">
        <v>41.19</v>
      </c>
      <c r="AT12" s="112">
        <f t="shared" si="18"/>
        <v>5.2846920983653251E-3</v>
      </c>
      <c r="AU12" s="79">
        <v>64</v>
      </c>
      <c r="AV12" s="112">
        <f t="shared" si="19"/>
        <v>8.5924955292171687E-3</v>
      </c>
      <c r="AW12" s="79">
        <v>50.91</v>
      </c>
      <c r="AX12" s="112">
        <f t="shared" si="20"/>
        <v>6.7762274342043089E-3</v>
      </c>
      <c r="AY12" s="16">
        <f t="shared" si="22"/>
        <v>1615.0471112390885</v>
      </c>
      <c r="AZ12" s="15">
        <f t="shared" si="21"/>
        <v>8.5142217908951209E-3</v>
      </c>
      <c r="BD12" s="13"/>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row>
    <row r="13" spans="1:85" ht="15">
      <c r="A13" s="9" t="s">
        <v>10</v>
      </c>
      <c r="B13" s="12"/>
      <c r="C13" s="320">
        <v>28.462232981060076</v>
      </c>
      <c r="D13" s="5">
        <f t="shared" si="0"/>
        <v>3.6933257247186236E-3</v>
      </c>
      <c r="E13" s="79">
        <v>19.01889541741016</v>
      </c>
      <c r="F13" s="5">
        <f t="shared" si="1"/>
        <v>2.6353426422411302E-3</v>
      </c>
      <c r="G13" s="115">
        <v>22.512891724820783</v>
      </c>
      <c r="H13" s="5">
        <f t="shared" si="2"/>
        <v>2.6712625686327244E-3</v>
      </c>
      <c r="I13" s="79">
        <v>43.25</v>
      </c>
      <c r="J13" s="5">
        <f t="shared" si="3"/>
        <v>4.8435613670825975E-3</v>
      </c>
      <c r="K13" s="79">
        <v>23.68</v>
      </c>
      <c r="L13" s="5">
        <f t="shared" si="4"/>
        <v>3.3121289939967665E-3</v>
      </c>
      <c r="M13" s="79">
        <v>27.46</v>
      </c>
      <c r="N13" s="5">
        <f t="shared" si="4"/>
        <v>3.5105258246092208E-3</v>
      </c>
      <c r="O13" s="79">
        <v>23.2</v>
      </c>
      <c r="P13" s="5">
        <f t="shared" si="4"/>
        <v>2.8278095567774177E-3</v>
      </c>
      <c r="Q13" s="79">
        <v>23.15</v>
      </c>
      <c r="R13" s="5">
        <f t="shared" si="4"/>
        <v>2.9270118306910149E-3</v>
      </c>
      <c r="S13" s="79">
        <v>24.84</v>
      </c>
      <c r="T13" s="5">
        <f t="shared" si="5"/>
        <v>2.9449598387622632E-3</v>
      </c>
      <c r="U13" s="79">
        <v>29.42</v>
      </c>
      <c r="V13" s="5">
        <f t="shared" si="6"/>
        <v>3.4776646926013926E-3</v>
      </c>
      <c r="W13" s="79">
        <v>6.7</v>
      </c>
      <c r="X13" s="5">
        <f t="shared" si="7"/>
        <v>8.7188836705719456E-4</v>
      </c>
      <c r="Y13" s="79">
        <v>9.32</v>
      </c>
      <c r="Z13" s="5">
        <f t="shared" si="8"/>
        <v>1.1570280765525532E-3</v>
      </c>
      <c r="AA13" s="115">
        <v>34.19</v>
      </c>
      <c r="AB13" s="5">
        <f t="shared" si="9"/>
        <v>4.2421091682413791E-3</v>
      </c>
      <c r="AC13" s="79">
        <v>32.01</v>
      </c>
      <c r="AD13" s="5">
        <f t="shared" si="10"/>
        <v>4.1302779671441043E-3</v>
      </c>
      <c r="AE13" s="115">
        <v>44.64</v>
      </c>
      <c r="AF13" s="112">
        <f t="shared" si="11"/>
        <v>4.9810793618391526E-3</v>
      </c>
      <c r="AG13" s="331">
        <v>22.17</v>
      </c>
      <c r="AH13" s="112">
        <f t="shared" si="12"/>
        <v>2.6164673784942901E-3</v>
      </c>
      <c r="AI13" s="335">
        <v>48.620115661347278</v>
      </c>
      <c r="AJ13" s="112">
        <f t="shared" si="13"/>
        <v>7.0195728872907244E-3</v>
      </c>
      <c r="AK13" s="115">
        <v>33.866670272873293</v>
      </c>
      <c r="AL13" s="112">
        <f t="shared" si="14"/>
        <v>4.1690351007470199E-3</v>
      </c>
      <c r="AM13" s="79">
        <v>39.71</v>
      </c>
      <c r="AN13" s="112">
        <f t="shared" si="15"/>
        <v>5.1776179828021207E-3</v>
      </c>
      <c r="AO13" s="79">
        <v>43.17</v>
      </c>
      <c r="AP13" s="112">
        <f t="shared" si="16"/>
        <v>6.0173537303550885E-3</v>
      </c>
      <c r="AQ13" s="79">
        <v>44.51</v>
      </c>
      <c r="AR13" s="112">
        <f t="shared" si="17"/>
        <v>5.7103489329819786E-3</v>
      </c>
      <c r="AS13" s="79">
        <v>93.95</v>
      </c>
      <c r="AT13" s="112">
        <f t="shared" si="18"/>
        <v>1.2053819437762134E-2</v>
      </c>
      <c r="AU13" s="79">
        <v>84.55</v>
      </c>
      <c r="AV13" s="112">
        <f t="shared" si="19"/>
        <v>1.1351492140551745E-2</v>
      </c>
      <c r="AW13" s="79">
        <v>77.58</v>
      </c>
      <c r="AX13" s="112">
        <f t="shared" si="20"/>
        <v>1.0326060191427427E-2</v>
      </c>
      <c r="AY13" s="16">
        <f t="shared" si="22"/>
        <v>879.98080605751159</v>
      </c>
      <c r="AZ13" s="15">
        <f t="shared" si="21"/>
        <v>4.6390917654136254E-3</v>
      </c>
      <c r="BD13" s="13"/>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row>
    <row r="14" spans="1:85" ht="15">
      <c r="A14" s="9" t="s">
        <v>11</v>
      </c>
      <c r="B14" s="12"/>
      <c r="C14" s="320">
        <v>28.857152866493593</v>
      </c>
      <c r="D14" s="5">
        <f t="shared" si="0"/>
        <v>3.7445714499941187E-3</v>
      </c>
      <c r="E14" s="79">
        <v>34.092225140277634</v>
      </c>
      <c r="F14" s="5">
        <f t="shared" si="1"/>
        <v>4.7239701733053155E-3</v>
      </c>
      <c r="G14" s="115">
        <v>8.3880081604308874</v>
      </c>
      <c r="H14" s="5">
        <f t="shared" si="2"/>
        <v>9.9527739475783572E-4</v>
      </c>
      <c r="I14" s="79">
        <v>22.53</v>
      </c>
      <c r="J14" s="5">
        <f t="shared" si="3"/>
        <v>2.5231315052108884E-3</v>
      </c>
      <c r="K14" s="79">
        <v>27.54</v>
      </c>
      <c r="L14" s="5">
        <f t="shared" si="4"/>
        <v>3.8520283992681988E-3</v>
      </c>
      <c r="M14" s="79">
        <v>28.5</v>
      </c>
      <c r="N14" s="5">
        <f t="shared" si="4"/>
        <v>3.643480917748099E-3</v>
      </c>
      <c r="O14" s="79">
        <v>31.13</v>
      </c>
      <c r="P14" s="5">
        <f t="shared" si="4"/>
        <v>3.7943841164862508E-3</v>
      </c>
      <c r="Q14" s="79">
        <v>33.26</v>
      </c>
      <c r="R14" s="5">
        <f t="shared" si="4"/>
        <v>4.2052878396882567E-3</v>
      </c>
      <c r="S14" s="79">
        <v>29.38</v>
      </c>
      <c r="T14" s="5">
        <f t="shared" si="5"/>
        <v>3.4832093423041582E-3</v>
      </c>
      <c r="U14" s="79">
        <v>33.08</v>
      </c>
      <c r="V14" s="5">
        <f t="shared" si="6"/>
        <v>3.910304147901225E-3</v>
      </c>
      <c r="W14" s="79">
        <v>35.93</v>
      </c>
      <c r="X14" s="5">
        <f t="shared" si="7"/>
        <v>4.6756640340843286E-3</v>
      </c>
      <c r="Y14" s="79">
        <v>34.979999999999997</v>
      </c>
      <c r="Z14" s="5">
        <f t="shared" si="8"/>
        <v>4.3425796263742815E-3</v>
      </c>
      <c r="AA14" s="115">
        <v>39.479999999999997</v>
      </c>
      <c r="AB14" s="5">
        <f t="shared" si="9"/>
        <v>4.8984635847373397E-3</v>
      </c>
      <c r="AC14" s="79">
        <v>32.01</v>
      </c>
      <c r="AD14" s="5">
        <f t="shared" si="10"/>
        <v>4.1302779671441043E-3</v>
      </c>
      <c r="AE14" s="115">
        <v>34.69</v>
      </c>
      <c r="AF14" s="112">
        <f t="shared" si="11"/>
        <v>3.8708253374148786E-3</v>
      </c>
      <c r="AG14" s="331">
        <v>32.979999999999997</v>
      </c>
      <c r="AH14" s="112">
        <f t="shared" si="12"/>
        <v>3.8922460145575854E-3</v>
      </c>
      <c r="AI14" s="335">
        <v>16.008222820837805</v>
      </c>
      <c r="AJ14" s="112">
        <f t="shared" si="13"/>
        <v>2.3112015543022644E-3</v>
      </c>
      <c r="AK14" s="115">
        <v>33.038070664960429</v>
      </c>
      <c r="AL14" s="112">
        <f t="shared" si="14"/>
        <v>4.0670333148607671E-3</v>
      </c>
      <c r="AM14" s="79">
        <v>35.159999999999997</v>
      </c>
      <c r="AN14" s="112">
        <f t="shared" si="15"/>
        <v>4.5843628374546098E-3</v>
      </c>
      <c r="AO14" s="79">
        <v>28.33</v>
      </c>
      <c r="AP14" s="112">
        <f t="shared" si="16"/>
        <v>3.9488448269853985E-3</v>
      </c>
      <c r="AQ14" s="79">
        <v>18.329999999999998</v>
      </c>
      <c r="AR14" s="112">
        <f t="shared" si="17"/>
        <v>2.3516220162111811E-3</v>
      </c>
      <c r="AS14" s="79">
        <v>2.88</v>
      </c>
      <c r="AT14" s="112">
        <f t="shared" si="18"/>
        <v>3.6950505567594406E-4</v>
      </c>
      <c r="AU14" s="79">
        <v>6.48</v>
      </c>
      <c r="AV14" s="112">
        <f t="shared" si="19"/>
        <v>8.6999017233323846E-4</v>
      </c>
      <c r="AW14" s="79">
        <v>5.32</v>
      </c>
      <c r="AX14" s="112">
        <f t="shared" si="20"/>
        <v>7.0810312217574009E-4</v>
      </c>
      <c r="AY14" s="16">
        <f t="shared" si="22"/>
        <v>632.37367965300052</v>
      </c>
      <c r="AZ14" s="15">
        <f t="shared" si="21"/>
        <v>3.3337539975284631E-3</v>
      </c>
      <c r="BD14" s="13"/>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row>
    <row r="15" spans="1:85" ht="15">
      <c r="A15" s="9" t="s">
        <v>9</v>
      </c>
      <c r="B15" s="12"/>
      <c r="C15" s="320">
        <v>21.196721539123793</v>
      </c>
      <c r="D15" s="5">
        <f t="shared" si="0"/>
        <v>2.7505360170524281E-3</v>
      </c>
      <c r="E15" s="79">
        <v>20.450273290076346</v>
      </c>
      <c r="F15" s="5">
        <f t="shared" si="1"/>
        <v>2.8336807193065573E-3</v>
      </c>
      <c r="G15" s="115">
        <v>19.294114007988167</v>
      </c>
      <c r="H15" s="5">
        <f t="shared" si="2"/>
        <v>2.2893391561799197E-3</v>
      </c>
      <c r="I15" s="79">
        <v>18.29</v>
      </c>
      <c r="J15" s="5">
        <f t="shared" si="3"/>
        <v>2.048294506449496E-3</v>
      </c>
      <c r="K15" s="79">
        <v>17.170000000000002</v>
      </c>
      <c r="L15" s="5">
        <f t="shared" si="4"/>
        <v>2.401573261272149E-3</v>
      </c>
      <c r="M15" s="79">
        <v>25.85</v>
      </c>
      <c r="N15" s="5">
        <f t="shared" si="4"/>
        <v>3.3047011131153809E-3</v>
      </c>
      <c r="O15" s="79">
        <v>24.1</v>
      </c>
      <c r="P15" s="5">
        <f t="shared" si="4"/>
        <v>2.9375090654455076E-3</v>
      </c>
      <c r="Q15" s="79">
        <v>28.62</v>
      </c>
      <c r="R15" s="5">
        <f t="shared" si="4"/>
        <v>3.6186211055886327E-3</v>
      </c>
      <c r="S15" s="79">
        <v>35.42</v>
      </c>
      <c r="T15" s="5">
        <f t="shared" si="5"/>
        <v>4.1992945849017461E-3</v>
      </c>
      <c r="U15" s="79">
        <v>35.020000000000003</v>
      </c>
      <c r="V15" s="5">
        <f t="shared" si="6"/>
        <v>4.1396267007104267E-3</v>
      </c>
      <c r="W15" s="79">
        <v>44.4</v>
      </c>
      <c r="X15" s="5">
        <f t="shared" si="7"/>
        <v>5.7778870891551396E-3</v>
      </c>
      <c r="Y15" s="79">
        <v>41.19</v>
      </c>
      <c r="Z15" s="5">
        <f t="shared" si="8"/>
        <v>5.1135178619312934E-3</v>
      </c>
      <c r="AA15" s="115">
        <v>19.87</v>
      </c>
      <c r="AB15" s="5">
        <f t="shared" si="9"/>
        <v>2.4653614850235804E-3</v>
      </c>
      <c r="AC15" s="79">
        <v>19.53</v>
      </c>
      <c r="AD15" s="5">
        <f t="shared" si="10"/>
        <v>2.5199727803287839E-3</v>
      </c>
      <c r="AE15" s="115">
        <v>6.03</v>
      </c>
      <c r="AF15" s="112">
        <f t="shared" si="11"/>
        <v>6.7284741379682099E-4</v>
      </c>
      <c r="AG15" s="331">
        <v>21.38</v>
      </c>
      <c r="AH15" s="112">
        <f t="shared" si="12"/>
        <v>2.5232328620752331E-3</v>
      </c>
      <c r="AI15" s="335">
        <v>3.0397365110045991</v>
      </c>
      <c r="AJ15" s="112">
        <f t="shared" si="13"/>
        <v>4.3886469019897666E-4</v>
      </c>
      <c r="AK15" s="115">
        <v>22.281799948750912</v>
      </c>
      <c r="AL15" s="112">
        <f t="shared" si="14"/>
        <v>2.7429211477153132E-3</v>
      </c>
      <c r="AM15" s="79">
        <v>22.08</v>
      </c>
      <c r="AN15" s="112">
        <f t="shared" si="15"/>
        <v>2.8789172767633045E-3</v>
      </c>
      <c r="AO15" s="79">
        <v>22.06</v>
      </c>
      <c r="AP15" s="112">
        <f t="shared" si="16"/>
        <v>3.0748858765724633E-3</v>
      </c>
      <c r="AQ15" s="79">
        <v>14.61</v>
      </c>
      <c r="AR15" s="112">
        <f t="shared" si="17"/>
        <v>1.874369757602038E-3</v>
      </c>
      <c r="AS15" s="79">
        <v>28.57</v>
      </c>
      <c r="AT15" s="112">
        <f t="shared" si="18"/>
        <v>3.6655414724519868E-3</v>
      </c>
      <c r="AU15" s="79">
        <v>14.46</v>
      </c>
      <c r="AV15" s="112">
        <f t="shared" si="19"/>
        <v>1.9413669586325042E-3</v>
      </c>
      <c r="AW15" s="79">
        <v>9.51</v>
      </c>
      <c r="AX15" s="112">
        <f t="shared" si="20"/>
        <v>1.2658008819344526E-3</v>
      </c>
      <c r="AY15" s="16">
        <f t="shared" si="22"/>
        <v>534.42264529694387</v>
      </c>
      <c r="AZ15" s="15">
        <f t="shared" si="21"/>
        <v>2.8173747381548993E-3</v>
      </c>
      <c r="BD15" s="13"/>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row>
    <row r="16" spans="1:85" ht="16.5">
      <c r="A16" s="9" t="s">
        <v>5</v>
      </c>
      <c r="B16" s="12"/>
      <c r="C16" s="321">
        <v>1257.9302691287633</v>
      </c>
      <c r="D16" s="85">
        <f t="shared" si="0"/>
        <v>0.16323196517880673</v>
      </c>
      <c r="E16" s="86">
        <v>1299.9070509731087</v>
      </c>
      <c r="F16" s="85">
        <f t="shared" si="1"/>
        <v>0.18012089594032962</v>
      </c>
      <c r="G16" s="323">
        <v>1363.01387644851</v>
      </c>
      <c r="H16" s="85">
        <f t="shared" si="2"/>
        <v>0.1617281330709584</v>
      </c>
      <c r="I16" s="86">
        <f>1636.57+0.25</f>
        <v>1636.82</v>
      </c>
      <c r="J16" s="85">
        <f t="shared" si="3"/>
        <v>0.18330723969637311</v>
      </c>
      <c r="K16" s="86">
        <f>0.17+1317.91</f>
        <v>1318.0800000000002</v>
      </c>
      <c r="L16" s="85">
        <f t="shared" si="4"/>
        <v>0.18436026116584706</v>
      </c>
      <c r="M16" s="86">
        <f>0.19+1427.44</f>
        <v>1427.63</v>
      </c>
      <c r="N16" s="88">
        <f t="shared" si="4"/>
        <v>0.18251026886332347</v>
      </c>
      <c r="O16" s="86">
        <v>1590.41</v>
      </c>
      <c r="P16" s="85">
        <f t="shared" si="4"/>
        <v>0.19385243953424025</v>
      </c>
      <c r="Q16" s="86">
        <f>0.16+1510.46</f>
        <v>1510.6200000000001</v>
      </c>
      <c r="R16" s="85">
        <f t="shared" si="4"/>
        <v>0.19099795298827046</v>
      </c>
      <c r="S16" s="86">
        <f>0.19+1656.2</f>
        <v>1656.39</v>
      </c>
      <c r="T16" s="88">
        <f t="shared" si="5"/>
        <v>0.19637689320963872</v>
      </c>
      <c r="U16" s="86">
        <v>1409.85</v>
      </c>
      <c r="V16" s="88">
        <f t="shared" si="6"/>
        <v>0.16665484591652183</v>
      </c>
      <c r="W16" s="86">
        <f>0.19+1482.53</f>
        <v>1482.72</v>
      </c>
      <c r="X16" s="5">
        <f t="shared" si="7"/>
        <v>0.19295019695567814</v>
      </c>
      <c r="Y16" s="86">
        <f>0.2+1327.91</f>
        <v>1328.1100000000001</v>
      </c>
      <c r="Z16" s="5">
        <f t="shared" si="8"/>
        <v>0.16487774235517288</v>
      </c>
      <c r="AA16" s="323">
        <v>1335.98</v>
      </c>
      <c r="AB16" s="5">
        <f t="shared" si="9"/>
        <v>0.16576112917774549</v>
      </c>
      <c r="AC16" s="86">
        <v>1335.2635756656186</v>
      </c>
      <c r="AD16" s="5">
        <f t="shared" si="10"/>
        <v>0.17229021327403185</v>
      </c>
      <c r="AE16" s="323">
        <v>1449.4674206752341</v>
      </c>
      <c r="AF16" s="112">
        <f t="shared" si="11"/>
        <v>0.16173638563583415</v>
      </c>
      <c r="AG16" s="332">
        <f>1464.95419050128+0.22</f>
        <v>1465.17419050128</v>
      </c>
      <c r="AH16" s="112">
        <f t="shared" si="12"/>
        <v>0.17291747736844282</v>
      </c>
      <c r="AI16" s="86">
        <f>0.21+1357.8</f>
        <v>1358.01</v>
      </c>
      <c r="AJ16" s="112">
        <f t="shared" si="13"/>
        <v>0.19606391402001702</v>
      </c>
      <c r="AK16" s="86">
        <f>0.22+1235.92</f>
        <v>1236.1400000000001</v>
      </c>
      <c r="AL16" s="112">
        <f t="shared" si="14"/>
        <v>0.15217058564996597</v>
      </c>
      <c r="AM16" s="86">
        <f>0.24+1160.05</f>
        <v>1160.29</v>
      </c>
      <c r="AN16" s="112">
        <f t="shared" si="15"/>
        <v>0.15128527749346443</v>
      </c>
      <c r="AO16" s="86">
        <f>0.23+958.03</f>
        <v>958.26</v>
      </c>
      <c r="AP16" s="112">
        <f t="shared" si="16"/>
        <v>0.13356936265114819</v>
      </c>
      <c r="AQ16" s="86">
        <f>0.27+1046.25</f>
        <v>1046.52</v>
      </c>
      <c r="AR16" s="112">
        <f t="shared" si="17"/>
        <v>0.13426183701065605</v>
      </c>
      <c r="AS16" s="86">
        <f>0.26+973.14</f>
        <v>973.4</v>
      </c>
      <c r="AT16" s="88">
        <f t="shared" si="18"/>
        <v>0.12488757680380692</v>
      </c>
      <c r="AU16" s="86">
        <f>801.9+0.22</f>
        <v>802.12</v>
      </c>
      <c r="AV16" s="88">
        <f t="shared" si="19"/>
        <v>0.10769082052961994</v>
      </c>
      <c r="AW16" s="86">
        <f>0.21+1418.24</f>
        <v>1418.45</v>
      </c>
      <c r="AX16" s="88">
        <f t="shared" si="20"/>
        <v>0.18879866046055988</v>
      </c>
      <c r="AY16" s="17">
        <f t="shared" si="22"/>
        <v>31820.556383392515</v>
      </c>
      <c r="AZ16" s="113">
        <f t="shared" si="21"/>
        <v>0.16775193285230419</v>
      </c>
      <c r="BD16" s="13"/>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row>
    <row r="17" spans="1:59" s="1" customFormat="1" ht="15">
      <c r="A17" s="18"/>
      <c r="B17" s="303"/>
      <c r="C17" s="58">
        <f t="shared" ref="C17:AZ17" si="23">SUM(C6:C16)</f>
        <v>7706.3966469484558</v>
      </c>
      <c r="D17" s="57">
        <f t="shared" si="23"/>
        <v>1</v>
      </c>
      <c r="E17" s="58">
        <f t="shared" si="23"/>
        <v>7216.8586780944133</v>
      </c>
      <c r="F17" s="57">
        <f t="shared" si="23"/>
        <v>1</v>
      </c>
      <c r="G17" s="58">
        <f t="shared" si="23"/>
        <v>8427.8093771754975</v>
      </c>
      <c r="H17" s="20">
        <f t="shared" si="23"/>
        <v>0.99999999999999978</v>
      </c>
      <c r="I17" s="58">
        <f t="shared" si="23"/>
        <v>8929.3799999999992</v>
      </c>
      <c r="J17" s="20">
        <f t="shared" si="23"/>
        <v>1.0000000000000002</v>
      </c>
      <c r="K17" s="58">
        <f t="shared" si="23"/>
        <v>7149.48</v>
      </c>
      <c r="L17" s="20">
        <f t="shared" si="23"/>
        <v>1.0000000000000002</v>
      </c>
      <c r="M17" s="58">
        <f t="shared" si="23"/>
        <v>7822.19</v>
      </c>
      <c r="N17" s="57">
        <f t="shared" si="23"/>
        <v>1.0000000000000002</v>
      </c>
      <c r="O17" s="58">
        <f t="shared" si="23"/>
        <v>8204.2300000000014</v>
      </c>
      <c r="P17" s="57">
        <f t="shared" si="23"/>
        <v>0.99999999999999978</v>
      </c>
      <c r="Q17" s="58">
        <f t="shared" si="23"/>
        <v>7909.09</v>
      </c>
      <c r="R17" s="57">
        <f t="shared" si="23"/>
        <v>0.99999999999999989</v>
      </c>
      <c r="S17" s="58">
        <f t="shared" si="23"/>
        <v>8434.75</v>
      </c>
      <c r="T17" s="57">
        <f t="shared" si="23"/>
        <v>1.0000000000000002</v>
      </c>
      <c r="U17" s="58">
        <f t="shared" si="23"/>
        <v>8459.7000000000007</v>
      </c>
      <c r="V17" s="57">
        <f t="shared" si="23"/>
        <v>0.99999999999999989</v>
      </c>
      <c r="W17" s="58">
        <f t="shared" si="23"/>
        <v>7684.47</v>
      </c>
      <c r="X17" s="57">
        <f t="shared" si="23"/>
        <v>1</v>
      </c>
      <c r="Y17" s="58">
        <f t="shared" si="23"/>
        <v>8055.119999999999</v>
      </c>
      <c r="Z17" s="57">
        <f t="shared" si="23"/>
        <v>1.0000000000000002</v>
      </c>
      <c r="AA17" s="58">
        <f t="shared" ref="AA17:AF17" si="24">SUM(AA6:AA16)</f>
        <v>8059.67</v>
      </c>
      <c r="AB17" s="57">
        <f t="shared" si="24"/>
        <v>1.0000000000000002</v>
      </c>
      <c r="AC17" s="58">
        <f t="shared" si="24"/>
        <v>7750.0837121946606</v>
      </c>
      <c r="AD17" s="57">
        <f t="shared" si="24"/>
        <v>1.0000000000000002</v>
      </c>
      <c r="AE17" s="58">
        <f t="shared" si="24"/>
        <v>8961.9130227063233</v>
      </c>
      <c r="AF17" s="57">
        <f t="shared" si="24"/>
        <v>1</v>
      </c>
      <c r="AG17" s="58">
        <f t="shared" ref="AG17:AN17" si="25">SUM(AG6:AG16)</f>
        <v>8473.2567973991972</v>
      </c>
      <c r="AH17" s="57">
        <f t="shared" si="25"/>
        <v>1</v>
      </c>
      <c r="AI17" s="58">
        <f t="shared" si="25"/>
        <v>6926.363817573053</v>
      </c>
      <c r="AJ17" s="57">
        <f t="shared" si="25"/>
        <v>1</v>
      </c>
      <c r="AK17" s="58">
        <f t="shared" si="25"/>
        <v>8123.383337982682</v>
      </c>
      <c r="AL17" s="57">
        <f t="shared" si="25"/>
        <v>1.0000000000000002</v>
      </c>
      <c r="AM17" s="58">
        <f t="shared" si="25"/>
        <v>7669.5499999999993</v>
      </c>
      <c r="AN17" s="57">
        <f t="shared" si="25"/>
        <v>1</v>
      </c>
      <c r="AO17" s="58">
        <f t="shared" ref="AO17:AT17" si="26">SUM(AO6:AO16)</f>
        <v>7174.2500000000009</v>
      </c>
      <c r="AP17" s="57">
        <f t="shared" si="26"/>
        <v>0.99999999999999978</v>
      </c>
      <c r="AQ17" s="58">
        <f t="shared" si="26"/>
        <v>7794.6200000000008</v>
      </c>
      <c r="AR17" s="57">
        <f t="shared" si="26"/>
        <v>0.99999999999999978</v>
      </c>
      <c r="AS17" s="58">
        <f t="shared" si="26"/>
        <v>7794.21</v>
      </c>
      <c r="AT17" s="57">
        <f t="shared" si="26"/>
        <v>1</v>
      </c>
      <c r="AU17" s="58">
        <f>SUM(AU6:AU16)</f>
        <v>7448.3600000000006</v>
      </c>
      <c r="AV17" s="57">
        <f>SUM(AV6:AV16)</f>
        <v>0.99999999999999989</v>
      </c>
      <c r="AW17" s="58">
        <f>SUM(AW6:AW16)</f>
        <v>7513.03</v>
      </c>
      <c r="AX17" s="57">
        <f>SUM(AX6:AX16)</f>
        <v>1</v>
      </c>
      <c r="AY17" s="19">
        <f t="shared" si="23"/>
        <v>189688.16539007431</v>
      </c>
      <c r="AZ17" s="20">
        <f t="shared" si="23"/>
        <v>0.99999999999999989</v>
      </c>
      <c r="BD17" s="13"/>
      <c r="BE17"/>
      <c r="BF17"/>
      <c r="BG17"/>
    </row>
    <row r="18" spans="1:59" ht="15">
      <c r="C18" s="59"/>
      <c r="E18" s="59"/>
      <c r="G18" s="59"/>
      <c r="I18" s="59"/>
      <c r="K18" s="59"/>
      <c r="M18" s="59"/>
      <c r="O18" s="59"/>
      <c r="Q18" s="59"/>
      <c r="S18" s="59"/>
      <c r="U18" s="59"/>
      <c r="Y18" s="59"/>
      <c r="BD18" s="13"/>
    </row>
    <row r="19" spans="1:59" ht="15">
      <c r="C19" s="59"/>
      <c r="D19" s="59"/>
      <c r="E19" s="59"/>
      <c r="F19" s="59"/>
      <c r="G19" s="59"/>
      <c r="H19" s="59"/>
      <c r="I19" s="59"/>
      <c r="J19" s="59"/>
      <c r="K19" s="59"/>
      <c r="L19" s="59"/>
      <c r="M19" s="59"/>
      <c r="N19" s="59"/>
      <c r="O19" s="59"/>
      <c r="P19" s="59"/>
      <c r="Q19" s="79"/>
      <c r="Y19" s="59"/>
      <c r="BD19" s="13"/>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39"/>
  <sheetViews>
    <sheetView topLeftCell="A16" workbookViewId="0">
      <selection activeCell="D19" sqref="D19"/>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39</v>
      </c>
      <c r="B1" s="21"/>
      <c r="C1" s="12"/>
      <c r="D1" s="12"/>
    </row>
    <row r="2" spans="1:5" ht="15.75">
      <c r="A2" s="23" t="s">
        <v>277</v>
      </c>
      <c r="B2" s="23"/>
      <c r="C2" s="24"/>
      <c r="D2" s="118"/>
    </row>
    <row r="3" spans="1:5" ht="15">
      <c r="A3" s="26"/>
      <c r="B3" s="26"/>
      <c r="C3" s="24"/>
      <c r="D3" s="121" t="s">
        <v>40</v>
      </c>
      <c r="E3" s="120"/>
    </row>
    <row r="4" spans="1:5" ht="15">
      <c r="A4" s="26"/>
      <c r="B4" s="26"/>
      <c r="C4" s="24"/>
      <c r="D4" s="121" t="s">
        <v>15</v>
      </c>
      <c r="E4" s="120"/>
    </row>
    <row r="5" spans="1:5" ht="17.25">
      <c r="A5" s="12"/>
      <c r="B5" s="12"/>
      <c r="C5" s="24"/>
      <c r="D5" s="122" t="s">
        <v>114</v>
      </c>
      <c r="E5" s="120"/>
    </row>
    <row r="6" spans="1:5" ht="15">
      <c r="A6" s="27" t="s">
        <v>18</v>
      </c>
      <c r="B6" s="27"/>
      <c r="C6" s="24"/>
      <c r="D6" s="123"/>
      <c r="E6" s="120"/>
    </row>
    <row r="7" spans="1:5" ht="17.25">
      <c r="A7" s="12" t="s">
        <v>19</v>
      </c>
      <c r="B7" s="12"/>
      <c r="C7" s="24"/>
      <c r="D7" s="124">
        <f>+'Customer Counts - Enspire'!I38</f>
        <v>102548.83333333333</v>
      </c>
      <c r="E7" s="120"/>
    </row>
    <row r="8" spans="1:5" ht="15">
      <c r="A8" s="12"/>
      <c r="B8" s="12"/>
      <c r="C8" s="24"/>
      <c r="D8" s="125"/>
      <c r="E8" s="120"/>
    </row>
    <row r="9" spans="1:5" ht="15">
      <c r="A9" s="12"/>
      <c r="B9" s="12"/>
      <c r="C9" s="24"/>
      <c r="D9" s="125"/>
      <c r="E9" s="120"/>
    </row>
    <row r="10" spans="1:5" ht="15">
      <c r="A10" s="27" t="s">
        <v>20</v>
      </c>
      <c r="B10" s="27"/>
      <c r="C10" s="24"/>
      <c r="D10" s="125"/>
      <c r="E10" s="120"/>
    </row>
    <row r="11" spans="1:5" ht="17.25">
      <c r="A11" s="212" t="s">
        <v>143</v>
      </c>
      <c r="B11" s="28"/>
      <c r="C11" s="24"/>
      <c r="D11" s="126">
        <f>SUM('2020-2021 Recy. Tons &amp; Revenue'!D47:D58)*2</f>
        <v>59435.759999999995</v>
      </c>
      <c r="E11" s="120"/>
    </row>
    <row r="12" spans="1:5" ht="15">
      <c r="A12" s="29"/>
      <c r="B12" s="29"/>
      <c r="C12" s="24"/>
      <c r="D12" s="125"/>
      <c r="E12" s="120"/>
    </row>
    <row r="13" spans="1:5" ht="15">
      <c r="A13" s="29"/>
      <c r="B13" s="29"/>
      <c r="C13" s="24"/>
      <c r="D13" s="125"/>
      <c r="E13" s="120"/>
    </row>
    <row r="14" spans="1:5" ht="21">
      <c r="A14" s="30" t="s">
        <v>21</v>
      </c>
      <c r="B14" s="30"/>
      <c r="C14" s="24"/>
      <c r="D14" s="123"/>
      <c r="E14" s="120"/>
    </row>
    <row r="15" spans="1:5" ht="32.25">
      <c r="A15" s="31" t="s">
        <v>22</v>
      </c>
      <c r="B15" s="31"/>
      <c r="C15" s="32"/>
      <c r="D15" s="127">
        <f>ROUND(SUM('2020-2021 Recy. Tons &amp; Revenue'!H$47:H$58)*2,2)</f>
        <v>4003999.68</v>
      </c>
      <c r="E15" s="120"/>
    </row>
    <row r="16" spans="1:5" ht="15">
      <c r="A16" s="31"/>
      <c r="B16" s="31"/>
      <c r="C16" s="32"/>
      <c r="D16" s="128"/>
      <c r="E16" s="120"/>
    </row>
    <row r="17" spans="1:13" ht="21">
      <c r="A17" s="30" t="s">
        <v>23</v>
      </c>
      <c r="B17" s="31"/>
      <c r="C17" s="32"/>
      <c r="D17" s="128"/>
      <c r="E17" s="120"/>
    </row>
    <row r="18" spans="1:13" ht="15">
      <c r="A18" s="31" t="s">
        <v>24</v>
      </c>
      <c r="B18" s="31"/>
      <c r="C18" s="56">
        <v>0.5</v>
      </c>
      <c r="D18" s="129">
        <f>ROUND(+D15*$C18,-2)</f>
        <v>2002000</v>
      </c>
      <c r="E18" s="120"/>
    </row>
    <row r="19" spans="1:13" ht="22.5" customHeight="1">
      <c r="A19" s="34" t="s">
        <v>337</v>
      </c>
      <c r="B19" s="31"/>
      <c r="C19" s="56"/>
      <c r="D19" s="129">
        <f>-ROUND('SC 2020-2021 Budget vs. Actual'!F38,-2)</f>
        <v>-65800</v>
      </c>
      <c r="E19" s="120"/>
    </row>
    <row r="20" spans="1:13" ht="17.25">
      <c r="A20" s="31" t="s">
        <v>105</v>
      </c>
      <c r="B20" s="31"/>
      <c r="C20" s="56"/>
      <c r="D20" s="131">
        <f>ROUND(-D32*0.05,-2)</f>
        <v>-92200</v>
      </c>
      <c r="E20" s="120"/>
      <c r="F20" s="341"/>
      <c r="G20" s="341"/>
      <c r="H20" s="341"/>
      <c r="I20" s="341"/>
      <c r="J20" s="341"/>
      <c r="K20" s="341"/>
      <c r="L20" s="341"/>
      <c r="M20" s="341"/>
    </row>
    <row r="21" spans="1:13" ht="17.25">
      <c r="A21" s="294" t="s">
        <v>144</v>
      </c>
      <c r="B21" s="31"/>
      <c r="C21" s="56"/>
      <c r="D21" s="132">
        <f>SUM(D18:D20)</f>
        <v>1844000</v>
      </c>
      <c r="E21" s="120"/>
    </row>
    <row r="22" spans="1:13" ht="15">
      <c r="A22" s="12"/>
      <c r="B22" s="12"/>
      <c r="C22" s="24"/>
      <c r="D22" s="143"/>
      <c r="E22" s="120"/>
    </row>
    <row r="23" spans="1:13" ht="18.75">
      <c r="A23" s="33" t="s">
        <v>25</v>
      </c>
      <c r="B23" s="33"/>
      <c r="C23" s="24"/>
      <c r="D23" s="123"/>
      <c r="E23" s="120"/>
    </row>
    <row r="24" spans="1:13" ht="17.25">
      <c r="A24" s="34"/>
      <c r="B24" s="34"/>
      <c r="C24" s="35"/>
      <c r="D24" s="144"/>
      <c r="E24" s="120"/>
    </row>
    <row r="25" spans="1:13" ht="17.25">
      <c r="A25" s="36" t="s">
        <v>27</v>
      </c>
      <c r="B25" s="36"/>
      <c r="C25" s="37"/>
      <c r="D25" s="144"/>
      <c r="E25" s="120"/>
    </row>
    <row r="26" spans="1:13" ht="15">
      <c r="A26" s="41" t="s">
        <v>341</v>
      </c>
      <c r="B26" s="544"/>
      <c r="C26" s="545"/>
      <c r="D26" s="295">
        <v>197000</v>
      </c>
      <c r="E26" s="120"/>
      <c r="F26" s="11"/>
      <c r="G26" s="240"/>
    </row>
    <row r="27" spans="1:13" ht="15">
      <c r="A27" s="41" t="s">
        <v>342</v>
      </c>
      <c r="B27" s="544"/>
      <c r="C27" s="546"/>
      <c r="D27" s="295">
        <v>420000</v>
      </c>
      <c r="E27" s="120"/>
    </row>
    <row r="28" spans="1:13" ht="15">
      <c r="A28" s="41" t="s">
        <v>147</v>
      </c>
      <c r="B28" s="544"/>
      <c r="C28" s="547"/>
      <c r="D28" s="295">
        <v>315000</v>
      </c>
      <c r="E28" s="120"/>
    </row>
    <row r="29" spans="1:13" ht="30">
      <c r="A29" s="41" t="s">
        <v>148</v>
      </c>
      <c r="B29" s="544"/>
      <c r="C29" s="548"/>
      <c r="D29" s="295">
        <v>105000</v>
      </c>
      <c r="E29" s="120"/>
    </row>
    <row r="30" spans="1:13" ht="15">
      <c r="A30" s="41" t="s">
        <v>343</v>
      </c>
      <c r="B30" s="544"/>
      <c r="C30" s="549"/>
      <c r="D30" s="295">
        <v>360000</v>
      </c>
      <c r="E30" s="120"/>
    </row>
    <row r="31" spans="1:13" ht="17.25">
      <c r="A31" s="41" t="s">
        <v>150</v>
      </c>
      <c r="B31" s="544"/>
      <c r="C31" s="549"/>
      <c r="D31" s="296">
        <v>447000</v>
      </c>
      <c r="E31" s="120"/>
    </row>
    <row r="32" spans="1:13" ht="17.25">
      <c r="A32" s="34" t="s">
        <v>28</v>
      </c>
      <c r="B32" s="34"/>
      <c r="C32" s="32"/>
      <c r="D32" s="139">
        <f>SUM(D26:D31)</f>
        <v>1844000</v>
      </c>
      <c r="E32" s="120"/>
    </row>
    <row r="33" spans="1:5" ht="15">
      <c r="A33" s="34"/>
      <c r="B33" s="34"/>
      <c r="C33" s="42"/>
      <c r="D33" s="145"/>
      <c r="E33" s="120"/>
    </row>
    <row r="34" spans="1:5" ht="18" hidden="1" customHeight="1">
      <c r="A34" s="210" t="s">
        <v>119</v>
      </c>
      <c r="B34" s="26"/>
      <c r="C34" s="43"/>
      <c r="D34" s="238" t="e">
        <f>+#REF!-D21</f>
        <v>#REF!</v>
      </c>
      <c r="E34" s="238"/>
    </row>
    <row r="35" spans="1:5" ht="15">
      <c r="A35" s="26"/>
      <c r="B35" s="26"/>
      <c r="C35" s="43"/>
      <c r="D35" s="146"/>
      <c r="E35" s="134"/>
    </row>
    <row r="36" spans="1:5" ht="15">
      <c r="A36" s="34" t="s">
        <v>30</v>
      </c>
      <c r="B36" s="34"/>
      <c r="C36" s="43"/>
      <c r="D36" s="141">
        <f>+D11*2000/D7/24</f>
        <v>48.298745475732694</v>
      </c>
      <c r="E36" s="120"/>
    </row>
    <row r="37" spans="1:5" ht="15">
      <c r="C37" s="43"/>
      <c r="D37" s="141"/>
      <c r="E37" s="120"/>
    </row>
    <row r="38" spans="1:5" ht="15">
      <c r="A38" s="34" t="s">
        <v>31</v>
      </c>
      <c r="B38" s="34"/>
      <c r="C38" s="43"/>
      <c r="D38" s="142">
        <f>+D15/D11</f>
        <v>67.366845818073173</v>
      </c>
      <c r="E38" s="120"/>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G42"/>
  <sheetViews>
    <sheetView topLeftCell="A28" workbookViewId="0">
      <selection activeCell="D20" sqref="D20"/>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7" max="7" width="12.28515625" bestFit="1" customWidth="1"/>
  </cols>
  <sheetData>
    <row r="1" spans="1:7" ht="23.25">
      <c r="A1" s="21" t="s">
        <v>12</v>
      </c>
      <c r="B1" s="21"/>
      <c r="C1" s="12"/>
      <c r="D1" s="12"/>
      <c r="E1" s="22"/>
    </row>
    <row r="2" spans="1:7" ht="15.75">
      <c r="A2" s="23" t="s">
        <v>277</v>
      </c>
      <c r="B2" s="23"/>
      <c r="C2" s="24"/>
      <c r="D2" s="25"/>
      <c r="E2" s="22"/>
    </row>
    <row r="3" spans="1:7" ht="15.75">
      <c r="A3" s="23"/>
      <c r="B3" s="23"/>
      <c r="C3" s="24"/>
      <c r="D3" s="118"/>
      <c r="E3" s="119"/>
    </row>
    <row r="4" spans="1:7" ht="15">
      <c r="A4" s="208"/>
      <c r="B4" s="208"/>
      <c r="C4" s="209"/>
      <c r="D4" s="585" t="s">
        <v>114</v>
      </c>
      <c r="E4" s="585"/>
    </row>
    <row r="5" spans="1:7" ht="15">
      <c r="A5" s="210"/>
      <c r="B5" s="210"/>
      <c r="C5" s="209"/>
      <c r="D5" s="121" t="s">
        <v>13</v>
      </c>
      <c r="E5" s="119"/>
    </row>
    <row r="6" spans="1:7" ht="17.25">
      <c r="A6" s="229"/>
      <c r="B6" s="229"/>
      <c r="C6" s="209"/>
      <c r="D6" s="122" t="s">
        <v>15</v>
      </c>
      <c r="E6" s="119"/>
    </row>
    <row r="7" spans="1:7" ht="15">
      <c r="A7" s="211" t="s">
        <v>18</v>
      </c>
      <c r="B7" s="211"/>
      <c r="C7" s="209"/>
      <c r="D7" s="123"/>
      <c r="E7" s="119"/>
    </row>
    <row r="8" spans="1:7" ht="17.25">
      <c r="A8" s="229" t="s">
        <v>112</v>
      </c>
      <c r="B8" s="229"/>
      <c r="C8" s="209"/>
      <c r="D8" s="124">
        <f>+'Customer Counts - Enspire'!I36+'Customer Counts - Enspire'!I37</f>
        <v>40184</v>
      </c>
      <c r="E8" s="119"/>
    </row>
    <row r="9" spans="1:7" ht="15">
      <c r="A9" s="229"/>
      <c r="B9" s="229"/>
      <c r="C9" s="209"/>
      <c r="D9" s="125"/>
      <c r="E9" s="119"/>
    </row>
    <row r="10" spans="1:7" ht="15">
      <c r="A10" s="229"/>
      <c r="B10" s="229"/>
      <c r="C10" s="209"/>
      <c r="D10" s="125"/>
      <c r="E10" s="119"/>
    </row>
    <row r="11" spans="1:7" ht="15">
      <c r="A11" s="211" t="s">
        <v>20</v>
      </c>
      <c r="B11" s="211"/>
      <c r="C11" s="209"/>
      <c r="D11" s="125"/>
      <c r="E11" s="119"/>
    </row>
    <row r="12" spans="1:7" ht="17.25">
      <c r="A12" s="212" t="s">
        <v>143</v>
      </c>
      <c r="B12" s="212"/>
      <c r="C12" s="209"/>
      <c r="D12" s="126">
        <f>SUM('2020-2021 Recy. Tons &amp; Revenue'!C47:C58)*2</f>
        <v>24583.519999999997</v>
      </c>
      <c r="E12" s="119"/>
    </row>
    <row r="13" spans="1:7" ht="15">
      <c r="A13" s="230"/>
      <c r="B13" s="230"/>
      <c r="C13" s="209"/>
      <c r="D13" s="125"/>
      <c r="E13" s="119"/>
    </row>
    <row r="14" spans="1:7" ht="15">
      <c r="A14" s="230"/>
      <c r="B14" s="230"/>
      <c r="C14" s="209"/>
      <c r="D14" s="125"/>
      <c r="E14" s="119"/>
    </row>
    <row r="15" spans="1:7" ht="15">
      <c r="A15" s="211" t="s">
        <v>21</v>
      </c>
      <c r="B15" s="211"/>
      <c r="C15" s="209"/>
      <c r="D15" s="123"/>
      <c r="E15" s="119"/>
    </row>
    <row r="16" spans="1:7" ht="32.25">
      <c r="A16" s="213" t="s">
        <v>22</v>
      </c>
      <c r="B16" s="213"/>
      <c r="C16" s="214"/>
      <c r="D16" s="127">
        <f>ROUND(SUM('2020-2021 Recy. Tons &amp; Revenue'!G$47:G$58)*2,-3)</f>
        <v>1664000</v>
      </c>
      <c r="E16" s="119"/>
      <c r="G16" s="289"/>
    </row>
    <row r="17" spans="1:7" ht="15">
      <c r="A17" s="213"/>
      <c r="B17" s="213"/>
      <c r="C17" s="214"/>
      <c r="D17" s="128"/>
      <c r="E17" s="119"/>
    </row>
    <row r="18" spans="1:7" ht="15">
      <c r="A18" s="211" t="s">
        <v>23</v>
      </c>
      <c r="B18" s="213"/>
      <c r="C18" s="214"/>
      <c r="D18" s="128"/>
      <c r="E18" s="119"/>
    </row>
    <row r="19" spans="1:7" ht="15">
      <c r="A19" s="213" t="s">
        <v>24</v>
      </c>
      <c r="B19" s="213"/>
      <c r="C19" s="215">
        <v>0.5</v>
      </c>
      <c r="D19" s="129">
        <f>ROUND(+D16*$C19,-2)</f>
        <v>832000</v>
      </c>
      <c r="E19" s="130"/>
    </row>
    <row r="20" spans="1:7" ht="30">
      <c r="A20" s="34" t="s">
        <v>336</v>
      </c>
      <c r="B20" s="213"/>
      <c r="C20" s="215"/>
      <c r="D20" s="129">
        <f>-'KC 2020-2021 Budget vs. Actual'!F34</f>
        <v>62900</v>
      </c>
      <c r="E20" s="130"/>
    </row>
    <row r="21" spans="1:7" ht="17.25">
      <c r="A21" s="213" t="s">
        <v>105</v>
      </c>
      <c r="B21" s="213"/>
      <c r="C21" s="215"/>
      <c r="D21" s="131">
        <f>ROUND(-D30*0.05,-2)</f>
        <v>-42600</v>
      </c>
      <c r="E21" s="130"/>
    </row>
    <row r="22" spans="1:7" ht="17.25">
      <c r="A22" s="294" t="s">
        <v>144</v>
      </c>
      <c r="B22" s="213"/>
      <c r="C22" s="215"/>
      <c r="D22" s="132">
        <f>SUM(D19:D21)</f>
        <v>852300</v>
      </c>
      <c r="E22" s="132"/>
    </row>
    <row r="23" spans="1:7" ht="17.25">
      <c r="A23" s="216"/>
      <c r="B23" s="216"/>
      <c r="C23" s="209"/>
      <c r="D23" s="133"/>
      <c r="E23" s="119"/>
    </row>
    <row r="24" spans="1:7" ht="15">
      <c r="A24" s="211" t="s">
        <v>25</v>
      </c>
      <c r="B24" s="211"/>
      <c r="C24" s="209"/>
      <c r="D24" s="123"/>
      <c r="E24" s="119"/>
    </row>
    <row r="25" spans="1:7" ht="15">
      <c r="A25" s="217"/>
      <c r="B25" s="217"/>
      <c r="C25" s="218"/>
      <c r="D25" s="121"/>
      <c r="E25" s="119"/>
    </row>
    <row r="26" spans="1:7" ht="15">
      <c r="A26" s="219" t="s">
        <v>27</v>
      </c>
      <c r="B26" s="219"/>
      <c r="C26" s="231"/>
      <c r="D26" s="136"/>
      <c r="E26" s="119"/>
    </row>
    <row r="27" spans="1:7" ht="15">
      <c r="A27" s="41" t="s">
        <v>338</v>
      </c>
      <c r="B27" s="41"/>
      <c r="C27" s="40"/>
      <c r="D27" s="436">
        <v>647000</v>
      </c>
      <c r="E27" s="137"/>
      <c r="F27" s="11"/>
      <c r="G27" s="240"/>
    </row>
    <row r="28" spans="1:7" ht="15">
      <c r="A28" s="41" t="s">
        <v>339</v>
      </c>
      <c r="B28" s="41"/>
      <c r="C28" s="24"/>
      <c r="D28" s="436">
        <v>200000</v>
      </c>
      <c r="E28" s="119"/>
    </row>
    <row r="29" spans="1:7" ht="17.25">
      <c r="A29" s="41" t="s">
        <v>340</v>
      </c>
      <c r="B29" s="41"/>
      <c r="C29" s="24"/>
      <c r="D29" s="437">
        <v>5300</v>
      </c>
      <c r="E29" s="119"/>
    </row>
    <row r="30" spans="1:7" ht="15">
      <c r="A30" s="217" t="s">
        <v>28</v>
      </c>
      <c r="B30" s="217"/>
      <c r="C30" s="221"/>
      <c r="D30" s="136">
        <f>SUM(D27:D29)</f>
        <v>852300</v>
      </c>
      <c r="E30" s="136"/>
    </row>
    <row r="31" spans="1:7" ht="15">
      <c r="A31" s="217"/>
      <c r="B31" s="217"/>
      <c r="C31" s="221"/>
      <c r="D31" s="120"/>
      <c r="E31" s="120"/>
    </row>
    <row r="32" spans="1:7" ht="17.25" hidden="1" customHeight="1">
      <c r="A32" s="210" t="s">
        <v>119</v>
      </c>
      <c r="B32" s="210"/>
      <c r="C32" s="222"/>
      <c r="D32" s="238" t="e">
        <f>+#REF!-D22</f>
        <v>#REF!</v>
      </c>
      <c r="E32" s="238"/>
    </row>
    <row r="33" spans="1:5" ht="15">
      <c r="A33" s="210"/>
      <c r="B33" s="210"/>
      <c r="C33" s="222"/>
      <c r="D33" s="140"/>
      <c r="E33" s="137"/>
    </row>
    <row r="34" spans="1:5" ht="15">
      <c r="A34" s="217" t="s">
        <v>30</v>
      </c>
      <c r="B34" s="217"/>
      <c r="C34" s="222"/>
      <c r="D34" s="141">
        <f>+D12*2000/D8/24</f>
        <v>50.981153361205116</v>
      </c>
      <c r="E34" s="119"/>
    </row>
    <row r="35" spans="1:5" ht="15">
      <c r="A35" s="120"/>
      <c r="B35" s="120"/>
      <c r="C35" s="222"/>
      <c r="D35" s="141"/>
      <c r="E35" s="119"/>
    </row>
    <row r="36" spans="1:5" ht="15">
      <c r="A36" s="217" t="s">
        <v>31</v>
      </c>
      <c r="B36" s="217"/>
      <c r="C36" s="222"/>
      <c r="D36" s="142">
        <f>+D16/D12</f>
        <v>67.687621626195124</v>
      </c>
      <c r="E36" s="119"/>
    </row>
    <row r="37" spans="1:5" ht="15">
      <c r="A37" s="210"/>
      <c r="B37" s="210"/>
      <c r="C37" s="222"/>
      <c r="D37" s="223"/>
      <c r="E37" s="119"/>
    </row>
    <row r="38" spans="1:5" ht="15">
      <c r="A38" s="220"/>
      <c r="B38" s="220"/>
      <c r="C38" s="214"/>
      <c r="D38" s="214"/>
      <c r="E38" s="119"/>
    </row>
    <row r="39" spans="1:5" ht="15">
      <c r="A39" s="120"/>
      <c r="B39" s="120"/>
      <c r="C39" s="120"/>
      <c r="D39" s="120"/>
      <c r="E39" s="120"/>
    </row>
    <row r="40" spans="1:5" ht="15">
      <c r="A40" s="120"/>
      <c r="B40" s="120"/>
      <c r="C40" s="120"/>
      <c r="D40" s="120"/>
      <c r="E40" s="120"/>
    </row>
    <row r="41" spans="1:5" ht="15">
      <c r="A41" s="120"/>
      <c r="B41" s="120"/>
      <c r="C41" s="120"/>
      <c r="D41" s="120"/>
      <c r="E41" s="120"/>
    </row>
    <row r="42" spans="1:5" ht="15">
      <c r="A42" s="120"/>
      <c r="B42" s="120"/>
      <c r="C42" s="120"/>
      <c r="D42" s="120"/>
      <c r="E42" s="120"/>
    </row>
  </sheetData>
  <mergeCells count="1">
    <mergeCell ref="D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CFE2-1C38-4662-A101-5CC8543FF374}">
  <dimension ref="A1:L13"/>
  <sheetViews>
    <sheetView workbookViewId="0">
      <selection activeCell="C11" sqref="C11"/>
    </sheetView>
  </sheetViews>
  <sheetFormatPr defaultRowHeight="12.75"/>
  <cols>
    <col min="1" max="1" width="22.42578125" bestFit="1" customWidth="1"/>
    <col min="2" max="2" width="8.5703125" bestFit="1" customWidth="1"/>
    <col min="3" max="3" width="10.7109375" customWidth="1"/>
    <col min="4" max="4" width="9.42578125" bestFit="1" customWidth="1"/>
    <col min="5" max="5" width="12.28515625" bestFit="1" customWidth="1"/>
    <col min="6" max="6" width="9.7109375" bestFit="1" customWidth="1"/>
    <col min="7" max="7" width="2.7109375" customWidth="1"/>
    <col min="8" max="8" width="12.28515625" bestFit="1" customWidth="1"/>
    <col min="9" max="9" width="10.140625" bestFit="1" customWidth="1"/>
    <col min="10" max="10" width="9.7109375" bestFit="1" customWidth="1"/>
    <col min="11" max="11" width="3.28515625" customWidth="1"/>
    <col min="12" max="12" width="11.7109375" bestFit="1" customWidth="1"/>
  </cols>
  <sheetData>
    <row r="1" spans="1:12">
      <c r="C1" s="580" t="s">
        <v>107</v>
      </c>
      <c r="D1" s="580"/>
      <c r="E1" s="580"/>
      <c r="F1" s="580"/>
      <c r="G1" s="503"/>
      <c r="H1" s="580" t="s">
        <v>111</v>
      </c>
      <c r="I1" s="580"/>
      <c r="J1" s="580"/>
      <c r="K1" s="494"/>
      <c r="L1" s="494"/>
    </row>
    <row r="2" spans="1:12">
      <c r="C2" s="577" t="s">
        <v>306</v>
      </c>
      <c r="D2" s="577"/>
      <c r="E2" s="502"/>
      <c r="F2" s="502"/>
      <c r="G2" s="493"/>
      <c r="H2" s="577"/>
      <c r="I2" s="577"/>
      <c r="J2" s="577"/>
      <c r="K2" s="493"/>
      <c r="L2" s="525"/>
    </row>
    <row r="3" spans="1:12" ht="15">
      <c r="C3" s="72" t="s">
        <v>78</v>
      </c>
      <c r="D3" s="73" t="s">
        <v>79</v>
      </c>
      <c r="E3" s="73" t="s">
        <v>16</v>
      </c>
      <c r="F3" s="73" t="s">
        <v>80</v>
      </c>
      <c r="G3" s="73"/>
      <c r="H3" s="73" t="s">
        <v>16</v>
      </c>
      <c r="I3" s="73" t="s">
        <v>81</v>
      </c>
      <c r="J3" s="73" t="s">
        <v>80</v>
      </c>
      <c r="K3" s="73"/>
      <c r="L3" s="525"/>
    </row>
    <row r="4" spans="1:12">
      <c r="A4" t="s">
        <v>304</v>
      </c>
      <c r="C4" s="288">
        <f>+'Customer Counts - Enspire'!B29</f>
        <v>7157</v>
      </c>
      <c r="D4" s="288">
        <f>+'Customer Counts - Enspire'!C29</f>
        <v>11441</v>
      </c>
      <c r="E4" s="288">
        <f>+'Customer Counts - Enspire'!F29</f>
        <v>21586</v>
      </c>
      <c r="F4" s="288">
        <f>SUM(C4:E4)</f>
        <v>40184</v>
      </c>
      <c r="G4" s="288"/>
      <c r="H4" s="288">
        <f>+'Customer Counts - Enspire'!G29</f>
        <v>67778</v>
      </c>
      <c r="I4" s="288">
        <f>+'Customer Counts - Enspire'!H29</f>
        <v>31343</v>
      </c>
      <c r="J4" s="288">
        <f>SUM(H4:I4)</f>
        <v>99121</v>
      </c>
      <c r="K4" s="288"/>
      <c r="L4" s="525"/>
    </row>
    <row r="5" spans="1:12">
      <c r="C5" s="288"/>
      <c r="D5" s="288"/>
      <c r="E5" s="288"/>
      <c r="F5" s="288"/>
      <c r="G5" s="288"/>
      <c r="H5" s="288"/>
      <c r="I5" s="288"/>
      <c r="J5" s="288"/>
      <c r="K5" s="288"/>
      <c r="L5" s="525"/>
    </row>
    <row r="6" spans="1:12">
      <c r="A6" t="s">
        <v>305</v>
      </c>
      <c r="C6" s="289">
        <f>+C4/F4*F6</f>
        <v>27116.59491339837</v>
      </c>
      <c r="D6" s="289">
        <f>+D4/F4*F6</f>
        <v>43347.905882938489</v>
      </c>
      <c r="E6" s="289">
        <f>+F6-C6-D6</f>
        <v>81785.499203663145</v>
      </c>
      <c r="F6" s="487">
        <f>+'KC 2020-2021 Budget vs. Actual'!F47</f>
        <v>152250</v>
      </c>
      <c r="G6" s="288"/>
      <c r="H6" s="289">
        <f>+H4/J4*J6</f>
        <v>111656.15379183019</v>
      </c>
      <c r="I6" s="289">
        <f>+J6-H6</f>
        <v>51633.846208169809</v>
      </c>
      <c r="J6" s="487">
        <f>+'SC 2020-2021 Budget vs. Actual'!F51</f>
        <v>163290</v>
      </c>
      <c r="K6" s="239"/>
      <c r="L6" s="525"/>
    </row>
    <row r="7" spans="1:12">
      <c r="C7" s="288"/>
      <c r="D7" s="288"/>
      <c r="E7" s="288"/>
      <c r="F7" s="288"/>
      <c r="G7" s="288"/>
      <c r="H7" s="288"/>
      <c r="I7" s="288"/>
      <c r="J7" s="288"/>
      <c r="K7" s="288"/>
      <c r="L7" s="525"/>
    </row>
    <row r="8" spans="1:12">
      <c r="A8" s="325" t="s">
        <v>307</v>
      </c>
      <c r="C8" s="239">
        <f>ROUND(+C6/C4/12,2)</f>
        <v>0.32</v>
      </c>
      <c r="D8" s="239">
        <f t="shared" ref="D8:E8" si="0">ROUND(+D6/D4/12,2)</f>
        <v>0.32</v>
      </c>
      <c r="E8" s="239">
        <f t="shared" si="0"/>
        <v>0.32</v>
      </c>
      <c r="F8" s="239">
        <f>ROUND(+F6/F4/12,2)</f>
        <v>0.32</v>
      </c>
      <c r="G8" s="288"/>
      <c r="H8" s="239">
        <f>ROUND(+H6/H4/12,2)</f>
        <v>0.14000000000000001</v>
      </c>
      <c r="I8" s="239">
        <f>ROUND(+I6/I4/12,2)</f>
        <v>0.14000000000000001</v>
      </c>
      <c r="J8" s="239">
        <f>ROUND(+J6/J4/12,2)</f>
        <v>0.14000000000000001</v>
      </c>
      <c r="K8" s="239"/>
      <c r="L8" s="525"/>
    </row>
    <row r="9" spans="1:12">
      <c r="C9" s="288"/>
      <c r="D9" s="288"/>
      <c r="E9" s="288"/>
      <c r="F9" s="288"/>
      <c r="G9" s="288"/>
      <c r="H9" s="288"/>
      <c r="I9" s="288"/>
      <c r="J9" s="288"/>
      <c r="K9" s="288"/>
      <c r="L9" s="525"/>
    </row>
    <row r="10" spans="1:12">
      <c r="C10" s="288"/>
      <c r="D10" s="288"/>
      <c r="E10" s="288"/>
      <c r="F10" s="288"/>
      <c r="G10" s="288"/>
      <c r="H10" s="288"/>
      <c r="I10" s="288"/>
      <c r="J10" s="288"/>
      <c r="K10" s="288"/>
      <c r="L10" s="288"/>
    </row>
    <row r="11" spans="1:12">
      <c r="A11" s="325" t="s">
        <v>308</v>
      </c>
      <c r="C11" s="239">
        <v>9.23</v>
      </c>
      <c r="D11" s="239">
        <v>9.23</v>
      </c>
      <c r="E11" s="239">
        <v>9.23</v>
      </c>
      <c r="F11" s="239">
        <v>9.23</v>
      </c>
      <c r="H11" s="239">
        <v>13.03</v>
      </c>
      <c r="I11" s="239">
        <v>13.03</v>
      </c>
      <c r="J11" s="239">
        <v>13.03</v>
      </c>
    </row>
    <row r="13" spans="1:12">
      <c r="A13" s="325" t="s">
        <v>309</v>
      </c>
      <c r="C13" s="504">
        <f>+C11+C8</f>
        <v>9.5500000000000007</v>
      </c>
      <c r="D13" s="504">
        <f t="shared" ref="D13:J13" si="1">+D11+D8</f>
        <v>9.5500000000000007</v>
      </c>
      <c r="E13" s="504">
        <f t="shared" si="1"/>
        <v>9.5500000000000007</v>
      </c>
      <c r="F13" s="504">
        <f t="shared" si="1"/>
        <v>9.5500000000000007</v>
      </c>
      <c r="G13" s="504"/>
      <c r="H13" s="504">
        <f t="shared" si="1"/>
        <v>13.17</v>
      </c>
      <c r="I13" s="504">
        <f t="shared" si="1"/>
        <v>13.17</v>
      </c>
      <c r="J13" s="504">
        <f t="shared" si="1"/>
        <v>13.17</v>
      </c>
    </row>
  </sheetData>
  <mergeCells count="4">
    <mergeCell ref="H2:J2"/>
    <mergeCell ref="C2:D2"/>
    <mergeCell ref="C1:F1"/>
    <mergeCell ref="H1:J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5BDD-08E3-4441-8207-6C52485A73D0}">
  <sheetPr>
    <tabColor rgb="FF92D050"/>
  </sheetPr>
  <dimension ref="A1:H55"/>
  <sheetViews>
    <sheetView workbookViewId="0">
      <selection activeCell="E50" sqref="E50"/>
    </sheetView>
  </sheetViews>
  <sheetFormatPr defaultRowHeight="12.75"/>
  <cols>
    <col min="1" max="1" width="62.28515625" bestFit="1" customWidth="1"/>
    <col min="2" max="2" width="10.7109375" customWidth="1"/>
    <col min="3" max="3" width="11.28515625" bestFit="1" customWidth="1"/>
    <col min="4" max="4" width="10" bestFit="1" customWidth="1"/>
    <col min="5" max="5" width="9.42578125" customWidth="1"/>
    <col min="6" max="6" width="11.5703125" bestFit="1" customWidth="1"/>
    <col min="251" max="251" width="62.28515625" bestFit="1" customWidth="1"/>
    <col min="252" max="252" width="10.7109375" customWidth="1"/>
    <col min="253" max="253" width="11.28515625" bestFit="1" customWidth="1"/>
    <col min="254" max="254" width="12.7109375" bestFit="1" customWidth="1"/>
    <col min="255" max="255" width="2.7109375" customWidth="1"/>
    <col min="256" max="256" width="12.85546875" bestFit="1" customWidth="1"/>
    <col min="257" max="257" width="12.28515625" bestFit="1" customWidth="1"/>
    <col min="258" max="258" width="11" bestFit="1" customWidth="1"/>
    <col min="259" max="259" width="12.5703125" bestFit="1" customWidth="1"/>
    <col min="260" max="260" width="2" customWidth="1"/>
    <col min="261" max="261" width="12.5703125" bestFit="1" customWidth="1"/>
    <col min="262" max="262" width="12.28515625" bestFit="1" customWidth="1"/>
    <col min="507" max="507" width="62.28515625" bestFit="1" customWidth="1"/>
    <col min="508" max="508" width="10.7109375" customWidth="1"/>
    <col min="509" max="509" width="11.28515625" bestFit="1" customWidth="1"/>
    <col min="510" max="510" width="12.7109375" bestFit="1" customWidth="1"/>
    <col min="511" max="511" width="2.7109375" customWidth="1"/>
    <col min="512" max="512" width="12.85546875" bestFit="1" customWidth="1"/>
    <col min="513" max="513" width="12.28515625" bestFit="1" customWidth="1"/>
    <col min="514" max="514" width="11" bestFit="1" customWidth="1"/>
    <col min="515" max="515" width="12.5703125" bestFit="1" customWidth="1"/>
    <col min="516" max="516" width="2" customWidth="1"/>
    <col min="517" max="517" width="12.5703125" bestFit="1" customWidth="1"/>
    <col min="518" max="518" width="12.28515625" bestFit="1" customWidth="1"/>
    <col min="763" max="763" width="62.28515625" bestFit="1" customWidth="1"/>
    <col min="764" max="764" width="10.7109375" customWidth="1"/>
    <col min="765" max="765" width="11.28515625" bestFit="1" customWidth="1"/>
    <col min="766" max="766" width="12.7109375" bestFit="1" customWidth="1"/>
    <col min="767" max="767" width="2.7109375" customWidth="1"/>
    <col min="768" max="768" width="12.85546875" bestFit="1" customWidth="1"/>
    <col min="769" max="769" width="12.28515625" bestFit="1" customWidth="1"/>
    <col min="770" max="770" width="11" bestFit="1" customWidth="1"/>
    <col min="771" max="771" width="12.5703125" bestFit="1" customWidth="1"/>
    <col min="772" max="772" width="2" customWidth="1"/>
    <col min="773" max="773" width="12.5703125" bestFit="1" customWidth="1"/>
    <col min="774" max="774" width="12.28515625" bestFit="1" customWidth="1"/>
    <col min="1019" max="1019" width="62.28515625" bestFit="1" customWidth="1"/>
    <col min="1020" max="1020" width="10.7109375" customWidth="1"/>
    <col min="1021" max="1021" width="11.28515625" bestFit="1" customWidth="1"/>
    <col min="1022" max="1022" width="12.7109375" bestFit="1" customWidth="1"/>
    <col min="1023" max="1023" width="2.7109375" customWidth="1"/>
    <col min="1024" max="1024" width="12.85546875" bestFit="1" customWidth="1"/>
    <col min="1025" max="1025" width="12.28515625" bestFit="1" customWidth="1"/>
    <col min="1026" max="1026" width="11" bestFit="1" customWidth="1"/>
    <col min="1027" max="1027" width="12.5703125" bestFit="1" customWidth="1"/>
    <col min="1028" max="1028" width="2" customWidth="1"/>
    <col min="1029" max="1029" width="12.5703125" bestFit="1" customWidth="1"/>
    <col min="1030" max="1030" width="12.28515625" bestFit="1" customWidth="1"/>
    <col min="1275" max="1275" width="62.28515625" bestFit="1" customWidth="1"/>
    <col min="1276" max="1276" width="10.7109375" customWidth="1"/>
    <col min="1277" max="1277" width="11.28515625" bestFit="1" customWidth="1"/>
    <col min="1278" max="1278" width="12.7109375" bestFit="1" customWidth="1"/>
    <col min="1279" max="1279" width="2.7109375" customWidth="1"/>
    <col min="1280" max="1280" width="12.85546875" bestFit="1" customWidth="1"/>
    <col min="1281" max="1281" width="12.28515625" bestFit="1" customWidth="1"/>
    <col min="1282" max="1282" width="11" bestFit="1" customWidth="1"/>
    <col min="1283" max="1283" width="12.5703125" bestFit="1" customWidth="1"/>
    <col min="1284" max="1284" width="2" customWidth="1"/>
    <col min="1285" max="1285" width="12.5703125" bestFit="1" customWidth="1"/>
    <col min="1286" max="1286" width="12.28515625" bestFit="1" customWidth="1"/>
    <col min="1531" max="1531" width="62.28515625" bestFit="1" customWidth="1"/>
    <col min="1532" max="1532" width="10.7109375" customWidth="1"/>
    <col min="1533" max="1533" width="11.28515625" bestFit="1" customWidth="1"/>
    <col min="1534" max="1534" width="12.7109375" bestFit="1" customWidth="1"/>
    <col min="1535" max="1535" width="2.7109375" customWidth="1"/>
    <col min="1536" max="1536" width="12.85546875" bestFit="1" customWidth="1"/>
    <col min="1537" max="1537" width="12.28515625" bestFit="1" customWidth="1"/>
    <col min="1538" max="1538" width="11" bestFit="1" customWidth="1"/>
    <col min="1539" max="1539" width="12.5703125" bestFit="1" customWidth="1"/>
    <col min="1540" max="1540" width="2" customWidth="1"/>
    <col min="1541" max="1541" width="12.5703125" bestFit="1" customWidth="1"/>
    <col min="1542" max="1542" width="12.28515625" bestFit="1" customWidth="1"/>
    <col min="1787" max="1787" width="62.28515625" bestFit="1" customWidth="1"/>
    <col min="1788" max="1788" width="10.7109375" customWidth="1"/>
    <col min="1789" max="1789" width="11.28515625" bestFit="1" customWidth="1"/>
    <col min="1790" max="1790" width="12.7109375" bestFit="1" customWidth="1"/>
    <col min="1791" max="1791" width="2.7109375" customWidth="1"/>
    <col min="1792" max="1792" width="12.85546875" bestFit="1" customWidth="1"/>
    <col min="1793" max="1793" width="12.28515625" bestFit="1" customWidth="1"/>
    <col min="1794" max="1794" width="11" bestFit="1" customWidth="1"/>
    <col min="1795" max="1795" width="12.5703125" bestFit="1" customWidth="1"/>
    <col min="1796" max="1796" width="2" customWidth="1"/>
    <col min="1797" max="1797" width="12.5703125" bestFit="1" customWidth="1"/>
    <col min="1798" max="1798" width="12.28515625" bestFit="1" customWidth="1"/>
    <col min="2043" max="2043" width="62.28515625" bestFit="1" customWidth="1"/>
    <col min="2044" max="2044" width="10.7109375" customWidth="1"/>
    <col min="2045" max="2045" width="11.28515625" bestFit="1" customWidth="1"/>
    <col min="2046" max="2046" width="12.7109375" bestFit="1" customWidth="1"/>
    <col min="2047" max="2047" width="2.7109375" customWidth="1"/>
    <col min="2048" max="2048" width="12.85546875" bestFit="1" customWidth="1"/>
    <col min="2049" max="2049" width="12.28515625" bestFit="1" customWidth="1"/>
    <col min="2050" max="2050" width="11" bestFit="1" customWidth="1"/>
    <col min="2051" max="2051" width="12.5703125" bestFit="1" customWidth="1"/>
    <col min="2052" max="2052" width="2" customWidth="1"/>
    <col min="2053" max="2053" width="12.5703125" bestFit="1" customWidth="1"/>
    <col min="2054" max="2054" width="12.28515625" bestFit="1" customWidth="1"/>
    <col min="2299" max="2299" width="62.28515625" bestFit="1" customWidth="1"/>
    <col min="2300" max="2300" width="10.7109375" customWidth="1"/>
    <col min="2301" max="2301" width="11.28515625" bestFit="1" customWidth="1"/>
    <col min="2302" max="2302" width="12.7109375" bestFit="1" customWidth="1"/>
    <col min="2303" max="2303" width="2.7109375" customWidth="1"/>
    <col min="2304" max="2304" width="12.85546875" bestFit="1" customWidth="1"/>
    <col min="2305" max="2305" width="12.28515625" bestFit="1" customWidth="1"/>
    <col min="2306" max="2306" width="11" bestFit="1" customWidth="1"/>
    <col min="2307" max="2307" width="12.5703125" bestFit="1" customWidth="1"/>
    <col min="2308" max="2308" width="2" customWidth="1"/>
    <col min="2309" max="2309" width="12.5703125" bestFit="1" customWidth="1"/>
    <col min="2310" max="2310" width="12.28515625" bestFit="1" customWidth="1"/>
    <col min="2555" max="2555" width="62.28515625" bestFit="1" customWidth="1"/>
    <col min="2556" max="2556" width="10.7109375" customWidth="1"/>
    <col min="2557" max="2557" width="11.28515625" bestFit="1" customWidth="1"/>
    <col min="2558" max="2558" width="12.7109375" bestFit="1" customWidth="1"/>
    <col min="2559" max="2559" width="2.7109375" customWidth="1"/>
    <col min="2560" max="2560" width="12.85546875" bestFit="1" customWidth="1"/>
    <col min="2561" max="2561" width="12.28515625" bestFit="1" customWidth="1"/>
    <col min="2562" max="2562" width="11" bestFit="1" customWidth="1"/>
    <col min="2563" max="2563" width="12.5703125" bestFit="1" customWidth="1"/>
    <col min="2564" max="2564" width="2" customWidth="1"/>
    <col min="2565" max="2565" width="12.5703125" bestFit="1" customWidth="1"/>
    <col min="2566" max="2566" width="12.28515625" bestFit="1" customWidth="1"/>
    <col min="2811" max="2811" width="62.28515625" bestFit="1" customWidth="1"/>
    <col min="2812" max="2812" width="10.7109375" customWidth="1"/>
    <col min="2813" max="2813" width="11.28515625" bestFit="1" customWidth="1"/>
    <col min="2814" max="2814" width="12.7109375" bestFit="1" customWidth="1"/>
    <col min="2815" max="2815" width="2.7109375" customWidth="1"/>
    <col min="2816" max="2816" width="12.85546875" bestFit="1" customWidth="1"/>
    <col min="2817" max="2817" width="12.28515625" bestFit="1" customWidth="1"/>
    <col min="2818" max="2818" width="11" bestFit="1" customWidth="1"/>
    <col min="2819" max="2819" width="12.5703125" bestFit="1" customWidth="1"/>
    <col min="2820" max="2820" width="2" customWidth="1"/>
    <col min="2821" max="2821" width="12.5703125" bestFit="1" customWidth="1"/>
    <col min="2822" max="2822" width="12.28515625" bestFit="1" customWidth="1"/>
    <col min="3067" max="3067" width="62.28515625" bestFit="1" customWidth="1"/>
    <col min="3068" max="3068" width="10.7109375" customWidth="1"/>
    <col min="3069" max="3069" width="11.28515625" bestFit="1" customWidth="1"/>
    <col min="3070" max="3070" width="12.7109375" bestFit="1" customWidth="1"/>
    <col min="3071" max="3071" width="2.7109375" customWidth="1"/>
    <col min="3072" max="3072" width="12.85546875" bestFit="1" customWidth="1"/>
    <col min="3073" max="3073" width="12.28515625" bestFit="1" customWidth="1"/>
    <col min="3074" max="3074" width="11" bestFit="1" customWidth="1"/>
    <col min="3075" max="3075" width="12.5703125" bestFit="1" customWidth="1"/>
    <col min="3076" max="3076" width="2" customWidth="1"/>
    <col min="3077" max="3077" width="12.5703125" bestFit="1" customWidth="1"/>
    <col min="3078" max="3078" width="12.28515625" bestFit="1" customWidth="1"/>
    <col min="3323" max="3323" width="62.28515625" bestFit="1" customWidth="1"/>
    <col min="3324" max="3324" width="10.7109375" customWidth="1"/>
    <col min="3325" max="3325" width="11.28515625" bestFit="1" customWidth="1"/>
    <col min="3326" max="3326" width="12.7109375" bestFit="1" customWidth="1"/>
    <col min="3327" max="3327" width="2.7109375" customWidth="1"/>
    <col min="3328" max="3328" width="12.85546875" bestFit="1" customWidth="1"/>
    <col min="3329" max="3329" width="12.28515625" bestFit="1" customWidth="1"/>
    <col min="3330" max="3330" width="11" bestFit="1" customWidth="1"/>
    <col min="3331" max="3331" width="12.5703125" bestFit="1" customWidth="1"/>
    <col min="3332" max="3332" width="2" customWidth="1"/>
    <col min="3333" max="3333" width="12.5703125" bestFit="1" customWidth="1"/>
    <col min="3334" max="3334" width="12.28515625" bestFit="1" customWidth="1"/>
    <col min="3579" max="3579" width="62.28515625" bestFit="1" customWidth="1"/>
    <col min="3580" max="3580" width="10.7109375" customWidth="1"/>
    <col min="3581" max="3581" width="11.28515625" bestFit="1" customWidth="1"/>
    <col min="3582" max="3582" width="12.7109375" bestFit="1" customWidth="1"/>
    <col min="3583" max="3583" width="2.7109375" customWidth="1"/>
    <col min="3584" max="3584" width="12.85546875" bestFit="1" customWidth="1"/>
    <col min="3585" max="3585" width="12.28515625" bestFit="1" customWidth="1"/>
    <col min="3586" max="3586" width="11" bestFit="1" customWidth="1"/>
    <col min="3587" max="3587" width="12.5703125" bestFit="1" customWidth="1"/>
    <col min="3588" max="3588" width="2" customWidth="1"/>
    <col min="3589" max="3589" width="12.5703125" bestFit="1" customWidth="1"/>
    <col min="3590" max="3590" width="12.28515625" bestFit="1" customWidth="1"/>
    <col min="3835" max="3835" width="62.28515625" bestFit="1" customWidth="1"/>
    <col min="3836" max="3836" width="10.7109375" customWidth="1"/>
    <col min="3837" max="3837" width="11.28515625" bestFit="1" customWidth="1"/>
    <col min="3838" max="3838" width="12.7109375" bestFit="1" customWidth="1"/>
    <col min="3839" max="3839" width="2.7109375" customWidth="1"/>
    <col min="3840" max="3840" width="12.85546875" bestFit="1" customWidth="1"/>
    <col min="3841" max="3841" width="12.28515625" bestFit="1" customWidth="1"/>
    <col min="3842" max="3842" width="11" bestFit="1" customWidth="1"/>
    <col min="3843" max="3843" width="12.5703125" bestFit="1" customWidth="1"/>
    <col min="3844" max="3844" width="2" customWidth="1"/>
    <col min="3845" max="3845" width="12.5703125" bestFit="1" customWidth="1"/>
    <col min="3846" max="3846" width="12.28515625" bestFit="1" customWidth="1"/>
    <col min="4091" max="4091" width="62.28515625" bestFit="1" customWidth="1"/>
    <col min="4092" max="4092" width="10.7109375" customWidth="1"/>
    <col min="4093" max="4093" width="11.28515625" bestFit="1" customWidth="1"/>
    <col min="4094" max="4094" width="12.7109375" bestFit="1" customWidth="1"/>
    <col min="4095" max="4095" width="2.7109375" customWidth="1"/>
    <col min="4096" max="4096" width="12.85546875" bestFit="1" customWidth="1"/>
    <col min="4097" max="4097" width="12.28515625" bestFit="1" customWidth="1"/>
    <col min="4098" max="4098" width="11" bestFit="1" customWidth="1"/>
    <col min="4099" max="4099" width="12.5703125" bestFit="1" customWidth="1"/>
    <col min="4100" max="4100" width="2" customWidth="1"/>
    <col min="4101" max="4101" width="12.5703125" bestFit="1" customWidth="1"/>
    <col min="4102" max="4102" width="12.28515625" bestFit="1" customWidth="1"/>
    <col min="4347" max="4347" width="62.28515625" bestFit="1" customWidth="1"/>
    <col min="4348" max="4348" width="10.7109375" customWidth="1"/>
    <col min="4349" max="4349" width="11.28515625" bestFit="1" customWidth="1"/>
    <col min="4350" max="4350" width="12.7109375" bestFit="1" customWidth="1"/>
    <col min="4351" max="4351" width="2.7109375" customWidth="1"/>
    <col min="4352" max="4352" width="12.85546875" bestFit="1" customWidth="1"/>
    <col min="4353" max="4353" width="12.28515625" bestFit="1" customWidth="1"/>
    <col min="4354" max="4354" width="11" bestFit="1" customWidth="1"/>
    <col min="4355" max="4355" width="12.5703125" bestFit="1" customWidth="1"/>
    <col min="4356" max="4356" width="2" customWidth="1"/>
    <col min="4357" max="4357" width="12.5703125" bestFit="1" customWidth="1"/>
    <col min="4358" max="4358" width="12.28515625" bestFit="1" customWidth="1"/>
    <col min="4603" max="4603" width="62.28515625" bestFit="1" customWidth="1"/>
    <col min="4604" max="4604" width="10.7109375" customWidth="1"/>
    <col min="4605" max="4605" width="11.28515625" bestFit="1" customWidth="1"/>
    <col min="4606" max="4606" width="12.7109375" bestFit="1" customWidth="1"/>
    <col min="4607" max="4607" width="2.7109375" customWidth="1"/>
    <col min="4608" max="4608" width="12.85546875" bestFit="1" customWidth="1"/>
    <col min="4609" max="4609" width="12.28515625" bestFit="1" customWidth="1"/>
    <col min="4610" max="4610" width="11" bestFit="1" customWidth="1"/>
    <col min="4611" max="4611" width="12.5703125" bestFit="1" customWidth="1"/>
    <col min="4612" max="4612" width="2" customWidth="1"/>
    <col min="4613" max="4613" width="12.5703125" bestFit="1" customWidth="1"/>
    <col min="4614" max="4614" width="12.28515625" bestFit="1" customWidth="1"/>
    <col min="4859" max="4859" width="62.28515625" bestFit="1" customWidth="1"/>
    <col min="4860" max="4860" width="10.7109375" customWidth="1"/>
    <col min="4861" max="4861" width="11.28515625" bestFit="1" customWidth="1"/>
    <col min="4862" max="4862" width="12.7109375" bestFit="1" customWidth="1"/>
    <col min="4863" max="4863" width="2.7109375" customWidth="1"/>
    <col min="4864" max="4864" width="12.85546875" bestFit="1" customWidth="1"/>
    <col min="4865" max="4865" width="12.28515625" bestFit="1" customWidth="1"/>
    <col min="4866" max="4866" width="11" bestFit="1" customWidth="1"/>
    <col min="4867" max="4867" width="12.5703125" bestFit="1" customWidth="1"/>
    <col min="4868" max="4868" width="2" customWidth="1"/>
    <col min="4869" max="4869" width="12.5703125" bestFit="1" customWidth="1"/>
    <col min="4870" max="4870" width="12.28515625" bestFit="1" customWidth="1"/>
    <col min="5115" max="5115" width="62.28515625" bestFit="1" customWidth="1"/>
    <col min="5116" max="5116" width="10.7109375" customWidth="1"/>
    <col min="5117" max="5117" width="11.28515625" bestFit="1" customWidth="1"/>
    <col min="5118" max="5118" width="12.7109375" bestFit="1" customWidth="1"/>
    <col min="5119" max="5119" width="2.7109375" customWidth="1"/>
    <col min="5120" max="5120" width="12.85546875" bestFit="1" customWidth="1"/>
    <col min="5121" max="5121" width="12.28515625" bestFit="1" customWidth="1"/>
    <col min="5122" max="5122" width="11" bestFit="1" customWidth="1"/>
    <col min="5123" max="5123" width="12.5703125" bestFit="1" customWidth="1"/>
    <col min="5124" max="5124" width="2" customWidth="1"/>
    <col min="5125" max="5125" width="12.5703125" bestFit="1" customWidth="1"/>
    <col min="5126" max="5126" width="12.28515625" bestFit="1" customWidth="1"/>
    <col min="5371" max="5371" width="62.28515625" bestFit="1" customWidth="1"/>
    <col min="5372" max="5372" width="10.7109375" customWidth="1"/>
    <col min="5373" max="5373" width="11.28515625" bestFit="1" customWidth="1"/>
    <col min="5374" max="5374" width="12.7109375" bestFit="1" customWidth="1"/>
    <col min="5375" max="5375" width="2.7109375" customWidth="1"/>
    <col min="5376" max="5376" width="12.85546875" bestFit="1" customWidth="1"/>
    <col min="5377" max="5377" width="12.28515625" bestFit="1" customWidth="1"/>
    <col min="5378" max="5378" width="11" bestFit="1" customWidth="1"/>
    <col min="5379" max="5379" width="12.5703125" bestFit="1" customWidth="1"/>
    <col min="5380" max="5380" width="2" customWidth="1"/>
    <col min="5381" max="5381" width="12.5703125" bestFit="1" customWidth="1"/>
    <col min="5382" max="5382" width="12.28515625" bestFit="1" customWidth="1"/>
    <col min="5627" max="5627" width="62.28515625" bestFit="1" customWidth="1"/>
    <col min="5628" max="5628" width="10.7109375" customWidth="1"/>
    <col min="5629" max="5629" width="11.28515625" bestFit="1" customWidth="1"/>
    <col min="5630" max="5630" width="12.7109375" bestFit="1" customWidth="1"/>
    <col min="5631" max="5631" width="2.7109375" customWidth="1"/>
    <col min="5632" max="5632" width="12.85546875" bestFit="1" customWidth="1"/>
    <col min="5633" max="5633" width="12.28515625" bestFit="1" customWidth="1"/>
    <col min="5634" max="5634" width="11" bestFit="1" customWidth="1"/>
    <col min="5635" max="5635" width="12.5703125" bestFit="1" customWidth="1"/>
    <col min="5636" max="5636" width="2" customWidth="1"/>
    <col min="5637" max="5637" width="12.5703125" bestFit="1" customWidth="1"/>
    <col min="5638" max="5638" width="12.28515625" bestFit="1" customWidth="1"/>
    <col min="5883" max="5883" width="62.28515625" bestFit="1" customWidth="1"/>
    <col min="5884" max="5884" width="10.7109375" customWidth="1"/>
    <col min="5885" max="5885" width="11.28515625" bestFit="1" customWidth="1"/>
    <col min="5886" max="5886" width="12.7109375" bestFit="1" customWidth="1"/>
    <col min="5887" max="5887" width="2.7109375" customWidth="1"/>
    <col min="5888" max="5888" width="12.85546875" bestFit="1" customWidth="1"/>
    <col min="5889" max="5889" width="12.28515625" bestFit="1" customWidth="1"/>
    <col min="5890" max="5890" width="11" bestFit="1" customWidth="1"/>
    <col min="5891" max="5891" width="12.5703125" bestFit="1" customWidth="1"/>
    <col min="5892" max="5892" width="2" customWidth="1"/>
    <col min="5893" max="5893" width="12.5703125" bestFit="1" customWidth="1"/>
    <col min="5894" max="5894" width="12.28515625" bestFit="1" customWidth="1"/>
    <col min="6139" max="6139" width="62.28515625" bestFit="1" customWidth="1"/>
    <col min="6140" max="6140" width="10.7109375" customWidth="1"/>
    <col min="6141" max="6141" width="11.28515625" bestFit="1" customWidth="1"/>
    <col min="6142" max="6142" width="12.7109375" bestFit="1" customWidth="1"/>
    <col min="6143" max="6143" width="2.7109375" customWidth="1"/>
    <col min="6144" max="6144" width="12.85546875" bestFit="1" customWidth="1"/>
    <col min="6145" max="6145" width="12.28515625" bestFit="1" customWidth="1"/>
    <col min="6146" max="6146" width="11" bestFit="1" customWidth="1"/>
    <col min="6147" max="6147" width="12.5703125" bestFit="1" customWidth="1"/>
    <col min="6148" max="6148" width="2" customWidth="1"/>
    <col min="6149" max="6149" width="12.5703125" bestFit="1" customWidth="1"/>
    <col min="6150" max="6150" width="12.28515625" bestFit="1" customWidth="1"/>
    <col min="6395" max="6395" width="62.28515625" bestFit="1" customWidth="1"/>
    <col min="6396" max="6396" width="10.7109375" customWidth="1"/>
    <col min="6397" max="6397" width="11.28515625" bestFit="1" customWidth="1"/>
    <col min="6398" max="6398" width="12.7109375" bestFit="1" customWidth="1"/>
    <col min="6399" max="6399" width="2.7109375" customWidth="1"/>
    <col min="6400" max="6400" width="12.85546875" bestFit="1" customWidth="1"/>
    <col min="6401" max="6401" width="12.28515625" bestFit="1" customWidth="1"/>
    <col min="6402" max="6402" width="11" bestFit="1" customWidth="1"/>
    <col min="6403" max="6403" width="12.5703125" bestFit="1" customWidth="1"/>
    <col min="6404" max="6404" width="2" customWidth="1"/>
    <col min="6405" max="6405" width="12.5703125" bestFit="1" customWidth="1"/>
    <col min="6406" max="6406" width="12.28515625" bestFit="1" customWidth="1"/>
    <col min="6651" max="6651" width="62.28515625" bestFit="1" customWidth="1"/>
    <col min="6652" max="6652" width="10.7109375" customWidth="1"/>
    <col min="6653" max="6653" width="11.28515625" bestFit="1" customWidth="1"/>
    <col min="6654" max="6654" width="12.7109375" bestFit="1" customWidth="1"/>
    <col min="6655" max="6655" width="2.7109375" customWidth="1"/>
    <col min="6656" max="6656" width="12.85546875" bestFit="1" customWidth="1"/>
    <col min="6657" max="6657" width="12.28515625" bestFit="1" customWidth="1"/>
    <col min="6658" max="6658" width="11" bestFit="1" customWidth="1"/>
    <col min="6659" max="6659" width="12.5703125" bestFit="1" customWidth="1"/>
    <col min="6660" max="6660" width="2" customWidth="1"/>
    <col min="6661" max="6661" width="12.5703125" bestFit="1" customWidth="1"/>
    <col min="6662" max="6662" width="12.28515625" bestFit="1" customWidth="1"/>
    <col min="6907" max="6907" width="62.28515625" bestFit="1" customWidth="1"/>
    <col min="6908" max="6908" width="10.7109375" customWidth="1"/>
    <col min="6909" max="6909" width="11.28515625" bestFit="1" customWidth="1"/>
    <col min="6910" max="6910" width="12.7109375" bestFit="1" customWidth="1"/>
    <col min="6911" max="6911" width="2.7109375" customWidth="1"/>
    <col min="6912" max="6912" width="12.85546875" bestFit="1" customWidth="1"/>
    <col min="6913" max="6913" width="12.28515625" bestFit="1" customWidth="1"/>
    <col min="6914" max="6914" width="11" bestFit="1" customWidth="1"/>
    <col min="6915" max="6915" width="12.5703125" bestFit="1" customWidth="1"/>
    <col min="6916" max="6916" width="2" customWidth="1"/>
    <col min="6917" max="6917" width="12.5703125" bestFit="1" customWidth="1"/>
    <col min="6918" max="6918" width="12.28515625" bestFit="1" customWidth="1"/>
    <col min="7163" max="7163" width="62.28515625" bestFit="1" customWidth="1"/>
    <col min="7164" max="7164" width="10.7109375" customWidth="1"/>
    <col min="7165" max="7165" width="11.28515625" bestFit="1" customWidth="1"/>
    <col min="7166" max="7166" width="12.7109375" bestFit="1" customWidth="1"/>
    <col min="7167" max="7167" width="2.7109375" customWidth="1"/>
    <col min="7168" max="7168" width="12.85546875" bestFit="1" customWidth="1"/>
    <col min="7169" max="7169" width="12.28515625" bestFit="1" customWidth="1"/>
    <col min="7170" max="7170" width="11" bestFit="1" customWidth="1"/>
    <col min="7171" max="7171" width="12.5703125" bestFit="1" customWidth="1"/>
    <col min="7172" max="7172" width="2" customWidth="1"/>
    <col min="7173" max="7173" width="12.5703125" bestFit="1" customWidth="1"/>
    <col min="7174" max="7174" width="12.28515625" bestFit="1" customWidth="1"/>
    <col min="7419" max="7419" width="62.28515625" bestFit="1" customWidth="1"/>
    <col min="7420" max="7420" width="10.7109375" customWidth="1"/>
    <col min="7421" max="7421" width="11.28515625" bestFit="1" customWidth="1"/>
    <col min="7422" max="7422" width="12.7109375" bestFit="1" customWidth="1"/>
    <col min="7423" max="7423" width="2.7109375" customWidth="1"/>
    <col min="7424" max="7424" width="12.85546875" bestFit="1" customWidth="1"/>
    <col min="7425" max="7425" width="12.28515625" bestFit="1" customWidth="1"/>
    <col min="7426" max="7426" width="11" bestFit="1" customWidth="1"/>
    <col min="7427" max="7427" width="12.5703125" bestFit="1" customWidth="1"/>
    <col min="7428" max="7428" width="2" customWidth="1"/>
    <col min="7429" max="7429" width="12.5703125" bestFit="1" customWidth="1"/>
    <col min="7430" max="7430" width="12.28515625" bestFit="1" customWidth="1"/>
    <col min="7675" max="7675" width="62.28515625" bestFit="1" customWidth="1"/>
    <col min="7676" max="7676" width="10.7109375" customWidth="1"/>
    <col min="7677" max="7677" width="11.28515625" bestFit="1" customWidth="1"/>
    <col min="7678" max="7678" width="12.7109375" bestFit="1" customWidth="1"/>
    <col min="7679" max="7679" width="2.7109375" customWidth="1"/>
    <col min="7680" max="7680" width="12.85546875" bestFit="1" customWidth="1"/>
    <col min="7681" max="7681" width="12.28515625" bestFit="1" customWidth="1"/>
    <col min="7682" max="7682" width="11" bestFit="1" customWidth="1"/>
    <col min="7683" max="7683" width="12.5703125" bestFit="1" customWidth="1"/>
    <col min="7684" max="7684" width="2" customWidth="1"/>
    <col min="7685" max="7685" width="12.5703125" bestFit="1" customWidth="1"/>
    <col min="7686" max="7686" width="12.28515625" bestFit="1" customWidth="1"/>
    <col min="7931" max="7931" width="62.28515625" bestFit="1" customWidth="1"/>
    <col min="7932" max="7932" width="10.7109375" customWidth="1"/>
    <col min="7933" max="7933" width="11.28515625" bestFit="1" customWidth="1"/>
    <col min="7934" max="7934" width="12.7109375" bestFit="1" customWidth="1"/>
    <col min="7935" max="7935" width="2.7109375" customWidth="1"/>
    <col min="7936" max="7936" width="12.85546875" bestFit="1" customWidth="1"/>
    <col min="7937" max="7937" width="12.28515625" bestFit="1" customWidth="1"/>
    <col min="7938" max="7938" width="11" bestFit="1" customWidth="1"/>
    <col min="7939" max="7939" width="12.5703125" bestFit="1" customWidth="1"/>
    <col min="7940" max="7940" width="2" customWidth="1"/>
    <col min="7941" max="7941" width="12.5703125" bestFit="1" customWidth="1"/>
    <col min="7942" max="7942" width="12.28515625" bestFit="1" customWidth="1"/>
    <col min="8187" max="8187" width="62.28515625" bestFit="1" customWidth="1"/>
    <col min="8188" max="8188" width="10.7109375" customWidth="1"/>
    <col min="8189" max="8189" width="11.28515625" bestFit="1" customWidth="1"/>
    <col min="8190" max="8190" width="12.7109375" bestFit="1" customWidth="1"/>
    <col min="8191" max="8191" width="2.7109375" customWidth="1"/>
    <col min="8192" max="8192" width="12.85546875" bestFit="1" customWidth="1"/>
    <col min="8193" max="8193" width="12.28515625" bestFit="1" customWidth="1"/>
    <col min="8194" max="8194" width="11" bestFit="1" customWidth="1"/>
    <col min="8195" max="8195" width="12.5703125" bestFit="1" customWidth="1"/>
    <col min="8196" max="8196" width="2" customWidth="1"/>
    <col min="8197" max="8197" width="12.5703125" bestFit="1" customWidth="1"/>
    <col min="8198" max="8198" width="12.28515625" bestFit="1" customWidth="1"/>
    <col min="8443" max="8443" width="62.28515625" bestFit="1" customWidth="1"/>
    <col min="8444" max="8444" width="10.7109375" customWidth="1"/>
    <col min="8445" max="8445" width="11.28515625" bestFit="1" customWidth="1"/>
    <col min="8446" max="8446" width="12.7109375" bestFit="1" customWidth="1"/>
    <col min="8447" max="8447" width="2.7109375" customWidth="1"/>
    <col min="8448" max="8448" width="12.85546875" bestFit="1" customWidth="1"/>
    <col min="8449" max="8449" width="12.28515625" bestFit="1" customWidth="1"/>
    <col min="8450" max="8450" width="11" bestFit="1" customWidth="1"/>
    <col min="8451" max="8451" width="12.5703125" bestFit="1" customWidth="1"/>
    <col min="8452" max="8452" width="2" customWidth="1"/>
    <col min="8453" max="8453" width="12.5703125" bestFit="1" customWidth="1"/>
    <col min="8454" max="8454" width="12.28515625" bestFit="1" customWidth="1"/>
    <col min="8699" max="8699" width="62.28515625" bestFit="1" customWidth="1"/>
    <col min="8700" max="8700" width="10.7109375" customWidth="1"/>
    <col min="8701" max="8701" width="11.28515625" bestFit="1" customWidth="1"/>
    <col min="8702" max="8702" width="12.7109375" bestFit="1" customWidth="1"/>
    <col min="8703" max="8703" width="2.7109375" customWidth="1"/>
    <col min="8704" max="8704" width="12.85546875" bestFit="1" customWidth="1"/>
    <col min="8705" max="8705" width="12.28515625" bestFit="1" customWidth="1"/>
    <col min="8706" max="8706" width="11" bestFit="1" customWidth="1"/>
    <col min="8707" max="8707" width="12.5703125" bestFit="1" customWidth="1"/>
    <col min="8708" max="8708" width="2" customWidth="1"/>
    <col min="8709" max="8709" width="12.5703125" bestFit="1" customWidth="1"/>
    <col min="8710" max="8710" width="12.28515625" bestFit="1" customWidth="1"/>
    <col min="8955" max="8955" width="62.28515625" bestFit="1" customWidth="1"/>
    <col min="8956" max="8956" width="10.7109375" customWidth="1"/>
    <col min="8957" max="8957" width="11.28515625" bestFit="1" customWidth="1"/>
    <col min="8958" max="8958" width="12.7109375" bestFit="1" customWidth="1"/>
    <col min="8959" max="8959" width="2.7109375" customWidth="1"/>
    <col min="8960" max="8960" width="12.85546875" bestFit="1" customWidth="1"/>
    <col min="8961" max="8961" width="12.28515625" bestFit="1" customWidth="1"/>
    <col min="8962" max="8962" width="11" bestFit="1" customWidth="1"/>
    <col min="8963" max="8963" width="12.5703125" bestFit="1" customWidth="1"/>
    <col min="8964" max="8964" width="2" customWidth="1"/>
    <col min="8965" max="8965" width="12.5703125" bestFit="1" customWidth="1"/>
    <col min="8966" max="8966" width="12.28515625" bestFit="1" customWidth="1"/>
    <col min="9211" max="9211" width="62.28515625" bestFit="1" customWidth="1"/>
    <col min="9212" max="9212" width="10.7109375" customWidth="1"/>
    <col min="9213" max="9213" width="11.28515625" bestFit="1" customWidth="1"/>
    <col min="9214" max="9214" width="12.7109375" bestFit="1" customWidth="1"/>
    <col min="9215" max="9215" width="2.7109375" customWidth="1"/>
    <col min="9216" max="9216" width="12.85546875" bestFit="1" customWidth="1"/>
    <col min="9217" max="9217" width="12.28515625" bestFit="1" customWidth="1"/>
    <col min="9218" max="9218" width="11" bestFit="1" customWidth="1"/>
    <col min="9219" max="9219" width="12.5703125" bestFit="1" customWidth="1"/>
    <col min="9220" max="9220" width="2" customWidth="1"/>
    <col min="9221" max="9221" width="12.5703125" bestFit="1" customWidth="1"/>
    <col min="9222" max="9222" width="12.28515625" bestFit="1" customWidth="1"/>
    <col min="9467" max="9467" width="62.28515625" bestFit="1" customWidth="1"/>
    <col min="9468" max="9468" width="10.7109375" customWidth="1"/>
    <col min="9469" max="9469" width="11.28515625" bestFit="1" customWidth="1"/>
    <col min="9470" max="9470" width="12.7109375" bestFit="1" customWidth="1"/>
    <col min="9471" max="9471" width="2.7109375" customWidth="1"/>
    <col min="9472" max="9472" width="12.85546875" bestFit="1" customWidth="1"/>
    <col min="9473" max="9473" width="12.28515625" bestFit="1" customWidth="1"/>
    <col min="9474" max="9474" width="11" bestFit="1" customWidth="1"/>
    <col min="9475" max="9475" width="12.5703125" bestFit="1" customWidth="1"/>
    <col min="9476" max="9476" width="2" customWidth="1"/>
    <col min="9477" max="9477" width="12.5703125" bestFit="1" customWidth="1"/>
    <col min="9478" max="9478" width="12.28515625" bestFit="1" customWidth="1"/>
    <col min="9723" max="9723" width="62.28515625" bestFit="1" customWidth="1"/>
    <col min="9724" max="9724" width="10.7109375" customWidth="1"/>
    <col min="9725" max="9725" width="11.28515625" bestFit="1" customWidth="1"/>
    <col min="9726" max="9726" width="12.7109375" bestFit="1" customWidth="1"/>
    <col min="9727" max="9727" width="2.7109375" customWidth="1"/>
    <col min="9728" max="9728" width="12.85546875" bestFit="1" customWidth="1"/>
    <col min="9729" max="9729" width="12.28515625" bestFit="1" customWidth="1"/>
    <col min="9730" max="9730" width="11" bestFit="1" customWidth="1"/>
    <col min="9731" max="9731" width="12.5703125" bestFit="1" customWidth="1"/>
    <col min="9732" max="9732" width="2" customWidth="1"/>
    <col min="9733" max="9733" width="12.5703125" bestFit="1" customWidth="1"/>
    <col min="9734" max="9734" width="12.28515625" bestFit="1" customWidth="1"/>
    <col min="9979" max="9979" width="62.28515625" bestFit="1" customWidth="1"/>
    <col min="9980" max="9980" width="10.7109375" customWidth="1"/>
    <col min="9981" max="9981" width="11.28515625" bestFit="1" customWidth="1"/>
    <col min="9982" max="9982" width="12.7109375" bestFit="1" customWidth="1"/>
    <col min="9983" max="9983" width="2.7109375" customWidth="1"/>
    <col min="9984" max="9984" width="12.85546875" bestFit="1" customWidth="1"/>
    <col min="9985" max="9985" width="12.28515625" bestFit="1" customWidth="1"/>
    <col min="9986" max="9986" width="11" bestFit="1" customWidth="1"/>
    <col min="9987" max="9987" width="12.5703125" bestFit="1" customWidth="1"/>
    <col min="9988" max="9988" width="2" customWidth="1"/>
    <col min="9989" max="9989" width="12.5703125" bestFit="1" customWidth="1"/>
    <col min="9990" max="9990" width="12.28515625" bestFit="1" customWidth="1"/>
    <col min="10235" max="10235" width="62.28515625" bestFit="1" customWidth="1"/>
    <col min="10236" max="10236" width="10.7109375" customWidth="1"/>
    <col min="10237" max="10237" width="11.28515625" bestFit="1" customWidth="1"/>
    <col min="10238" max="10238" width="12.7109375" bestFit="1" customWidth="1"/>
    <col min="10239" max="10239" width="2.7109375" customWidth="1"/>
    <col min="10240" max="10240" width="12.85546875" bestFit="1" customWidth="1"/>
    <col min="10241" max="10241" width="12.28515625" bestFit="1" customWidth="1"/>
    <col min="10242" max="10242" width="11" bestFit="1" customWidth="1"/>
    <col min="10243" max="10243" width="12.5703125" bestFit="1" customWidth="1"/>
    <col min="10244" max="10244" width="2" customWidth="1"/>
    <col min="10245" max="10245" width="12.5703125" bestFit="1" customWidth="1"/>
    <col min="10246" max="10246" width="12.28515625" bestFit="1" customWidth="1"/>
    <col min="10491" max="10491" width="62.28515625" bestFit="1" customWidth="1"/>
    <col min="10492" max="10492" width="10.7109375" customWidth="1"/>
    <col min="10493" max="10493" width="11.28515625" bestFit="1" customWidth="1"/>
    <col min="10494" max="10494" width="12.7109375" bestFit="1" customWidth="1"/>
    <col min="10495" max="10495" width="2.7109375" customWidth="1"/>
    <col min="10496" max="10496" width="12.85546875" bestFit="1" customWidth="1"/>
    <col min="10497" max="10497" width="12.28515625" bestFit="1" customWidth="1"/>
    <col min="10498" max="10498" width="11" bestFit="1" customWidth="1"/>
    <col min="10499" max="10499" width="12.5703125" bestFit="1" customWidth="1"/>
    <col min="10500" max="10500" width="2" customWidth="1"/>
    <col min="10501" max="10501" width="12.5703125" bestFit="1" customWidth="1"/>
    <col min="10502" max="10502" width="12.28515625" bestFit="1" customWidth="1"/>
    <col min="10747" max="10747" width="62.28515625" bestFit="1" customWidth="1"/>
    <col min="10748" max="10748" width="10.7109375" customWidth="1"/>
    <col min="10749" max="10749" width="11.28515625" bestFit="1" customWidth="1"/>
    <col min="10750" max="10750" width="12.7109375" bestFit="1" customWidth="1"/>
    <col min="10751" max="10751" width="2.7109375" customWidth="1"/>
    <col min="10752" max="10752" width="12.85546875" bestFit="1" customWidth="1"/>
    <col min="10753" max="10753" width="12.28515625" bestFit="1" customWidth="1"/>
    <col min="10754" max="10754" width="11" bestFit="1" customWidth="1"/>
    <col min="10755" max="10755" width="12.5703125" bestFit="1" customWidth="1"/>
    <col min="10756" max="10756" width="2" customWidth="1"/>
    <col min="10757" max="10757" width="12.5703125" bestFit="1" customWidth="1"/>
    <col min="10758" max="10758" width="12.28515625" bestFit="1" customWidth="1"/>
    <col min="11003" max="11003" width="62.28515625" bestFit="1" customWidth="1"/>
    <col min="11004" max="11004" width="10.7109375" customWidth="1"/>
    <col min="11005" max="11005" width="11.28515625" bestFit="1" customWidth="1"/>
    <col min="11006" max="11006" width="12.7109375" bestFit="1" customWidth="1"/>
    <col min="11007" max="11007" width="2.7109375" customWidth="1"/>
    <col min="11008" max="11008" width="12.85546875" bestFit="1" customWidth="1"/>
    <col min="11009" max="11009" width="12.28515625" bestFit="1" customWidth="1"/>
    <col min="11010" max="11010" width="11" bestFit="1" customWidth="1"/>
    <col min="11011" max="11011" width="12.5703125" bestFit="1" customWidth="1"/>
    <col min="11012" max="11012" width="2" customWidth="1"/>
    <col min="11013" max="11013" width="12.5703125" bestFit="1" customWidth="1"/>
    <col min="11014" max="11014" width="12.28515625" bestFit="1" customWidth="1"/>
    <col min="11259" max="11259" width="62.28515625" bestFit="1" customWidth="1"/>
    <col min="11260" max="11260" width="10.7109375" customWidth="1"/>
    <col min="11261" max="11261" width="11.28515625" bestFit="1" customWidth="1"/>
    <col min="11262" max="11262" width="12.7109375" bestFit="1" customWidth="1"/>
    <col min="11263" max="11263" width="2.7109375" customWidth="1"/>
    <col min="11264" max="11264" width="12.85546875" bestFit="1" customWidth="1"/>
    <col min="11265" max="11265" width="12.28515625" bestFit="1" customWidth="1"/>
    <col min="11266" max="11266" width="11" bestFit="1" customWidth="1"/>
    <col min="11267" max="11267" width="12.5703125" bestFit="1" customWidth="1"/>
    <col min="11268" max="11268" width="2" customWidth="1"/>
    <col min="11269" max="11269" width="12.5703125" bestFit="1" customWidth="1"/>
    <col min="11270" max="11270" width="12.28515625" bestFit="1" customWidth="1"/>
    <col min="11515" max="11515" width="62.28515625" bestFit="1" customWidth="1"/>
    <col min="11516" max="11516" width="10.7109375" customWidth="1"/>
    <col min="11517" max="11517" width="11.28515625" bestFit="1" customWidth="1"/>
    <col min="11518" max="11518" width="12.7109375" bestFit="1" customWidth="1"/>
    <col min="11519" max="11519" width="2.7109375" customWidth="1"/>
    <col min="11520" max="11520" width="12.85546875" bestFit="1" customWidth="1"/>
    <col min="11521" max="11521" width="12.28515625" bestFit="1" customWidth="1"/>
    <col min="11522" max="11522" width="11" bestFit="1" customWidth="1"/>
    <col min="11523" max="11523" width="12.5703125" bestFit="1" customWidth="1"/>
    <col min="11524" max="11524" width="2" customWidth="1"/>
    <col min="11525" max="11525" width="12.5703125" bestFit="1" customWidth="1"/>
    <col min="11526" max="11526" width="12.28515625" bestFit="1" customWidth="1"/>
    <col min="11771" max="11771" width="62.28515625" bestFit="1" customWidth="1"/>
    <col min="11772" max="11772" width="10.7109375" customWidth="1"/>
    <col min="11773" max="11773" width="11.28515625" bestFit="1" customWidth="1"/>
    <col min="11774" max="11774" width="12.7109375" bestFit="1" customWidth="1"/>
    <col min="11775" max="11775" width="2.7109375" customWidth="1"/>
    <col min="11776" max="11776" width="12.85546875" bestFit="1" customWidth="1"/>
    <col min="11777" max="11777" width="12.28515625" bestFit="1" customWidth="1"/>
    <col min="11778" max="11778" width="11" bestFit="1" customWidth="1"/>
    <col min="11779" max="11779" width="12.5703125" bestFit="1" customWidth="1"/>
    <col min="11780" max="11780" width="2" customWidth="1"/>
    <col min="11781" max="11781" width="12.5703125" bestFit="1" customWidth="1"/>
    <col min="11782" max="11782" width="12.28515625" bestFit="1" customWidth="1"/>
    <col min="12027" max="12027" width="62.28515625" bestFit="1" customWidth="1"/>
    <col min="12028" max="12028" width="10.7109375" customWidth="1"/>
    <col min="12029" max="12029" width="11.28515625" bestFit="1" customWidth="1"/>
    <col min="12030" max="12030" width="12.7109375" bestFit="1" customWidth="1"/>
    <col min="12031" max="12031" width="2.7109375" customWidth="1"/>
    <col min="12032" max="12032" width="12.85546875" bestFit="1" customWidth="1"/>
    <col min="12033" max="12033" width="12.28515625" bestFit="1" customWidth="1"/>
    <col min="12034" max="12034" width="11" bestFit="1" customWidth="1"/>
    <col min="12035" max="12035" width="12.5703125" bestFit="1" customWidth="1"/>
    <col min="12036" max="12036" width="2" customWidth="1"/>
    <col min="12037" max="12037" width="12.5703125" bestFit="1" customWidth="1"/>
    <col min="12038" max="12038" width="12.28515625" bestFit="1" customWidth="1"/>
    <col min="12283" max="12283" width="62.28515625" bestFit="1" customWidth="1"/>
    <col min="12284" max="12284" width="10.7109375" customWidth="1"/>
    <col min="12285" max="12285" width="11.28515625" bestFit="1" customWidth="1"/>
    <col min="12286" max="12286" width="12.7109375" bestFit="1" customWidth="1"/>
    <col min="12287" max="12287" width="2.7109375" customWidth="1"/>
    <col min="12288" max="12288" width="12.85546875" bestFit="1" customWidth="1"/>
    <col min="12289" max="12289" width="12.28515625" bestFit="1" customWidth="1"/>
    <col min="12290" max="12290" width="11" bestFit="1" customWidth="1"/>
    <col min="12291" max="12291" width="12.5703125" bestFit="1" customWidth="1"/>
    <col min="12292" max="12292" width="2" customWidth="1"/>
    <col min="12293" max="12293" width="12.5703125" bestFit="1" customWidth="1"/>
    <col min="12294" max="12294" width="12.28515625" bestFit="1" customWidth="1"/>
    <col min="12539" max="12539" width="62.28515625" bestFit="1" customWidth="1"/>
    <col min="12540" max="12540" width="10.7109375" customWidth="1"/>
    <col min="12541" max="12541" width="11.28515625" bestFit="1" customWidth="1"/>
    <col min="12542" max="12542" width="12.7109375" bestFit="1" customWidth="1"/>
    <col min="12543" max="12543" width="2.7109375" customWidth="1"/>
    <col min="12544" max="12544" width="12.85546875" bestFit="1" customWidth="1"/>
    <col min="12545" max="12545" width="12.28515625" bestFit="1" customWidth="1"/>
    <col min="12546" max="12546" width="11" bestFit="1" customWidth="1"/>
    <col min="12547" max="12547" width="12.5703125" bestFit="1" customWidth="1"/>
    <col min="12548" max="12548" width="2" customWidth="1"/>
    <col min="12549" max="12549" width="12.5703125" bestFit="1" customWidth="1"/>
    <col min="12550" max="12550" width="12.28515625" bestFit="1" customWidth="1"/>
    <col min="12795" max="12795" width="62.28515625" bestFit="1" customWidth="1"/>
    <col min="12796" max="12796" width="10.7109375" customWidth="1"/>
    <col min="12797" max="12797" width="11.28515625" bestFit="1" customWidth="1"/>
    <col min="12798" max="12798" width="12.7109375" bestFit="1" customWidth="1"/>
    <col min="12799" max="12799" width="2.7109375" customWidth="1"/>
    <col min="12800" max="12800" width="12.85546875" bestFit="1" customWidth="1"/>
    <col min="12801" max="12801" width="12.28515625" bestFit="1" customWidth="1"/>
    <col min="12802" max="12802" width="11" bestFit="1" customWidth="1"/>
    <col min="12803" max="12803" width="12.5703125" bestFit="1" customWidth="1"/>
    <col min="12804" max="12804" width="2" customWidth="1"/>
    <col min="12805" max="12805" width="12.5703125" bestFit="1" customWidth="1"/>
    <col min="12806" max="12806" width="12.28515625" bestFit="1" customWidth="1"/>
    <col min="13051" max="13051" width="62.28515625" bestFit="1" customWidth="1"/>
    <col min="13052" max="13052" width="10.7109375" customWidth="1"/>
    <col min="13053" max="13053" width="11.28515625" bestFit="1" customWidth="1"/>
    <col min="13054" max="13054" width="12.7109375" bestFit="1" customWidth="1"/>
    <col min="13055" max="13055" width="2.7109375" customWidth="1"/>
    <col min="13056" max="13056" width="12.85546875" bestFit="1" customWidth="1"/>
    <col min="13057" max="13057" width="12.28515625" bestFit="1" customWidth="1"/>
    <col min="13058" max="13058" width="11" bestFit="1" customWidth="1"/>
    <col min="13059" max="13059" width="12.5703125" bestFit="1" customWidth="1"/>
    <col min="13060" max="13060" width="2" customWidth="1"/>
    <col min="13061" max="13061" width="12.5703125" bestFit="1" customWidth="1"/>
    <col min="13062" max="13062" width="12.28515625" bestFit="1" customWidth="1"/>
    <col min="13307" max="13307" width="62.28515625" bestFit="1" customWidth="1"/>
    <col min="13308" max="13308" width="10.7109375" customWidth="1"/>
    <col min="13309" max="13309" width="11.28515625" bestFit="1" customWidth="1"/>
    <col min="13310" max="13310" width="12.7109375" bestFit="1" customWidth="1"/>
    <col min="13311" max="13311" width="2.7109375" customWidth="1"/>
    <col min="13312" max="13312" width="12.85546875" bestFit="1" customWidth="1"/>
    <col min="13313" max="13313" width="12.28515625" bestFit="1" customWidth="1"/>
    <col min="13314" max="13314" width="11" bestFit="1" customWidth="1"/>
    <col min="13315" max="13315" width="12.5703125" bestFit="1" customWidth="1"/>
    <col min="13316" max="13316" width="2" customWidth="1"/>
    <col min="13317" max="13317" width="12.5703125" bestFit="1" customWidth="1"/>
    <col min="13318" max="13318" width="12.28515625" bestFit="1" customWidth="1"/>
    <col min="13563" max="13563" width="62.28515625" bestFit="1" customWidth="1"/>
    <col min="13564" max="13564" width="10.7109375" customWidth="1"/>
    <col min="13565" max="13565" width="11.28515625" bestFit="1" customWidth="1"/>
    <col min="13566" max="13566" width="12.7109375" bestFit="1" customWidth="1"/>
    <col min="13567" max="13567" width="2.7109375" customWidth="1"/>
    <col min="13568" max="13568" width="12.85546875" bestFit="1" customWidth="1"/>
    <col min="13569" max="13569" width="12.28515625" bestFit="1" customWidth="1"/>
    <col min="13570" max="13570" width="11" bestFit="1" customWidth="1"/>
    <col min="13571" max="13571" width="12.5703125" bestFit="1" customWidth="1"/>
    <col min="13572" max="13572" width="2" customWidth="1"/>
    <col min="13573" max="13573" width="12.5703125" bestFit="1" customWidth="1"/>
    <col min="13574" max="13574" width="12.28515625" bestFit="1" customWidth="1"/>
    <col min="13819" max="13819" width="62.28515625" bestFit="1" customWidth="1"/>
    <col min="13820" max="13820" width="10.7109375" customWidth="1"/>
    <col min="13821" max="13821" width="11.28515625" bestFit="1" customWidth="1"/>
    <col min="13822" max="13822" width="12.7109375" bestFit="1" customWidth="1"/>
    <col min="13823" max="13823" width="2.7109375" customWidth="1"/>
    <col min="13824" max="13824" width="12.85546875" bestFit="1" customWidth="1"/>
    <col min="13825" max="13825" width="12.28515625" bestFit="1" customWidth="1"/>
    <col min="13826" max="13826" width="11" bestFit="1" customWidth="1"/>
    <col min="13827" max="13827" width="12.5703125" bestFit="1" customWidth="1"/>
    <col min="13828" max="13828" width="2" customWidth="1"/>
    <col min="13829" max="13829" width="12.5703125" bestFit="1" customWidth="1"/>
    <col min="13830" max="13830" width="12.28515625" bestFit="1" customWidth="1"/>
    <col min="14075" max="14075" width="62.28515625" bestFit="1" customWidth="1"/>
    <col min="14076" max="14076" width="10.7109375" customWidth="1"/>
    <col min="14077" max="14077" width="11.28515625" bestFit="1" customWidth="1"/>
    <col min="14078" max="14078" width="12.7109375" bestFit="1" customWidth="1"/>
    <col min="14079" max="14079" width="2.7109375" customWidth="1"/>
    <col min="14080" max="14080" width="12.85546875" bestFit="1" customWidth="1"/>
    <col min="14081" max="14081" width="12.28515625" bestFit="1" customWidth="1"/>
    <col min="14082" max="14082" width="11" bestFit="1" customWidth="1"/>
    <col min="14083" max="14083" width="12.5703125" bestFit="1" customWidth="1"/>
    <col min="14084" max="14084" width="2" customWidth="1"/>
    <col min="14085" max="14085" width="12.5703125" bestFit="1" customWidth="1"/>
    <col min="14086" max="14086" width="12.28515625" bestFit="1" customWidth="1"/>
    <col min="14331" max="14331" width="62.28515625" bestFit="1" customWidth="1"/>
    <col min="14332" max="14332" width="10.7109375" customWidth="1"/>
    <col min="14333" max="14333" width="11.28515625" bestFit="1" customWidth="1"/>
    <col min="14334" max="14334" width="12.7109375" bestFit="1" customWidth="1"/>
    <col min="14335" max="14335" width="2.7109375" customWidth="1"/>
    <col min="14336" max="14336" width="12.85546875" bestFit="1" customWidth="1"/>
    <col min="14337" max="14337" width="12.28515625" bestFit="1" customWidth="1"/>
    <col min="14338" max="14338" width="11" bestFit="1" customWidth="1"/>
    <col min="14339" max="14339" width="12.5703125" bestFit="1" customWidth="1"/>
    <col min="14340" max="14340" width="2" customWidth="1"/>
    <col min="14341" max="14341" width="12.5703125" bestFit="1" customWidth="1"/>
    <col min="14342" max="14342" width="12.28515625" bestFit="1" customWidth="1"/>
    <col min="14587" max="14587" width="62.28515625" bestFit="1" customWidth="1"/>
    <col min="14588" max="14588" width="10.7109375" customWidth="1"/>
    <col min="14589" max="14589" width="11.28515625" bestFit="1" customWidth="1"/>
    <col min="14590" max="14590" width="12.7109375" bestFit="1" customWidth="1"/>
    <col min="14591" max="14591" width="2.7109375" customWidth="1"/>
    <col min="14592" max="14592" width="12.85546875" bestFit="1" customWidth="1"/>
    <col min="14593" max="14593" width="12.28515625" bestFit="1" customWidth="1"/>
    <col min="14594" max="14594" width="11" bestFit="1" customWidth="1"/>
    <col min="14595" max="14595" width="12.5703125" bestFit="1" customWidth="1"/>
    <col min="14596" max="14596" width="2" customWidth="1"/>
    <col min="14597" max="14597" width="12.5703125" bestFit="1" customWidth="1"/>
    <col min="14598" max="14598" width="12.28515625" bestFit="1" customWidth="1"/>
    <col min="14843" max="14843" width="62.28515625" bestFit="1" customWidth="1"/>
    <col min="14844" max="14844" width="10.7109375" customWidth="1"/>
    <col min="14845" max="14845" width="11.28515625" bestFit="1" customWidth="1"/>
    <col min="14846" max="14846" width="12.7109375" bestFit="1" customWidth="1"/>
    <col min="14847" max="14847" width="2.7109375" customWidth="1"/>
    <col min="14848" max="14848" width="12.85546875" bestFit="1" customWidth="1"/>
    <col min="14849" max="14849" width="12.28515625" bestFit="1" customWidth="1"/>
    <col min="14850" max="14850" width="11" bestFit="1" customWidth="1"/>
    <col min="14851" max="14851" width="12.5703125" bestFit="1" customWidth="1"/>
    <col min="14852" max="14852" width="2" customWidth="1"/>
    <col min="14853" max="14853" width="12.5703125" bestFit="1" customWidth="1"/>
    <col min="14854" max="14854" width="12.28515625" bestFit="1" customWidth="1"/>
    <col min="15099" max="15099" width="62.28515625" bestFit="1" customWidth="1"/>
    <col min="15100" max="15100" width="10.7109375" customWidth="1"/>
    <col min="15101" max="15101" width="11.28515625" bestFit="1" customWidth="1"/>
    <col min="15102" max="15102" width="12.7109375" bestFit="1" customWidth="1"/>
    <col min="15103" max="15103" width="2.7109375" customWidth="1"/>
    <col min="15104" max="15104" width="12.85546875" bestFit="1" customWidth="1"/>
    <col min="15105" max="15105" width="12.28515625" bestFit="1" customWidth="1"/>
    <col min="15106" max="15106" width="11" bestFit="1" customWidth="1"/>
    <col min="15107" max="15107" width="12.5703125" bestFit="1" customWidth="1"/>
    <col min="15108" max="15108" width="2" customWidth="1"/>
    <col min="15109" max="15109" width="12.5703125" bestFit="1" customWidth="1"/>
    <col min="15110" max="15110" width="12.28515625" bestFit="1" customWidth="1"/>
    <col min="15355" max="15355" width="62.28515625" bestFit="1" customWidth="1"/>
    <col min="15356" max="15356" width="10.7109375" customWidth="1"/>
    <col min="15357" max="15357" width="11.28515625" bestFit="1" customWidth="1"/>
    <col min="15358" max="15358" width="12.7109375" bestFit="1" customWidth="1"/>
    <col min="15359" max="15359" width="2.7109375" customWidth="1"/>
    <col min="15360" max="15360" width="12.85546875" bestFit="1" customWidth="1"/>
    <col min="15361" max="15361" width="12.28515625" bestFit="1" customWidth="1"/>
    <col min="15362" max="15362" width="11" bestFit="1" customWidth="1"/>
    <col min="15363" max="15363" width="12.5703125" bestFit="1" customWidth="1"/>
    <col min="15364" max="15364" width="2" customWidth="1"/>
    <col min="15365" max="15365" width="12.5703125" bestFit="1" customWidth="1"/>
    <col min="15366" max="15366" width="12.28515625" bestFit="1" customWidth="1"/>
    <col min="15611" max="15611" width="62.28515625" bestFit="1" customWidth="1"/>
    <col min="15612" max="15612" width="10.7109375" customWidth="1"/>
    <col min="15613" max="15613" width="11.28515625" bestFit="1" customWidth="1"/>
    <col min="15614" max="15614" width="12.7109375" bestFit="1" customWidth="1"/>
    <col min="15615" max="15615" width="2.7109375" customWidth="1"/>
    <col min="15616" max="15616" width="12.85546875" bestFit="1" customWidth="1"/>
    <col min="15617" max="15617" width="12.28515625" bestFit="1" customWidth="1"/>
    <col min="15618" max="15618" width="11" bestFit="1" customWidth="1"/>
    <col min="15619" max="15619" width="12.5703125" bestFit="1" customWidth="1"/>
    <col min="15620" max="15620" width="2" customWidth="1"/>
    <col min="15621" max="15621" width="12.5703125" bestFit="1" customWidth="1"/>
    <col min="15622" max="15622" width="12.28515625" bestFit="1" customWidth="1"/>
    <col min="15867" max="15867" width="62.28515625" bestFit="1" customWidth="1"/>
    <col min="15868" max="15868" width="10.7109375" customWidth="1"/>
    <col min="15869" max="15869" width="11.28515625" bestFit="1" customWidth="1"/>
    <col min="15870" max="15870" width="12.7109375" bestFit="1" customWidth="1"/>
    <col min="15871" max="15871" width="2.7109375" customWidth="1"/>
    <col min="15872" max="15872" width="12.85546875" bestFit="1" customWidth="1"/>
    <col min="15873" max="15873" width="12.28515625" bestFit="1" customWidth="1"/>
    <col min="15874" max="15874" width="11" bestFit="1" customWidth="1"/>
    <col min="15875" max="15875" width="12.5703125" bestFit="1" customWidth="1"/>
    <col min="15876" max="15876" width="2" customWidth="1"/>
    <col min="15877" max="15877" width="12.5703125" bestFit="1" customWidth="1"/>
    <col min="15878" max="15878" width="12.28515625" bestFit="1" customWidth="1"/>
    <col min="16123" max="16123" width="62.28515625" bestFit="1" customWidth="1"/>
    <col min="16124" max="16124" width="10.7109375" customWidth="1"/>
    <col min="16125" max="16125" width="11.28515625" bestFit="1" customWidth="1"/>
    <col min="16126" max="16126" width="12.7109375" bestFit="1" customWidth="1"/>
    <col min="16127" max="16127" width="2.7109375" customWidth="1"/>
    <col min="16128" max="16128" width="12.85546875" bestFit="1" customWidth="1"/>
    <col min="16129" max="16129" width="12.28515625" bestFit="1" customWidth="1"/>
    <col min="16130" max="16130" width="11" bestFit="1" customWidth="1"/>
    <col min="16131" max="16131" width="12.5703125" bestFit="1" customWidth="1"/>
    <col min="16132" max="16132" width="2" customWidth="1"/>
    <col min="16133" max="16133" width="12.5703125" bestFit="1" customWidth="1"/>
    <col min="16134" max="16134" width="12.28515625" bestFit="1" customWidth="1"/>
  </cols>
  <sheetData>
    <row r="1" spans="1:6" ht="23.25">
      <c r="A1" s="425" t="s">
        <v>12</v>
      </c>
      <c r="B1" s="425"/>
    </row>
    <row r="2" spans="1:6" ht="15.75">
      <c r="A2" s="23" t="s">
        <v>278</v>
      </c>
      <c r="B2" s="23"/>
      <c r="C2" s="24"/>
      <c r="D2" s="25"/>
    </row>
    <row r="3" spans="1:6" ht="15.75">
      <c r="A3" s="23"/>
      <c r="B3" s="23"/>
      <c r="C3" s="24"/>
      <c r="D3" s="118"/>
      <c r="E3" s="120"/>
    </row>
    <row r="4" spans="1:6" ht="15">
      <c r="A4" s="426"/>
      <c r="B4" s="426"/>
      <c r="C4" s="209"/>
      <c r="D4" s="340" t="s">
        <v>114</v>
      </c>
      <c r="E4" s="483"/>
      <c r="F4" s="340" t="s">
        <v>279</v>
      </c>
    </row>
    <row r="5" spans="1:6" ht="15">
      <c r="A5" s="210"/>
      <c r="B5" s="210"/>
      <c r="C5" s="209"/>
      <c r="D5" s="121" t="s">
        <v>13</v>
      </c>
      <c r="E5" s="120"/>
      <c r="F5" s="121" t="s">
        <v>13</v>
      </c>
    </row>
    <row r="6" spans="1:6" ht="17.25">
      <c r="A6" s="120"/>
      <c r="B6" s="120"/>
      <c r="C6" s="209"/>
      <c r="D6" s="122" t="s">
        <v>15</v>
      </c>
      <c r="E6" s="120"/>
      <c r="F6" s="122" t="s">
        <v>15</v>
      </c>
    </row>
    <row r="7" spans="1:6" ht="15">
      <c r="A7" s="428" t="s">
        <v>18</v>
      </c>
      <c r="B7" s="428"/>
      <c r="C7" s="209"/>
      <c r="D7" s="427"/>
      <c r="E7" s="120"/>
      <c r="F7" s="120"/>
    </row>
    <row r="8" spans="1:6" ht="17.25">
      <c r="A8" s="120" t="s">
        <v>112</v>
      </c>
      <c r="B8" s="120"/>
      <c r="C8" s="209"/>
      <c r="D8" s="429">
        <v>38629</v>
      </c>
      <c r="E8" s="120"/>
      <c r="F8" s="430">
        <f>+'Customer Counts - Enspire'!I36+'Customer Counts - Enspire'!I37</f>
        <v>40184</v>
      </c>
    </row>
    <row r="9" spans="1:6" ht="15">
      <c r="A9" s="120"/>
      <c r="B9" s="120"/>
      <c r="C9" s="209"/>
      <c r="D9" s="125"/>
      <c r="E9" s="120"/>
      <c r="F9" s="120"/>
    </row>
    <row r="10" spans="1:6" ht="15">
      <c r="A10" s="120"/>
      <c r="B10" s="120"/>
      <c r="C10" s="209"/>
      <c r="D10" s="125"/>
      <c r="E10" s="120"/>
      <c r="F10" s="120"/>
    </row>
    <row r="11" spans="1:6" ht="15">
      <c r="A11" s="428" t="s">
        <v>20</v>
      </c>
      <c r="B11" s="428"/>
      <c r="C11" s="209"/>
      <c r="D11" s="125"/>
      <c r="E11" s="120"/>
      <c r="F11" s="120"/>
    </row>
    <row r="12" spans="1:6" ht="17.25">
      <c r="A12" s="426" t="s">
        <v>280</v>
      </c>
      <c r="B12" s="426"/>
      <c r="C12" s="209"/>
      <c r="D12" s="431">
        <v>23806</v>
      </c>
      <c r="E12" s="120"/>
      <c r="F12" s="432">
        <f>+'2020-2021 Recy. Tons &amp; Revenue'!C59</f>
        <v>23800.880000000005</v>
      </c>
    </row>
    <row r="13" spans="1:6" ht="15">
      <c r="A13" s="120"/>
      <c r="B13" s="120"/>
      <c r="C13" s="209"/>
      <c r="D13" s="125"/>
      <c r="E13" s="120"/>
      <c r="F13" s="120"/>
    </row>
    <row r="14" spans="1:6" ht="15">
      <c r="A14" s="120"/>
      <c r="B14" s="120"/>
      <c r="C14" s="209"/>
      <c r="D14" s="125"/>
      <c r="E14" s="120"/>
      <c r="F14" s="120"/>
    </row>
    <row r="15" spans="1:6" ht="15">
      <c r="A15" s="428" t="s">
        <v>21</v>
      </c>
      <c r="B15" s="428"/>
      <c r="C15" s="209"/>
      <c r="D15" s="427"/>
      <c r="E15" s="120"/>
      <c r="F15" s="120"/>
    </row>
    <row r="16" spans="1:6" ht="32.25">
      <c r="A16" s="213" t="s">
        <v>22</v>
      </c>
      <c r="B16" s="213"/>
      <c r="C16" s="214"/>
      <c r="D16" s="127">
        <v>664000</v>
      </c>
      <c r="E16" s="120"/>
      <c r="F16" s="433">
        <f>+'2020-2021 Recy. Tons &amp; Revenue'!G59</f>
        <v>963319.73623966158</v>
      </c>
    </row>
    <row r="17" spans="1:8" ht="15">
      <c r="A17" s="213"/>
      <c r="B17" s="213"/>
      <c r="C17" s="214"/>
      <c r="D17" s="128"/>
      <c r="E17" s="120"/>
      <c r="F17" s="120"/>
    </row>
    <row r="18" spans="1:8" ht="15">
      <c r="A18" s="428" t="s">
        <v>23</v>
      </c>
      <c r="B18" s="213"/>
      <c r="C18" s="214"/>
      <c r="D18" s="128"/>
      <c r="E18" s="120"/>
      <c r="F18" s="120"/>
    </row>
    <row r="19" spans="1:8" ht="15">
      <c r="A19" s="213" t="s">
        <v>24</v>
      </c>
      <c r="B19" s="213"/>
      <c r="C19" s="215">
        <v>0.5</v>
      </c>
      <c r="D19" s="129">
        <f>ROUND(+D16*$C19,-2)</f>
        <v>332000</v>
      </c>
      <c r="E19" s="130"/>
      <c r="F19" s="129">
        <f>ROUND(+F16*$C19,-2)</f>
        <v>481700</v>
      </c>
    </row>
    <row r="20" spans="1:8" ht="17.25">
      <c r="A20" s="213" t="s">
        <v>105</v>
      </c>
      <c r="B20" s="213"/>
      <c r="C20" s="215"/>
      <c r="D20" s="131">
        <f>ROUND(-D32*0.05,-2)</f>
        <v>-15800</v>
      </c>
      <c r="E20" s="130"/>
      <c r="F20" s="131">
        <f>ROUND(-F32*0.05,-2)</f>
        <v>-19900</v>
      </c>
      <c r="H20" s="325"/>
    </row>
    <row r="21" spans="1:8" ht="17.25">
      <c r="A21" s="294" t="s">
        <v>144</v>
      </c>
      <c r="B21" s="213"/>
      <c r="C21" s="215"/>
      <c r="D21" s="132">
        <f>SUM(D19:D20)</f>
        <v>316200</v>
      </c>
      <c r="E21" s="434"/>
      <c r="F21" s="132">
        <f>SUM(F19:F20)</f>
        <v>461800</v>
      </c>
    </row>
    <row r="22" spans="1:8" ht="17.25">
      <c r="A22" s="213"/>
      <c r="B22" s="213"/>
      <c r="C22" s="209"/>
      <c r="D22" s="133"/>
      <c r="E22" s="132"/>
      <c r="F22" s="132"/>
    </row>
    <row r="23" spans="1:8" ht="15">
      <c r="A23" s="428" t="s">
        <v>25</v>
      </c>
      <c r="B23" s="428"/>
      <c r="C23" s="209"/>
      <c r="D23" s="427"/>
      <c r="E23" s="120"/>
      <c r="F23" s="120"/>
    </row>
    <row r="24" spans="1:8" ht="17.25">
      <c r="A24" s="217" t="s">
        <v>26</v>
      </c>
      <c r="B24" s="217"/>
      <c r="C24" s="209"/>
      <c r="D24" s="135">
        <f>+D47</f>
        <v>200200</v>
      </c>
      <c r="E24" s="120"/>
      <c r="F24" s="482">
        <f>+'Labor Costs built into rates'!F6</f>
        <v>152250</v>
      </c>
    </row>
    <row r="25" spans="1:8" ht="17.25">
      <c r="A25" s="217"/>
      <c r="B25" s="217"/>
      <c r="C25" s="218"/>
      <c r="D25" s="121"/>
      <c r="E25" s="120"/>
      <c r="F25" s="435"/>
    </row>
    <row r="26" spans="1:8" ht="15">
      <c r="A26" s="428" t="s">
        <v>27</v>
      </c>
      <c r="B26" s="428"/>
      <c r="C26" s="120"/>
      <c r="D26" s="136"/>
      <c r="E26" s="120"/>
      <c r="F26" s="120"/>
    </row>
    <row r="27" spans="1:8" ht="15">
      <c r="A27" s="297" t="s">
        <v>103</v>
      </c>
      <c r="B27" s="297"/>
      <c r="C27" s="298"/>
      <c r="D27" s="295">
        <v>102500</v>
      </c>
      <c r="E27" s="120"/>
      <c r="F27" s="480">
        <v>197000</v>
      </c>
    </row>
    <row r="28" spans="1:8" ht="15">
      <c r="A28" s="297" t="s">
        <v>104</v>
      </c>
      <c r="B28" s="297"/>
      <c r="C28" s="476"/>
      <c r="D28" s="295">
        <v>9000</v>
      </c>
      <c r="E28" s="134"/>
      <c r="F28" s="480">
        <v>45000</v>
      </c>
    </row>
    <row r="29" spans="1:8" ht="17.25">
      <c r="A29" s="297" t="s">
        <v>335</v>
      </c>
      <c r="B29" s="297"/>
      <c r="C29" s="476"/>
      <c r="D29" s="296">
        <v>4500</v>
      </c>
      <c r="E29" s="134"/>
      <c r="F29" s="481">
        <v>4650</v>
      </c>
    </row>
    <row r="30" spans="1:8" ht="15">
      <c r="A30" s="217" t="s">
        <v>28</v>
      </c>
      <c r="B30" s="217"/>
      <c r="C30" s="221"/>
      <c r="D30" s="136">
        <f>SUM(D27:D29)</f>
        <v>116000</v>
      </c>
      <c r="E30" s="120"/>
      <c r="F30" s="136">
        <f>SUM(F27:F29)</f>
        <v>246650</v>
      </c>
    </row>
    <row r="31" spans="1:8" ht="17.25">
      <c r="A31" s="217"/>
      <c r="B31" s="217"/>
      <c r="C31" s="221"/>
      <c r="D31" s="120"/>
      <c r="E31" s="438"/>
      <c r="F31" s="120"/>
    </row>
    <row r="32" spans="1:8" ht="17.25">
      <c r="A32" s="217" t="s">
        <v>29</v>
      </c>
      <c r="B32" s="217"/>
      <c r="C32" s="221"/>
      <c r="D32" s="293">
        <f>+D30+D24</f>
        <v>316200</v>
      </c>
      <c r="E32" s="136"/>
      <c r="F32" s="293">
        <f>+F30+F24</f>
        <v>398900</v>
      </c>
    </row>
    <row r="33" spans="1:6" ht="15">
      <c r="A33" s="217"/>
      <c r="B33" s="217"/>
      <c r="C33" s="221"/>
      <c r="D33" s="120"/>
      <c r="E33" s="120"/>
      <c r="F33" s="120"/>
    </row>
    <row r="34" spans="1:6" ht="17.25">
      <c r="A34" s="210" t="s">
        <v>119</v>
      </c>
      <c r="B34" s="210"/>
      <c r="C34" s="222"/>
      <c r="D34" s="238">
        <f>+D32-D21</f>
        <v>0</v>
      </c>
      <c r="E34" s="138"/>
      <c r="F34" s="238">
        <f>+F32-F21</f>
        <v>-62900</v>
      </c>
    </row>
    <row r="35" spans="1:6" ht="15">
      <c r="A35" s="210"/>
      <c r="B35" s="210"/>
      <c r="C35" s="222"/>
      <c r="D35" s="140"/>
      <c r="E35" s="120"/>
      <c r="F35" s="140"/>
    </row>
    <row r="36" spans="1:6" ht="17.25">
      <c r="A36" s="217" t="s">
        <v>30</v>
      </c>
      <c r="B36" s="217"/>
      <c r="C36" s="222"/>
      <c r="D36" s="141">
        <f>+D12*2000/D8/24</f>
        <v>51.356062371102887</v>
      </c>
      <c r="E36" s="139"/>
      <c r="F36" s="141">
        <f>+F12*2000/F8/24</f>
        <v>49.358119317804771</v>
      </c>
    </row>
    <row r="37" spans="1:6" ht="15">
      <c r="A37" s="120"/>
      <c r="B37" s="120"/>
      <c r="C37" s="222"/>
      <c r="D37" s="141"/>
      <c r="E37" s="439"/>
      <c r="F37" s="141"/>
    </row>
    <row r="38" spans="1:6" ht="15">
      <c r="A38" s="217" t="s">
        <v>31</v>
      </c>
      <c r="B38" s="217"/>
      <c r="C38" s="222"/>
      <c r="D38" s="142">
        <f>+D16/D12</f>
        <v>27.892128034949174</v>
      </c>
      <c r="E38" s="439"/>
      <c r="F38" s="142">
        <f>+F16/F12</f>
        <v>40.474122647551745</v>
      </c>
    </row>
    <row r="39" spans="1:6" ht="15.75" thickBot="1">
      <c r="A39" s="210"/>
      <c r="B39" s="210"/>
      <c r="C39" s="222"/>
      <c r="D39" s="223"/>
      <c r="E39" s="134"/>
      <c r="F39" s="120"/>
    </row>
    <row r="40" spans="1:6" ht="15">
      <c r="A40" s="232"/>
      <c r="B40" s="233"/>
      <c r="C40" s="234"/>
      <c r="D40" s="234"/>
      <c r="E40" s="532" t="s">
        <v>279</v>
      </c>
      <c r="F40" s="533" t="s">
        <v>279</v>
      </c>
    </row>
    <row r="41" spans="1:6" ht="30">
      <c r="A41" s="224" t="s">
        <v>32</v>
      </c>
      <c r="B41" s="526" t="s">
        <v>33</v>
      </c>
      <c r="C41" s="527" t="s">
        <v>34</v>
      </c>
      <c r="D41" s="528" t="s">
        <v>35</v>
      </c>
      <c r="E41" s="526" t="s">
        <v>33</v>
      </c>
      <c r="F41" s="225" t="s">
        <v>35</v>
      </c>
    </row>
    <row r="42" spans="1:6" ht="15">
      <c r="A42" s="299" t="s">
        <v>36</v>
      </c>
      <c r="B42" s="477">
        <v>300</v>
      </c>
      <c r="C42" s="478">
        <v>90</v>
      </c>
      <c r="D42" s="478">
        <f>ROUND(B42*C42,-2)</f>
        <v>27000</v>
      </c>
      <c r="E42" s="531">
        <v>170</v>
      </c>
      <c r="F42" s="534">
        <f>+E42*C42</f>
        <v>15300</v>
      </c>
    </row>
    <row r="43" spans="1:6" ht="15">
      <c r="A43" s="299" t="s">
        <v>37</v>
      </c>
      <c r="B43" s="477">
        <v>180</v>
      </c>
      <c r="C43" s="478">
        <v>150</v>
      </c>
      <c r="D43" s="478">
        <f>ROUND(B43*C43,-2)</f>
        <v>27000</v>
      </c>
      <c r="E43" s="531">
        <v>123</v>
      </c>
      <c r="F43" s="534">
        <f t="shared" ref="F43:F46" si="0">+E43*C43</f>
        <v>18450</v>
      </c>
    </row>
    <row r="44" spans="1:6" ht="15">
      <c r="A44" s="299" t="s">
        <v>113</v>
      </c>
      <c r="B44" s="477">
        <v>950</v>
      </c>
      <c r="C44" s="478">
        <v>90</v>
      </c>
      <c r="D44" s="478">
        <f>ROUND(B44*C44,-2)</f>
        <v>85500</v>
      </c>
      <c r="E44" s="531">
        <v>950</v>
      </c>
      <c r="F44" s="534">
        <f t="shared" si="0"/>
        <v>85500</v>
      </c>
    </row>
    <row r="45" spans="1:6" ht="26.25">
      <c r="A45" s="299" t="s">
        <v>151</v>
      </c>
      <c r="B45" s="477">
        <v>400</v>
      </c>
      <c r="C45" s="478">
        <v>90</v>
      </c>
      <c r="D45" s="478">
        <f>ROUND(B45*C45,-2)</f>
        <v>36000</v>
      </c>
      <c r="E45" s="531">
        <v>300</v>
      </c>
      <c r="F45" s="534">
        <f t="shared" si="0"/>
        <v>27000</v>
      </c>
    </row>
    <row r="46" spans="1:6" ht="17.25">
      <c r="A46" s="299" t="s">
        <v>153</v>
      </c>
      <c r="B46" s="300">
        <v>206</v>
      </c>
      <c r="C46" s="479">
        <v>120</v>
      </c>
      <c r="D46" s="529">
        <f>ROUND(B46*C46,-2)</f>
        <v>24700</v>
      </c>
      <c r="E46" s="531">
        <v>50</v>
      </c>
      <c r="F46" s="535">
        <f t="shared" si="0"/>
        <v>6000</v>
      </c>
    </row>
    <row r="47" spans="1:6" ht="17.25">
      <c r="A47" s="227" t="s">
        <v>38</v>
      </c>
      <c r="B47" s="228">
        <f>SUM(B42:B46)</f>
        <v>2036</v>
      </c>
      <c r="C47" s="226"/>
      <c r="D47" s="530">
        <f>SUM(D42:D46)</f>
        <v>200200</v>
      </c>
      <c r="E47" s="531"/>
      <c r="F47" s="536">
        <f>SUM(F42:F46)</f>
        <v>152250</v>
      </c>
    </row>
    <row r="48" spans="1:6" ht="20.25" customHeight="1" thickBot="1">
      <c r="A48" s="235"/>
      <c r="B48" s="236"/>
      <c r="C48" s="237"/>
      <c r="D48" s="237"/>
      <c r="E48" s="537"/>
      <c r="F48" s="538"/>
    </row>
    <row r="49" spans="1:6" ht="15">
      <c r="A49" s="220"/>
      <c r="B49" s="220"/>
      <c r="C49" s="214"/>
      <c r="D49" s="214"/>
      <c r="E49" s="120"/>
      <c r="F49" s="120"/>
    </row>
    <row r="50" spans="1:6" ht="15">
      <c r="A50" s="120"/>
      <c r="B50" s="120"/>
      <c r="C50" s="120"/>
      <c r="D50" s="120"/>
      <c r="E50" s="120"/>
      <c r="F50" s="120"/>
    </row>
    <row r="51" spans="1:6" ht="15">
      <c r="A51" s="120"/>
      <c r="B51" s="120"/>
      <c r="C51" s="120"/>
      <c r="D51" s="120"/>
      <c r="E51" s="120"/>
      <c r="F51" s="120"/>
    </row>
    <row r="52" spans="1:6" ht="15">
      <c r="A52" s="120"/>
      <c r="B52" s="120"/>
      <c r="C52" s="120"/>
      <c r="D52" s="120"/>
      <c r="E52" s="120"/>
      <c r="F52" s="120"/>
    </row>
    <row r="53" spans="1:6" ht="15">
      <c r="A53" s="120"/>
      <c r="B53" s="120"/>
      <c r="C53" s="120"/>
      <c r="D53" s="120"/>
      <c r="E53" s="120"/>
      <c r="F53" s="120"/>
    </row>
    <row r="54" spans="1:6" ht="15">
      <c r="F54" s="120"/>
    </row>
    <row r="55" spans="1:6" ht="15">
      <c r="F55" s="120"/>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EBDE-8CD3-48C9-8D38-F11FD7A1D6ED}">
  <sheetPr>
    <tabColor rgb="FF92D050"/>
  </sheetPr>
  <dimension ref="A1:O52"/>
  <sheetViews>
    <sheetView workbookViewId="0">
      <selection activeCell="A7" sqref="A7"/>
    </sheetView>
  </sheetViews>
  <sheetFormatPr defaultRowHeight="12.75"/>
  <cols>
    <col min="1" max="1" width="72.5703125" bestFit="1" customWidth="1"/>
    <col min="3" max="3" width="11.28515625" bestFit="1" customWidth="1"/>
    <col min="4" max="4" width="12.85546875" bestFit="1" customWidth="1"/>
    <col min="5" max="5" width="8" bestFit="1" customWidth="1"/>
    <col min="6" max="6" width="12.28515625" bestFit="1" customWidth="1"/>
    <col min="256" max="256" width="72.5703125" bestFit="1" customWidth="1"/>
    <col min="258" max="258" width="11.28515625" bestFit="1" customWidth="1"/>
    <col min="259" max="259" width="12.85546875" bestFit="1" customWidth="1"/>
    <col min="260" max="260" width="4.7109375" customWidth="1"/>
    <col min="261" max="261" width="10.42578125" customWidth="1"/>
    <col min="262" max="262" width="12.28515625" bestFit="1" customWidth="1"/>
    <col min="512" max="512" width="72.5703125" bestFit="1" customWidth="1"/>
    <col min="514" max="514" width="11.28515625" bestFit="1" customWidth="1"/>
    <col min="515" max="515" width="12.85546875" bestFit="1" customWidth="1"/>
    <col min="516" max="516" width="4.7109375" customWidth="1"/>
    <col min="517" max="517" width="10.42578125" customWidth="1"/>
    <col min="518" max="518" width="12.28515625" bestFit="1" customWidth="1"/>
    <col min="768" max="768" width="72.5703125" bestFit="1" customWidth="1"/>
    <col min="770" max="770" width="11.28515625" bestFit="1" customWidth="1"/>
    <col min="771" max="771" width="12.85546875" bestFit="1" customWidth="1"/>
    <col min="772" max="772" width="4.7109375" customWidth="1"/>
    <col min="773" max="773" width="10.42578125" customWidth="1"/>
    <col min="774" max="774" width="12.28515625" bestFit="1" customWidth="1"/>
    <col min="1024" max="1024" width="72.5703125" bestFit="1" customWidth="1"/>
    <col min="1026" max="1026" width="11.28515625" bestFit="1" customWidth="1"/>
    <col min="1027" max="1027" width="12.85546875" bestFit="1" customWidth="1"/>
    <col min="1028" max="1028" width="4.7109375" customWidth="1"/>
    <col min="1029" max="1029" width="10.42578125" customWidth="1"/>
    <col min="1030" max="1030" width="12.28515625" bestFit="1" customWidth="1"/>
    <col min="1280" max="1280" width="72.5703125" bestFit="1" customWidth="1"/>
    <col min="1282" max="1282" width="11.28515625" bestFit="1" customWidth="1"/>
    <col min="1283" max="1283" width="12.85546875" bestFit="1" customWidth="1"/>
    <col min="1284" max="1284" width="4.7109375" customWidth="1"/>
    <col min="1285" max="1285" width="10.42578125" customWidth="1"/>
    <col min="1286" max="1286" width="12.28515625" bestFit="1" customWidth="1"/>
    <col min="1536" max="1536" width="72.5703125" bestFit="1" customWidth="1"/>
    <col min="1538" max="1538" width="11.28515625" bestFit="1" customWidth="1"/>
    <col min="1539" max="1539" width="12.85546875" bestFit="1" customWidth="1"/>
    <col min="1540" max="1540" width="4.7109375" customWidth="1"/>
    <col min="1541" max="1541" width="10.42578125" customWidth="1"/>
    <col min="1542" max="1542" width="12.28515625" bestFit="1" customWidth="1"/>
    <col min="1792" max="1792" width="72.5703125" bestFit="1" customWidth="1"/>
    <col min="1794" max="1794" width="11.28515625" bestFit="1" customWidth="1"/>
    <col min="1795" max="1795" width="12.85546875" bestFit="1" customWidth="1"/>
    <col min="1796" max="1796" width="4.7109375" customWidth="1"/>
    <col min="1797" max="1797" width="10.42578125" customWidth="1"/>
    <col min="1798" max="1798" width="12.28515625" bestFit="1" customWidth="1"/>
    <col min="2048" max="2048" width="72.5703125" bestFit="1" customWidth="1"/>
    <col min="2050" max="2050" width="11.28515625" bestFit="1" customWidth="1"/>
    <col min="2051" max="2051" width="12.85546875" bestFit="1" customWidth="1"/>
    <col min="2052" max="2052" width="4.7109375" customWidth="1"/>
    <col min="2053" max="2053" width="10.42578125" customWidth="1"/>
    <col min="2054" max="2054" width="12.28515625" bestFit="1" customWidth="1"/>
    <col min="2304" max="2304" width="72.5703125" bestFit="1" customWidth="1"/>
    <col min="2306" max="2306" width="11.28515625" bestFit="1" customWidth="1"/>
    <col min="2307" max="2307" width="12.85546875" bestFit="1" customWidth="1"/>
    <col min="2308" max="2308" width="4.7109375" customWidth="1"/>
    <col min="2309" max="2309" width="10.42578125" customWidth="1"/>
    <col min="2310" max="2310" width="12.28515625" bestFit="1" customWidth="1"/>
    <col min="2560" max="2560" width="72.5703125" bestFit="1" customWidth="1"/>
    <col min="2562" max="2562" width="11.28515625" bestFit="1" customWidth="1"/>
    <col min="2563" max="2563" width="12.85546875" bestFit="1" customWidth="1"/>
    <col min="2564" max="2564" width="4.7109375" customWidth="1"/>
    <col min="2565" max="2565" width="10.42578125" customWidth="1"/>
    <col min="2566" max="2566" width="12.28515625" bestFit="1" customWidth="1"/>
    <col min="2816" max="2816" width="72.5703125" bestFit="1" customWidth="1"/>
    <col min="2818" max="2818" width="11.28515625" bestFit="1" customWidth="1"/>
    <col min="2819" max="2819" width="12.85546875" bestFit="1" customWidth="1"/>
    <col min="2820" max="2820" width="4.7109375" customWidth="1"/>
    <col min="2821" max="2821" width="10.42578125" customWidth="1"/>
    <col min="2822" max="2822" width="12.28515625" bestFit="1" customWidth="1"/>
    <col min="3072" max="3072" width="72.5703125" bestFit="1" customWidth="1"/>
    <col min="3074" max="3074" width="11.28515625" bestFit="1" customWidth="1"/>
    <col min="3075" max="3075" width="12.85546875" bestFit="1" customWidth="1"/>
    <col min="3076" max="3076" width="4.7109375" customWidth="1"/>
    <col min="3077" max="3077" width="10.42578125" customWidth="1"/>
    <col min="3078" max="3078" width="12.28515625" bestFit="1" customWidth="1"/>
    <col min="3328" max="3328" width="72.5703125" bestFit="1" customWidth="1"/>
    <col min="3330" max="3330" width="11.28515625" bestFit="1" customWidth="1"/>
    <col min="3331" max="3331" width="12.85546875" bestFit="1" customWidth="1"/>
    <col min="3332" max="3332" width="4.7109375" customWidth="1"/>
    <col min="3333" max="3333" width="10.42578125" customWidth="1"/>
    <col min="3334" max="3334" width="12.28515625" bestFit="1" customWidth="1"/>
    <col min="3584" max="3584" width="72.5703125" bestFit="1" customWidth="1"/>
    <col min="3586" max="3586" width="11.28515625" bestFit="1" customWidth="1"/>
    <col min="3587" max="3587" width="12.85546875" bestFit="1" customWidth="1"/>
    <col min="3588" max="3588" width="4.7109375" customWidth="1"/>
    <col min="3589" max="3589" width="10.42578125" customWidth="1"/>
    <col min="3590" max="3590" width="12.28515625" bestFit="1" customWidth="1"/>
    <col min="3840" max="3840" width="72.5703125" bestFit="1" customWidth="1"/>
    <col min="3842" max="3842" width="11.28515625" bestFit="1" customWidth="1"/>
    <col min="3843" max="3843" width="12.85546875" bestFit="1" customWidth="1"/>
    <col min="3844" max="3844" width="4.7109375" customWidth="1"/>
    <col min="3845" max="3845" width="10.42578125" customWidth="1"/>
    <col min="3846" max="3846" width="12.28515625" bestFit="1" customWidth="1"/>
    <col min="4096" max="4096" width="72.5703125" bestFit="1" customWidth="1"/>
    <col min="4098" max="4098" width="11.28515625" bestFit="1" customWidth="1"/>
    <col min="4099" max="4099" width="12.85546875" bestFit="1" customWidth="1"/>
    <col min="4100" max="4100" width="4.7109375" customWidth="1"/>
    <col min="4101" max="4101" width="10.42578125" customWidth="1"/>
    <col min="4102" max="4102" width="12.28515625" bestFit="1" customWidth="1"/>
    <col min="4352" max="4352" width="72.5703125" bestFit="1" customWidth="1"/>
    <col min="4354" max="4354" width="11.28515625" bestFit="1" customWidth="1"/>
    <col min="4355" max="4355" width="12.85546875" bestFit="1" customWidth="1"/>
    <col min="4356" max="4356" width="4.7109375" customWidth="1"/>
    <col min="4357" max="4357" width="10.42578125" customWidth="1"/>
    <col min="4358" max="4358" width="12.28515625" bestFit="1" customWidth="1"/>
    <col min="4608" max="4608" width="72.5703125" bestFit="1" customWidth="1"/>
    <col min="4610" max="4610" width="11.28515625" bestFit="1" customWidth="1"/>
    <col min="4611" max="4611" width="12.85546875" bestFit="1" customWidth="1"/>
    <col min="4612" max="4612" width="4.7109375" customWidth="1"/>
    <col min="4613" max="4613" width="10.42578125" customWidth="1"/>
    <col min="4614" max="4614" width="12.28515625" bestFit="1" customWidth="1"/>
    <col min="4864" max="4864" width="72.5703125" bestFit="1" customWidth="1"/>
    <col min="4866" max="4866" width="11.28515625" bestFit="1" customWidth="1"/>
    <col min="4867" max="4867" width="12.85546875" bestFit="1" customWidth="1"/>
    <col min="4868" max="4868" width="4.7109375" customWidth="1"/>
    <col min="4869" max="4869" width="10.42578125" customWidth="1"/>
    <col min="4870" max="4870" width="12.28515625" bestFit="1" customWidth="1"/>
    <col min="5120" max="5120" width="72.5703125" bestFit="1" customWidth="1"/>
    <col min="5122" max="5122" width="11.28515625" bestFit="1" customWidth="1"/>
    <col min="5123" max="5123" width="12.85546875" bestFit="1" customWidth="1"/>
    <col min="5124" max="5124" width="4.7109375" customWidth="1"/>
    <col min="5125" max="5125" width="10.42578125" customWidth="1"/>
    <col min="5126" max="5126" width="12.28515625" bestFit="1" customWidth="1"/>
    <col min="5376" max="5376" width="72.5703125" bestFit="1" customWidth="1"/>
    <col min="5378" max="5378" width="11.28515625" bestFit="1" customWidth="1"/>
    <col min="5379" max="5379" width="12.85546875" bestFit="1" customWidth="1"/>
    <col min="5380" max="5380" width="4.7109375" customWidth="1"/>
    <col min="5381" max="5381" width="10.42578125" customWidth="1"/>
    <col min="5382" max="5382" width="12.28515625" bestFit="1" customWidth="1"/>
    <col min="5632" max="5632" width="72.5703125" bestFit="1" customWidth="1"/>
    <col min="5634" max="5634" width="11.28515625" bestFit="1" customWidth="1"/>
    <col min="5635" max="5635" width="12.85546875" bestFit="1" customWidth="1"/>
    <col min="5636" max="5636" width="4.7109375" customWidth="1"/>
    <col min="5637" max="5637" width="10.42578125" customWidth="1"/>
    <col min="5638" max="5638" width="12.28515625" bestFit="1" customWidth="1"/>
    <col min="5888" max="5888" width="72.5703125" bestFit="1" customWidth="1"/>
    <col min="5890" max="5890" width="11.28515625" bestFit="1" customWidth="1"/>
    <col min="5891" max="5891" width="12.85546875" bestFit="1" customWidth="1"/>
    <col min="5892" max="5892" width="4.7109375" customWidth="1"/>
    <col min="5893" max="5893" width="10.42578125" customWidth="1"/>
    <col min="5894" max="5894" width="12.28515625" bestFit="1" customWidth="1"/>
    <col min="6144" max="6144" width="72.5703125" bestFit="1" customWidth="1"/>
    <col min="6146" max="6146" width="11.28515625" bestFit="1" customWidth="1"/>
    <col min="6147" max="6147" width="12.85546875" bestFit="1" customWidth="1"/>
    <col min="6148" max="6148" width="4.7109375" customWidth="1"/>
    <col min="6149" max="6149" width="10.42578125" customWidth="1"/>
    <col min="6150" max="6150" width="12.28515625" bestFit="1" customWidth="1"/>
    <col min="6400" max="6400" width="72.5703125" bestFit="1" customWidth="1"/>
    <col min="6402" max="6402" width="11.28515625" bestFit="1" customWidth="1"/>
    <col min="6403" max="6403" width="12.85546875" bestFit="1" customWidth="1"/>
    <col min="6404" max="6404" width="4.7109375" customWidth="1"/>
    <col min="6405" max="6405" width="10.42578125" customWidth="1"/>
    <col min="6406" max="6406" width="12.28515625" bestFit="1" customWidth="1"/>
    <col min="6656" max="6656" width="72.5703125" bestFit="1" customWidth="1"/>
    <col min="6658" max="6658" width="11.28515625" bestFit="1" customWidth="1"/>
    <col min="6659" max="6659" width="12.85546875" bestFit="1" customWidth="1"/>
    <col min="6660" max="6660" width="4.7109375" customWidth="1"/>
    <col min="6661" max="6661" width="10.42578125" customWidth="1"/>
    <col min="6662" max="6662" width="12.28515625" bestFit="1" customWidth="1"/>
    <col min="6912" max="6912" width="72.5703125" bestFit="1" customWidth="1"/>
    <col min="6914" max="6914" width="11.28515625" bestFit="1" customWidth="1"/>
    <col min="6915" max="6915" width="12.85546875" bestFit="1" customWidth="1"/>
    <col min="6916" max="6916" width="4.7109375" customWidth="1"/>
    <col min="6917" max="6917" width="10.42578125" customWidth="1"/>
    <col min="6918" max="6918" width="12.28515625" bestFit="1" customWidth="1"/>
    <col min="7168" max="7168" width="72.5703125" bestFit="1" customWidth="1"/>
    <col min="7170" max="7170" width="11.28515625" bestFit="1" customWidth="1"/>
    <col min="7171" max="7171" width="12.85546875" bestFit="1" customWidth="1"/>
    <col min="7172" max="7172" width="4.7109375" customWidth="1"/>
    <col min="7173" max="7173" width="10.42578125" customWidth="1"/>
    <col min="7174" max="7174" width="12.28515625" bestFit="1" customWidth="1"/>
    <col min="7424" max="7424" width="72.5703125" bestFit="1" customWidth="1"/>
    <col min="7426" max="7426" width="11.28515625" bestFit="1" customWidth="1"/>
    <col min="7427" max="7427" width="12.85546875" bestFit="1" customWidth="1"/>
    <col min="7428" max="7428" width="4.7109375" customWidth="1"/>
    <col min="7429" max="7429" width="10.42578125" customWidth="1"/>
    <col min="7430" max="7430" width="12.28515625" bestFit="1" customWidth="1"/>
    <col min="7680" max="7680" width="72.5703125" bestFit="1" customWidth="1"/>
    <col min="7682" max="7682" width="11.28515625" bestFit="1" customWidth="1"/>
    <col min="7683" max="7683" width="12.85546875" bestFit="1" customWidth="1"/>
    <col min="7684" max="7684" width="4.7109375" customWidth="1"/>
    <col min="7685" max="7685" width="10.42578125" customWidth="1"/>
    <col min="7686" max="7686" width="12.28515625" bestFit="1" customWidth="1"/>
    <col min="7936" max="7936" width="72.5703125" bestFit="1" customWidth="1"/>
    <col min="7938" max="7938" width="11.28515625" bestFit="1" customWidth="1"/>
    <col min="7939" max="7939" width="12.85546875" bestFit="1" customWidth="1"/>
    <col min="7940" max="7940" width="4.7109375" customWidth="1"/>
    <col min="7941" max="7941" width="10.42578125" customWidth="1"/>
    <col min="7942" max="7942" width="12.28515625" bestFit="1" customWidth="1"/>
    <col min="8192" max="8192" width="72.5703125" bestFit="1" customWidth="1"/>
    <col min="8194" max="8194" width="11.28515625" bestFit="1" customWidth="1"/>
    <col min="8195" max="8195" width="12.85546875" bestFit="1" customWidth="1"/>
    <col min="8196" max="8196" width="4.7109375" customWidth="1"/>
    <col min="8197" max="8197" width="10.42578125" customWidth="1"/>
    <col min="8198" max="8198" width="12.28515625" bestFit="1" customWidth="1"/>
    <col min="8448" max="8448" width="72.5703125" bestFit="1" customWidth="1"/>
    <col min="8450" max="8450" width="11.28515625" bestFit="1" customWidth="1"/>
    <col min="8451" max="8451" width="12.85546875" bestFit="1" customWidth="1"/>
    <col min="8452" max="8452" width="4.7109375" customWidth="1"/>
    <col min="8453" max="8453" width="10.42578125" customWidth="1"/>
    <col min="8454" max="8454" width="12.28515625" bestFit="1" customWidth="1"/>
    <col min="8704" max="8704" width="72.5703125" bestFit="1" customWidth="1"/>
    <col min="8706" max="8706" width="11.28515625" bestFit="1" customWidth="1"/>
    <col min="8707" max="8707" width="12.85546875" bestFit="1" customWidth="1"/>
    <col min="8708" max="8708" width="4.7109375" customWidth="1"/>
    <col min="8709" max="8709" width="10.42578125" customWidth="1"/>
    <col min="8710" max="8710" width="12.28515625" bestFit="1" customWidth="1"/>
    <col min="8960" max="8960" width="72.5703125" bestFit="1" customWidth="1"/>
    <col min="8962" max="8962" width="11.28515625" bestFit="1" customWidth="1"/>
    <col min="8963" max="8963" width="12.85546875" bestFit="1" customWidth="1"/>
    <col min="8964" max="8964" width="4.7109375" customWidth="1"/>
    <col min="8965" max="8965" width="10.42578125" customWidth="1"/>
    <col min="8966" max="8966" width="12.28515625" bestFit="1" customWidth="1"/>
    <col min="9216" max="9216" width="72.5703125" bestFit="1" customWidth="1"/>
    <col min="9218" max="9218" width="11.28515625" bestFit="1" customWidth="1"/>
    <col min="9219" max="9219" width="12.85546875" bestFit="1" customWidth="1"/>
    <col min="9220" max="9220" width="4.7109375" customWidth="1"/>
    <col min="9221" max="9221" width="10.42578125" customWidth="1"/>
    <col min="9222" max="9222" width="12.28515625" bestFit="1" customWidth="1"/>
    <col min="9472" max="9472" width="72.5703125" bestFit="1" customWidth="1"/>
    <col min="9474" max="9474" width="11.28515625" bestFit="1" customWidth="1"/>
    <col min="9475" max="9475" width="12.85546875" bestFit="1" customWidth="1"/>
    <col min="9476" max="9476" width="4.7109375" customWidth="1"/>
    <col min="9477" max="9477" width="10.42578125" customWidth="1"/>
    <col min="9478" max="9478" width="12.28515625" bestFit="1" customWidth="1"/>
    <col min="9728" max="9728" width="72.5703125" bestFit="1" customWidth="1"/>
    <col min="9730" max="9730" width="11.28515625" bestFit="1" customWidth="1"/>
    <col min="9731" max="9731" width="12.85546875" bestFit="1" customWidth="1"/>
    <col min="9732" max="9732" width="4.7109375" customWidth="1"/>
    <col min="9733" max="9733" width="10.42578125" customWidth="1"/>
    <col min="9734" max="9734" width="12.28515625" bestFit="1" customWidth="1"/>
    <col min="9984" max="9984" width="72.5703125" bestFit="1" customWidth="1"/>
    <col min="9986" max="9986" width="11.28515625" bestFit="1" customWidth="1"/>
    <col min="9987" max="9987" width="12.85546875" bestFit="1" customWidth="1"/>
    <col min="9988" max="9988" width="4.7109375" customWidth="1"/>
    <col min="9989" max="9989" width="10.42578125" customWidth="1"/>
    <col min="9990" max="9990" width="12.28515625" bestFit="1" customWidth="1"/>
    <col min="10240" max="10240" width="72.5703125" bestFit="1" customWidth="1"/>
    <col min="10242" max="10242" width="11.28515625" bestFit="1" customWidth="1"/>
    <col min="10243" max="10243" width="12.85546875" bestFit="1" customWidth="1"/>
    <col min="10244" max="10244" width="4.7109375" customWidth="1"/>
    <col min="10245" max="10245" width="10.42578125" customWidth="1"/>
    <col min="10246" max="10246" width="12.28515625" bestFit="1" customWidth="1"/>
    <col min="10496" max="10496" width="72.5703125" bestFit="1" customWidth="1"/>
    <col min="10498" max="10498" width="11.28515625" bestFit="1" customWidth="1"/>
    <col min="10499" max="10499" width="12.85546875" bestFit="1" customWidth="1"/>
    <col min="10500" max="10500" width="4.7109375" customWidth="1"/>
    <col min="10501" max="10501" width="10.42578125" customWidth="1"/>
    <col min="10502" max="10502" width="12.28515625" bestFit="1" customWidth="1"/>
    <col min="10752" max="10752" width="72.5703125" bestFit="1" customWidth="1"/>
    <col min="10754" max="10754" width="11.28515625" bestFit="1" customWidth="1"/>
    <col min="10755" max="10755" width="12.85546875" bestFit="1" customWidth="1"/>
    <col min="10756" max="10756" width="4.7109375" customWidth="1"/>
    <col min="10757" max="10757" width="10.42578125" customWidth="1"/>
    <col min="10758" max="10758" width="12.28515625" bestFit="1" customWidth="1"/>
    <col min="11008" max="11008" width="72.5703125" bestFit="1" customWidth="1"/>
    <col min="11010" max="11010" width="11.28515625" bestFit="1" customWidth="1"/>
    <col min="11011" max="11011" width="12.85546875" bestFit="1" customWidth="1"/>
    <col min="11012" max="11012" width="4.7109375" customWidth="1"/>
    <col min="11013" max="11013" width="10.42578125" customWidth="1"/>
    <col min="11014" max="11014" width="12.28515625" bestFit="1" customWidth="1"/>
    <col min="11264" max="11264" width="72.5703125" bestFit="1" customWidth="1"/>
    <col min="11266" max="11266" width="11.28515625" bestFit="1" customWidth="1"/>
    <col min="11267" max="11267" width="12.85546875" bestFit="1" customWidth="1"/>
    <col min="11268" max="11268" width="4.7109375" customWidth="1"/>
    <col min="11269" max="11269" width="10.42578125" customWidth="1"/>
    <col min="11270" max="11270" width="12.28515625" bestFit="1" customWidth="1"/>
    <col min="11520" max="11520" width="72.5703125" bestFit="1" customWidth="1"/>
    <col min="11522" max="11522" width="11.28515625" bestFit="1" customWidth="1"/>
    <col min="11523" max="11523" width="12.85546875" bestFit="1" customWidth="1"/>
    <col min="11524" max="11524" width="4.7109375" customWidth="1"/>
    <col min="11525" max="11525" width="10.42578125" customWidth="1"/>
    <col min="11526" max="11526" width="12.28515625" bestFit="1" customWidth="1"/>
    <col min="11776" max="11776" width="72.5703125" bestFit="1" customWidth="1"/>
    <col min="11778" max="11778" width="11.28515625" bestFit="1" customWidth="1"/>
    <col min="11779" max="11779" width="12.85546875" bestFit="1" customWidth="1"/>
    <col min="11780" max="11780" width="4.7109375" customWidth="1"/>
    <col min="11781" max="11781" width="10.42578125" customWidth="1"/>
    <col min="11782" max="11782" width="12.28515625" bestFit="1" customWidth="1"/>
    <col min="12032" max="12032" width="72.5703125" bestFit="1" customWidth="1"/>
    <col min="12034" max="12034" width="11.28515625" bestFit="1" customWidth="1"/>
    <col min="12035" max="12035" width="12.85546875" bestFit="1" customWidth="1"/>
    <col min="12036" max="12036" width="4.7109375" customWidth="1"/>
    <col min="12037" max="12037" width="10.42578125" customWidth="1"/>
    <col min="12038" max="12038" width="12.28515625" bestFit="1" customWidth="1"/>
    <col min="12288" max="12288" width="72.5703125" bestFit="1" customWidth="1"/>
    <col min="12290" max="12290" width="11.28515625" bestFit="1" customWidth="1"/>
    <col min="12291" max="12291" width="12.85546875" bestFit="1" customWidth="1"/>
    <col min="12292" max="12292" width="4.7109375" customWidth="1"/>
    <col min="12293" max="12293" width="10.42578125" customWidth="1"/>
    <col min="12294" max="12294" width="12.28515625" bestFit="1" customWidth="1"/>
    <col min="12544" max="12544" width="72.5703125" bestFit="1" customWidth="1"/>
    <col min="12546" max="12546" width="11.28515625" bestFit="1" customWidth="1"/>
    <col min="12547" max="12547" width="12.85546875" bestFit="1" customWidth="1"/>
    <col min="12548" max="12548" width="4.7109375" customWidth="1"/>
    <col min="12549" max="12549" width="10.42578125" customWidth="1"/>
    <col min="12550" max="12550" width="12.28515625" bestFit="1" customWidth="1"/>
    <col min="12800" max="12800" width="72.5703125" bestFit="1" customWidth="1"/>
    <col min="12802" max="12802" width="11.28515625" bestFit="1" customWidth="1"/>
    <col min="12803" max="12803" width="12.85546875" bestFit="1" customWidth="1"/>
    <col min="12804" max="12804" width="4.7109375" customWidth="1"/>
    <col min="12805" max="12805" width="10.42578125" customWidth="1"/>
    <col min="12806" max="12806" width="12.28515625" bestFit="1" customWidth="1"/>
    <col min="13056" max="13056" width="72.5703125" bestFit="1" customWidth="1"/>
    <col min="13058" max="13058" width="11.28515625" bestFit="1" customWidth="1"/>
    <col min="13059" max="13059" width="12.85546875" bestFit="1" customWidth="1"/>
    <col min="13060" max="13060" width="4.7109375" customWidth="1"/>
    <col min="13061" max="13061" width="10.42578125" customWidth="1"/>
    <col min="13062" max="13062" width="12.28515625" bestFit="1" customWidth="1"/>
    <col min="13312" max="13312" width="72.5703125" bestFit="1" customWidth="1"/>
    <col min="13314" max="13314" width="11.28515625" bestFit="1" customWidth="1"/>
    <col min="13315" max="13315" width="12.85546875" bestFit="1" customWidth="1"/>
    <col min="13316" max="13316" width="4.7109375" customWidth="1"/>
    <col min="13317" max="13317" width="10.42578125" customWidth="1"/>
    <col min="13318" max="13318" width="12.28515625" bestFit="1" customWidth="1"/>
    <col min="13568" max="13568" width="72.5703125" bestFit="1" customWidth="1"/>
    <col min="13570" max="13570" width="11.28515625" bestFit="1" customWidth="1"/>
    <col min="13571" max="13571" width="12.85546875" bestFit="1" customWidth="1"/>
    <col min="13572" max="13572" width="4.7109375" customWidth="1"/>
    <col min="13573" max="13573" width="10.42578125" customWidth="1"/>
    <col min="13574" max="13574" width="12.28515625" bestFit="1" customWidth="1"/>
    <col min="13824" max="13824" width="72.5703125" bestFit="1" customWidth="1"/>
    <col min="13826" max="13826" width="11.28515625" bestFit="1" customWidth="1"/>
    <col min="13827" max="13827" width="12.85546875" bestFit="1" customWidth="1"/>
    <col min="13828" max="13828" width="4.7109375" customWidth="1"/>
    <col min="13829" max="13829" width="10.42578125" customWidth="1"/>
    <col min="13830" max="13830" width="12.28515625" bestFit="1" customWidth="1"/>
    <col min="14080" max="14080" width="72.5703125" bestFit="1" customWidth="1"/>
    <col min="14082" max="14082" width="11.28515625" bestFit="1" customWidth="1"/>
    <col min="14083" max="14083" width="12.85546875" bestFit="1" customWidth="1"/>
    <col min="14084" max="14084" width="4.7109375" customWidth="1"/>
    <col min="14085" max="14085" width="10.42578125" customWidth="1"/>
    <col min="14086" max="14086" width="12.28515625" bestFit="1" customWidth="1"/>
    <col min="14336" max="14336" width="72.5703125" bestFit="1" customWidth="1"/>
    <col min="14338" max="14338" width="11.28515625" bestFit="1" customWidth="1"/>
    <col min="14339" max="14339" width="12.85546875" bestFit="1" customWidth="1"/>
    <col min="14340" max="14340" width="4.7109375" customWidth="1"/>
    <col min="14341" max="14341" width="10.42578125" customWidth="1"/>
    <col min="14342" max="14342" width="12.28515625" bestFit="1" customWidth="1"/>
    <col min="14592" max="14592" width="72.5703125" bestFit="1" customWidth="1"/>
    <col min="14594" max="14594" width="11.28515625" bestFit="1" customWidth="1"/>
    <col min="14595" max="14595" width="12.85546875" bestFit="1" customWidth="1"/>
    <col min="14596" max="14596" width="4.7109375" customWidth="1"/>
    <col min="14597" max="14597" width="10.42578125" customWidth="1"/>
    <col min="14598" max="14598" width="12.28515625" bestFit="1" customWidth="1"/>
    <col min="14848" max="14848" width="72.5703125" bestFit="1" customWidth="1"/>
    <col min="14850" max="14850" width="11.28515625" bestFit="1" customWidth="1"/>
    <col min="14851" max="14851" width="12.85546875" bestFit="1" customWidth="1"/>
    <col min="14852" max="14852" width="4.7109375" customWidth="1"/>
    <col min="14853" max="14853" width="10.42578125" customWidth="1"/>
    <col min="14854" max="14854" width="12.28515625" bestFit="1" customWidth="1"/>
    <col min="15104" max="15104" width="72.5703125" bestFit="1" customWidth="1"/>
    <col min="15106" max="15106" width="11.28515625" bestFit="1" customWidth="1"/>
    <col min="15107" max="15107" width="12.85546875" bestFit="1" customWidth="1"/>
    <col min="15108" max="15108" width="4.7109375" customWidth="1"/>
    <col min="15109" max="15109" width="10.42578125" customWidth="1"/>
    <col min="15110" max="15110" width="12.28515625" bestFit="1" customWidth="1"/>
    <col min="15360" max="15360" width="72.5703125" bestFit="1" customWidth="1"/>
    <col min="15362" max="15362" width="11.28515625" bestFit="1" customWidth="1"/>
    <col min="15363" max="15363" width="12.85546875" bestFit="1" customWidth="1"/>
    <col min="15364" max="15364" width="4.7109375" customWidth="1"/>
    <col min="15365" max="15365" width="10.42578125" customWidth="1"/>
    <col min="15366" max="15366" width="12.28515625" bestFit="1" customWidth="1"/>
    <col min="15616" max="15616" width="72.5703125" bestFit="1" customWidth="1"/>
    <col min="15618" max="15618" width="11.28515625" bestFit="1" customWidth="1"/>
    <col min="15619" max="15619" width="12.85546875" bestFit="1" customWidth="1"/>
    <col min="15620" max="15620" width="4.7109375" customWidth="1"/>
    <col min="15621" max="15621" width="10.42578125" customWidth="1"/>
    <col min="15622" max="15622" width="12.28515625" bestFit="1" customWidth="1"/>
    <col min="15872" max="15872" width="72.5703125" bestFit="1" customWidth="1"/>
    <col min="15874" max="15874" width="11.28515625" bestFit="1" customWidth="1"/>
    <col min="15875" max="15875" width="12.85546875" bestFit="1" customWidth="1"/>
    <col min="15876" max="15876" width="4.7109375" customWidth="1"/>
    <col min="15877" max="15877" width="10.42578125" customWidth="1"/>
    <col min="15878" max="15878" width="12.28515625" bestFit="1" customWidth="1"/>
    <col min="16128" max="16128" width="72.5703125" bestFit="1" customWidth="1"/>
    <col min="16130" max="16130" width="11.28515625" bestFit="1" customWidth="1"/>
    <col min="16131" max="16131" width="12.85546875" bestFit="1" customWidth="1"/>
    <col min="16132" max="16132" width="4.7109375" customWidth="1"/>
    <col min="16133" max="16133" width="10.42578125" customWidth="1"/>
    <col min="16134" max="16134" width="12.28515625" bestFit="1" customWidth="1"/>
  </cols>
  <sheetData>
    <row r="1" spans="1:6" ht="23.25">
      <c r="A1" s="425" t="s">
        <v>39</v>
      </c>
      <c r="B1" s="425"/>
    </row>
    <row r="2" spans="1:6" ht="15.75">
      <c r="A2" s="23" t="s">
        <v>278</v>
      </c>
      <c r="B2" s="23"/>
      <c r="C2" s="24"/>
      <c r="D2" s="118"/>
      <c r="E2" s="118"/>
    </row>
    <row r="3" spans="1:6" ht="15">
      <c r="A3" s="26"/>
      <c r="B3" s="26"/>
      <c r="C3" s="24"/>
      <c r="D3" s="121" t="s">
        <v>40</v>
      </c>
      <c r="E3" s="121"/>
      <c r="F3" s="121" t="s">
        <v>40</v>
      </c>
    </row>
    <row r="4" spans="1:6" ht="15">
      <c r="A4" s="26"/>
      <c r="B4" s="26"/>
      <c r="C4" s="24"/>
      <c r="D4" s="121" t="s">
        <v>15</v>
      </c>
      <c r="E4" s="121"/>
      <c r="F4" s="121" t="s">
        <v>15</v>
      </c>
    </row>
    <row r="5" spans="1:6" ht="17.25">
      <c r="C5" s="24"/>
      <c r="D5" s="122" t="s">
        <v>114</v>
      </c>
      <c r="E5" s="122"/>
      <c r="F5" s="122" t="s">
        <v>279</v>
      </c>
    </row>
    <row r="6" spans="1:6" ht="15">
      <c r="A6" s="69" t="s">
        <v>18</v>
      </c>
      <c r="B6" s="69"/>
      <c r="C6" s="24"/>
      <c r="D6" s="427"/>
      <c r="E6" s="427"/>
      <c r="F6" s="120"/>
    </row>
    <row r="7" spans="1:6" ht="17.25">
      <c r="A7" t="s">
        <v>19</v>
      </c>
      <c r="C7" s="24"/>
      <c r="D7" s="429">
        <v>99261</v>
      </c>
      <c r="E7" s="429"/>
      <c r="F7" s="430">
        <f>+'Customer Counts - Enspire'!I38</f>
        <v>102548.83333333333</v>
      </c>
    </row>
    <row r="8" spans="1:6" ht="15">
      <c r="C8" s="24"/>
      <c r="D8" s="125"/>
      <c r="E8" s="125"/>
      <c r="F8" s="120"/>
    </row>
    <row r="9" spans="1:6" ht="15">
      <c r="C9" s="24"/>
      <c r="D9" s="125"/>
      <c r="E9" s="125"/>
      <c r="F9" s="120"/>
    </row>
    <row r="10" spans="1:6" ht="15">
      <c r="A10" s="69" t="s">
        <v>20</v>
      </c>
      <c r="B10" s="69"/>
      <c r="C10" s="24"/>
      <c r="D10" s="125"/>
      <c r="E10" s="125"/>
      <c r="F10" s="120"/>
    </row>
    <row r="11" spans="1:6" ht="17.25">
      <c r="A11" s="68" t="s">
        <v>280</v>
      </c>
      <c r="B11" s="68"/>
      <c r="C11" s="24"/>
      <c r="D11" s="431">
        <v>57292</v>
      </c>
      <c r="E11" s="431"/>
      <c r="F11" s="432">
        <f>+'2020-2021 Recy. Tons &amp; Revenue'!D59</f>
        <v>58365.509999999987</v>
      </c>
    </row>
    <row r="12" spans="1:6" ht="15">
      <c r="C12" s="24"/>
      <c r="D12" s="125"/>
      <c r="E12" s="125"/>
      <c r="F12" s="120"/>
    </row>
    <row r="13" spans="1:6" ht="15">
      <c r="C13" s="24"/>
      <c r="D13" s="125"/>
      <c r="E13" s="125"/>
      <c r="F13" s="120"/>
    </row>
    <row r="14" spans="1:6" ht="21">
      <c r="A14" s="440" t="s">
        <v>21</v>
      </c>
      <c r="B14" s="440"/>
      <c r="C14" s="24"/>
      <c r="D14" s="427"/>
      <c r="E14" s="427"/>
      <c r="F14" s="120"/>
    </row>
    <row r="15" spans="1:6" ht="32.25">
      <c r="A15" s="31" t="s">
        <v>22</v>
      </c>
      <c r="B15" s="31"/>
      <c r="C15" s="32"/>
      <c r="D15" s="127">
        <v>1184000</v>
      </c>
      <c r="E15" s="127"/>
      <c r="F15" s="433">
        <f>+'2020-2021 Recy. Tons &amp; Revenue'!H59</f>
        <v>2317292.8822578704</v>
      </c>
    </row>
    <row r="16" spans="1:6" ht="15">
      <c r="A16" s="31"/>
      <c r="B16" s="31"/>
      <c r="C16" s="32"/>
      <c r="D16" s="128"/>
      <c r="E16" s="128"/>
      <c r="F16" s="120"/>
    </row>
    <row r="17" spans="1:15" ht="21">
      <c r="A17" s="440" t="s">
        <v>23</v>
      </c>
      <c r="B17" s="31"/>
      <c r="C17" s="32"/>
      <c r="D17" s="128"/>
      <c r="E17" s="128"/>
      <c r="F17" s="120"/>
    </row>
    <row r="18" spans="1:15" ht="15">
      <c r="A18" s="31" t="s">
        <v>24</v>
      </c>
      <c r="B18" s="31"/>
      <c r="C18" s="56">
        <v>0.5</v>
      </c>
      <c r="D18" s="129">
        <f>ROUND(+D15*$C18,-2)</f>
        <v>592000</v>
      </c>
      <c r="E18" s="129"/>
      <c r="F18" s="484">
        <f>ROUND(+F15*$C18,-3)</f>
        <v>1159000</v>
      </c>
    </row>
    <row r="19" spans="1:15" ht="15">
      <c r="A19" s="31" t="s">
        <v>334</v>
      </c>
      <c r="B19" s="31"/>
      <c r="C19" s="56"/>
      <c r="D19" s="129">
        <v>-102600</v>
      </c>
      <c r="E19" s="129"/>
      <c r="F19" s="484">
        <f>+D19</f>
        <v>-102600</v>
      </c>
      <c r="H19" s="586" t="s">
        <v>333</v>
      </c>
      <c r="I19" s="586"/>
      <c r="J19" s="586"/>
      <c r="K19" s="586"/>
      <c r="L19" s="586"/>
      <c r="M19" s="586"/>
      <c r="N19" s="586"/>
      <c r="O19" s="586"/>
    </row>
    <row r="20" spans="1:15" ht="17.25">
      <c r="A20" s="31" t="s">
        <v>105</v>
      </c>
      <c r="B20" s="31"/>
      <c r="C20" s="56"/>
      <c r="D20" s="131">
        <f>ROUND(-D36*0.05,-2)</f>
        <v>-23300</v>
      </c>
      <c r="E20" s="131"/>
      <c r="F20" s="485">
        <f>ROUND(-F36*0.05,-2)</f>
        <v>-53400</v>
      </c>
      <c r="H20" s="586"/>
      <c r="I20" s="586"/>
      <c r="J20" s="586"/>
      <c r="K20" s="586"/>
      <c r="L20" s="586"/>
      <c r="M20" s="586"/>
      <c r="N20" s="586"/>
      <c r="O20" s="586"/>
    </row>
    <row r="21" spans="1:15" ht="17.25">
      <c r="A21" s="294" t="s">
        <v>144</v>
      </c>
      <c r="B21" s="31"/>
      <c r="C21" s="56"/>
      <c r="D21" s="132">
        <f>SUM(D18:D20)</f>
        <v>466100</v>
      </c>
      <c r="E21" s="132"/>
      <c r="F21" s="132">
        <f>SUM(F18:F20)</f>
        <v>1003000</v>
      </c>
    </row>
    <row r="22" spans="1:15" ht="15">
      <c r="C22" s="24"/>
      <c r="D22" s="143"/>
      <c r="E22" s="143"/>
      <c r="F22" s="143"/>
    </row>
    <row r="23" spans="1:15" ht="18.75">
      <c r="A23" s="441" t="s">
        <v>25</v>
      </c>
      <c r="B23" s="441"/>
      <c r="C23" s="24"/>
      <c r="D23" s="427"/>
      <c r="E23" s="427"/>
      <c r="F23" s="427"/>
    </row>
    <row r="24" spans="1:15" ht="17.25">
      <c r="A24" s="34" t="s">
        <v>26</v>
      </c>
      <c r="B24" s="34"/>
      <c r="C24" s="24"/>
      <c r="D24" s="138">
        <f>+D51</f>
        <v>200200</v>
      </c>
      <c r="E24" s="138"/>
      <c r="F24" s="486">
        <f>+F51</f>
        <v>163290</v>
      </c>
    </row>
    <row r="25" spans="1:15" ht="17.25">
      <c r="A25" s="34"/>
      <c r="B25" s="34"/>
      <c r="C25" s="35"/>
      <c r="D25" s="144"/>
      <c r="E25" s="144"/>
      <c r="F25" s="120"/>
    </row>
    <row r="26" spans="1:15" ht="17.25">
      <c r="A26" s="69" t="s">
        <v>27</v>
      </c>
      <c r="B26" s="69"/>
      <c r="D26" s="144"/>
      <c r="E26" s="144"/>
      <c r="F26" s="120"/>
    </row>
    <row r="27" spans="1:15" ht="15">
      <c r="A27" s="41" t="s">
        <v>145</v>
      </c>
      <c r="B27" s="41"/>
      <c r="C27" s="40"/>
      <c r="D27" s="295">
        <v>50000</v>
      </c>
      <c r="E27" s="436"/>
      <c r="F27" s="480">
        <v>132000</v>
      </c>
    </row>
    <row r="28" spans="1:15" ht="15">
      <c r="A28" s="41" t="s">
        <v>146</v>
      </c>
      <c r="B28" s="41"/>
      <c r="C28" s="39"/>
      <c r="D28" s="295">
        <v>76500</v>
      </c>
      <c r="E28" s="436"/>
      <c r="F28" s="480">
        <v>343000</v>
      </c>
    </row>
    <row r="29" spans="1:15" ht="15">
      <c r="A29" s="41" t="s">
        <v>147</v>
      </c>
      <c r="B29" s="41"/>
      <c r="C29" s="32"/>
      <c r="D29" s="295">
        <v>17500</v>
      </c>
      <c r="E29" s="436"/>
      <c r="F29" s="480">
        <v>75000</v>
      </c>
    </row>
    <row r="30" spans="1:15" ht="30">
      <c r="A30" s="41" t="s">
        <v>148</v>
      </c>
      <c r="B30" s="41"/>
      <c r="C30" s="35"/>
      <c r="D30" s="295">
        <v>79600</v>
      </c>
      <c r="E30" s="436"/>
      <c r="F30" s="480">
        <v>60000</v>
      </c>
    </row>
    <row r="31" spans="1:15" ht="15">
      <c r="A31" s="41" t="s">
        <v>149</v>
      </c>
      <c r="B31" s="41"/>
      <c r="C31" s="24"/>
      <c r="D31" s="295">
        <v>70000</v>
      </c>
      <c r="E31" s="436"/>
      <c r="F31" s="480">
        <v>162550</v>
      </c>
    </row>
    <row r="32" spans="1:15" ht="15">
      <c r="A32" s="41" t="s">
        <v>150</v>
      </c>
      <c r="B32" s="41"/>
      <c r="C32" s="24"/>
      <c r="D32" s="295">
        <v>70000</v>
      </c>
      <c r="E32" s="436"/>
      <c r="F32" s="480">
        <v>133000</v>
      </c>
    </row>
    <row r="33" spans="1:6" ht="17.25">
      <c r="A33" s="41" t="s">
        <v>173</v>
      </c>
      <c r="B33" s="41"/>
      <c r="C33" s="24"/>
      <c r="D33" s="296">
        <f>-120600+22200+700</f>
        <v>-97700</v>
      </c>
      <c r="E33" s="436"/>
      <c r="F33" s="481">
        <v>0</v>
      </c>
    </row>
    <row r="34" spans="1:6" ht="17.25">
      <c r="A34" s="34" t="s">
        <v>28</v>
      </c>
      <c r="B34" s="34"/>
      <c r="C34" s="32"/>
      <c r="D34" s="139">
        <f>SUM(D27:D33)</f>
        <v>265900</v>
      </c>
      <c r="E34" s="436"/>
      <c r="F34" s="139">
        <f>SUM(F27:F33)</f>
        <v>905550</v>
      </c>
    </row>
    <row r="35" spans="1:6" ht="17.25">
      <c r="A35" s="34"/>
      <c r="B35" s="34"/>
      <c r="C35" s="42"/>
      <c r="D35" s="145"/>
      <c r="E35" s="437"/>
      <c r="F35" s="145"/>
    </row>
    <row r="36" spans="1:6" ht="17.25">
      <c r="A36" s="34" t="s">
        <v>29</v>
      </c>
      <c r="B36" s="34"/>
      <c r="C36" s="42"/>
      <c r="D36" s="293">
        <f>+D34+D24</f>
        <v>466100</v>
      </c>
      <c r="E36" s="139"/>
      <c r="F36" s="293">
        <f>+F34+F24</f>
        <v>1068840</v>
      </c>
    </row>
    <row r="37" spans="1:6" ht="17.25">
      <c r="A37" s="34"/>
      <c r="B37" s="34"/>
      <c r="C37" s="42"/>
      <c r="D37" s="138"/>
      <c r="E37" s="145"/>
      <c r="F37" s="138"/>
    </row>
    <row r="38" spans="1:6" ht="17.25">
      <c r="A38" s="210" t="s">
        <v>119</v>
      </c>
      <c r="B38" s="26"/>
      <c r="C38" s="43"/>
      <c r="D38" s="238">
        <f>+D36-D21</f>
        <v>0</v>
      </c>
      <c r="E38" s="138"/>
      <c r="F38" s="238">
        <f>+F36-F21</f>
        <v>65840</v>
      </c>
    </row>
    <row r="39" spans="1:6" ht="17.25">
      <c r="A39" s="26"/>
      <c r="B39" s="26"/>
      <c r="C39" s="43"/>
      <c r="D39" s="146"/>
      <c r="E39" s="138"/>
      <c r="F39" s="146"/>
    </row>
    <row r="40" spans="1:6" ht="17.25">
      <c r="A40" s="34" t="s">
        <v>30</v>
      </c>
      <c r="B40" s="34"/>
      <c r="C40" s="43"/>
      <c r="D40" s="141">
        <f>+D11*2000/D7/24</f>
        <v>48.09878334223243</v>
      </c>
      <c r="E40" s="139"/>
      <c r="F40" s="141">
        <f>+F11*2000/F7/24</f>
        <v>47.429037873013336</v>
      </c>
    </row>
    <row r="41" spans="1:6" ht="15">
      <c r="C41" s="43"/>
      <c r="D41" s="141"/>
      <c r="E41" s="439"/>
      <c r="F41" s="141"/>
    </row>
    <row r="42" spans="1:6" ht="15">
      <c r="A42" s="34" t="s">
        <v>31</v>
      </c>
      <c r="B42" s="34"/>
      <c r="C42" s="43"/>
      <c r="D42" s="142">
        <f>+D15/D11</f>
        <v>20.666061579278086</v>
      </c>
      <c r="E42" s="439"/>
      <c r="F42" s="142">
        <f>+F15/F11</f>
        <v>39.703120597384839</v>
      </c>
    </row>
    <row r="43" spans="1:6" ht="15.75" thickBot="1">
      <c r="A43" s="38"/>
      <c r="B43" s="38"/>
      <c r="C43" s="39"/>
      <c r="D43" s="39"/>
      <c r="E43" s="146"/>
      <c r="F43" s="120"/>
    </row>
    <row r="44" spans="1:6" ht="15">
      <c r="A44" s="44"/>
      <c r="B44" s="45"/>
      <c r="C44" s="46"/>
      <c r="D44" s="46"/>
      <c r="E44" s="532" t="s">
        <v>279</v>
      </c>
      <c r="F44" s="533" t="s">
        <v>279</v>
      </c>
    </row>
    <row r="45" spans="1:6" ht="30">
      <c r="A45" s="47" t="s">
        <v>32</v>
      </c>
      <c r="B45" s="539" t="s">
        <v>33</v>
      </c>
      <c r="C45" s="540" t="s">
        <v>34</v>
      </c>
      <c r="D45" s="541" t="s">
        <v>35</v>
      </c>
      <c r="E45" s="526" t="s">
        <v>33</v>
      </c>
      <c r="F45" s="225" t="s">
        <v>35</v>
      </c>
    </row>
    <row r="46" spans="1:6" ht="15">
      <c r="A46" s="48" t="s">
        <v>36</v>
      </c>
      <c r="B46" s="442">
        <v>300</v>
      </c>
      <c r="C46" s="443">
        <v>90</v>
      </c>
      <c r="D46" s="443">
        <f>ROUND(B46*C46,-2)</f>
        <v>27000</v>
      </c>
      <c r="E46" s="531">
        <v>200</v>
      </c>
      <c r="F46" s="534">
        <f>+E46*C46</f>
        <v>18000</v>
      </c>
    </row>
    <row r="47" spans="1:6" ht="15">
      <c r="A47" s="48" t="s">
        <v>37</v>
      </c>
      <c r="B47" s="442">
        <v>180</v>
      </c>
      <c r="C47" s="443">
        <v>150</v>
      </c>
      <c r="D47" s="443">
        <f>ROUND(B47*C47,-2)</f>
        <v>27000</v>
      </c>
      <c r="E47" s="531">
        <v>124</v>
      </c>
      <c r="F47" s="534">
        <f t="shared" ref="F47:F50" si="0">+E47*C47</f>
        <v>18600</v>
      </c>
    </row>
    <row r="48" spans="1:6" ht="15">
      <c r="A48" s="444" t="s">
        <v>113</v>
      </c>
      <c r="B48" s="442">
        <v>950</v>
      </c>
      <c r="C48" s="443">
        <v>90</v>
      </c>
      <c r="D48" s="443">
        <f>ROUND(B48*C48,-2)</f>
        <v>85500</v>
      </c>
      <c r="E48" s="531">
        <v>950</v>
      </c>
      <c r="F48" s="534">
        <f t="shared" si="0"/>
        <v>85500</v>
      </c>
    </row>
    <row r="49" spans="1:8" ht="15">
      <c r="A49" s="48" t="s">
        <v>151</v>
      </c>
      <c r="B49" s="442">
        <v>400</v>
      </c>
      <c r="C49" s="443">
        <v>90</v>
      </c>
      <c r="D49" s="443">
        <f>ROUND(B49*C49,-2)</f>
        <v>36000</v>
      </c>
      <c r="E49" s="531">
        <v>391</v>
      </c>
      <c r="F49" s="534">
        <f t="shared" si="0"/>
        <v>35190</v>
      </c>
    </row>
    <row r="50" spans="1:8" ht="17.25">
      <c r="A50" s="48" t="s">
        <v>152</v>
      </c>
      <c r="B50" s="49">
        <v>206</v>
      </c>
      <c r="C50" s="443">
        <v>120</v>
      </c>
      <c r="D50" s="542">
        <f>ROUND(B50*C50,-2)</f>
        <v>24700</v>
      </c>
      <c r="E50" s="531">
        <v>50</v>
      </c>
      <c r="F50" s="535">
        <f t="shared" si="0"/>
        <v>6000</v>
      </c>
    </row>
    <row r="51" spans="1:8" ht="17.25">
      <c r="A51" s="50" t="s">
        <v>38</v>
      </c>
      <c r="B51" s="51">
        <f>SUM(B46:B50)</f>
        <v>2036</v>
      </c>
      <c r="C51" s="443"/>
      <c r="D51" s="543">
        <f>SUM(D46:D50)</f>
        <v>200200</v>
      </c>
      <c r="E51" s="531"/>
      <c r="F51" s="536">
        <f>SUM(F46:F50)</f>
        <v>163290</v>
      </c>
      <c r="H51" s="325"/>
    </row>
    <row r="52" spans="1:8" ht="13.5" thickBot="1">
      <c r="A52" s="52"/>
      <c r="B52" s="53"/>
      <c r="C52" s="54"/>
      <c r="D52" s="54"/>
      <c r="E52" s="54"/>
      <c r="F52" s="55"/>
    </row>
  </sheetData>
  <mergeCells count="1">
    <mergeCell ref="H19:O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C5F9-CD67-4C4D-BEA1-808B5CEB533B}">
  <sheetPr>
    <tabColor rgb="FFFFFF00"/>
  </sheetPr>
  <dimension ref="A1:U46"/>
  <sheetViews>
    <sheetView topLeftCell="A14" workbookViewId="0">
      <selection activeCell="E28" sqref="E28"/>
    </sheetView>
  </sheetViews>
  <sheetFormatPr defaultRowHeight="12.75"/>
  <cols>
    <col min="2" max="2" width="10.5703125" style="325" customWidth="1"/>
    <col min="3" max="3" width="17.7109375" customWidth="1"/>
    <col min="4" max="4" width="11" style="325" bestFit="1" customWidth="1"/>
    <col min="5" max="5" width="10.42578125" style="325" bestFit="1" customWidth="1"/>
    <col min="6" max="6" width="11.140625" style="325" bestFit="1" customWidth="1"/>
    <col min="7" max="7" width="12.7109375" style="325" bestFit="1" customWidth="1"/>
    <col min="8" max="8" width="7.7109375" style="325" bestFit="1" customWidth="1"/>
    <col min="9" max="10" width="12.7109375" style="325" bestFit="1" customWidth="1"/>
    <col min="11" max="12" width="12.28515625" style="325" bestFit="1" customWidth="1"/>
    <col min="13" max="13" width="8.42578125" style="325" bestFit="1" customWidth="1"/>
    <col min="14" max="14" width="3.28515625" style="325" customWidth="1"/>
    <col min="15" max="15" width="11" style="325" bestFit="1" customWidth="1"/>
    <col min="16" max="16" width="11.28515625" style="325" bestFit="1" customWidth="1"/>
    <col min="17" max="17" width="12.42578125" style="325" bestFit="1" customWidth="1"/>
    <col min="18" max="18" width="10.28515625" style="325" customWidth="1"/>
    <col min="19" max="19" width="8.42578125" style="325" bestFit="1" customWidth="1"/>
    <col min="20" max="21" width="9.140625" style="325"/>
    <col min="258" max="258" width="10.5703125" customWidth="1"/>
    <col min="259" max="259" width="17.7109375" customWidth="1"/>
    <col min="260" max="260" width="11" bestFit="1" customWidth="1"/>
    <col min="261" max="261" width="10.42578125" bestFit="1" customWidth="1"/>
    <col min="262" max="262" width="11.140625" bestFit="1" customWidth="1"/>
    <col min="263" max="263" width="10.85546875" bestFit="1" customWidth="1"/>
    <col min="264" max="264" width="3.7109375" customWidth="1"/>
    <col min="265" max="265" width="11" bestFit="1" customWidth="1"/>
    <col min="266" max="266" width="11.140625" bestFit="1" customWidth="1"/>
    <col min="267" max="268" width="10.85546875" bestFit="1" customWidth="1"/>
    <col min="269" max="269" width="8.42578125" bestFit="1" customWidth="1"/>
    <col min="270" max="270" width="3.28515625" customWidth="1"/>
    <col min="271" max="271" width="11" bestFit="1" customWidth="1"/>
    <col min="272" max="272" width="11.28515625" bestFit="1" customWidth="1"/>
    <col min="273" max="273" width="12.42578125" bestFit="1" customWidth="1"/>
    <col min="274" max="274" width="10.28515625" customWidth="1"/>
    <col min="275" max="275" width="8.42578125" bestFit="1" customWidth="1"/>
    <col min="514" max="514" width="10.5703125" customWidth="1"/>
    <col min="515" max="515" width="17.7109375" customWidth="1"/>
    <col min="516" max="516" width="11" bestFit="1" customWidth="1"/>
    <col min="517" max="517" width="10.42578125" bestFit="1" customWidth="1"/>
    <col min="518" max="518" width="11.140625" bestFit="1" customWidth="1"/>
    <col min="519" max="519" width="10.85546875" bestFit="1" customWidth="1"/>
    <col min="520" max="520" width="3.7109375" customWidth="1"/>
    <col min="521" max="521" width="11" bestFit="1" customWidth="1"/>
    <col min="522" max="522" width="11.140625" bestFit="1" customWidth="1"/>
    <col min="523" max="524" width="10.85546875" bestFit="1" customWidth="1"/>
    <col min="525" max="525" width="8.42578125" bestFit="1" customWidth="1"/>
    <col min="526" max="526" width="3.28515625" customWidth="1"/>
    <col min="527" max="527" width="11" bestFit="1" customWidth="1"/>
    <col min="528" max="528" width="11.28515625" bestFit="1" customWidth="1"/>
    <col min="529" max="529" width="12.42578125" bestFit="1" customWidth="1"/>
    <col min="530" max="530" width="10.28515625" customWidth="1"/>
    <col min="531" max="531" width="8.42578125" bestFit="1" customWidth="1"/>
    <col min="770" max="770" width="10.5703125" customWidth="1"/>
    <col min="771" max="771" width="17.7109375" customWidth="1"/>
    <col min="772" max="772" width="11" bestFit="1" customWidth="1"/>
    <col min="773" max="773" width="10.42578125" bestFit="1" customWidth="1"/>
    <col min="774" max="774" width="11.140625" bestFit="1" customWidth="1"/>
    <col min="775" max="775" width="10.85546875" bestFit="1" customWidth="1"/>
    <col min="776" max="776" width="3.7109375" customWidth="1"/>
    <col min="777" max="777" width="11" bestFit="1" customWidth="1"/>
    <col min="778" max="778" width="11.140625" bestFit="1" customWidth="1"/>
    <col min="779" max="780" width="10.85546875" bestFit="1" customWidth="1"/>
    <col min="781" max="781" width="8.42578125" bestFit="1" customWidth="1"/>
    <col min="782" max="782" width="3.28515625" customWidth="1"/>
    <col min="783" max="783" width="11" bestFit="1" customWidth="1"/>
    <col min="784" max="784" width="11.28515625" bestFit="1" customWidth="1"/>
    <col min="785" max="785" width="12.42578125" bestFit="1" customWidth="1"/>
    <col min="786" max="786" width="10.28515625" customWidth="1"/>
    <col min="787" max="787" width="8.42578125" bestFit="1" customWidth="1"/>
    <col min="1026" max="1026" width="10.5703125" customWidth="1"/>
    <col min="1027" max="1027" width="17.7109375" customWidth="1"/>
    <col min="1028" max="1028" width="11" bestFit="1" customWidth="1"/>
    <col min="1029" max="1029" width="10.42578125" bestFit="1" customWidth="1"/>
    <col min="1030" max="1030" width="11.140625" bestFit="1" customWidth="1"/>
    <col min="1031" max="1031" width="10.85546875" bestFit="1" customWidth="1"/>
    <col min="1032" max="1032" width="3.7109375" customWidth="1"/>
    <col min="1033" max="1033" width="11" bestFit="1" customWidth="1"/>
    <col min="1034" max="1034" width="11.140625" bestFit="1" customWidth="1"/>
    <col min="1035" max="1036" width="10.85546875" bestFit="1" customWidth="1"/>
    <col min="1037" max="1037" width="8.42578125" bestFit="1" customWidth="1"/>
    <col min="1038" max="1038" width="3.28515625" customWidth="1"/>
    <col min="1039" max="1039" width="11" bestFit="1" customWidth="1"/>
    <col min="1040" max="1040" width="11.28515625" bestFit="1" customWidth="1"/>
    <col min="1041" max="1041" width="12.42578125" bestFit="1" customWidth="1"/>
    <col min="1042" max="1042" width="10.28515625" customWidth="1"/>
    <col min="1043" max="1043" width="8.42578125" bestFit="1" customWidth="1"/>
    <col min="1282" max="1282" width="10.5703125" customWidth="1"/>
    <col min="1283" max="1283" width="17.7109375" customWidth="1"/>
    <col min="1284" max="1284" width="11" bestFit="1" customWidth="1"/>
    <col min="1285" max="1285" width="10.42578125" bestFit="1" customWidth="1"/>
    <col min="1286" max="1286" width="11.140625" bestFit="1" customWidth="1"/>
    <col min="1287" max="1287" width="10.85546875" bestFit="1" customWidth="1"/>
    <col min="1288" max="1288" width="3.7109375" customWidth="1"/>
    <col min="1289" max="1289" width="11" bestFit="1" customWidth="1"/>
    <col min="1290" max="1290" width="11.140625" bestFit="1" customWidth="1"/>
    <col min="1291" max="1292" width="10.85546875" bestFit="1" customWidth="1"/>
    <col min="1293" max="1293" width="8.42578125" bestFit="1" customWidth="1"/>
    <col min="1294" max="1294" width="3.28515625" customWidth="1"/>
    <col min="1295" max="1295" width="11" bestFit="1" customWidth="1"/>
    <col min="1296" max="1296" width="11.28515625" bestFit="1" customWidth="1"/>
    <col min="1297" max="1297" width="12.42578125" bestFit="1" customWidth="1"/>
    <col min="1298" max="1298" width="10.28515625" customWidth="1"/>
    <col min="1299" max="1299" width="8.42578125" bestFit="1" customWidth="1"/>
    <col min="1538" max="1538" width="10.5703125" customWidth="1"/>
    <col min="1539" max="1539" width="17.7109375" customWidth="1"/>
    <col min="1540" max="1540" width="11" bestFit="1" customWidth="1"/>
    <col min="1541" max="1541" width="10.42578125" bestFit="1" customWidth="1"/>
    <col min="1542" max="1542" width="11.140625" bestFit="1" customWidth="1"/>
    <col min="1543" max="1543" width="10.85546875" bestFit="1" customWidth="1"/>
    <col min="1544" max="1544" width="3.7109375" customWidth="1"/>
    <col min="1545" max="1545" width="11" bestFit="1" customWidth="1"/>
    <col min="1546" max="1546" width="11.140625" bestFit="1" customWidth="1"/>
    <col min="1547" max="1548" width="10.85546875" bestFit="1" customWidth="1"/>
    <col min="1549" max="1549" width="8.42578125" bestFit="1" customWidth="1"/>
    <col min="1550" max="1550" width="3.28515625" customWidth="1"/>
    <col min="1551" max="1551" width="11" bestFit="1" customWidth="1"/>
    <col min="1552" max="1552" width="11.28515625" bestFit="1" customWidth="1"/>
    <col min="1553" max="1553" width="12.42578125" bestFit="1" customWidth="1"/>
    <col min="1554" max="1554" width="10.28515625" customWidth="1"/>
    <col min="1555" max="1555" width="8.42578125" bestFit="1" customWidth="1"/>
    <col min="1794" max="1794" width="10.5703125" customWidth="1"/>
    <col min="1795" max="1795" width="17.7109375" customWidth="1"/>
    <col min="1796" max="1796" width="11" bestFit="1" customWidth="1"/>
    <col min="1797" max="1797" width="10.42578125" bestFit="1" customWidth="1"/>
    <col min="1798" max="1798" width="11.140625" bestFit="1" customWidth="1"/>
    <col min="1799" max="1799" width="10.85546875" bestFit="1" customWidth="1"/>
    <col min="1800" max="1800" width="3.7109375" customWidth="1"/>
    <col min="1801" max="1801" width="11" bestFit="1" customWidth="1"/>
    <col min="1802" max="1802" width="11.140625" bestFit="1" customWidth="1"/>
    <col min="1803" max="1804" width="10.85546875" bestFit="1" customWidth="1"/>
    <col min="1805" max="1805" width="8.42578125" bestFit="1" customWidth="1"/>
    <col min="1806" max="1806" width="3.28515625" customWidth="1"/>
    <col min="1807" max="1807" width="11" bestFit="1" customWidth="1"/>
    <col min="1808" max="1808" width="11.28515625" bestFit="1" customWidth="1"/>
    <col min="1809" max="1809" width="12.42578125" bestFit="1" customWidth="1"/>
    <col min="1810" max="1810" width="10.28515625" customWidth="1"/>
    <col min="1811" max="1811" width="8.42578125" bestFit="1" customWidth="1"/>
    <col min="2050" max="2050" width="10.5703125" customWidth="1"/>
    <col min="2051" max="2051" width="17.7109375" customWidth="1"/>
    <col min="2052" max="2052" width="11" bestFit="1" customWidth="1"/>
    <col min="2053" max="2053" width="10.42578125" bestFit="1" customWidth="1"/>
    <col min="2054" max="2054" width="11.140625" bestFit="1" customWidth="1"/>
    <col min="2055" max="2055" width="10.85546875" bestFit="1" customWidth="1"/>
    <col min="2056" max="2056" width="3.7109375" customWidth="1"/>
    <col min="2057" max="2057" width="11" bestFit="1" customWidth="1"/>
    <col min="2058" max="2058" width="11.140625" bestFit="1" customWidth="1"/>
    <col min="2059" max="2060" width="10.85546875" bestFit="1" customWidth="1"/>
    <col min="2061" max="2061" width="8.42578125" bestFit="1" customWidth="1"/>
    <col min="2062" max="2062" width="3.28515625" customWidth="1"/>
    <col min="2063" max="2063" width="11" bestFit="1" customWidth="1"/>
    <col min="2064" max="2064" width="11.28515625" bestFit="1" customWidth="1"/>
    <col min="2065" max="2065" width="12.42578125" bestFit="1" customWidth="1"/>
    <col min="2066" max="2066" width="10.28515625" customWidth="1"/>
    <col min="2067" max="2067" width="8.42578125" bestFit="1" customWidth="1"/>
    <col min="2306" max="2306" width="10.5703125" customWidth="1"/>
    <col min="2307" max="2307" width="17.7109375" customWidth="1"/>
    <col min="2308" max="2308" width="11" bestFit="1" customWidth="1"/>
    <col min="2309" max="2309" width="10.42578125" bestFit="1" customWidth="1"/>
    <col min="2310" max="2310" width="11.140625" bestFit="1" customWidth="1"/>
    <col min="2311" max="2311" width="10.85546875" bestFit="1" customWidth="1"/>
    <col min="2312" max="2312" width="3.7109375" customWidth="1"/>
    <col min="2313" max="2313" width="11" bestFit="1" customWidth="1"/>
    <col min="2314" max="2314" width="11.140625" bestFit="1" customWidth="1"/>
    <col min="2315" max="2316" width="10.85546875" bestFit="1" customWidth="1"/>
    <col min="2317" max="2317" width="8.42578125" bestFit="1" customWidth="1"/>
    <col min="2318" max="2318" width="3.28515625" customWidth="1"/>
    <col min="2319" max="2319" width="11" bestFit="1" customWidth="1"/>
    <col min="2320" max="2320" width="11.28515625" bestFit="1" customWidth="1"/>
    <col min="2321" max="2321" width="12.42578125" bestFit="1" customWidth="1"/>
    <col min="2322" max="2322" width="10.28515625" customWidth="1"/>
    <col min="2323" max="2323" width="8.42578125" bestFit="1" customWidth="1"/>
    <col min="2562" max="2562" width="10.5703125" customWidth="1"/>
    <col min="2563" max="2563" width="17.7109375" customWidth="1"/>
    <col min="2564" max="2564" width="11" bestFit="1" customWidth="1"/>
    <col min="2565" max="2565" width="10.42578125" bestFit="1" customWidth="1"/>
    <col min="2566" max="2566" width="11.140625" bestFit="1" customWidth="1"/>
    <col min="2567" max="2567" width="10.85546875" bestFit="1" customWidth="1"/>
    <col min="2568" max="2568" width="3.7109375" customWidth="1"/>
    <col min="2569" max="2569" width="11" bestFit="1" customWidth="1"/>
    <col min="2570" max="2570" width="11.140625" bestFit="1" customWidth="1"/>
    <col min="2571" max="2572" width="10.85546875" bestFit="1" customWidth="1"/>
    <col min="2573" max="2573" width="8.42578125" bestFit="1" customWidth="1"/>
    <col min="2574" max="2574" width="3.28515625" customWidth="1"/>
    <col min="2575" max="2575" width="11" bestFit="1" customWidth="1"/>
    <col min="2576" max="2576" width="11.28515625" bestFit="1" customWidth="1"/>
    <col min="2577" max="2577" width="12.42578125" bestFit="1" customWidth="1"/>
    <col min="2578" max="2578" width="10.28515625" customWidth="1"/>
    <col min="2579" max="2579" width="8.42578125" bestFit="1" customWidth="1"/>
    <col min="2818" max="2818" width="10.5703125" customWidth="1"/>
    <col min="2819" max="2819" width="17.7109375" customWidth="1"/>
    <col min="2820" max="2820" width="11" bestFit="1" customWidth="1"/>
    <col min="2821" max="2821" width="10.42578125" bestFit="1" customWidth="1"/>
    <col min="2822" max="2822" width="11.140625" bestFit="1" customWidth="1"/>
    <col min="2823" max="2823" width="10.85546875" bestFit="1" customWidth="1"/>
    <col min="2824" max="2824" width="3.7109375" customWidth="1"/>
    <col min="2825" max="2825" width="11" bestFit="1" customWidth="1"/>
    <col min="2826" max="2826" width="11.140625" bestFit="1" customWidth="1"/>
    <col min="2827" max="2828" width="10.85546875" bestFit="1" customWidth="1"/>
    <col min="2829" max="2829" width="8.42578125" bestFit="1" customWidth="1"/>
    <col min="2830" max="2830" width="3.28515625" customWidth="1"/>
    <col min="2831" max="2831" width="11" bestFit="1" customWidth="1"/>
    <col min="2832" max="2832" width="11.28515625" bestFit="1" customWidth="1"/>
    <col min="2833" max="2833" width="12.42578125" bestFit="1" customWidth="1"/>
    <col min="2834" max="2834" width="10.28515625" customWidth="1"/>
    <col min="2835" max="2835" width="8.42578125" bestFit="1" customWidth="1"/>
    <col min="3074" max="3074" width="10.5703125" customWidth="1"/>
    <col min="3075" max="3075" width="17.7109375" customWidth="1"/>
    <col min="3076" max="3076" width="11" bestFit="1" customWidth="1"/>
    <col min="3077" max="3077" width="10.42578125" bestFit="1" customWidth="1"/>
    <col min="3078" max="3078" width="11.140625" bestFit="1" customWidth="1"/>
    <col min="3079" max="3079" width="10.85546875" bestFit="1" customWidth="1"/>
    <col min="3080" max="3080" width="3.7109375" customWidth="1"/>
    <col min="3081" max="3081" width="11" bestFit="1" customWidth="1"/>
    <col min="3082" max="3082" width="11.140625" bestFit="1" customWidth="1"/>
    <col min="3083" max="3084" width="10.85546875" bestFit="1" customWidth="1"/>
    <col min="3085" max="3085" width="8.42578125" bestFit="1" customWidth="1"/>
    <col min="3086" max="3086" width="3.28515625" customWidth="1"/>
    <col min="3087" max="3087" width="11" bestFit="1" customWidth="1"/>
    <col min="3088" max="3088" width="11.28515625" bestFit="1" customWidth="1"/>
    <col min="3089" max="3089" width="12.42578125" bestFit="1" customWidth="1"/>
    <col min="3090" max="3090" width="10.28515625" customWidth="1"/>
    <col min="3091" max="3091" width="8.42578125" bestFit="1" customWidth="1"/>
    <col min="3330" max="3330" width="10.5703125" customWidth="1"/>
    <col min="3331" max="3331" width="17.7109375" customWidth="1"/>
    <col min="3332" max="3332" width="11" bestFit="1" customWidth="1"/>
    <col min="3333" max="3333" width="10.42578125" bestFit="1" customWidth="1"/>
    <col min="3334" max="3334" width="11.140625" bestFit="1" customWidth="1"/>
    <col min="3335" max="3335" width="10.85546875" bestFit="1" customWidth="1"/>
    <col min="3336" max="3336" width="3.7109375" customWidth="1"/>
    <col min="3337" max="3337" width="11" bestFit="1" customWidth="1"/>
    <col min="3338" max="3338" width="11.140625" bestFit="1" customWidth="1"/>
    <col min="3339" max="3340" width="10.85546875" bestFit="1" customWidth="1"/>
    <col min="3341" max="3341" width="8.42578125" bestFit="1" customWidth="1"/>
    <col min="3342" max="3342" width="3.28515625" customWidth="1"/>
    <col min="3343" max="3343" width="11" bestFit="1" customWidth="1"/>
    <col min="3344" max="3344" width="11.28515625" bestFit="1" customWidth="1"/>
    <col min="3345" max="3345" width="12.42578125" bestFit="1" customWidth="1"/>
    <col min="3346" max="3346" width="10.28515625" customWidth="1"/>
    <col min="3347" max="3347" width="8.42578125" bestFit="1" customWidth="1"/>
    <col min="3586" max="3586" width="10.5703125" customWidth="1"/>
    <col min="3587" max="3587" width="17.7109375" customWidth="1"/>
    <col min="3588" max="3588" width="11" bestFit="1" customWidth="1"/>
    <col min="3589" max="3589" width="10.42578125" bestFit="1" customWidth="1"/>
    <col min="3590" max="3590" width="11.140625" bestFit="1" customWidth="1"/>
    <col min="3591" max="3591" width="10.85546875" bestFit="1" customWidth="1"/>
    <col min="3592" max="3592" width="3.7109375" customWidth="1"/>
    <col min="3593" max="3593" width="11" bestFit="1" customWidth="1"/>
    <col min="3594" max="3594" width="11.140625" bestFit="1" customWidth="1"/>
    <col min="3595" max="3596" width="10.85546875" bestFit="1" customWidth="1"/>
    <col min="3597" max="3597" width="8.42578125" bestFit="1" customWidth="1"/>
    <col min="3598" max="3598" width="3.28515625" customWidth="1"/>
    <col min="3599" max="3599" width="11" bestFit="1" customWidth="1"/>
    <col min="3600" max="3600" width="11.28515625" bestFit="1" customWidth="1"/>
    <col min="3601" max="3601" width="12.42578125" bestFit="1" customWidth="1"/>
    <col min="3602" max="3602" width="10.28515625" customWidth="1"/>
    <col min="3603" max="3603" width="8.42578125" bestFit="1" customWidth="1"/>
    <col min="3842" max="3842" width="10.5703125" customWidth="1"/>
    <col min="3843" max="3843" width="17.7109375" customWidth="1"/>
    <col min="3844" max="3844" width="11" bestFit="1" customWidth="1"/>
    <col min="3845" max="3845" width="10.42578125" bestFit="1" customWidth="1"/>
    <col min="3846" max="3846" width="11.140625" bestFit="1" customWidth="1"/>
    <col min="3847" max="3847" width="10.85546875" bestFit="1" customWidth="1"/>
    <col min="3848" max="3848" width="3.7109375" customWidth="1"/>
    <col min="3849" max="3849" width="11" bestFit="1" customWidth="1"/>
    <col min="3850" max="3850" width="11.140625" bestFit="1" customWidth="1"/>
    <col min="3851" max="3852" width="10.85546875" bestFit="1" customWidth="1"/>
    <col min="3853" max="3853" width="8.42578125" bestFit="1" customWidth="1"/>
    <col min="3854" max="3854" width="3.28515625" customWidth="1"/>
    <col min="3855" max="3855" width="11" bestFit="1" customWidth="1"/>
    <col min="3856" max="3856" width="11.28515625" bestFit="1" customWidth="1"/>
    <col min="3857" max="3857" width="12.42578125" bestFit="1" customWidth="1"/>
    <col min="3858" max="3858" width="10.28515625" customWidth="1"/>
    <col min="3859" max="3859" width="8.42578125" bestFit="1" customWidth="1"/>
    <col min="4098" max="4098" width="10.5703125" customWidth="1"/>
    <col min="4099" max="4099" width="17.7109375" customWidth="1"/>
    <col min="4100" max="4100" width="11" bestFit="1" customWidth="1"/>
    <col min="4101" max="4101" width="10.42578125" bestFit="1" customWidth="1"/>
    <col min="4102" max="4102" width="11.140625" bestFit="1" customWidth="1"/>
    <col min="4103" max="4103" width="10.85546875" bestFit="1" customWidth="1"/>
    <col min="4104" max="4104" width="3.7109375" customWidth="1"/>
    <col min="4105" max="4105" width="11" bestFit="1" customWidth="1"/>
    <col min="4106" max="4106" width="11.140625" bestFit="1" customWidth="1"/>
    <col min="4107" max="4108" width="10.85546875" bestFit="1" customWidth="1"/>
    <col min="4109" max="4109" width="8.42578125" bestFit="1" customWidth="1"/>
    <col min="4110" max="4110" width="3.28515625" customWidth="1"/>
    <col min="4111" max="4111" width="11" bestFit="1" customWidth="1"/>
    <col min="4112" max="4112" width="11.28515625" bestFit="1" customWidth="1"/>
    <col min="4113" max="4113" width="12.42578125" bestFit="1" customWidth="1"/>
    <col min="4114" max="4114" width="10.28515625" customWidth="1"/>
    <col min="4115" max="4115" width="8.42578125" bestFit="1" customWidth="1"/>
    <col min="4354" max="4354" width="10.5703125" customWidth="1"/>
    <col min="4355" max="4355" width="17.7109375" customWidth="1"/>
    <col min="4356" max="4356" width="11" bestFit="1" customWidth="1"/>
    <col min="4357" max="4357" width="10.42578125" bestFit="1" customWidth="1"/>
    <col min="4358" max="4358" width="11.140625" bestFit="1" customWidth="1"/>
    <col min="4359" max="4359" width="10.85546875" bestFit="1" customWidth="1"/>
    <col min="4360" max="4360" width="3.7109375" customWidth="1"/>
    <col min="4361" max="4361" width="11" bestFit="1" customWidth="1"/>
    <col min="4362" max="4362" width="11.140625" bestFit="1" customWidth="1"/>
    <col min="4363" max="4364" width="10.85546875" bestFit="1" customWidth="1"/>
    <col min="4365" max="4365" width="8.42578125" bestFit="1" customWidth="1"/>
    <col min="4366" max="4366" width="3.28515625" customWidth="1"/>
    <col min="4367" max="4367" width="11" bestFit="1" customWidth="1"/>
    <col min="4368" max="4368" width="11.28515625" bestFit="1" customWidth="1"/>
    <col min="4369" max="4369" width="12.42578125" bestFit="1" customWidth="1"/>
    <col min="4370" max="4370" width="10.28515625" customWidth="1"/>
    <col min="4371" max="4371" width="8.42578125" bestFit="1" customWidth="1"/>
    <col min="4610" max="4610" width="10.5703125" customWidth="1"/>
    <col min="4611" max="4611" width="17.7109375" customWidth="1"/>
    <col min="4612" max="4612" width="11" bestFit="1" customWidth="1"/>
    <col min="4613" max="4613" width="10.42578125" bestFit="1" customWidth="1"/>
    <col min="4614" max="4614" width="11.140625" bestFit="1" customWidth="1"/>
    <col min="4615" max="4615" width="10.85546875" bestFit="1" customWidth="1"/>
    <col min="4616" max="4616" width="3.7109375" customWidth="1"/>
    <col min="4617" max="4617" width="11" bestFit="1" customWidth="1"/>
    <col min="4618" max="4618" width="11.140625" bestFit="1" customWidth="1"/>
    <col min="4619" max="4620" width="10.85546875" bestFit="1" customWidth="1"/>
    <col min="4621" max="4621" width="8.42578125" bestFit="1" customWidth="1"/>
    <col min="4622" max="4622" width="3.28515625" customWidth="1"/>
    <col min="4623" max="4623" width="11" bestFit="1" customWidth="1"/>
    <col min="4624" max="4624" width="11.28515625" bestFit="1" customWidth="1"/>
    <col min="4625" max="4625" width="12.42578125" bestFit="1" customWidth="1"/>
    <col min="4626" max="4626" width="10.28515625" customWidth="1"/>
    <col min="4627" max="4627" width="8.42578125" bestFit="1" customWidth="1"/>
    <col min="4866" max="4866" width="10.5703125" customWidth="1"/>
    <col min="4867" max="4867" width="17.7109375" customWidth="1"/>
    <col min="4868" max="4868" width="11" bestFit="1" customWidth="1"/>
    <col min="4869" max="4869" width="10.42578125" bestFit="1" customWidth="1"/>
    <col min="4870" max="4870" width="11.140625" bestFit="1" customWidth="1"/>
    <col min="4871" max="4871" width="10.85546875" bestFit="1" customWidth="1"/>
    <col min="4872" max="4872" width="3.7109375" customWidth="1"/>
    <col min="4873" max="4873" width="11" bestFit="1" customWidth="1"/>
    <col min="4874" max="4874" width="11.140625" bestFit="1" customWidth="1"/>
    <col min="4875" max="4876" width="10.85546875" bestFit="1" customWidth="1"/>
    <col min="4877" max="4877" width="8.42578125" bestFit="1" customWidth="1"/>
    <col min="4878" max="4878" width="3.28515625" customWidth="1"/>
    <col min="4879" max="4879" width="11" bestFit="1" customWidth="1"/>
    <col min="4880" max="4880" width="11.28515625" bestFit="1" customWidth="1"/>
    <col min="4881" max="4881" width="12.42578125" bestFit="1" customWidth="1"/>
    <col min="4882" max="4882" width="10.28515625" customWidth="1"/>
    <col min="4883" max="4883" width="8.42578125" bestFit="1" customWidth="1"/>
    <col min="5122" max="5122" width="10.5703125" customWidth="1"/>
    <col min="5123" max="5123" width="17.7109375" customWidth="1"/>
    <col min="5124" max="5124" width="11" bestFit="1" customWidth="1"/>
    <col min="5125" max="5125" width="10.42578125" bestFit="1" customWidth="1"/>
    <col min="5126" max="5126" width="11.140625" bestFit="1" customWidth="1"/>
    <col min="5127" max="5127" width="10.85546875" bestFit="1" customWidth="1"/>
    <col min="5128" max="5128" width="3.7109375" customWidth="1"/>
    <col min="5129" max="5129" width="11" bestFit="1" customWidth="1"/>
    <col min="5130" max="5130" width="11.140625" bestFit="1" customWidth="1"/>
    <col min="5131" max="5132" width="10.85546875" bestFit="1" customWidth="1"/>
    <col min="5133" max="5133" width="8.42578125" bestFit="1" customWidth="1"/>
    <col min="5134" max="5134" width="3.28515625" customWidth="1"/>
    <col min="5135" max="5135" width="11" bestFit="1" customWidth="1"/>
    <col min="5136" max="5136" width="11.28515625" bestFit="1" customWidth="1"/>
    <col min="5137" max="5137" width="12.42578125" bestFit="1" customWidth="1"/>
    <col min="5138" max="5138" width="10.28515625" customWidth="1"/>
    <col min="5139" max="5139" width="8.42578125" bestFit="1" customWidth="1"/>
    <col min="5378" max="5378" width="10.5703125" customWidth="1"/>
    <col min="5379" max="5379" width="17.7109375" customWidth="1"/>
    <col min="5380" max="5380" width="11" bestFit="1" customWidth="1"/>
    <col min="5381" max="5381" width="10.42578125" bestFit="1" customWidth="1"/>
    <col min="5382" max="5382" width="11.140625" bestFit="1" customWidth="1"/>
    <col min="5383" max="5383" width="10.85546875" bestFit="1" customWidth="1"/>
    <col min="5384" max="5384" width="3.7109375" customWidth="1"/>
    <col min="5385" max="5385" width="11" bestFit="1" customWidth="1"/>
    <col min="5386" max="5386" width="11.140625" bestFit="1" customWidth="1"/>
    <col min="5387" max="5388" width="10.85546875" bestFit="1" customWidth="1"/>
    <col min="5389" max="5389" width="8.42578125" bestFit="1" customWidth="1"/>
    <col min="5390" max="5390" width="3.28515625" customWidth="1"/>
    <col min="5391" max="5391" width="11" bestFit="1" customWidth="1"/>
    <col min="5392" max="5392" width="11.28515625" bestFit="1" customWidth="1"/>
    <col min="5393" max="5393" width="12.42578125" bestFit="1" customWidth="1"/>
    <col min="5394" max="5394" width="10.28515625" customWidth="1"/>
    <col min="5395" max="5395" width="8.42578125" bestFit="1" customWidth="1"/>
    <col min="5634" max="5634" width="10.5703125" customWidth="1"/>
    <col min="5635" max="5635" width="17.7109375" customWidth="1"/>
    <col min="5636" max="5636" width="11" bestFit="1" customWidth="1"/>
    <col min="5637" max="5637" width="10.42578125" bestFit="1" customWidth="1"/>
    <col min="5638" max="5638" width="11.140625" bestFit="1" customWidth="1"/>
    <col min="5639" max="5639" width="10.85546875" bestFit="1" customWidth="1"/>
    <col min="5640" max="5640" width="3.7109375" customWidth="1"/>
    <col min="5641" max="5641" width="11" bestFit="1" customWidth="1"/>
    <col min="5642" max="5642" width="11.140625" bestFit="1" customWidth="1"/>
    <col min="5643" max="5644" width="10.85546875" bestFit="1" customWidth="1"/>
    <col min="5645" max="5645" width="8.42578125" bestFit="1" customWidth="1"/>
    <col min="5646" max="5646" width="3.28515625" customWidth="1"/>
    <col min="5647" max="5647" width="11" bestFit="1" customWidth="1"/>
    <col min="5648" max="5648" width="11.28515625" bestFit="1" customWidth="1"/>
    <col min="5649" max="5649" width="12.42578125" bestFit="1" customWidth="1"/>
    <col min="5650" max="5650" width="10.28515625" customWidth="1"/>
    <col min="5651" max="5651" width="8.42578125" bestFit="1" customWidth="1"/>
    <col min="5890" max="5890" width="10.5703125" customWidth="1"/>
    <col min="5891" max="5891" width="17.7109375" customWidth="1"/>
    <col min="5892" max="5892" width="11" bestFit="1" customWidth="1"/>
    <col min="5893" max="5893" width="10.42578125" bestFit="1" customWidth="1"/>
    <col min="5894" max="5894" width="11.140625" bestFit="1" customWidth="1"/>
    <col min="5895" max="5895" width="10.85546875" bestFit="1" customWidth="1"/>
    <col min="5896" max="5896" width="3.7109375" customWidth="1"/>
    <col min="5897" max="5897" width="11" bestFit="1" customWidth="1"/>
    <col min="5898" max="5898" width="11.140625" bestFit="1" customWidth="1"/>
    <col min="5899" max="5900" width="10.85546875" bestFit="1" customWidth="1"/>
    <col min="5901" max="5901" width="8.42578125" bestFit="1" customWidth="1"/>
    <col min="5902" max="5902" width="3.28515625" customWidth="1"/>
    <col min="5903" max="5903" width="11" bestFit="1" customWidth="1"/>
    <col min="5904" max="5904" width="11.28515625" bestFit="1" customWidth="1"/>
    <col min="5905" max="5905" width="12.42578125" bestFit="1" customWidth="1"/>
    <col min="5906" max="5906" width="10.28515625" customWidth="1"/>
    <col min="5907" max="5907" width="8.42578125" bestFit="1" customWidth="1"/>
    <col min="6146" max="6146" width="10.5703125" customWidth="1"/>
    <col min="6147" max="6147" width="17.7109375" customWidth="1"/>
    <col min="6148" max="6148" width="11" bestFit="1" customWidth="1"/>
    <col min="6149" max="6149" width="10.42578125" bestFit="1" customWidth="1"/>
    <col min="6150" max="6150" width="11.140625" bestFit="1" customWidth="1"/>
    <col min="6151" max="6151" width="10.85546875" bestFit="1" customWidth="1"/>
    <col min="6152" max="6152" width="3.7109375" customWidth="1"/>
    <col min="6153" max="6153" width="11" bestFit="1" customWidth="1"/>
    <col min="6154" max="6154" width="11.140625" bestFit="1" customWidth="1"/>
    <col min="6155" max="6156" width="10.85546875" bestFit="1" customWidth="1"/>
    <col min="6157" max="6157" width="8.42578125" bestFit="1" customWidth="1"/>
    <col min="6158" max="6158" width="3.28515625" customWidth="1"/>
    <col min="6159" max="6159" width="11" bestFit="1" customWidth="1"/>
    <col min="6160" max="6160" width="11.28515625" bestFit="1" customWidth="1"/>
    <col min="6161" max="6161" width="12.42578125" bestFit="1" customWidth="1"/>
    <col min="6162" max="6162" width="10.28515625" customWidth="1"/>
    <col min="6163" max="6163" width="8.42578125" bestFit="1" customWidth="1"/>
    <col min="6402" max="6402" width="10.5703125" customWidth="1"/>
    <col min="6403" max="6403" width="17.7109375" customWidth="1"/>
    <col min="6404" max="6404" width="11" bestFit="1" customWidth="1"/>
    <col min="6405" max="6405" width="10.42578125" bestFit="1" customWidth="1"/>
    <col min="6406" max="6406" width="11.140625" bestFit="1" customWidth="1"/>
    <col min="6407" max="6407" width="10.85546875" bestFit="1" customWidth="1"/>
    <col min="6408" max="6408" width="3.7109375" customWidth="1"/>
    <col min="6409" max="6409" width="11" bestFit="1" customWidth="1"/>
    <col min="6410" max="6410" width="11.140625" bestFit="1" customWidth="1"/>
    <col min="6411" max="6412" width="10.85546875" bestFit="1" customWidth="1"/>
    <col min="6413" max="6413" width="8.42578125" bestFit="1" customWidth="1"/>
    <col min="6414" max="6414" width="3.28515625" customWidth="1"/>
    <col min="6415" max="6415" width="11" bestFit="1" customWidth="1"/>
    <col min="6416" max="6416" width="11.28515625" bestFit="1" customWidth="1"/>
    <col min="6417" max="6417" width="12.42578125" bestFit="1" customWidth="1"/>
    <col min="6418" max="6418" width="10.28515625" customWidth="1"/>
    <col min="6419" max="6419" width="8.42578125" bestFit="1" customWidth="1"/>
    <col min="6658" max="6658" width="10.5703125" customWidth="1"/>
    <col min="6659" max="6659" width="17.7109375" customWidth="1"/>
    <col min="6660" max="6660" width="11" bestFit="1" customWidth="1"/>
    <col min="6661" max="6661" width="10.42578125" bestFit="1" customWidth="1"/>
    <col min="6662" max="6662" width="11.140625" bestFit="1" customWidth="1"/>
    <col min="6663" max="6663" width="10.85546875" bestFit="1" customWidth="1"/>
    <col min="6664" max="6664" width="3.7109375" customWidth="1"/>
    <col min="6665" max="6665" width="11" bestFit="1" customWidth="1"/>
    <col min="6666" max="6666" width="11.140625" bestFit="1" customWidth="1"/>
    <col min="6667" max="6668" width="10.85546875" bestFit="1" customWidth="1"/>
    <col min="6669" max="6669" width="8.42578125" bestFit="1" customWidth="1"/>
    <col min="6670" max="6670" width="3.28515625" customWidth="1"/>
    <col min="6671" max="6671" width="11" bestFit="1" customWidth="1"/>
    <col min="6672" max="6672" width="11.28515625" bestFit="1" customWidth="1"/>
    <col min="6673" max="6673" width="12.42578125" bestFit="1" customWidth="1"/>
    <col min="6674" max="6674" width="10.28515625" customWidth="1"/>
    <col min="6675" max="6675" width="8.42578125" bestFit="1" customWidth="1"/>
    <col min="6914" max="6914" width="10.5703125" customWidth="1"/>
    <col min="6915" max="6915" width="17.7109375" customWidth="1"/>
    <col min="6916" max="6916" width="11" bestFit="1" customWidth="1"/>
    <col min="6917" max="6917" width="10.42578125" bestFit="1" customWidth="1"/>
    <col min="6918" max="6918" width="11.140625" bestFit="1" customWidth="1"/>
    <col min="6919" max="6919" width="10.85546875" bestFit="1" customWidth="1"/>
    <col min="6920" max="6920" width="3.7109375" customWidth="1"/>
    <col min="6921" max="6921" width="11" bestFit="1" customWidth="1"/>
    <col min="6922" max="6922" width="11.140625" bestFit="1" customWidth="1"/>
    <col min="6923" max="6924" width="10.85546875" bestFit="1" customWidth="1"/>
    <col min="6925" max="6925" width="8.42578125" bestFit="1" customWidth="1"/>
    <col min="6926" max="6926" width="3.28515625" customWidth="1"/>
    <col min="6927" max="6927" width="11" bestFit="1" customWidth="1"/>
    <col min="6928" max="6928" width="11.28515625" bestFit="1" customWidth="1"/>
    <col min="6929" max="6929" width="12.42578125" bestFit="1" customWidth="1"/>
    <col min="6930" max="6930" width="10.28515625" customWidth="1"/>
    <col min="6931" max="6931" width="8.42578125" bestFit="1" customWidth="1"/>
    <col min="7170" max="7170" width="10.5703125" customWidth="1"/>
    <col min="7171" max="7171" width="17.7109375" customWidth="1"/>
    <col min="7172" max="7172" width="11" bestFit="1" customWidth="1"/>
    <col min="7173" max="7173" width="10.42578125" bestFit="1" customWidth="1"/>
    <col min="7174" max="7174" width="11.140625" bestFit="1" customWidth="1"/>
    <col min="7175" max="7175" width="10.85546875" bestFit="1" customWidth="1"/>
    <col min="7176" max="7176" width="3.7109375" customWidth="1"/>
    <col min="7177" max="7177" width="11" bestFit="1" customWidth="1"/>
    <col min="7178" max="7178" width="11.140625" bestFit="1" customWidth="1"/>
    <col min="7179" max="7180" width="10.85546875" bestFit="1" customWidth="1"/>
    <col min="7181" max="7181" width="8.42578125" bestFit="1" customWidth="1"/>
    <col min="7182" max="7182" width="3.28515625" customWidth="1"/>
    <col min="7183" max="7183" width="11" bestFit="1" customWidth="1"/>
    <col min="7184" max="7184" width="11.28515625" bestFit="1" customWidth="1"/>
    <col min="7185" max="7185" width="12.42578125" bestFit="1" customWidth="1"/>
    <col min="7186" max="7186" width="10.28515625" customWidth="1"/>
    <col min="7187" max="7187" width="8.42578125" bestFit="1" customWidth="1"/>
    <col min="7426" max="7426" width="10.5703125" customWidth="1"/>
    <col min="7427" max="7427" width="17.7109375" customWidth="1"/>
    <col min="7428" max="7428" width="11" bestFit="1" customWidth="1"/>
    <col min="7429" max="7429" width="10.42578125" bestFit="1" customWidth="1"/>
    <col min="7430" max="7430" width="11.140625" bestFit="1" customWidth="1"/>
    <col min="7431" max="7431" width="10.85546875" bestFit="1" customWidth="1"/>
    <col min="7432" max="7432" width="3.7109375" customWidth="1"/>
    <col min="7433" max="7433" width="11" bestFit="1" customWidth="1"/>
    <col min="7434" max="7434" width="11.140625" bestFit="1" customWidth="1"/>
    <col min="7435" max="7436" width="10.85546875" bestFit="1" customWidth="1"/>
    <col min="7437" max="7437" width="8.42578125" bestFit="1" customWidth="1"/>
    <col min="7438" max="7438" width="3.28515625" customWidth="1"/>
    <col min="7439" max="7439" width="11" bestFit="1" customWidth="1"/>
    <col min="7440" max="7440" width="11.28515625" bestFit="1" customWidth="1"/>
    <col min="7441" max="7441" width="12.42578125" bestFit="1" customWidth="1"/>
    <col min="7442" max="7442" width="10.28515625" customWidth="1"/>
    <col min="7443" max="7443" width="8.42578125" bestFit="1" customWidth="1"/>
    <col min="7682" max="7682" width="10.5703125" customWidth="1"/>
    <col min="7683" max="7683" width="17.7109375" customWidth="1"/>
    <col min="7684" max="7684" width="11" bestFit="1" customWidth="1"/>
    <col min="7685" max="7685" width="10.42578125" bestFit="1" customWidth="1"/>
    <col min="7686" max="7686" width="11.140625" bestFit="1" customWidth="1"/>
    <col min="7687" max="7687" width="10.85546875" bestFit="1" customWidth="1"/>
    <col min="7688" max="7688" width="3.7109375" customWidth="1"/>
    <col min="7689" max="7689" width="11" bestFit="1" customWidth="1"/>
    <col min="7690" max="7690" width="11.140625" bestFit="1" customWidth="1"/>
    <col min="7691" max="7692" width="10.85546875" bestFit="1" customWidth="1"/>
    <col min="7693" max="7693" width="8.42578125" bestFit="1" customWidth="1"/>
    <col min="7694" max="7694" width="3.28515625" customWidth="1"/>
    <col min="7695" max="7695" width="11" bestFit="1" customWidth="1"/>
    <col min="7696" max="7696" width="11.28515625" bestFit="1" customWidth="1"/>
    <col min="7697" max="7697" width="12.42578125" bestFit="1" customWidth="1"/>
    <col min="7698" max="7698" width="10.28515625" customWidth="1"/>
    <col min="7699" max="7699" width="8.42578125" bestFit="1" customWidth="1"/>
    <col min="7938" max="7938" width="10.5703125" customWidth="1"/>
    <col min="7939" max="7939" width="17.7109375" customWidth="1"/>
    <col min="7940" max="7940" width="11" bestFit="1" customWidth="1"/>
    <col min="7941" max="7941" width="10.42578125" bestFit="1" customWidth="1"/>
    <col min="7942" max="7942" width="11.140625" bestFit="1" customWidth="1"/>
    <col min="7943" max="7943" width="10.85546875" bestFit="1" customWidth="1"/>
    <col min="7944" max="7944" width="3.7109375" customWidth="1"/>
    <col min="7945" max="7945" width="11" bestFit="1" customWidth="1"/>
    <col min="7946" max="7946" width="11.140625" bestFit="1" customWidth="1"/>
    <col min="7947" max="7948" width="10.85546875" bestFit="1" customWidth="1"/>
    <col min="7949" max="7949" width="8.42578125" bestFit="1" customWidth="1"/>
    <col min="7950" max="7950" width="3.28515625" customWidth="1"/>
    <col min="7951" max="7951" width="11" bestFit="1" customWidth="1"/>
    <col min="7952" max="7952" width="11.28515625" bestFit="1" customWidth="1"/>
    <col min="7953" max="7953" width="12.42578125" bestFit="1" customWidth="1"/>
    <col min="7954" max="7954" width="10.28515625" customWidth="1"/>
    <col min="7955" max="7955" width="8.42578125" bestFit="1" customWidth="1"/>
    <col min="8194" max="8194" width="10.5703125" customWidth="1"/>
    <col min="8195" max="8195" width="17.7109375" customWidth="1"/>
    <col min="8196" max="8196" width="11" bestFit="1" customWidth="1"/>
    <col min="8197" max="8197" width="10.42578125" bestFit="1" customWidth="1"/>
    <col min="8198" max="8198" width="11.140625" bestFit="1" customWidth="1"/>
    <col min="8199" max="8199" width="10.85546875" bestFit="1" customWidth="1"/>
    <col min="8200" max="8200" width="3.7109375" customWidth="1"/>
    <col min="8201" max="8201" width="11" bestFit="1" customWidth="1"/>
    <col min="8202" max="8202" width="11.140625" bestFit="1" customWidth="1"/>
    <col min="8203" max="8204" width="10.85546875" bestFit="1" customWidth="1"/>
    <col min="8205" max="8205" width="8.42578125" bestFit="1" customWidth="1"/>
    <col min="8206" max="8206" width="3.28515625" customWidth="1"/>
    <col min="8207" max="8207" width="11" bestFit="1" customWidth="1"/>
    <col min="8208" max="8208" width="11.28515625" bestFit="1" customWidth="1"/>
    <col min="8209" max="8209" width="12.42578125" bestFit="1" customWidth="1"/>
    <col min="8210" max="8210" width="10.28515625" customWidth="1"/>
    <col min="8211" max="8211" width="8.42578125" bestFit="1" customWidth="1"/>
    <col min="8450" max="8450" width="10.5703125" customWidth="1"/>
    <col min="8451" max="8451" width="17.7109375" customWidth="1"/>
    <col min="8452" max="8452" width="11" bestFit="1" customWidth="1"/>
    <col min="8453" max="8453" width="10.42578125" bestFit="1" customWidth="1"/>
    <col min="8454" max="8454" width="11.140625" bestFit="1" customWidth="1"/>
    <col min="8455" max="8455" width="10.85546875" bestFit="1" customWidth="1"/>
    <col min="8456" max="8456" width="3.7109375" customWidth="1"/>
    <col min="8457" max="8457" width="11" bestFit="1" customWidth="1"/>
    <col min="8458" max="8458" width="11.140625" bestFit="1" customWidth="1"/>
    <col min="8459" max="8460" width="10.85546875" bestFit="1" customWidth="1"/>
    <col min="8461" max="8461" width="8.42578125" bestFit="1" customWidth="1"/>
    <col min="8462" max="8462" width="3.28515625" customWidth="1"/>
    <col min="8463" max="8463" width="11" bestFit="1" customWidth="1"/>
    <col min="8464" max="8464" width="11.28515625" bestFit="1" customWidth="1"/>
    <col min="8465" max="8465" width="12.42578125" bestFit="1" customWidth="1"/>
    <col min="8466" max="8466" width="10.28515625" customWidth="1"/>
    <col min="8467" max="8467" width="8.42578125" bestFit="1" customWidth="1"/>
    <col min="8706" max="8706" width="10.5703125" customWidth="1"/>
    <col min="8707" max="8707" width="17.7109375" customWidth="1"/>
    <col min="8708" max="8708" width="11" bestFit="1" customWidth="1"/>
    <col min="8709" max="8709" width="10.42578125" bestFit="1" customWidth="1"/>
    <col min="8710" max="8710" width="11.140625" bestFit="1" customWidth="1"/>
    <col min="8711" max="8711" width="10.85546875" bestFit="1" customWidth="1"/>
    <col min="8712" max="8712" width="3.7109375" customWidth="1"/>
    <col min="8713" max="8713" width="11" bestFit="1" customWidth="1"/>
    <col min="8714" max="8714" width="11.140625" bestFit="1" customWidth="1"/>
    <col min="8715" max="8716" width="10.85546875" bestFit="1" customWidth="1"/>
    <col min="8717" max="8717" width="8.42578125" bestFit="1" customWidth="1"/>
    <col min="8718" max="8718" width="3.28515625" customWidth="1"/>
    <col min="8719" max="8719" width="11" bestFit="1" customWidth="1"/>
    <col min="8720" max="8720" width="11.28515625" bestFit="1" customWidth="1"/>
    <col min="8721" max="8721" width="12.42578125" bestFit="1" customWidth="1"/>
    <col min="8722" max="8722" width="10.28515625" customWidth="1"/>
    <col min="8723" max="8723" width="8.42578125" bestFit="1" customWidth="1"/>
    <col min="8962" max="8962" width="10.5703125" customWidth="1"/>
    <col min="8963" max="8963" width="17.7109375" customWidth="1"/>
    <col min="8964" max="8964" width="11" bestFit="1" customWidth="1"/>
    <col min="8965" max="8965" width="10.42578125" bestFit="1" customWidth="1"/>
    <col min="8966" max="8966" width="11.140625" bestFit="1" customWidth="1"/>
    <col min="8967" max="8967" width="10.85546875" bestFit="1" customWidth="1"/>
    <col min="8968" max="8968" width="3.7109375" customWidth="1"/>
    <col min="8969" max="8969" width="11" bestFit="1" customWidth="1"/>
    <col min="8970" max="8970" width="11.140625" bestFit="1" customWidth="1"/>
    <col min="8971" max="8972" width="10.85546875" bestFit="1" customWidth="1"/>
    <col min="8973" max="8973" width="8.42578125" bestFit="1" customWidth="1"/>
    <col min="8974" max="8974" width="3.28515625" customWidth="1"/>
    <col min="8975" max="8975" width="11" bestFit="1" customWidth="1"/>
    <col min="8976" max="8976" width="11.28515625" bestFit="1" customWidth="1"/>
    <col min="8977" max="8977" width="12.42578125" bestFit="1" customWidth="1"/>
    <col min="8978" max="8978" width="10.28515625" customWidth="1"/>
    <col min="8979" max="8979" width="8.42578125" bestFit="1" customWidth="1"/>
    <col min="9218" max="9218" width="10.5703125" customWidth="1"/>
    <col min="9219" max="9219" width="17.7109375" customWidth="1"/>
    <col min="9220" max="9220" width="11" bestFit="1" customWidth="1"/>
    <col min="9221" max="9221" width="10.42578125" bestFit="1" customWidth="1"/>
    <col min="9222" max="9222" width="11.140625" bestFit="1" customWidth="1"/>
    <col min="9223" max="9223" width="10.85546875" bestFit="1" customWidth="1"/>
    <col min="9224" max="9224" width="3.7109375" customWidth="1"/>
    <col min="9225" max="9225" width="11" bestFit="1" customWidth="1"/>
    <col min="9226" max="9226" width="11.140625" bestFit="1" customWidth="1"/>
    <col min="9227" max="9228" width="10.85546875" bestFit="1" customWidth="1"/>
    <col min="9229" max="9229" width="8.42578125" bestFit="1" customWidth="1"/>
    <col min="9230" max="9230" width="3.28515625" customWidth="1"/>
    <col min="9231" max="9231" width="11" bestFit="1" customWidth="1"/>
    <col min="9232" max="9232" width="11.28515625" bestFit="1" customWidth="1"/>
    <col min="9233" max="9233" width="12.42578125" bestFit="1" customWidth="1"/>
    <col min="9234" max="9234" width="10.28515625" customWidth="1"/>
    <col min="9235" max="9235" width="8.42578125" bestFit="1" customWidth="1"/>
    <col min="9474" max="9474" width="10.5703125" customWidth="1"/>
    <col min="9475" max="9475" width="17.7109375" customWidth="1"/>
    <col min="9476" max="9476" width="11" bestFit="1" customWidth="1"/>
    <col min="9477" max="9477" width="10.42578125" bestFit="1" customWidth="1"/>
    <col min="9478" max="9478" width="11.140625" bestFit="1" customWidth="1"/>
    <col min="9479" max="9479" width="10.85546875" bestFit="1" customWidth="1"/>
    <col min="9480" max="9480" width="3.7109375" customWidth="1"/>
    <col min="9481" max="9481" width="11" bestFit="1" customWidth="1"/>
    <col min="9482" max="9482" width="11.140625" bestFit="1" customWidth="1"/>
    <col min="9483" max="9484" width="10.85546875" bestFit="1" customWidth="1"/>
    <col min="9485" max="9485" width="8.42578125" bestFit="1" customWidth="1"/>
    <col min="9486" max="9486" width="3.28515625" customWidth="1"/>
    <col min="9487" max="9487" width="11" bestFit="1" customWidth="1"/>
    <col min="9488" max="9488" width="11.28515625" bestFit="1" customWidth="1"/>
    <col min="9489" max="9489" width="12.42578125" bestFit="1" customWidth="1"/>
    <col min="9490" max="9490" width="10.28515625" customWidth="1"/>
    <col min="9491" max="9491" width="8.42578125" bestFit="1" customWidth="1"/>
    <col min="9730" max="9730" width="10.5703125" customWidth="1"/>
    <col min="9731" max="9731" width="17.7109375" customWidth="1"/>
    <col min="9732" max="9732" width="11" bestFit="1" customWidth="1"/>
    <col min="9733" max="9733" width="10.42578125" bestFit="1" customWidth="1"/>
    <col min="9734" max="9734" width="11.140625" bestFit="1" customWidth="1"/>
    <col min="9735" max="9735" width="10.85546875" bestFit="1" customWidth="1"/>
    <col min="9736" max="9736" width="3.7109375" customWidth="1"/>
    <col min="9737" max="9737" width="11" bestFit="1" customWidth="1"/>
    <col min="9738" max="9738" width="11.140625" bestFit="1" customWidth="1"/>
    <col min="9739" max="9740" width="10.85546875" bestFit="1" customWidth="1"/>
    <col min="9741" max="9741" width="8.42578125" bestFit="1" customWidth="1"/>
    <col min="9742" max="9742" width="3.28515625" customWidth="1"/>
    <col min="9743" max="9743" width="11" bestFit="1" customWidth="1"/>
    <col min="9744" max="9744" width="11.28515625" bestFit="1" customWidth="1"/>
    <col min="9745" max="9745" width="12.42578125" bestFit="1" customWidth="1"/>
    <col min="9746" max="9746" width="10.28515625" customWidth="1"/>
    <col min="9747" max="9747" width="8.42578125" bestFit="1" customWidth="1"/>
    <col min="9986" max="9986" width="10.5703125" customWidth="1"/>
    <col min="9987" max="9987" width="17.7109375" customWidth="1"/>
    <col min="9988" max="9988" width="11" bestFit="1" customWidth="1"/>
    <col min="9989" max="9989" width="10.42578125" bestFit="1" customWidth="1"/>
    <col min="9990" max="9990" width="11.140625" bestFit="1" customWidth="1"/>
    <col min="9991" max="9991" width="10.85546875" bestFit="1" customWidth="1"/>
    <col min="9992" max="9992" width="3.7109375" customWidth="1"/>
    <col min="9993" max="9993" width="11" bestFit="1" customWidth="1"/>
    <col min="9994" max="9994" width="11.140625" bestFit="1" customWidth="1"/>
    <col min="9995" max="9996" width="10.85546875" bestFit="1" customWidth="1"/>
    <col min="9997" max="9997" width="8.42578125" bestFit="1" customWidth="1"/>
    <col min="9998" max="9998" width="3.28515625" customWidth="1"/>
    <col min="9999" max="9999" width="11" bestFit="1" customWidth="1"/>
    <col min="10000" max="10000" width="11.28515625" bestFit="1" customWidth="1"/>
    <col min="10001" max="10001" width="12.42578125" bestFit="1" customWidth="1"/>
    <col min="10002" max="10002" width="10.28515625" customWidth="1"/>
    <col min="10003" max="10003" width="8.42578125" bestFit="1" customWidth="1"/>
    <col min="10242" max="10242" width="10.5703125" customWidth="1"/>
    <col min="10243" max="10243" width="17.7109375" customWidth="1"/>
    <col min="10244" max="10244" width="11" bestFit="1" customWidth="1"/>
    <col min="10245" max="10245" width="10.42578125" bestFit="1" customWidth="1"/>
    <col min="10246" max="10246" width="11.140625" bestFit="1" customWidth="1"/>
    <col min="10247" max="10247" width="10.85546875" bestFit="1" customWidth="1"/>
    <col min="10248" max="10248" width="3.7109375" customWidth="1"/>
    <col min="10249" max="10249" width="11" bestFit="1" customWidth="1"/>
    <col min="10250" max="10250" width="11.140625" bestFit="1" customWidth="1"/>
    <col min="10251" max="10252" width="10.85546875" bestFit="1" customWidth="1"/>
    <col min="10253" max="10253" width="8.42578125" bestFit="1" customWidth="1"/>
    <col min="10254" max="10254" width="3.28515625" customWidth="1"/>
    <col min="10255" max="10255" width="11" bestFit="1" customWidth="1"/>
    <col min="10256" max="10256" width="11.28515625" bestFit="1" customWidth="1"/>
    <col min="10257" max="10257" width="12.42578125" bestFit="1" customWidth="1"/>
    <col min="10258" max="10258" width="10.28515625" customWidth="1"/>
    <col min="10259" max="10259" width="8.42578125" bestFit="1" customWidth="1"/>
    <col min="10498" max="10498" width="10.5703125" customWidth="1"/>
    <col min="10499" max="10499" width="17.7109375" customWidth="1"/>
    <col min="10500" max="10500" width="11" bestFit="1" customWidth="1"/>
    <col min="10501" max="10501" width="10.42578125" bestFit="1" customWidth="1"/>
    <col min="10502" max="10502" width="11.140625" bestFit="1" customWidth="1"/>
    <col min="10503" max="10503" width="10.85546875" bestFit="1" customWidth="1"/>
    <col min="10504" max="10504" width="3.7109375" customWidth="1"/>
    <col min="10505" max="10505" width="11" bestFit="1" customWidth="1"/>
    <col min="10506" max="10506" width="11.140625" bestFit="1" customWidth="1"/>
    <col min="10507" max="10508" width="10.85546875" bestFit="1" customWidth="1"/>
    <col min="10509" max="10509" width="8.42578125" bestFit="1" customWidth="1"/>
    <col min="10510" max="10510" width="3.28515625" customWidth="1"/>
    <col min="10511" max="10511" width="11" bestFit="1" customWidth="1"/>
    <col min="10512" max="10512" width="11.28515625" bestFit="1" customWidth="1"/>
    <col min="10513" max="10513" width="12.42578125" bestFit="1" customWidth="1"/>
    <col min="10514" max="10514" width="10.28515625" customWidth="1"/>
    <col min="10515" max="10515" width="8.42578125" bestFit="1" customWidth="1"/>
    <col min="10754" max="10754" width="10.5703125" customWidth="1"/>
    <col min="10755" max="10755" width="17.7109375" customWidth="1"/>
    <col min="10756" max="10756" width="11" bestFit="1" customWidth="1"/>
    <col min="10757" max="10757" width="10.42578125" bestFit="1" customWidth="1"/>
    <col min="10758" max="10758" width="11.140625" bestFit="1" customWidth="1"/>
    <col min="10759" max="10759" width="10.85546875" bestFit="1" customWidth="1"/>
    <col min="10760" max="10760" width="3.7109375" customWidth="1"/>
    <col min="10761" max="10761" width="11" bestFit="1" customWidth="1"/>
    <col min="10762" max="10762" width="11.140625" bestFit="1" customWidth="1"/>
    <col min="10763" max="10764" width="10.85546875" bestFit="1" customWidth="1"/>
    <col min="10765" max="10765" width="8.42578125" bestFit="1" customWidth="1"/>
    <col min="10766" max="10766" width="3.28515625" customWidth="1"/>
    <col min="10767" max="10767" width="11" bestFit="1" customWidth="1"/>
    <col min="10768" max="10768" width="11.28515625" bestFit="1" customWidth="1"/>
    <col min="10769" max="10769" width="12.42578125" bestFit="1" customWidth="1"/>
    <col min="10770" max="10770" width="10.28515625" customWidth="1"/>
    <col min="10771" max="10771" width="8.42578125" bestFit="1" customWidth="1"/>
    <col min="11010" max="11010" width="10.5703125" customWidth="1"/>
    <col min="11011" max="11011" width="17.7109375" customWidth="1"/>
    <col min="11012" max="11012" width="11" bestFit="1" customWidth="1"/>
    <col min="11013" max="11013" width="10.42578125" bestFit="1" customWidth="1"/>
    <col min="11014" max="11014" width="11.140625" bestFit="1" customWidth="1"/>
    <col min="11015" max="11015" width="10.85546875" bestFit="1" customWidth="1"/>
    <col min="11016" max="11016" width="3.7109375" customWidth="1"/>
    <col min="11017" max="11017" width="11" bestFit="1" customWidth="1"/>
    <col min="11018" max="11018" width="11.140625" bestFit="1" customWidth="1"/>
    <col min="11019" max="11020" width="10.85546875" bestFit="1" customWidth="1"/>
    <col min="11021" max="11021" width="8.42578125" bestFit="1" customWidth="1"/>
    <col min="11022" max="11022" width="3.28515625" customWidth="1"/>
    <col min="11023" max="11023" width="11" bestFit="1" customWidth="1"/>
    <col min="11024" max="11024" width="11.28515625" bestFit="1" customWidth="1"/>
    <col min="11025" max="11025" width="12.42578125" bestFit="1" customWidth="1"/>
    <col min="11026" max="11026" width="10.28515625" customWidth="1"/>
    <col min="11027" max="11027" width="8.42578125" bestFit="1" customWidth="1"/>
    <col min="11266" max="11266" width="10.5703125" customWidth="1"/>
    <col min="11267" max="11267" width="17.7109375" customWidth="1"/>
    <col min="11268" max="11268" width="11" bestFit="1" customWidth="1"/>
    <col min="11269" max="11269" width="10.42578125" bestFit="1" customWidth="1"/>
    <col min="11270" max="11270" width="11.140625" bestFit="1" customWidth="1"/>
    <col min="11271" max="11271" width="10.85546875" bestFit="1" customWidth="1"/>
    <col min="11272" max="11272" width="3.7109375" customWidth="1"/>
    <col min="11273" max="11273" width="11" bestFit="1" customWidth="1"/>
    <col min="11274" max="11274" width="11.140625" bestFit="1" customWidth="1"/>
    <col min="11275" max="11276" width="10.85546875" bestFit="1" customWidth="1"/>
    <col min="11277" max="11277" width="8.42578125" bestFit="1" customWidth="1"/>
    <col min="11278" max="11278" width="3.28515625" customWidth="1"/>
    <col min="11279" max="11279" width="11" bestFit="1" customWidth="1"/>
    <col min="11280" max="11280" width="11.28515625" bestFit="1" customWidth="1"/>
    <col min="11281" max="11281" width="12.42578125" bestFit="1" customWidth="1"/>
    <col min="11282" max="11282" width="10.28515625" customWidth="1"/>
    <col min="11283" max="11283" width="8.42578125" bestFit="1" customWidth="1"/>
    <col min="11522" max="11522" width="10.5703125" customWidth="1"/>
    <col min="11523" max="11523" width="17.7109375" customWidth="1"/>
    <col min="11524" max="11524" width="11" bestFit="1" customWidth="1"/>
    <col min="11525" max="11525" width="10.42578125" bestFit="1" customWidth="1"/>
    <col min="11526" max="11526" width="11.140625" bestFit="1" customWidth="1"/>
    <col min="11527" max="11527" width="10.85546875" bestFit="1" customWidth="1"/>
    <col min="11528" max="11528" width="3.7109375" customWidth="1"/>
    <col min="11529" max="11529" width="11" bestFit="1" customWidth="1"/>
    <col min="11530" max="11530" width="11.140625" bestFit="1" customWidth="1"/>
    <col min="11531" max="11532" width="10.85546875" bestFit="1" customWidth="1"/>
    <col min="11533" max="11533" width="8.42578125" bestFit="1" customWidth="1"/>
    <col min="11534" max="11534" width="3.28515625" customWidth="1"/>
    <col min="11535" max="11535" width="11" bestFit="1" customWidth="1"/>
    <col min="11536" max="11536" width="11.28515625" bestFit="1" customWidth="1"/>
    <col min="11537" max="11537" width="12.42578125" bestFit="1" customWidth="1"/>
    <col min="11538" max="11538" width="10.28515625" customWidth="1"/>
    <col min="11539" max="11539" width="8.42578125" bestFit="1" customWidth="1"/>
    <col min="11778" max="11778" width="10.5703125" customWidth="1"/>
    <col min="11779" max="11779" width="17.7109375" customWidth="1"/>
    <col min="11780" max="11780" width="11" bestFit="1" customWidth="1"/>
    <col min="11781" max="11781" width="10.42578125" bestFit="1" customWidth="1"/>
    <col min="11782" max="11782" width="11.140625" bestFit="1" customWidth="1"/>
    <col min="11783" max="11783" width="10.85546875" bestFit="1" customWidth="1"/>
    <col min="11784" max="11784" width="3.7109375" customWidth="1"/>
    <col min="11785" max="11785" width="11" bestFit="1" customWidth="1"/>
    <col min="11786" max="11786" width="11.140625" bestFit="1" customWidth="1"/>
    <col min="11787" max="11788" width="10.85546875" bestFit="1" customWidth="1"/>
    <col min="11789" max="11789" width="8.42578125" bestFit="1" customWidth="1"/>
    <col min="11790" max="11790" width="3.28515625" customWidth="1"/>
    <col min="11791" max="11791" width="11" bestFit="1" customWidth="1"/>
    <col min="11792" max="11792" width="11.28515625" bestFit="1" customWidth="1"/>
    <col min="11793" max="11793" width="12.42578125" bestFit="1" customWidth="1"/>
    <col min="11794" max="11794" width="10.28515625" customWidth="1"/>
    <col min="11795" max="11795" width="8.42578125" bestFit="1" customWidth="1"/>
    <col min="12034" max="12034" width="10.5703125" customWidth="1"/>
    <col min="12035" max="12035" width="17.7109375" customWidth="1"/>
    <col min="12036" max="12036" width="11" bestFit="1" customWidth="1"/>
    <col min="12037" max="12037" width="10.42578125" bestFit="1" customWidth="1"/>
    <col min="12038" max="12038" width="11.140625" bestFit="1" customWidth="1"/>
    <col min="12039" max="12039" width="10.85546875" bestFit="1" customWidth="1"/>
    <col min="12040" max="12040" width="3.7109375" customWidth="1"/>
    <col min="12041" max="12041" width="11" bestFit="1" customWidth="1"/>
    <col min="12042" max="12042" width="11.140625" bestFit="1" customWidth="1"/>
    <col min="12043" max="12044" width="10.85546875" bestFit="1" customWidth="1"/>
    <col min="12045" max="12045" width="8.42578125" bestFit="1" customWidth="1"/>
    <col min="12046" max="12046" width="3.28515625" customWidth="1"/>
    <col min="12047" max="12047" width="11" bestFit="1" customWidth="1"/>
    <col min="12048" max="12048" width="11.28515625" bestFit="1" customWidth="1"/>
    <col min="12049" max="12049" width="12.42578125" bestFit="1" customWidth="1"/>
    <col min="12050" max="12050" width="10.28515625" customWidth="1"/>
    <col min="12051" max="12051" width="8.42578125" bestFit="1" customWidth="1"/>
    <col min="12290" max="12290" width="10.5703125" customWidth="1"/>
    <col min="12291" max="12291" width="17.7109375" customWidth="1"/>
    <col min="12292" max="12292" width="11" bestFit="1" customWidth="1"/>
    <col min="12293" max="12293" width="10.42578125" bestFit="1" customWidth="1"/>
    <col min="12294" max="12294" width="11.140625" bestFit="1" customWidth="1"/>
    <col min="12295" max="12295" width="10.85546875" bestFit="1" customWidth="1"/>
    <col min="12296" max="12296" width="3.7109375" customWidth="1"/>
    <col min="12297" max="12297" width="11" bestFit="1" customWidth="1"/>
    <col min="12298" max="12298" width="11.140625" bestFit="1" customWidth="1"/>
    <col min="12299" max="12300" width="10.85546875" bestFit="1" customWidth="1"/>
    <col min="12301" max="12301" width="8.42578125" bestFit="1" customWidth="1"/>
    <col min="12302" max="12302" width="3.28515625" customWidth="1"/>
    <col min="12303" max="12303" width="11" bestFit="1" customWidth="1"/>
    <col min="12304" max="12304" width="11.28515625" bestFit="1" customWidth="1"/>
    <col min="12305" max="12305" width="12.42578125" bestFit="1" customWidth="1"/>
    <col min="12306" max="12306" width="10.28515625" customWidth="1"/>
    <col min="12307" max="12307" width="8.42578125" bestFit="1" customWidth="1"/>
    <col min="12546" max="12546" width="10.5703125" customWidth="1"/>
    <col min="12547" max="12547" width="17.7109375" customWidth="1"/>
    <col min="12548" max="12548" width="11" bestFit="1" customWidth="1"/>
    <col min="12549" max="12549" width="10.42578125" bestFit="1" customWidth="1"/>
    <col min="12550" max="12550" width="11.140625" bestFit="1" customWidth="1"/>
    <col min="12551" max="12551" width="10.85546875" bestFit="1" customWidth="1"/>
    <col min="12552" max="12552" width="3.7109375" customWidth="1"/>
    <col min="12553" max="12553" width="11" bestFit="1" customWidth="1"/>
    <col min="12554" max="12554" width="11.140625" bestFit="1" customWidth="1"/>
    <col min="12555" max="12556" width="10.85546875" bestFit="1" customWidth="1"/>
    <col min="12557" max="12557" width="8.42578125" bestFit="1" customWidth="1"/>
    <col min="12558" max="12558" width="3.28515625" customWidth="1"/>
    <col min="12559" max="12559" width="11" bestFit="1" customWidth="1"/>
    <col min="12560" max="12560" width="11.28515625" bestFit="1" customWidth="1"/>
    <col min="12561" max="12561" width="12.42578125" bestFit="1" customWidth="1"/>
    <col min="12562" max="12562" width="10.28515625" customWidth="1"/>
    <col min="12563" max="12563" width="8.42578125" bestFit="1" customWidth="1"/>
    <col min="12802" max="12802" width="10.5703125" customWidth="1"/>
    <col min="12803" max="12803" width="17.7109375" customWidth="1"/>
    <col min="12804" max="12804" width="11" bestFit="1" customWidth="1"/>
    <col min="12805" max="12805" width="10.42578125" bestFit="1" customWidth="1"/>
    <col min="12806" max="12806" width="11.140625" bestFit="1" customWidth="1"/>
    <col min="12807" max="12807" width="10.85546875" bestFit="1" customWidth="1"/>
    <col min="12808" max="12808" width="3.7109375" customWidth="1"/>
    <col min="12809" max="12809" width="11" bestFit="1" customWidth="1"/>
    <col min="12810" max="12810" width="11.140625" bestFit="1" customWidth="1"/>
    <col min="12811" max="12812" width="10.85546875" bestFit="1" customWidth="1"/>
    <col min="12813" max="12813" width="8.42578125" bestFit="1" customWidth="1"/>
    <col min="12814" max="12814" width="3.28515625" customWidth="1"/>
    <col min="12815" max="12815" width="11" bestFit="1" customWidth="1"/>
    <col min="12816" max="12816" width="11.28515625" bestFit="1" customWidth="1"/>
    <col min="12817" max="12817" width="12.42578125" bestFit="1" customWidth="1"/>
    <col min="12818" max="12818" width="10.28515625" customWidth="1"/>
    <col min="12819" max="12819" width="8.42578125" bestFit="1" customWidth="1"/>
    <col min="13058" max="13058" width="10.5703125" customWidth="1"/>
    <col min="13059" max="13059" width="17.7109375" customWidth="1"/>
    <col min="13060" max="13060" width="11" bestFit="1" customWidth="1"/>
    <col min="13061" max="13061" width="10.42578125" bestFit="1" customWidth="1"/>
    <col min="13062" max="13062" width="11.140625" bestFit="1" customWidth="1"/>
    <col min="13063" max="13063" width="10.85546875" bestFit="1" customWidth="1"/>
    <col min="13064" max="13064" width="3.7109375" customWidth="1"/>
    <col min="13065" max="13065" width="11" bestFit="1" customWidth="1"/>
    <col min="13066" max="13066" width="11.140625" bestFit="1" customWidth="1"/>
    <col min="13067" max="13068" width="10.85546875" bestFit="1" customWidth="1"/>
    <col min="13069" max="13069" width="8.42578125" bestFit="1" customWidth="1"/>
    <col min="13070" max="13070" width="3.28515625" customWidth="1"/>
    <col min="13071" max="13071" width="11" bestFit="1" customWidth="1"/>
    <col min="13072" max="13072" width="11.28515625" bestFit="1" customWidth="1"/>
    <col min="13073" max="13073" width="12.42578125" bestFit="1" customWidth="1"/>
    <col min="13074" max="13074" width="10.28515625" customWidth="1"/>
    <col min="13075" max="13075" width="8.42578125" bestFit="1" customWidth="1"/>
    <col min="13314" max="13314" width="10.5703125" customWidth="1"/>
    <col min="13315" max="13315" width="17.7109375" customWidth="1"/>
    <col min="13316" max="13316" width="11" bestFit="1" customWidth="1"/>
    <col min="13317" max="13317" width="10.42578125" bestFit="1" customWidth="1"/>
    <col min="13318" max="13318" width="11.140625" bestFit="1" customWidth="1"/>
    <col min="13319" max="13319" width="10.85546875" bestFit="1" customWidth="1"/>
    <col min="13320" max="13320" width="3.7109375" customWidth="1"/>
    <col min="13321" max="13321" width="11" bestFit="1" customWidth="1"/>
    <col min="13322" max="13322" width="11.140625" bestFit="1" customWidth="1"/>
    <col min="13323" max="13324" width="10.85546875" bestFit="1" customWidth="1"/>
    <col min="13325" max="13325" width="8.42578125" bestFit="1" customWidth="1"/>
    <col min="13326" max="13326" width="3.28515625" customWidth="1"/>
    <col min="13327" max="13327" width="11" bestFit="1" customWidth="1"/>
    <col min="13328" max="13328" width="11.28515625" bestFit="1" customWidth="1"/>
    <col min="13329" max="13329" width="12.42578125" bestFit="1" customWidth="1"/>
    <col min="13330" max="13330" width="10.28515625" customWidth="1"/>
    <col min="13331" max="13331" width="8.42578125" bestFit="1" customWidth="1"/>
    <col min="13570" max="13570" width="10.5703125" customWidth="1"/>
    <col min="13571" max="13571" width="17.7109375" customWidth="1"/>
    <col min="13572" max="13572" width="11" bestFit="1" customWidth="1"/>
    <col min="13573" max="13573" width="10.42578125" bestFit="1" customWidth="1"/>
    <col min="13574" max="13574" width="11.140625" bestFit="1" customWidth="1"/>
    <col min="13575" max="13575" width="10.85546875" bestFit="1" customWidth="1"/>
    <col min="13576" max="13576" width="3.7109375" customWidth="1"/>
    <col min="13577" max="13577" width="11" bestFit="1" customWidth="1"/>
    <col min="13578" max="13578" width="11.140625" bestFit="1" customWidth="1"/>
    <col min="13579" max="13580" width="10.85546875" bestFit="1" customWidth="1"/>
    <col min="13581" max="13581" width="8.42578125" bestFit="1" customWidth="1"/>
    <col min="13582" max="13582" width="3.28515625" customWidth="1"/>
    <col min="13583" max="13583" width="11" bestFit="1" customWidth="1"/>
    <col min="13584" max="13584" width="11.28515625" bestFit="1" customWidth="1"/>
    <col min="13585" max="13585" width="12.42578125" bestFit="1" customWidth="1"/>
    <col min="13586" max="13586" width="10.28515625" customWidth="1"/>
    <col min="13587" max="13587" width="8.42578125" bestFit="1" customWidth="1"/>
    <col min="13826" max="13826" width="10.5703125" customWidth="1"/>
    <col min="13827" max="13827" width="17.7109375" customWidth="1"/>
    <col min="13828" max="13828" width="11" bestFit="1" customWidth="1"/>
    <col min="13829" max="13829" width="10.42578125" bestFit="1" customWidth="1"/>
    <col min="13830" max="13830" width="11.140625" bestFit="1" customWidth="1"/>
    <col min="13831" max="13831" width="10.85546875" bestFit="1" customWidth="1"/>
    <col min="13832" max="13832" width="3.7109375" customWidth="1"/>
    <col min="13833" max="13833" width="11" bestFit="1" customWidth="1"/>
    <col min="13834" max="13834" width="11.140625" bestFit="1" customWidth="1"/>
    <col min="13835" max="13836" width="10.85546875" bestFit="1" customWidth="1"/>
    <col min="13837" max="13837" width="8.42578125" bestFit="1" customWidth="1"/>
    <col min="13838" max="13838" width="3.28515625" customWidth="1"/>
    <col min="13839" max="13839" width="11" bestFit="1" customWidth="1"/>
    <col min="13840" max="13840" width="11.28515625" bestFit="1" customWidth="1"/>
    <col min="13841" max="13841" width="12.42578125" bestFit="1" customWidth="1"/>
    <col min="13842" max="13842" width="10.28515625" customWidth="1"/>
    <col min="13843" max="13843" width="8.42578125" bestFit="1" customWidth="1"/>
    <col min="14082" max="14082" width="10.5703125" customWidth="1"/>
    <col min="14083" max="14083" width="17.7109375" customWidth="1"/>
    <col min="14084" max="14084" width="11" bestFit="1" customWidth="1"/>
    <col min="14085" max="14085" width="10.42578125" bestFit="1" customWidth="1"/>
    <col min="14086" max="14086" width="11.140625" bestFit="1" customWidth="1"/>
    <col min="14087" max="14087" width="10.85546875" bestFit="1" customWidth="1"/>
    <col min="14088" max="14088" width="3.7109375" customWidth="1"/>
    <col min="14089" max="14089" width="11" bestFit="1" customWidth="1"/>
    <col min="14090" max="14090" width="11.140625" bestFit="1" customWidth="1"/>
    <col min="14091" max="14092" width="10.85546875" bestFit="1" customWidth="1"/>
    <col min="14093" max="14093" width="8.42578125" bestFit="1" customWidth="1"/>
    <col min="14094" max="14094" width="3.28515625" customWidth="1"/>
    <col min="14095" max="14095" width="11" bestFit="1" customWidth="1"/>
    <col min="14096" max="14096" width="11.28515625" bestFit="1" customWidth="1"/>
    <col min="14097" max="14097" width="12.42578125" bestFit="1" customWidth="1"/>
    <col min="14098" max="14098" width="10.28515625" customWidth="1"/>
    <col min="14099" max="14099" width="8.42578125" bestFit="1" customWidth="1"/>
    <col min="14338" max="14338" width="10.5703125" customWidth="1"/>
    <col min="14339" max="14339" width="17.7109375" customWidth="1"/>
    <col min="14340" max="14340" width="11" bestFit="1" customWidth="1"/>
    <col min="14341" max="14341" width="10.42578125" bestFit="1" customWidth="1"/>
    <col min="14342" max="14342" width="11.140625" bestFit="1" customWidth="1"/>
    <col min="14343" max="14343" width="10.85546875" bestFit="1" customWidth="1"/>
    <col min="14344" max="14344" width="3.7109375" customWidth="1"/>
    <col min="14345" max="14345" width="11" bestFit="1" customWidth="1"/>
    <col min="14346" max="14346" width="11.140625" bestFit="1" customWidth="1"/>
    <col min="14347" max="14348" width="10.85546875" bestFit="1" customWidth="1"/>
    <col min="14349" max="14349" width="8.42578125" bestFit="1" customWidth="1"/>
    <col min="14350" max="14350" width="3.28515625" customWidth="1"/>
    <col min="14351" max="14351" width="11" bestFit="1" customWidth="1"/>
    <col min="14352" max="14352" width="11.28515625" bestFit="1" customWidth="1"/>
    <col min="14353" max="14353" width="12.42578125" bestFit="1" customWidth="1"/>
    <col min="14354" max="14354" width="10.28515625" customWidth="1"/>
    <col min="14355" max="14355" width="8.42578125" bestFit="1" customWidth="1"/>
    <col min="14594" max="14594" width="10.5703125" customWidth="1"/>
    <col min="14595" max="14595" width="17.7109375" customWidth="1"/>
    <col min="14596" max="14596" width="11" bestFit="1" customWidth="1"/>
    <col min="14597" max="14597" width="10.42578125" bestFit="1" customWidth="1"/>
    <col min="14598" max="14598" width="11.140625" bestFit="1" customWidth="1"/>
    <col min="14599" max="14599" width="10.85546875" bestFit="1" customWidth="1"/>
    <col min="14600" max="14600" width="3.7109375" customWidth="1"/>
    <col min="14601" max="14601" width="11" bestFit="1" customWidth="1"/>
    <col min="14602" max="14602" width="11.140625" bestFit="1" customWidth="1"/>
    <col min="14603" max="14604" width="10.85546875" bestFit="1" customWidth="1"/>
    <col min="14605" max="14605" width="8.42578125" bestFit="1" customWidth="1"/>
    <col min="14606" max="14606" width="3.28515625" customWidth="1"/>
    <col min="14607" max="14607" width="11" bestFit="1" customWidth="1"/>
    <col min="14608" max="14608" width="11.28515625" bestFit="1" customWidth="1"/>
    <col min="14609" max="14609" width="12.42578125" bestFit="1" customWidth="1"/>
    <col min="14610" max="14610" width="10.28515625" customWidth="1"/>
    <col min="14611" max="14611" width="8.42578125" bestFit="1" customWidth="1"/>
    <col min="14850" max="14850" width="10.5703125" customWidth="1"/>
    <col min="14851" max="14851" width="17.7109375" customWidth="1"/>
    <col min="14852" max="14852" width="11" bestFit="1" customWidth="1"/>
    <col min="14853" max="14853" width="10.42578125" bestFit="1" customWidth="1"/>
    <col min="14854" max="14854" width="11.140625" bestFit="1" customWidth="1"/>
    <col min="14855" max="14855" width="10.85546875" bestFit="1" customWidth="1"/>
    <col min="14856" max="14856" width="3.7109375" customWidth="1"/>
    <col min="14857" max="14857" width="11" bestFit="1" customWidth="1"/>
    <col min="14858" max="14858" width="11.140625" bestFit="1" customWidth="1"/>
    <col min="14859" max="14860" width="10.85546875" bestFit="1" customWidth="1"/>
    <col min="14861" max="14861" width="8.42578125" bestFit="1" customWidth="1"/>
    <col min="14862" max="14862" width="3.28515625" customWidth="1"/>
    <col min="14863" max="14863" width="11" bestFit="1" customWidth="1"/>
    <col min="14864" max="14864" width="11.28515625" bestFit="1" customWidth="1"/>
    <col min="14865" max="14865" width="12.42578125" bestFit="1" customWidth="1"/>
    <col min="14866" max="14866" width="10.28515625" customWidth="1"/>
    <col min="14867" max="14867" width="8.42578125" bestFit="1" customWidth="1"/>
    <col min="15106" max="15106" width="10.5703125" customWidth="1"/>
    <col min="15107" max="15107" width="17.7109375" customWidth="1"/>
    <col min="15108" max="15108" width="11" bestFit="1" customWidth="1"/>
    <col min="15109" max="15109" width="10.42578125" bestFit="1" customWidth="1"/>
    <col min="15110" max="15110" width="11.140625" bestFit="1" customWidth="1"/>
    <col min="15111" max="15111" width="10.85546875" bestFit="1" customWidth="1"/>
    <col min="15112" max="15112" width="3.7109375" customWidth="1"/>
    <col min="15113" max="15113" width="11" bestFit="1" customWidth="1"/>
    <col min="15114" max="15114" width="11.140625" bestFit="1" customWidth="1"/>
    <col min="15115" max="15116" width="10.85546875" bestFit="1" customWidth="1"/>
    <col min="15117" max="15117" width="8.42578125" bestFit="1" customWidth="1"/>
    <col min="15118" max="15118" width="3.28515625" customWidth="1"/>
    <col min="15119" max="15119" width="11" bestFit="1" customWidth="1"/>
    <col min="15120" max="15120" width="11.28515625" bestFit="1" customWidth="1"/>
    <col min="15121" max="15121" width="12.42578125" bestFit="1" customWidth="1"/>
    <col min="15122" max="15122" width="10.28515625" customWidth="1"/>
    <col min="15123" max="15123" width="8.42578125" bestFit="1" customWidth="1"/>
    <col min="15362" max="15362" width="10.5703125" customWidth="1"/>
    <col min="15363" max="15363" width="17.7109375" customWidth="1"/>
    <col min="15364" max="15364" width="11" bestFit="1" customWidth="1"/>
    <col min="15365" max="15365" width="10.42578125" bestFit="1" customWidth="1"/>
    <col min="15366" max="15366" width="11.140625" bestFit="1" customWidth="1"/>
    <col min="15367" max="15367" width="10.85546875" bestFit="1" customWidth="1"/>
    <col min="15368" max="15368" width="3.7109375" customWidth="1"/>
    <col min="15369" max="15369" width="11" bestFit="1" customWidth="1"/>
    <col min="15370" max="15370" width="11.140625" bestFit="1" customWidth="1"/>
    <col min="15371" max="15372" width="10.85546875" bestFit="1" customWidth="1"/>
    <col min="15373" max="15373" width="8.42578125" bestFit="1" customWidth="1"/>
    <col min="15374" max="15374" width="3.28515625" customWidth="1"/>
    <col min="15375" max="15375" width="11" bestFit="1" customWidth="1"/>
    <col min="15376" max="15376" width="11.28515625" bestFit="1" customWidth="1"/>
    <col min="15377" max="15377" width="12.42578125" bestFit="1" customWidth="1"/>
    <col min="15378" max="15378" width="10.28515625" customWidth="1"/>
    <col min="15379" max="15379" width="8.42578125" bestFit="1" customWidth="1"/>
    <col min="15618" max="15618" width="10.5703125" customWidth="1"/>
    <col min="15619" max="15619" width="17.7109375" customWidth="1"/>
    <col min="15620" max="15620" width="11" bestFit="1" customWidth="1"/>
    <col min="15621" max="15621" width="10.42578125" bestFit="1" customWidth="1"/>
    <col min="15622" max="15622" width="11.140625" bestFit="1" customWidth="1"/>
    <col min="15623" max="15623" width="10.85546875" bestFit="1" customWidth="1"/>
    <col min="15624" max="15624" width="3.7109375" customWidth="1"/>
    <col min="15625" max="15625" width="11" bestFit="1" customWidth="1"/>
    <col min="15626" max="15626" width="11.140625" bestFit="1" customWidth="1"/>
    <col min="15627" max="15628" width="10.85546875" bestFit="1" customWidth="1"/>
    <col min="15629" max="15629" width="8.42578125" bestFit="1" customWidth="1"/>
    <col min="15630" max="15630" width="3.28515625" customWidth="1"/>
    <col min="15631" max="15631" width="11" bestFit="1" customWidth="1"/>
    <col min="15632" max="15632" width="11.28515625" bestFit="1" customWidth="1"/>
    <col min="15633" max="15633" width="12.42578125" bestFit="1" customWidth="1"/>
    <col min="15634" max="15634" width="10.28515625" customWidth="1"/>
    <col min="15635" max="15635" width="8.42578125" bestFit="1" customWidth="1"/>
    <col min="15874" max="15874" width="10.5703125" customWidth="1"/>
    <col min="15875" max="15875" width="17.7109375" customWidth="1"/>
    <col min="15876" max="15876" width="11" bestFit="1" customWidth="1"/>
    <col min="15877" max="15877" width="10.42578125" bestFit="1" customWidth="1"/>
    <col min="15878" max="15878" width="11.140625" bestFit="1" customWidth="1"/>
    <col min="15879" max="15879" width="10.85546875" bestFit="1" customWidth="1"/>
    <col min="15880" max="15880" width="3.7109375" customWidth="1"/>
    <col min="15881" max="15881" width="11" bestFit="1" customWidth="1"/>
    <col min="15882" max="15882" width="11.140625" bestFit="1" customWidth="1"/>
    <col min="15883" max="15884" width="10.85546875" bestFit="1" customWidth="1"/>
    <col min="15885" max="15885" width="8.42578125" bestFit="1" customWidth="1"/>
    <col min="15886" max="15886" width="3.28515625" customWidth="1"/>
    <col min="15887" max="15887" width="11" bestFit="1" customWidth="1"/>
    <col min="15888" max="15888" width="11.28515625" bestFit="1" customWidth="1"/>
    <col min="15889" max="15889" width="12.42578125" bestFit="1" customWidth="1"/>
    <col min="15890" max="15890" width="10.28515625" customWidth="1"/>
    <col min="15891" max="15891" width="8.42578125" bestFit="1" customWidth="1"/>
    <col min="16130" max="16130" width="10.5703125" customWidth="1"/>
    <col min="16131" max="16131" width="17.7109375" customWidth="1"/>
    <col min="16132" max="16132" width="11" bestFit="1" customWidth="1"/>
    <col min="16133" max="16133" width="10.42578125" bestFit="1" customWidth="1"/>
    <col min="16134" max="16134" width="11.140625" bestFit="1" customWidth="1"/>
    <col min="16135" max="16135" width="10.85546875" bestFit="1" customWidth="1"/>
    <col min="16136" max="16136" width="3.7109375" customWidth="1"/>
    <col min="16137" max="16137" width="11" bestFit="1" customWidth="1"/>
    <col min="16138" max="16138" width="11.140625" bestFit="1" customWidth="1"/>
    <col min="16139" max="16140" width="10.85546875" bestFit="1" customWidth="1"/>
    <col min="16141" max="16141" width="8.42578125" bestFit="1" customWidth="1"/>
    <col min="16142" max="16142" width="3.28515625" customWidth="1"/>
    <col min="16143" max="16143" width="11" bestFit="1" customWidth="1"/>
    <col min="16144" max="16144" width="11.28515625" bestFit="1" customWidth="1"/>
    <col min="16145" max="16145" width="12.42578125" bestFit="1" customWidth="1"/>
    <col min="16146" max="16146" width="10.28515625" customWidth="1"/>
    <col min="16147" max="16147" width="8.42578125" bestFit="1" customWidth="1"/>
  </cols>
  <sheetData>
    <row r="1" spans="1:21" ht="23.25">
      <c r="A1" s="425" t="s">
        <v>281</v>
      </c>
      <c r="H1" s="188"/>
    </row>
    <row r="2" spans="1:21">
      <c r="H2" s="188"/>
    </row>
    <row r="3" spans="1:21">
      <c r="E3" s="339"/>
      <c r="F3" s="339"/>
      <c r="H3" s="105"/>
    </row>
    <row r="4" spans="1:21" ht="15">
      <c r="A4" s="325"/>
      <c r="C4" s="445"/>
      <c r="D4" s="446" t="s">
        <v>320</v>
      </c>
      <c r="E4" s="501"/>
      <c r="F4" s="446" t="s">
        <v>319</v>
      </c>
      <c r="H4" s="105"/>
    </row>
    <row r="5" spans="1:21" ht="15">
      <c r="A5" s="325"/>
      <c r="C5" s="447"/>
      <c r="D5" s="448" t="s">
        <v>282</v>
      </c>
      <c r="E5" s="501"/>
      <c r="F5" s="448" t="s">
        <v>282</v>
      </c>
      <c r="H5" s="501" t="s">
        <v>79</v>
      </c>
      <c r="I5" s="510" t="s">
        <v>17</v>
      </c>
      <c r="J5" s="105" t="s">
        <v>16</v>
      </c>
    </row>
    <row r="6" spans="1:21" ht="15.75">
      <c r="A6" s="449" t="s">
        <v>283</v>
      </c>
      <c r="C6" s="447"/>
      <c r="D6" s="448"/>
      <c r="E6" s="501"/>
      <c r="F6" s="501"/>
      <c r="H6" s="105"/>
    </row>
    <row r="7" spans="1:21" ht="14.25">
      <c r="A7" s="450" t="s">
        <v>284</v>
      </c>
      <c r="B7" s="451"/>
      <c r="C7" s="325"/>
      <c r="E7" s="501"/>
      <c r="F7" s="501"/>
      <c r="H7" s="513"/>
      <c r="I7" s="475"/>
      <c r="J7" s="475"/>
      <c r="K7" s="475"/>
    </row>
    <row r="8" spans="1:21" ht="14.25">
      <c r="A8" s="452"/>
      <c r="B8" s="325" t="s">
        <v>285</v>
      </c>
      <c r="C8" s="453"/>
      <c r="D8" s="453">
        <v>24751</v>
      </c>
      <c r="E8" s="501"/>
      <c r="F8" s="511">
        <f>+'2020-2021 Recy. Tons &amp; Revenue'!E98</f>
        <v>21539.26</v>
      </c>
      <c r="H8" s="513"/>
      <c r="I8" s="475"/>
      <c r="J8" s="475"/>
      <c r="K8" s="475"/>
      <c r="U8" s="453"/>
    </row>
    <row r="9" spans="1:21" ht="14.25">
      <c r="A9" s="452"/>
      <c r="B9" s="325" t="s">
        <v>286</v>
      </c>
      <c r="C9" s="453"/>
      <c r="D9" s="453">
        <v>30547</v>
      </c>
      <c r="E9" s="501"/>
      <c r="F9" s="512">
        <f>+H9+I9+J9</f>
        <v>25053</v>
      </c>
      <c r="H9" s="76">
        <v>8643</v>
      </c>
      <c r="I9" s="76">
        <v>3201</v>
      </c>
      <c r="J9" s="76">
        <f>11124+2085</f>
        <v>13209</v>
      </c>
      <c r="K9" s="475"/>
      <c r="U9" s="453"/>
    </row>
    <row r="10" spans="1:21" ht="16.5">
      <c r="A10" s="452"/>
      <c r="B10" s="325" t="s">
        <v>287</v>
      </c>
      <c r="C10" s="455"/>
      <c r="D10" s="192">
        <v>49273</v>
      </c>
      <c r="E10" s="501"/>
      <c r="F10" s="516">
        <f>+H10+I10+J10</f>
        <v>39680</v>
      </c>
      <c r="H10" s="76">
        <v>10340</v>
      </c>
      <c r="I10" s="76">
        <v>8395</v>
      </c>
      <c r="J10" s="76">
        <f>18034+2911</f>
        <v>20945</v>
      </c>
      <c r="K10" s="475"/>
      <c r="U10" s="117"/>
    </row>
    <row r="11" spans="1:21" ht="15">
      <c r="A11" s="456"/>
      <c r="B11" s="457" t="s">
        <v>288</v>
      </c>
      <c r="C11" s="458"/>
      <c r="D11" s="459">
        <f>SUM(D8:D10)</f>
        <v>104571</v>
      </c>
      <c r="E11" s="501"/>
      <c r="F11" s="459">
        <f>SUM(F8:F10)</f>
        <v>86272.26</v>
      </c>
      <c r="H11" s="513"/>
      <c r="I11" s="475"/>
      <c r="J11" s="475"/>
      <c r="K11" s="475"/>
      <c r="U11" s="460"/>
    </row>
    <row r="12" spans="1:21" ht="14.25">
      <c r="A12" s="450" t="s">
        <v>289</v>
      </c>
      <c r="B12" s="451"/>
      <c r="C12" s="325"/>
      <c r="E12" s="501"/>
      <c r="F12" s="501"/>
      <c r="H12" s="513"/>
      <c r="I12" s="475"/>
      <c r="J12" s="475"/>
      <c r="K12" s="475"/>
      <c r="U12" s="461"/>
    </row>
    <row r="13" spans="1:21" ht="14.25">
      <c r="A13" s="452"/>
      <c r="B13" s="325" t="s">
        <v>290</v>
      </c>
      <c r="C13" s="325"/>
      <c r="D13" s="453">
        <v>2633</v>
      </c>
      <c r="E13" s="501"/>
      <c r="F13" s="512">
        <f>+'2020-2021 Recy. Tons &amp; Revenue'!E129</f>
        <v>2261.62</v>
      </c>
      <c r="H13" s="513"/>
      <c r="I13" s="475"/>
      <c r="J13" s="475"/>
      <c r="K13" s="475"/>
      <c r="U13" s="453"/>
    </row>
    <row r="14" spans="1:21" ht="14.25">
      <c r="A14" s="452"/>
      <c r="B14" s="325" t="s">
        <v>291</v>
      </c>
      <c r="C14" s="325"/>
      <c r="D14" s="453">
        <v>71</v>
      </c>
      <c r="E14" s="501"/>
      <c r="F14" s="512">
        <f>+H14+I14+J14</f>
        <v>38</v>
      </c>
      <c r="H14" s="76">
        <v>19</v>
      </c>
      <c r="I14" s="76">
        <v>13</v>
      </c>
      <c r="J14" s="76">
        <f>4+2</f>
        <v>6</v>
      </c>
      <c r="K14" s="475"/>
      <c r="U14" s="453"/>
    </row>
    <row r="15" spans="1:21" ht="16.5">
      <c r="A15" s="452"/>
      <c r="B15" s="325" t="s">
        <v>292</v>
      </c>
      <c r="C15" s="462"/>
      <c r="D15" s="192">
        <v>11466</v>
      </c>
      <c r="E15" s="501"/>
      <c r="F15" s="516">
        <f>+H15+I15+J15</f>
        <v>8346</v>
      </c>
      <c r="H15" s="76">
        <v>6026</v>
      </c>
      <c r="I15" s="76">
        <v>342</v>
      </c>
      <c r="J15" s="76">
        <f>304+1674</f>
        <v>1978</v>
      </c>
      <c r="K15" s="475"/>
      <c r="U15" s="117"/>
    </row>
    <row r="16" spans="1:21" ht="16.5">
      <c r="A16" s="456"/>
      <c r="B16" s="451" t="s">
        <v>293</v>
      </c>
      <c r="C16" s="463"/>
      <c r="D16" s="459">
        <f>SUM(D13:D15)</f>
        <v>14170</v>
      </c>
      <c r="E16" s="459"/>
      <c r="F16" s="459">
        <f t="shared" ref="F16" si="0">SUM(F13:F15)</f>
        <v>10645.619999999999</v>
      </c>
      <c r="H16" s="70"/>
      <c r="I16" s="475"/>
      <c r="J16" s="475"/>
      <c r="K16" s="475"/>
      <c r="U16" s="464"/>
    </row>
    <row r="17" spans="1:21" ht="15">
      <c r="A17" s="465" t="s">
        <v>294</v>
      </c>
      <c r="B17" s="466"/>
      <c r="C17" s="467"/>
      <c r="D17" s="468">
        <f>+D16+D11</f>
        <v>118741</v>
      </c>
      <c r="E17" s="468"/>
      <c r="F17" s="468">
        <f t="shared" ref="F17" si="1">+F16+F11</f>
        <v>96917.87999999999</v>
      </c>
      <c r="H17" s="513"/>
      <c r="I17" s="475"/>
      <c r="J17" s="475"/>
      <c r="K17" s="475"/>
      <c r="U17" s="468"/>
    </row>
    <row r="18" spans="1:21" ht="15">
      <c r="A18" s="465"/>
      <c r="B18" s="466"/>
      <c r="C18" s="458"/>
      <c r="D18" s="469"/>
      <c r="E18" s="501"/>
      <c r="F18" s="501"/>
      <c r="H18" s="513"/>
      <c r="I18" s="475"/>
      <c r="J18" s="475"/>
      <c r="K18" s="475"/>
    </row>
    <row r="19" spans="1:21" ht="15">
      <c r="A19" s="470"/>
      <c r="B19" s="95" t="s">
        <v>295</v>
      </c>
      <c r="C19" s="467"/>
      <c r="D19" s="468">
        <f>+D8+D9+D13+D14</f>
        <v>58002</v>
      </c>
      <c r="E19" s="501"/>
      <c r="F19" s="468">
        <f>+F8+F9+F13+F14</f>
        <v>48891.88</v>
      </c>
      <c r="H19" s="513"/>
      <c r="I19" s="475"/>
      <c r="J19" s="475"/>
      <c r="K19" s="475"/>
    </row>
    <row r="20" spans="1:21" ht="15">
      <c r="A20" s="470"/>
      <c r="B20" s="95" t="s">
        <v>296</v>
      </c>
      <c r="C20" s="471"/>
      <c r="D20" s="472">
        <f>+D19/D17</f>
        <v>0.48847491599363319</v>
      </c>
      <c r="E20" s="501"/>
      <c r="F20" s="472">
        <f>+F19/F17</f>
        <v>0.50446708079045888</v>
      </c>
      <c r="H20" s="513"/>
      <c r="I20" s="475"/>
      <c r="J20" s="475"/>
      <c r="K20" s="475"/>
    </row>
    <row r="21" spans="1:21" ht="15">
      <c r="A21" s="470"/>
      <c r="B21" s="95"/>
      <c r="C21" s="471"/>
      <c r="D21" s="472"/>
      <c r="E21" s="472"/>
      <c r="F21" s="472"/>
      <c r="G21" s="472"/>
      <c r="H21" s="513"/>
      <c r="I21" s="475"/>
      <c r="J21" s="475"/>
      <c r="K21" s="475"/>
    </row>
    <row r="22" spans="1:21" ht="15.75">
      <c r="A22" s="449" t="s">
        <v>326</v>
      </c>
      <c r="C22" s="325"/>
      <c r="E22" s="454"/>
      <c r="F22" s="454"/>
      <c r="H22" s="70"/>
      <c r="I22" s="475"/>
      <c r="J22" s="475"/>
      <c r="K22" s="475"/>
    </row>
    <row r="23" spans="1:21">
      <c r="A23" s="325"/>
      <c r="C23" s="325"/>
      <c r="E23" s="589"/>
      <c r="F23" s="589"/>
      <c r="G23" s="589"/>
      <c r="H23" s="475"/>
      <c r="I23" s="590"/>
      <c r="J23" s="590"/>
      <c r="K23" s="590"/>
      <c r="O23" s="589"/>
      <c r="P23" s="589"/>
      <c r="Q23" s="589"/>
    </row>
    <row r="24" spans="1:21">
      <c r="A24" s="325"/>
      <c r="C24" s="325"/>
      <c r="E24" s="178" t="s">
        <v>317</v>
      </c>
      <c r="F24" s="178" t="s">
        <v>297</v>
      </c>
      <c r="G24" s="188"/>
      <c r="H24" s="475"/>
      <c r="I24" s="514"/>
      <c r="J24" s="514"/>
      <c r="K24" s="70"/>
      <c r="L24" s="178"/>
      <c r="O24" s="178"/>
      <c r="P24" s="178"/>
      <c r="Q24" s="188"/>
      <c r="R24" s="178"/>
    </row>
    <row r="25" spans="1:21">
      <c r="A25" s="325"/>
      <c r="C25" s="325"/>
      <c r="E25" s="501" t="s">
        <v>96</v>
      </c>
      <c r="F25" s="501" t="s">
        <v>96</v>
      </c>
      <c r="G25" s="500" t="s">
        <v>80</v>
      </c>
      <c r="H25" s="475"/>
      <c r="I25" s="515" t="s">
        <v>79</v>
      </c>
      <c r="J25" s="515" t="s">
        <v>17</v>
      </c>
      <c r="K25" s="515" t="s">
        <v>16</v>
      </c>
      <c r="O25" s="339"/>
      <c r="P25" s="339"/>
      <c r="Q25" s="339"/>
      <c r="R25" s="339"/>
    </row>
    <row r="26" spans="1:21">
      <c r="A26" s="325"/>
      <c r="B26" s="325" t="s">
        <v>315</v>
      </c>
      <c r="C26" s="325"/>
      <c r="E26" s="330">
        <f>+'Customer Counts - Enspire'!D6+'Customer Counts - Enspire'!F6</f>
        <v>39152</v>
      </c>
      <c r="F26" s="330">
        <f>+I26+J26+K26</f>
        <v>21062</v>
      </c>
      <c r="G26" s="453">
        <f>+F26+E26</f>
        <v>60214</v>
      </c>
      <c r="H26" s="475"/>
      <c r="I26" s="76">
        <v>7487</v>
      </c>
      <c r="J26" s="76">
        <v>2530</v>
      </c>
      <c r="K26" s="76">
        <f>1810+9235</f>
        <v>11045</v>
      </c>
      <c r="O26" s="330"/>
      <c r="P26" s="330"/>
      <c r="Q26" s="473"/>
    </row>
    <row r="27" spans="1:21">
      <c r="A27" s="325"/>
      <c r="C27" s="325"/>
      <c r="E27" s="330"/>
      <c r="F27" s="330"/>
      <c r="G27" s="453">
        <f t="shared" ref="G27:G28" si="2">+F27+E27</f>
        <v>0</v>
      </c>
      <c r="H27" s="475"/>
      <c r="I27" s="76"/>
      <c r="J27" s="76"/>
      <c r="K27" s="76"/>
      <c r="O27" s="330"/>
      <c r="P27" s="330"/>
      <c r="Q27" s="473"/>
    </row>
    <row r="28" spans="1:21">
      <c r="A28" s="325"/>
      <c r="B28" s="325" t="s">
        <v>316</v>
      </c>
      <c r="C28" s="325"/>
      <c r="E28" s="330">
        <f>+'Customer Counts - Enspire'!D29+'Customer Counts - Enspire'!F29</f>
        <v>40184</v>
      </c>
      <c r="F28" s="330">
        <f>+I28+J28+K28</f>
        <v>22690</v>
      </c>
      <c r="G28" s="453">
        <f t="shared" si="2"/>
        <v>62874</v>
      </c>
      <c r="H28" s="475"/>
      <c r="I28" s="76">
        <v>7952</v>
      </c>
      <c r="J28" s="76">
        <v>2889</v>
      </c>
      <c r="K28" s="76">
        <f>9912+1937</f>
        <v>11849</v>
      </c>
      <c r="O28" s="330"/>
      <c r="P28" s="330"/>
      <c r="Q28" s="473"/>
    </row>
    <row r="29" spans="1:21">
      <c r="A29" s="325"/>
      <c r="C29" s="325"/>
      <c r="H29" s="475"/>
      <c r="I29" s="475"/>
      <c r="J29" s="475"/>
      <c r="K29" s="475"/>
    </row>
    <row r="30" spans="1:21">
      <c r="B30" s="1" t="s">
        <v>318</v>
      </c>
      <c r="C30" s="1"/>
      <c r="D30" s="1"/>
      <c r="E30" s="509">
        <f>+E28/E26-1</f>
        <v>2.6358806702084125E-2</v>
      </c>
      <c r="F30" s="509">
        <f>+F28/F26-1</f>
        <v>7.7295603456461803E-2</v>
      </c>
      <c r="G30" s="509">
        <f>+G28/G26-1</f>
        <v>4.4175773076028824E-2</v>
      </c>
      <c r="H30" s="475"/>
      <c r="I30" s="475"/>
      <c r="J30" s="475"/>
      <c r="K30" s="475"/>
    </row>
    <row r="31" spans="1:21">
      <c r="H31" s="475"/>
      <c r="I31" s="475"/>
      <c r="J31" s="475"/>
      <c r="K31" s="475"/>
    </row>
    <row r="32" spans="1:21" ht="15.75">
      <c r="A32" s="505" t="s">
        <v>310</v>
      </c>
    </row>
    <row r="33" spans="1:13" ht="15.75">
      <c r="A33" s="505"/>
    </row>
    <row r="34" spans="1:13" ht="15.75">
      <c r="A34" s="506"/>
    </row>
    <row r="35" spans="1:13" ht="15.75">
      <c r="A35" s="506" t="s">
        <v>311</v>
      </c>
    </row>
    <row r="36" spans="1:13" ht="15.75">
      <c r="A36" s="506"/>
    </row>
    <row r="37" spans="1:13" ht="96" customHeight="1">
      <c r="A37" s="587" t="s">
        <v>312</v>
      </c>
      <c r="B37" s="588"/>
      <c r="C37" s="588"/>
      <c r="D37" s="588"/>
      <c r="E37" s="588"/>
      <c r="F37" s="588"/>
      <c r="G37" s="588"/>
      <c r="H37" s="588"/>
      <c r="I37" s="588"/>
      <c r="J37" s="588"/>
      <c r="K37" s="588"/>
      <c r="L37" s="588"/>
      <c r="M37" s="588"/>
    </row>
    <row r="38" spans="1:13" ht="12.75" customHeight="1">
      <c r="A38" s="507"/>
    </row>
    <row r="39" spans="1:13" ht="15.75">
      <c r="A39" s="507"/>
    </row>
    <row r="40" spans="1:13" ht="66" customHeight="1">
      <c r="A40" s="587" t="s">
        <v>313</v>
      </c>
      <c r="B40" s="588"/>
      <c r="C40" s="588"/>
      <c r="D40" s="588"/>
      <c r="E40" s="588"/>
      <c r="F40" s="588"/>
      <c r="G40" s="588"/>
      <c r="H40" s="588"/>
      <c r="I40" s="588"/>
      <c r="J40" s="588"/>
      <c r="K40" s="588"/>
      <c r="L40" s="588"/>
      <c r="M40" s="588"/>
    </row>
    <row r="41" spans="1:13" ht="15.75">
      <c r="A41" s="508"/>
      <c r="B41" s="499"/>
      <c r="C41" s="499"/>
      <c r="D41" s="499"/>
      <c r="E41" s="499"/>
      <c r="F41" s="499"/>
      <c r="G41" s="499"/>
      <c r="H41" s="499"/>
      <c r="I41" s="499"/>
      <c r="J41" s="499"/>
      <c r="K41" s="499"/>
      <c r="L41" s="499"/>
      <c r="M41" s="499"/>
    </row>
    <row r="43" spans="1:13" ht="53.25" customHeight="1">
      <c r="A43" s="587" t="s">
        <v>314</v>
      </c>
      <c r="B43" s="588"/>
      <c r="C43" s="588"/>
      <c r="D43" s="588"/>
      <c r="E43" s="588"/>
      <c r="F43" s="588"/>
      <c r="G43" s="588"/>
      <c r="H43" s="588"/>
      <c r="I43" s="588"/>
      <c r="J43" s="588"/>
      <c r="K43" s="588"/>
      <c r="L43" s="588"/>
      <c r="M43" s="588"/>
    </row>
    <row r="44" spans="1:13" ht="12.75" customHeight="1">
      <c r="A44" s="506"/>
    </row>
    <row r="45" spans="1:13" ht="12.75" customHeight="1"/>
    <row r="46" spans="1:13" ht="12.75" customHeight="1"/>
  </sheetData>
  <mergeCells count="6">
    <mergeCell ref="A40:M40"/>
    <mergeCell ref="A43:M43"/>
    <mergeCell ref="E23:G23"/>
    <mergeCell ref="I23:K23"/>
    <mergeCell ref="O23:Q23"/>
    <mergeCell ref="A37:M3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87E7-66D5-4C65-9B1D-A729A6092D31}">
  <sheetPr>
    <tabColor rgb="FFFFFF00"/>
  </sheetPr>
  <dimension ref="A1:Y48"/>
  <sheetViews>
    <sheetView topLeftCell="A46" workbookViewId="0">
      <selection activeCell="A18" sqref="A18"/>
    </sheetView>
  </sheetViews>
  <sheetFormatPr defaultRowHeight="12.75"/>
  <cols>
    <col min="2" max="2" width="12.140625" style="325" customWidth="1"/>
    <col min="3" max="3" width="13" style="325" customWidth="1"/>
    <col min="4" max="4" width="11.140625" style="325" bestFit="1" customWidth="1"/>
    <col min="5" max="5" width="10.28515625" style="325" bestFit="1" customWidth="1"/>
    <col min="6" max="6" width="11.140625" style="325" bestFit="1" customWidth="1"/>
    <col min="7" max="7" width="10.28515625" style="325" bestFit="1" customWidth="1"/>
    <col min="8" max="8" width="11.42578125" style="325" bestFit="1" customWidth="1"/>
    <col min="9" max="9" width="12.7109375" style="325" bestFit="1" customWidth="1"/>
    <col min="10" max="10" width="9.140625" style="325"/>
    <col min="11" max="11" width="11" style="325" bestFit="1" customWidth="1"/>
    <col min="12" max="12" width="9.140625" style="325"/>
    <col min="13" max="13" width="5" style="325" customWidth="1"/>
    <col min="14" max="14" width="9.140625" style="325"/>
    <col min="15" max="15" width="11" style="330" bestFit="1" customWidth="1"/>
    <col min="16" max="16" width="11" style="330" customWidth="1"/>
    <col min="17" max="17" width="12" style="330" bestFit="1" customWidth="1"/>
    <col min="18" max="18" width="2.5703125" style="330" customWidth="1"/>
    <col min="19" max="19" width="10.28515625" style="325" bestFit="1" customWidth="1"/>
    <col min="20" max="20" width="12.42578125" style="325" bestFit="1" customWidth="1"/>
    <col min="21" max="21" width="12.42578125" style="325" customWidth="1"/>
    <col min="22" max="22" width="12.28515625" style="325" bestFit="1" customWidth="1"/>
    <col min="23" max="25" width="9.140625" style="325"/>
    <col min="261" max="263" width="10.28515625" bestFit="1" customWidth="1"/>
    <col min="264" max="264" width="11.42578125" bestFit="1" customWidth="1"/>
    <col min="265" max="265" width="3" customWidth="1"/>
    <col min="267" max="267" width="11" bestFit="1" customWidth="1"/>
    <col min="269" max="269" width="5" customWidth="1"/>
    <col min="271" max="271" width="11" bestFit="1" customWidth="1"/>
    <col min="272" max="272" width="11" customWidth="1"/>
    <col min="273" max="273" width="12" bestFit="1" customWidth="1"/>
    <col min="274" max="274" width="2.5703125" customWidth="1"/>
    <col min="275" max="275" width="10.28515625" bestFit="1" customWidth="1"/>
    <col min="276" max="276" width="12.42578125" bestFit="1" customWidth="1"/>
    <col min="277" max="277" width="12.42578125" customWidth="1"/>
    <col min="278" max="278" width="12.28515625" bestFit="1" customWidth="1"/>
    <col min="517" max="519" width="10.28515625" bestFit="1" customWidth="1"/>
    <col min="520" max="520" width="11.42578125" bestFit="1" customWidth="1"/>
    <col min="521" max="521" width="3" customWidth="1"/>
    <col min="523" max="523" width="11" bestFit="1" customWidth="1"/>
    <col min="525" max="525" width="5" customWidth="1"/>
    <col min="527" max="527" width="11" bestFit="1" customWidth="1"/>
    <col min="528" max="528" width="11" customWidth="1"/>
    <col min="529" max="529" width="12" bestFit="1" customWidth="1"/>
    <col min="530" max="530" width="2.5703125" customWidth="1"/>
    <col min="531" max="531" width="10.28515625" bestFit="1" customWidth="1"/>
    <col min="532" max="532" width="12.42578125" bestFit="1" customWidth="1"/>
    <col min="533" max="533" width="12.42578125" customWidth="1"/>
    <col min="534" max="534" width="12.28515625" bestFit="1" customWidth="1"/>
    <col min="773" max="775" width="10.28515625" bestFit="1" customWidth="1"/>
    <col min="776" max="776" width="11.42578125" bestFit="1" customWidth="1"/>
    <col min="777" max="777" width="3" customWidth="1"/>
    <col min="779" max="779" width="11" bestFit="1" customWidth="1"/>
    <col min="781" max="781" width="5" customWidth="1"/>
    <col min="783" max="783" width="11" bestFit="1" customWidth="1"/>
    <col min="784" max="784" width="11" customWidth="1"/>
    <col min="785" max="785" width="12" bestFit="1" customWidth="1"/>
    <col min="786" max="786" width="2.5703125" customWidth="1"/>
    <col min="787" max="787" width="10.28515625" bestFit="1" customWidth="1"/>
    <col min="788" max="788" width="12.42578125" bestFit="1" customWidth="1"/>
    <col min="789" max="789" width="12.42578125" customWidth="1"/>
    <col min="790" max="790" width="12.28515625" bestFit="1" customWidth="1"/>
    <col min="1029" max="1031" width="10.28515625" bestFit="1" customWidth="1"/>
    <col min="1032" max="1032" width="11.42578125" bestFit="1" customWidth="1"/>
    <col min="1033" max="1033" width="3" customWidth="1"/>
    <col min="1035" max="1035" width="11" bestFit="1" customWidth="1"/>
    <col min="1037" max="1037" width="5" customWidth="1"/>
    <col min="1039" max="1039" width="11" bestFit="1" customWidth="1"/>
    <col min="1040" max="1040" width="11" customWidth="1"/>
    <col min="1041" max="1041" width="12" bestFit="1" customWidth="1"/>
    <col min="1042" max="1042" width="2.5703125" customWidth="1"/>
    <col min="1043" max="1043" width="10.28515625" bestFit="1" customWidth="1"/>
    <col min="1044" max="1044" width="12.42578125" bestFit="1" customWidth="1"/>
    <col min="1045" max="1045" width="12.42578125" customWidth="1"/>
    <col min="1046" max="1046" width="12.28515625" bestFit="1" customWidth="1"/>
    <col min="1285" max="1287" width="10.28515625" bestFit="1" customWidth="1"/>
    <col min="1288" max="1288" width="11.42578125" bestFit="1" customWidth="1"/>
    <col min="1289" max="1289" width="3" customWidth="1"/>
    <col min="1291" max="1291" width="11" bestFit="1" customWidth="1"/>
    <col min="1293" max="1293" width="5" customWidth="1"/>
    <col min="1295" max="1295" width="11" bestFit="1" customWidth="1"/>
    <col min="1296" max="1296" width="11" customWidth="1"/>
    <col min="1297" max="1297" width="12" bestFit="1" customWidth="1"/>
    <col min="1298" max="1298" width="2.5703125" customWidth="1"/>
    <col min="1299" max="1299" width="10.28515625" bestFit="1" customWidth="1"/>
    <col min="1300" max="1300" width="12.42578125" bestFit="1" customWidth="1"/>
    <col min="1301" max="1301" width="12.42578125" customWidth="1"/>
    <col min="1302" max="1302" width="12.28515625" bestFit="1" customWidth="1"/>
    <col min="1541" max="1543" width="10.28515625" bestFit="1" customWidth="1"/>
    <col min="1544" max="1544" width="11.42578125" bestFit="1" customWidth="1"/>
    <col min="1545" max="1545" width="3" customWidth="1"/>
    <col min="1547" max="1547" width="11" bestFit="1" customWidth="1"/>
    <col min="1549" max="1549" width="5" customWidth="1"/>
    <col min="1551" max="1551" width="11" bestFit="1" customWidth="1"/>
    <col min="1552" max="1552" width="11" customWidth="1"/>
    <col min="1553" max="1553" width="12" bestFit="1" customWidth="1"/>
    <col min="1554" max="1554" width="2.5703125" customWidth="1"/>
    <col min="1555" max="1555" width="10.28515625" bestFit="1" customWidth="1"/>
    <col min="1556" max="1556" width="12.42578125" bestFit="1" customWidth="1"/>
    <col min="1557" max="1557" width="12.42578125" customWidth="1"/>
    <col min="1558" max="1558" width="12.28515625" bestFit="1" customWidth="1"/>
    <col min="1797" max="1799" width="10.28515625" bestFit="1" customWidth="1"/>
    <col min="1800" max="1800" width="11.42578125" bestFit="1" customWidth="1"/>
    <col min="1801" max="1801" width="3" customWidth="1"/>
    <col min="1803" max="1803" width="11" bestFit="1" customWidth="1"/>
    <col min="1805" max="1805" width="5" customWidth="1"/>
    <col min="1807" max="1807" width="11" bestFit="1" customWidth="1"/>
    <col min="1808" max="1808" width="11" customWidth="1"/>
    <col min="1809" max="1809" width="12" bestFit="1" customWidth="1"/>
    <col min="1810" max="1810" width="2.5703125" customWidth="1"/>
    <col min="1811" max="1811" width="10.28515625" bestFit="1" customWidth="1"/>
    <col min="1812" max="1812" width="12.42578125" bestFit="1" customWidth="1"/>
    <col min="1813" max="1813" width="12.42578125" customWidth="1"/>
    <col min="1814" max="1814" width="12.28515625" bestFit="1" customWidth="1"/>
    <col min="2053" max="2055" width="10.28515625" bestFit="1" customWidth="1"/>
    <col min="2056" max="2056" width="11.42578125" bestFit="1" customWidth="1"/>
    <col min="2057" max="2057" width="3" customWidth="1"/>
    <col min="2059" max="2059" width="11" bestFit="1" customWidth="1"/>
    <col min="2061" max="2061" width="5" customWidth="1"/>
    <col min="2063" max="2063" width="11" bestFit="1" customWidth="1"/>
    <col min="2064" max="2064" width="11" customWidth="1"/>
    <col min="2065" max="2065" width="12" bestFit="1" customWidth="1"/>
    <col min="2066" max="2066" width="2.5703125" customWidth="1"/>
    <col min="2067" max="2067" width="10.28515625" bestFit="1" customWidth="1"/>
    <col min="2068" max="2068" width="12.42578125" bestFit="1" customWidth="1"/>
    <col min="2069" max="2069" width="12.42578125" customWidth="1"/>
    <col min="2070" max="2070" width="12.28515625" bestFit="1" customWidth="1"/>
    <col min="2309" max="2311" width="10.28515625" bestFit="1" customWidth="1"/>
    <col min="2312" max="2312" width="11.42578125" bestFit="1" customWidth="1"/>
    <col min="2313" max="2313" width="3" customWidth="1"/>
    <col min="2315" max="2315" width="11" bestFit="1" customWidth="1"/>
    <col min="2317" max="2317" width="5" customWidth="1"/>
    <col min="2319" max="2319" width="11" bestFit="1" customWidth="1"/>
    <col min="2320" max="2320" width="11" customWidth="1"/>
    <col min="2321" max="2321" width="12" bestFit="1" customWidth="1"/>
    <col min="2322" max="2322" width="2.5703125" customWidth="1"/>
    <col min="2323" max="2323" width="10.28515625" bestFit="1" customWidth="1"/>
    <col min="2324" max="2324" width="12.42578125" bestFit="1" customWidth="1"/>
    <col min="2325" max="2325" width="12.42578125" customWidth="1"/>
    <col min="2326" max="2326" width="12.28515625" bestFit="1" customWidth="1"/>
    <col min="2565" max="2567" width="10.28515625" bestFit="1" customWidth="1"/>
    <col min="2568" max="2568" width="11.42578125" bestFit="1" customWidth="1"/>
    <col min="2569" max="2569" width="3" customWidth="1"/>
    <col min="2571" max="2571" width="11" bestFit="1" customWidth="1"/>
    <col min="2573" max="2573" width="5" customWidth="1"/>
    <col min="2575" max="2575" width="11" bestFit="1" customWidth="1"/>
    <col min="2576" max="2576" width="11" customWidth="1"/>
    <col min="2577" max="2577" width="12" bestFit="1" customWidth="1"/>
    <col min="2578" max="2578" width="2.5703125" customWidth="1"/>
    <col min="2579" max="2579" width="10.28515625" bestFit="1" customWidth="1"/>
    <col min="2580" max="2580" width="12.42578125" bestFit="1" customWidth="1"/>
    <col min="2581" max="2581" width="12.42578125" customWidth="1"/>
    <col min="2582" max="2582" width="12.28515625" bestFit="1" customWidth="1"/>
    <col min="2821" max="2823" width="10.28515625" bestFit="1" customWidth="1"/>
    <col min="2824" max="2824" width="11.42578125" bestFit="1" customWidth="1"/>
    <col min="2825" max="2825" width="3" customWidth="1"/>
    <col min="2827" max="2827" width="11" bestFit="1" customWidth="1"/>
    <col min="2829" max="2829" width="5" customWidth="1"/>
    <col min="2831" max="2831" width="11" bestFit="1" customWidth="1"/>
    <col min="2832" max="2832" width="11" customWidth="1"/>
    <col min="2833" max="2833" width="12" bestFit="1" customWidth="1"/>
    <col min="2834" max="2834" width="2.5703125" customWidth="1"/>
    <col min="2835" max="2835" width="10.28515625" bestFit="1" customWidth="1"/>
    <col min="2836" max="2836" width="12.42578125" bestFit="1" customWidth="1"/>
    <col min="2837" max="2837" width="12.42578125" customWidth="1"/>
    <col min="2838" max="2838" width="12.28515625" bestFit="1" customWidth="1"/>
    <col min="3077" max="3079" width="10.28515625" bestFit="1" customWidth="1"/>
    <col min="3080" max="3080" width="11.42578125" bestFit="1" customWidth="1"/>
    <col min="3081" max="3081" width="3" customWidth="1"/>
    <col min="3083" max="3083" width="11" bestFit="1" customWidth="1"/>
    <col min="3085" max="3085" width="5" customWidth="1"/>
    <col min="3087" max="3087" width="11" bestFit="1" customWidth="1"/>
    <col min="3088" max="3088" width="11" customWidth="1"/>
    <col min="3089" max="3089" width="12" bestFit="1" customWidth="1"/>
    <col min="3090" max="3090" width="2.5703125" customWidth="1"/>
    <col min="3091" max="3091" width="10.28515625" bestFit="1" customWidth="1"/>
    <col min="3092" max="3092" width="12.42578125" bestFit="1" customWidth="1"/>
    <col min="3093" max="3093" width="12.42578125" customWidth="1"/>
    <col min="3094" max="3094" width="12.28515625" bestFit="1" customWidth="1"/>
    <col min="3333" max="3335" width="10.28515625" bestFit="1" customWidth="1"/>
    <col min="3336" max="3336" width="11.42578125" bestFit="1" customWidth="1"/>
    <col min="3337" max="3337" width="3" customWidth="1"/>
    <col min="3339" max="3339" width="11" bestFit="1" customWidth="1"/>
    <col min="3341" max="3341" width="5" customWidth="1"/>
    <col min="3343" max="3343" width="11" bestFit="1" customWidth="1"/>
    <col min="3344" max="3344" width="11" customWidth="1"/>
    <col min="3345" max="3345" width="12" bestFit="1" customWidth="1"/>
    <col min="3346" max="3346" width="2.5703125" customWidth="1"/>
    <col min="3347" max="3347" width="10.28515625" bestFit="1" customWidth="1"/>
    <col min="3348" max="3348" width="12.42578125" bestFit="1" customWidth="1"/>
    <col min="3349" max="3349" width="12.42578125" customWidth="1"/>
    <col min="3350" max="3350" width="12.28515625" bestFit="1" customWidth="1"/>
    <col min="3589" max="3591" width="10.28515625" bestFit="1" customWidth="1"/>
    <col min="3592" max="3592" width="11.42578125" bestFit="1" customWidth="1"/>
    <col min="3593" max="3593" width="3" customWidth="1"/>
    <col min="3595" max="3595" width="11" bestFit="1" customWidth="1"/>
    <col min="3597" max="3597" width="5" customWidth="1"/>
    <col min="3599" max="3599" width="11" bestFit="1" customWidth="1"/>
    <col min="3600" max="3600" width="11" customWidth="1"/>
    <col min="3601" max="3601" width="12" bestFit="1" customWidth="1"/>
    <col min="3602" max="3602" width="2.5703125" customWidth="1"/>
    <col min="3603" max="3603" width="10.28515625" bestFit="1" customWidth="1"/>
    <col min="3604" max="3604" width="12.42578125" bestFit="1" customWidth="1"/>
    <col min="3605" max="3605" width="12.42578125" customWidth="1"/>
    <col min="3606" max="3606" width="12.28515625" bestFit="1" customWidth="1"/>
    <col min="3845" max="3847" width="10.28515625" bestFit="1" customWidth="1"/>
    <col min="3848" max="3848" width="11.42578125" bestFit="1" customWidth="1"/>
    <col min="3849" max="3849" width="3" customWidth="1"/>
    <col min="3851" max="3851" width="11" bestFit="1" customWidth="1"/>
    <col min="3853" max="3853" width="5" customWidth="1"/>
    <col min="3855" max="3855" width="11" bestFit="1" customWidth="1"/>
    <col min="3856" max="3856" width="11" customWidth="1"/>
    <col min="3857" max="3857" width="12" bestFit="1" customWidth="1"/>
    <col min="3858" max="3858" width="2.5703125" customWidth="1"/>
    <col min="3859" max="3859" width="10.28515625" bestFit="1" customWidth="1"/>
    <col min="3860" max="3860" width="12.42578125" bestFit="1" customWidth="1"/>
    <col min="3861" max="3861" width="12.42578125" customWidth="1"/>
    <col min="3862" max="3862" width="12.28515625" bestFit="1" customWidth="1"/>
    <col min="4101" max="4103" width="10.28515625" bestFit="1" customWidth="1"/>
    <col min="4104" max="4104" width="11.42578125" bestFit="1" customWidth="1"/>
    <col min="4105" max="4105" width="3" customWidth="1"/>
    <col min="4107" max="4107" width="11" bestFit="1" customWidth="1"/>
    <col min="4109" max="4109" width="5" customWidth="1"/>
    <col min="4111" max="4111" width="11" bestFit="1" customWidth="1"/>
    <col min="4112" max="4112" width="11" customWidth="1"/>
    <col min="4113" max="4113" width="12" bestFit="1" customWidth="1"/>
    <col min="4114" max="4114" width="2.5703125" customWidth="1"/>
    <col min="4115" max="4115" width="10.28515625" bestFit="1" customWidth="1"/>
    <col min="4116" max="4116" width="12.42578125" bestFit="1" customWidth="1"/>
    <col min="4117" max="4117" width="12.42578125" customWidth="1"/>
    <col min="4118" max="4118" width="12.28515625" bestFit="1" customWidth="1"/>
    <col min="4357" max="4359" width="10.28515625" bestFit="1" customWidth="1"/>
    <col min="4360" max="4360" width="11.42578125" bestFit="1" customWidth="1"/>
    <col min="4361" max="4361" width="3" customWidth="1"/>
    <col min="4363" max="4363" width="11" bestFit="1" customWidth="1"/>
    <col min="4365" max="4365" width="5" customWidth="1"/>
    <col min="4367" max="4367" width="11" bestFit="1" customWidth="1"/>
    <col min="4368" max="4368" width="11" customWidth="1"/>
    <col min="4369" max="4369" width="12" bestFit="1" customWidth="1"/>
    <col min="4370" max="4370" width="2.5703125" customWidth="1"/>
    <col min="4371" max="4371" width="10.28515625" bestFit="1" customWidth="1"/>
    <col min="4372" max="4372" width="12.42578125" bestFit="1" customWidth="1"/>
    <col min="4373" max="4373" width="12.42578125" customWidth="1"/>
    <col min="4374" max="4374" width="12.28515625" bestFit="1" customWidth="1"/>
    <col min="4613" max="4615" width="10.28515625" bestFit="1" customWidth="1"/>
    <col min="4616" max="4616" width="11.42578125" bestFit="1" customWidth="1"/>
    <col min="4617" max="4617" width="3" customWidth="1"/>
    <col min="4619" max="4619" width="11" bestFit="1" customWidth="1"/>
    <col min="4621" max="4621" width="5" customWidth="1"/>
    <col min="4623" max="4623" width="11" bestFit="1" customWidth="1"/>
    <col min="4624" max="4624" width="11" customWidth="1"/>
    <col min="4625" max="4625" width="12" bestFit="1" customWidth="1"/>
    <col min="4626" max="4626" width="2.5703125" customWidth="1"/>
    <col min="4627" max="4627" width="10.28515625" bestFit="1" customWidth="1"/>
    <col min="4628" max="4628" width="12.42578125" bestFit="1" customWidth="1"/>
    <col min="4629" max="4629" width="12.42578125" customWidth="1"/>
    <col min="4630" max="4630" width="12.28515625" bestFit="1" customWidth="1"/>
    <col min="4869" max="4871" width="10.28515625" bestFit="1" customWidth="1"/>
    <col min="4872" max="4872" width="11.42578125" bestFit="1" customWidth="1"/>
    <col min="4873" max="4873" width="3" customWidth="1"/>
    <col min="4875" max="4875" width="11" bestFit="1" customWidth="1"/>
    <col min="4877" max="4877" width="5" customWidth="1"/>
    <col min="4879" max="4879" width="11" bestFit="1" customWidth="1"/>
    <col min="4880" max="4880" width="11" customWidth="1"/>
    <col min="4881" max="4881" width="12" bestFit="1" customWidth="1"/>
    <col min="4882" max="4882" width="2.5703125" customWidth="1"/>
    <col min="4883" max="4883" width="10.28515625" bestFit="1" customWidth="1"/>
    <col min="4884" max="4884" width="12.42578125" bestFit="1" customWidth="1"/>
    <col min="4885" max="4885" width="12.42578125" customWidth="1"/>
    <col min="4886" max="4886" width="12.28515625" bestFit="1" customWidth="1"/>
    <col min="5125" max="5127" width="10.28515625" bestFit="1" customWidth="1"/>
    <col min="5128" max="5128" width="11.42578125" bestFit="1" customWidth="1"/>
    <col min="5129" max="5129" width="3" customWidth="1"/>
    <col min="5131" max="5131" width="11" bestFit="1" customWidth="1"/>
    <col min="5133" max="5133" width="5" customWidth="1"/>
    <col min="5135" max="5135" width="11" bestFit="1" customWidth="1"/>
    <col min="5136" max="5136" width="11" customWidth="1"/>
    <col min="5137" max="5137" width="12" bestFit="1" customWidth="1"/>
    <col min="5138" max="5138" width="2.5703125" customWidth="1"/>
    <col min="5139" max="5139" width="10.28515625" bestFit="1" customWidth="1"/>
    <col min="5140" max="5140" width="12.42578125" bestFit="1" customWidth="1"/>
    <col min="5141" max="5141" width="12.42578125" customWidth="1"/>
    <col min="5142" max="5142" width="12.28515625" bestFit="1" customWidth="1"/>
    <col min="5381" max="5383" width="10.28515625" bestFit="1" customWidth="1"/>
    <col min="5384" max="5384" width="11.42578125" bestFit="1" customWidth="1"/>
    <col min="5385" max="5385" width="3" customWidth="1"/>
    <col min="5387" max="5387" width="11" bestFit="1" customWidth="1"/>
    <col min="5389" max="5389" width="5" customWidth="1"/>
    <col min="5391" max="5391" width="11" bestFit="1" customWidth="1"/>
    <col min="5392" max="5392" width="11" customWidth="1"/>
    <col min="5393" max="5393" width="12" bestFit="1" customWidth="1"/>
    <col min="5394" max="5394" width="2.5703125" customWidth="1"/>
    <col min="5395" max="5395" width="10.28515625" bestFit="1" customWidth="1"/>
    <col min="5396" max="5396" width="12.42578125" bestFit="1" customWidth="1"/>
    <col min="5397" max="5397" width="12.42578125" customWidth="1"/>
    <col min="5398" max="5398" width="12.28515625" bestFit="1" customWidth="1"/>
    <col min="5637" max="5639" width="10.28515625" bestFit="1" customWidth="1"/>
    <col min="5640" max="5640" width="11.42578125" bestFit="1" customWidth="1"/>
    <col min="5641" max="5641" width="3" customWidth="1"/>
    <col min="5643" max="5643" width="11" bestFit="1" customWidth="1"/>
    <col min="5645" max="5645" width="5" customWidth="1"/>
    <col min="5647" max="5647" width="11" bestFit="1" customWidth="1"/>
    <col min="5648" max="5648" width="11" customWidth="1"/>
    <col min="5649" max="5649" width="12" bestFit="1" customWidth="1"/>
    <col min="5650" max="5650" width="2.5703125" customWidth="1"/>
    <col min="5651" max="5651" width="10.28515625" bestFit="1" customWidth="1"/>
    <col min="5652" max="5652" width="12.42578125" bestFit="1" customWidth="1"/>
    <col min="5653" max="5653" width="12.42578125" customWidth="1"/>
    <col min="5654" max="5654" width="12.28515625" bestFit="1" customWidth="1"/>
    <col min="5893" max="5895" width="10.28515625" bestFit="1" customWidth="1"/>
    <col min="5896" max="5896" width="11.42578125" bestFit="1" customWidth="1"/>
    <col min="5897" max="5897" width="3" customWidth="1"/>
    <col min="5899" max="5899" width="11" bestFit="1" customWidth="1"/>
    <col min="5901" max="5901" width="5" customWidth="1"/>
    <col min="5903" max="5903" width="11" bestFit="1" customWidth="1"/>
    <col min="5904" max="5904" width="11" customWidth="1"/>
    <col min="5905" max="5905" width="12" bestFit="1" customWidth="1"/>
    <col min="5906" max="5906" width="2.5703125" customWidth="1"/>
    <col min="5907" max="5907" width="10.28515625" bestFit="1" customWidth="1"/>
    <col min="5908" max="5908" width="12.42578125" bestFit="1" customWidth="1"/>
    <col min="5909" max="5909" width="12.42578125" customWidth="1"/>
    <col min="5910" max="5910" width="12.28515625" bestFit="1" customWidth="1"/>
    <col min="6149" max="6151" width="10.28515625" bestFit="1" customWidth="1"/>
    <col min="6152" max="6152" width="11.42578125" bestFit="1" customWidth="1"/>
    <col min="6153" max="6153" width="3" customWidth="1"/>
    <col min="6155" max="6155" width="11" bestFit="1" customWidth="1"/>
    <col min="6157" max="6157" width="5" customWidth="1"/>
    <col min="6159" max="6159" width="11" bestFit="1" customWidth="1"/>
    <col min="6160" max="6160" width="11" customWidth="1"/>
    <col min="6161" max="6161" width="12" bestFit="1" customWidth="1"/>
    <col min="6162" max="6162" width="2.5703125" customWidth="1"/>
    <col min="6163" max="6163" width="10.28515625" bestFit="1" customWidth="1"/>
    <col min="6164" max="6164" width="12.42578125" bestFit="1" customWidth="1"/>
    <col min="6165" max="6165" width="12.42578125" customWidth="1"/>
    <col min="6166" max="6166" width="12.28515625" bestFit="1" customWidth="1"/>
    <col min="6405" max="6407" width="10.28515625" bestFit="1" customWidth="1"/>
    <col min="6408" max="6408" width="11.42578125" bestFit="1" customWidth="1"/>
    <col min="6409" max="6409" width="3" customWidth="1"/>
    <col min="6411" max="6411" width="11" bestFit="1" customWidth="1"/>
    <col min="6413" max="6413" width="5" customWidth="1"/>
    <col min="6415" max="6415" width="11" bestFit="1" customWidth="1"/>
    <col min="6416" max="6416" width="11" customWidth="1"/>
    <col min="6417" max="6417" width="12" bestFit="1" customWidth="1"/>
    <col min="6418" max="6418" width="2.5703125" customWidth="1"/>
    <col min="6419" max="6419" width="10.28515625" bestFit="1" customWidth="1"/>
    <col min="6420" max="6420" width="12.42578125" bestFit="1" customWidth="1"/>
    <col min="6421" max="6421" width="12.42578125" customWidth="1"/>
    <col min="6422" max="6422" width="12.28515625" bestFit="1" customWidth="1"/>
    <col min="6661" max="6663" width="10.28515625" bestFit="1" customWidth="1"/>
    <col min="6664" max="6664" width="11.42578125" bestFit="1" customWidth="1"/>
    <col min="6665" max="6665" width="3" customWidth="1"/>
    <col min="6667" max="6667" width="11" bestFit="1" customWidth="1"/>
    <col min="6669" max="6669" width="5" customWidth="1"/>
    <col min="6671" max="6671" width="11" bestFit="1" customWidth="1"/>
    <col min="6672" max="6672" width="11" customWidth="1"/>
    <col min="6673" max="6673" width="12" bestFit="1" customWidth="1"/>
    <col min="6674" max="6674" width="2.5703125" customWidth="1"/>
    <col min="6675" max="6675" width="10.28515625" bestFit="1" customWidth="1"/>
    <col min="6676" max="6676" width="12.42578125" bestFit="1" customWidth="1"/>
    <col min="6677" max="6677" width="12.42578125" customWidth="1"/>
    <col min="6678" max="6678" width="12.28515625" bestFit="1" customWidth="1"/>
    <col min="6917" max="6919" width="10.28515625" bestFit="1" customWidth="1"/>
    <col min="6920" max="6920" width="11.42578125" bestFit="1" customWidth="1"/>
    <col min="6921" max="6921" width="3" customWidth="1"/>
    <col min="6923" max="6923" width="11" bestFit="1" customWidth="1"/>
    <col min="6925" max="6925" width="5" customWidth="1"/>
    <col min="6927" max="6927" width="11" bestFit="1" customWidth="1"/>
    <col min="6928" max="6928" width="11" customWidth="1"/>
    <col min="6929" max="6929" width="12" bestFit="1" customWidth="1"/>
    <col min="6930" max="6930" width="2.5703125" customWidth="1"/>
    <col min="6931" max="6931" width="10.28515625" bestFit="1" customWidth="1"/>
    <col min="6932" max="6932" width="12.42578125" bestFit="1" customWidth="1"/>
    <col min="6933" max="6933" width="12.42578125" customWidth="1"/>
    <col min="6934" max="6934" width="12.28515625" bestFit="1" customWidth="1"/>
    <col min="7173" max="7175" width="10.28515625" bestFit="1" customWidth="1"/>
    <col min="7176" max="7176" width="11.42578125" bestFit="1" customWidth="1"/>
    <col min="7177" max="7177" width="3" customWidth="1"/>
    <col min="7179" max="7179" width="11" bestFit="1" customWidth="1"/>
    <col min="7181" max="7181" width="5" customWidth="1"/>
    <col min="7183" max="7183" width="11" bestFit="1" customWidth="1"/>
    <col min="7184" max="7184" width="11" customWidth="1"/>
    <col min="7185" max="7185" width="12" bestFit="1" customWidth="1"/>
    <col min="7186" max="7186" width="2.5703125" customWidth="1"/>
    <col min="7187" max="7187" width="10.28515625" bestFit="1" customWidth="1"/>
    <col min="7188" max="7188" width="12.42578125" bestFit="1" customWidth="1"/>
    <col min="7189" max="7189" width="12.42578125" customWidth="1"/>
    <col min="7190" max="7190" width="12.28515625" bestFit="1" customWidth="1"/>
    <col min="7429" max="7431" width="10.28515625" bestFit="1" customWidth="1"/>
    <col min="7432" max="7432" width="11.42578125" bestFit="1" customWidth="1"/>
    <col min="7433" max="7433" width="3" customWidth="1"/>
    <col min="7435" max="7435" width="11" bestFit="1" customWidth="1"/>
    <col min="7437" max="7437" width="5" customWidth="1"/>
    <col min="7439" max="7439" width="11" bestFit="1" customWidth="1"/>
    <col min="7440" max="7440" width="11" customWidth="1"/>
    <col min="7441" max="7441" width="12" bestFit="1" customWidth="1"/>
    <col min="7442" max="7442" width="2.5703125" customWidth="1"/>
    <col min="7443" max="7443" width="10.28515625" bestFit="1" customWidth="1"/>
    <col min="7444" max="7444" width="12.42578125" bestFit="1" customWidth="1"/>
    <col min="7445" max="7445" width="12.42578125" customWidth="1"/>
    <col min="7446" max="7446" width="12.28515625" bestFit="1" customWidth="1"/>
    <col min="7685" max="7687" width="10.28515625" bestFit="1" customWidth="1"/>
    <col min="7688" max="7688" width="11.42578125" bestFit="1" customWidth="1"/>
    <col min="7689" max="7689" width="3" customWidth="1"/>
    <col min="7691" max="7691" width="11" bestFit="1" customWidth="1"/>
    <col min="7693" max="7693" width="5" customWidth="1"/>
    <col min="7695" max="7695" width="11" bestFit="1" customWidth="1"/>
    <col min="7696" max="7696" width="11" customWidth="1"/>
    <col min="7697" max="7697" width="12" bestFit="1" customWidth="1"/>
    <col min="7698" max="7698" width="2.5703125" customWidth="1"/>
    <col min="7699" max="7699" width="10.28515625" bestFit="1" customWidth="1"/>
    <col min="7700" max="7700" width="12.42578125" bestFit="1" customWidth="1"/>
    <col min="7701" max="7701" width="12.42578125" customWidth="1"/>
    <col min="7702" max="7702" width="12.28515625" bestFit="1" customWidth="1"/>
    <col min="7941" max="7943" width="10.28515625" bestFit="1" customWidth="1"/>
    <col min="7944" max="7944" width="11.42578125" bestFit="1" customWidth="1"/>
    <col min="7945" max="7945" width="3" customWidth="1"/>
    <col min="7947" max="7947" width="11" bestFit="1" customWidth="1"/>
    <col min="7949" max="7949" width="5" customWidth="1"/>
    <col min="7951" max="7951" width="11" bestFit="1" customWidth="1"/>
    <col min="7952" max="7952" width="11" customWidth="1"/>
    <col min="7953" max="7953" width="12" bestFit="1" customWidth="1"/>
    <col min="7954" max="7954" width="2.5703125" customWidth="1"/>
    <col min="7955" max="7955" width="10.28515625" bestFit="1" customWidth="1"/>
    <col min="7956" max="7956" width="12.42578125" bestFit="1" customWidth="1"/>
    <col min="7957" max="7957" width="12.42578125" customWidth="1"/>
    <col min="7958" max="7958" width="12.28515625" bestFit="1" customWidth="1"/>
    <col min="8197" max="8199" width="10.28515625" bestFit="1" customWidth="1"/>
    <col min="8200" max="8200" width="11.42578125" bestFit="1" customWidth="1"/>
    <col min="8201" max="8201" width="3" customWidth="1"/>
    <col min="8203" max="8203" width="11" bestFit="1" customWidth="1"/>
    <col min="8205" max="8205" width="5" customWidth="1"/>
    <col min="8207" max="8207" width="11" bestFit="1" customWidth="1"/>
    <col min="8208" max="8208" width="11" customWidth="1"/>
    <col min="8209" max="8209" width="12" bestFit="1" customWidth="1"/>
    <col min="8210" max="8210" width="2.5703125" customWidth="1"/>
    <col min="8211" max="8211" width="10.28515625" bestFit="1" customWidth="1"/>
    <col min="8212" max="8212" width="12.42578125" bestFit="1" customWidth="1"/>
    <col min="8213" max="8213" width="12.42578125" customWidth="1"/>
    <col min="8214" max="8214" width="12.28515625" bestFit="1" customWidth="1"/>
    <col min="8453" max="8455" width="10.28515625" bestFit="1" customWidth="1"/>
    <col min="8456" max="8456" width="11.42578125" bestFit="1" customWidth="1"/>
    <col min="8457" max="8457" width="3" customWidth="1"/>
    <col min="8459" max="8459" width="11" bestFit="1" customWidth="1"/>
    <col min="8461" max="8461" width="5" customWidth="1"/>
    <col min="8463" max="8463" width="11" bestFit="1" customWidth="1"/>
    <col min="8464" max="8464" width="11" customWidth="1"/>
    <col min="8465" max="8465" width="12" bestFit="1" customWidth="1"/>
    <col min="8466" max="8466" width="2.5703125" customWidth="1"/>
    <col min="8467" max="8467" width="10.28515625" bestFit="1" customWidth="1"/>
    <col min="8468" max="8468" width="12.42578125" bestFit="1" customWidth="1"/>
    <col min="8469" max="8469" width="12.42578125" customWidth="1"/>
    <col min="8470" max="8470" width="12.28515625" bestFit="1" customWidth="1"/>
    <col min="8709" max="8711" width="10.28515625" bestFit="1" customWidth="1"/>
    <col min="8712" max="8712" width="11.42578125" bestFit="1" customWidth="1"/>
    <col min="8713" max="8713" width="3" customWidth="1"/>
    <col min="8715" max="8715" width="11" bestFit="1" customWidth="1"/>
    <col min="8717" max="8717" width="5" customWidth="1"/>
    <col min="8719" max="8719" width="11" bestFit="1" customWidth="1"/>
    <col min="8720" max="8720" width="11" customWidth="1"/>
    <col min="8721" max="8721" width="12" bestFit="1" customWidth="1"/>
    <col min="8722" max="8722" width="2.5703125" customWidth="1"/>
    <col min="8723" max="8723" width="10.28515625" bestFit="1" customWidth="1"/>
    <col min="8724" max="8724" width="12.42578125" bestFit="1" customWidth="1"/>
    <col min="8725" max="8725" width="12.42578125" customWidth="1"/>
    <col min="8726" max="8726" width="12.28515625" bestFit="1" customWidth="1"/>
    <col min="8965" max="8967" width="10.28515625" bestFit="1" customWidth="1"/>
    <col min="8968" max="8968" width="11.42578125" bestFit="1" customWidth="1"/>
    <col min="8969" max="8969" width="3" customWidth="1"/>
    <col min="8971" max="8971" width="11" bestFit="1" customWidth="1"/>
    <col min="8973" max="8973" width="5" customWidth="1"/>
    <col min="8975" max="8975" width="11" bestFit="1" customWidth="1"/>
    <col min="8976" max="8976" width="11" customWidth="1"/>
    <col min="8977" max="8977" width="12" bestFit="1" customWidth="1"/>
    <col min="8978" max="8978" width="2.5703125" customWidth="1"/>
    <col min="8979" max="8979" width="10.28515625" bestFit="1" customWidth="1"/>
    <col min="8980" max="8980" width="12.42578125" bestFit="1" customWidth="1"/>
    <col min="8981" max="8981" width="12.42578125" customWidth="1"/>
    <col min="8982" max="8982" width="12.28515625" bestFit="1" customWidth="1"/>
    <col min="9221" max="9223" width="10.28515625" bestFit="1" customWidth="1"/>
    <col min="9224" max="9224" width="11.42578125" bestFit="1" customWidth="1"/>
    <col min="9225" max="9225" width="3" customWidth="1"/>
    <col min="9227" max="9227" width="11" bestFit="1" customWidth="1"/>
    <col min="9229" max="9229" width="5" customWidth="1"/>
    <col min="9231" max="9231" width="11" bestFit="1" customWidth="1"/>
    <col min="9232" max="9232" width="11" customWidth="1"/>
    <col min="9233" max="9233" width="12" bestFit="1" customWidth="1"/>
    <col min="9234" max="9234" width="2.5703125" customWidth="1"/>
    <col min="9235" max="9235" width="10.28515625" bestFit="1" customWidth="1"/>
    <col min="9236" max="9236" width="12.42578125" bestFit="1" customWidth="1"/>
    <col min="9237" max="9237" width="12.42578125" customWidth="1"/>
    <col min="9238" max="9238" width="12.28515625" bestFit="1" customWidth="1"/>
    <col min="9477" max="9479" width="10.28515625" bestFit="1" customWidth="1"/>
    <col min="9480" max="9480" width="11.42578125" bestFit="1" customWidth="1"/>
    <col min="9481" max="9481" width="3" customWidth="1"/>
    <col min="9483" max="9483" width="11" bestFit="1" customWidth="1"/>
    <col min="9485" max="9485" width="5" customWidth="1"/>
    <col min="9487" max="9487" width="11" bestFit="1" customWidth="1"/>
    <col min="9488" max="9488" width="11" customWidth="1"/>
    <col min="9489" max="9489" width="12" bestFit="1" customWidth="1"/>
    <col min="9490" max="9490" width="2.5703125" customWidth="1"/>
    <col min="9491" max="9491" width="10.28515625" bestFit="1" customWidth="1"/>
    <col min="9492" max="9492" width="12.42578125" bestFit="1" customWidth="1"/>
    <col min="9493" max="9493" width="12.42578125" customWidth="1"/>
    <col min="9494" max="9494" width="12.28515625" bestFit="1" customWidth="1"/>
    <col min="9733" max="9735" width="10.28515625" bestFit="1" customWidth="1"/>
    <col min="9736" max="9736" width="11.42578125" bestFit="1" customWidth="1"/>
    <col min="9737" max="9737" width="3" customWidth="1"/>
    <col min="9739" max="9739" width="11" bestFit="1" customWidth="1"/>
    <col min="9741" max="9741" width="5" customWidth="1"/>
    <col min="9743" max="9743" width="11" bestFit="1" customWidth="1"/>
    <col min="9744" max="9744" width="11" customWidth="1"/>
    <col min="9745" max="9745" width="12" bestFit="1" customWidth="1"/>
    <col min="9746" max="9746" width="2.5703125" customWidth="1"/>
    <col min="9747" max="9747" width="10.28515625" bestFit="1" customWidth="1"/>
    <col min="9748" max="9748" width="12.42578125" bestFit="1" customWidth="1"/>
    <col min="9749" max="9749" width="12.42578125" customWidth="1"/>
    <col min="9750" max="9750" width="12.28515625" bestFit="1" customWidth="1"/>
    <col min="9989" max="9991" width="10.28515625" bestFit="1" customWidth="1"/>
    <col min="9992" max="9992" width="11.42578125" bestFit="1" customWidth="1"/>
    <col min="9993" max="9993" width="3" customWidth="1"/>
    <col min="9995" max="9995" width="11" bestFit="1" customWidth="1"/>
    <col min="9997" max="9997" width="5" customWidth="1"/>
    <col min="9999" max="9999" width="11" bestFit="1" customWidth="1"/>
    <col min="10000" max="10000" width="11" customWidth="1"/>
    <col min="10001" max="10001" width="12" bestFit="1" customWidth="1"/>
    <col min="10002" max="10002" width="2.5703125" customWidth="1"/>
    <col min="10003" max="10003" width="10.28515625" bestFit="1" customWidth="1"/>
    <col min="10004" max="10004" width="12.42578125" bestFit="1" customWidth="1"/>
    <col min="10005" max="10005" width="12.42578125" customWidth="1"/>
    <col min="10006" max="10006" width="12.28515625" bestFit="1" customWidth="1"/>
    <col min="10245" max="10247" width="10.28515625" bestFit="1" customWidth="1"/>
    <col min="10248" max="10248" width="11.42578125" bestFit="1" customWidth="1"/>
    <col min="10249" max="10249" width="3" customWidth="1"/>
    <col min="10251" max="10251" width="11" bestFit="1" customWidth="1"/>
    <col min="10253" max="10253" width="5" customWidth="1"/>
    <col min="10255" max="10255" width="11" bestFit="1" customWidth="1"/>
    <col min="10256" max="10256" width="11" customWidth="1"/>
    <col min="10257" max="10257" width="12" bestFit="1" customWidth="1"/>
    <col min="10258" max="10258" width="2.5703125" customWidth="1"/>
    <col min="10259" max="10259" width="10.28515625" bestFit="1" customWidth="1"/>
    <col min="10260" max="10260" width="12.42578125" bestFit="1" customWidth="1"/>
    <col min="10261" max="10261" width="12.42578125" customWidth="1"/>
    <col min="10262" max="10262" width="12.28515625" bestFit="1" customWidth="1"/>
    <col min="10501" max="10503" width="10.28515625" bestFit="1" customWidth="1"/>
    <col min="10504" max="10504" width="11.42578125" bestFit="1" customWidth="1"/>
    <col min="10505" max="10505" width="3" customWidth="1"/>
    <col min="10507" max="10507" width="11" bestFit="1" customWidth="1"/>
    <col min="10509" max="10509" width="5" customWidth="1"/>
    <col min="10511" max="10511" width="11" bestFit="1" customWidth="1"/>
    <col min="10512" max="10512" width="11" customWidth="1"/>
    <col min="10513" max="10513" width="12" bestFit="1" customWidth="1"/>
    <col min="10514" max="10514" width="2.5703125" customWidth="1"/>
    <col min="10515" max="10515" width="10.28515625" bestFit="1" customWidth="1"/>
    <col min="10516" max="10516" width="12.42578125" bestFit="1" customWidth="1"/>
    <col min="10517" max="10517" width="12.42578125" customWidth="1"/>
    <col min="10518" max="10518" width="12.28515625" bestFit="1" customWidth="1"/>
    <col min="10757" max="10759" width="10.28515625" bestFit="1" customWidth="1"/>
    <col min="10760" max="10760" width="11.42578125" bestFit="1" customWidth="1"/>
    <col min="10761" max="10761" width="3" customWidth="1"/>
    <col min="10763" max="10763" width="11" bestFit="1" customWidth="1"/>
    <col min="10765" max="10765" width="5" customWidth="1"/>
    <col min="10767" max="10767" width="11" bestFit="1" customWidth="1"/>
    <col min="10768" max="10768" width="11" customWidth="1"/>
    <col min="10769" max="10769" width="12" bestFit="1" customWidth="1"/>
    <col min="10770" max="10770" width="2.5703125" customWidth="1"/>
    <col min="10771" max="10771" width="10.28515625" bestFit="1" customWidth="1"/>
    <col min="10772" max="10772" width="12.42578125" bestFit="1" customWidth="1"/>
    <col min="10773" max="10773" width="12.42578125" customWidth="1"/>
    <col min="10774" max="10774" width="12.28515625" bestFit="1" customWidth="1"/>
    <col min="11013" max="11015" width="10.28515625" bestFit="1" customWidth="1"/>
    <col min="11016" max="11016" width="11.42578125" bestFit="1" customWidth="1"/>
    <col min="11017" max="11017" width="3" customWidth="1"/>
    <col min="11019" max="11019" width="11" bestFit="1" customWidth="1"/>
    <col min="11021" max="11021" width="5" customWidth="1"/>
    <col min="11023" max="11023" width="11" bestFit="1" customWidth="1"/>
    <col min="11024" max="11024" width="11" customWidth="1"/>
    <col min="11025" max="11025" width="12" bestFit="1" customWidth="1"/>
    <col min="11026" max="11026" width="2.5703125" customWidth="1"/>
    <col min="11027" max="11027" width="10.28515625" bestFit="1" customWidth="1"/>
    <col min="11028" max="11028" width="12.42578125" bestFit="1" customWidth="1"/>
    <col min="11029" max="11029" width="12.42578125" customWidth="1"/>
    <col min="11030" max="11030" width="12.28515625" bestFit="1" customWidth="1"/>
    <col min="11269" max="11271" width="10.28515625" bestFit="1" customWidth="1"/>
    <col min="11272" max="11272" width="11.42578125" bestFit="1" customWidth="1"/>
    <col min="11273" max="11273" width="3" customWidth="1"/>
    <col min="11275" max="11275" width="11" bestFit="1" customWidth="1"/>
    <col min="11277" max="11277" width="5" customWidth="1"/>
    <col min="11279" max="11279" width="11" bestFit="1" customWidth="1"/>
    <col min="11280" max="11280" width="11" customWidth="1"/>
    <col min="11281" max="11281" width="12" bestFit="1" customWidth="1"/>
    <col min="11282" max="11282" width="2.5703125" customWidth="1"/>
    <col min="11283" max="11283" width="10.28515625" bestFit="1" customWidth="1"/>
    <col min="11284" max="11284" width="12.42578125" bestFit="1" customWidth="1"/>
    <col min="11285" max="11285" width="12.42578125" customWidth="1"/>
    <col min="11286" max="11286" width="12.28515625" bestFit="1" customWidth="1"/>
    <col min="11525" max="11527" width="10.28515625" bestFit="1" customWidth="1"/>
    <col min="11528" max="11528" width="11.42578125" bestFit="1" customWidth="1"/>
    <col min="11529" max="11529" width="3" customWidth="1"/>
    <col min="11531" max="11531" width="11" bestFit="1" customWidth="1"/>
    <col min="11533" max="11533" width="5" customWidth="1"/>
    <col min="11535" max="11535" width="11" bestFit="1" customWidth="1"/>
    <col min="11536" max="11536" width="11" customWidth="1"/>
    <col min="11537" max="11537" width="12" bestFit="1" customWidth="1"/>
    <col min="11538" max="11538" width="2.5703125" customWidth="1"/>
    <col min="11539" max="11539" width="10.28515625" bestFit="1" customWidth="1"/>
    <col min="11540" max="11540" width="12.42578125" bestFit="1" customWidth="1"/>
    <col min="11541" max="11541" width="12.42578125" customWidth="1"/>
    <col min="11542" max="11542" width="12.28515625" bestFit="1" customWidth="1"/>
    <col min="11781" max="11783" width="10.28515625" bestFit="1" customWidth="1"/>
    <col min="11784" max="11784" width="11.42578125" bestFit="1" customWidth="1"/>
    <col min="11785" max="11785" width="3" customWidth="1"/>
    <col min="11787" max="11787" width="11" bestFit="1" customWidth="1"/>
    <col min="11789" max="11789" width="5" customWidth="1"/>
    <col min="11791" max="11791" width="11" bestFit="1" customWidth="1"/>
    <col min="11792" max="11792" width="11" customWidth="1"/>
    <col min="11793" max="11793" width="12" bestFit="1" customWidth="1"/>
    <col min="11794" max="11794" width="2.5703125" customWidth="1"/>
    <col min="11795" max="11795" width="10.28515625" bestFit="1" customWidth="1"/>
    <col min="11796" max="11796" width="12.42578125" bestFit="1" customWidth="1"/>
    <col min="11797" max="11797" width="12.42578125" customWidth="1"/>
    <col min="11798" max="11798" width="12.28515625" bestFit="1" customWidth="1"/>
    <col min="12037" max="12039" width="10.28515625" bestFit="1" customWidth="1"/>
    <col min="12040" max="12040" width="11.42578125" bestFit="1" customWidth="1"/>
    <col min="12041" max="12041" width="3" customWidth="1"/>
    <col min="12043" max="12043" width="11" bestFit="1" customWidth="1"/>
    <col min="12045" max="12045" width="5" customWidth="1"/>
    <col min="12047" max="12047" width="11" bestFit="1" customWidth="1"/>
    <col min="12048" max="12048" width="11" customWidth="1"/>
    <col min="12049" max="12049" width="12" bestFit="1" customWidth="1"/>
    <col min="12050" max="12050" width="2.5703125" customWidth="1"/>
    <col min="12051" max="12051" width="10.28515625" bestFit="1" customWidth="1"/>
    <col min="12052" max="12052" width="12.42578125" bestFit="1" customWidth="1"/>
    <col min="12053" max="12053" width="12.42578125" customWidth="1"/>
    <col min="12054" max="12054" width="12.28515625" bestFit="1" customWidth="1"/>
    <col min="12293" max="12295" width="10.28515625" bestFit="1" customWidth="1"/>
    <col min="12296" max="12296" width="11.42578125" bestFit="1" customWidth="1"/>
    <col min="12297" max="12297" width="3" customWidth="1"/>
    <col min="12299" max="12299" width="11" bestFit="1" customWidth="1"/>
    <col min="12301" max="12301" width="5" customWidth="1"/>
    <col min="12303" max="12303" width="11" bestFit="1" customWidth="1"/>
    <col min="12304" max="12304" width="11" customWidth="1"/>
    <col min="12305" max="12305" width="12" bestFit="1" customWidth="1"/>
    <col min="12306" max="12306" width="2.5703125" customWidth="1"/>
    <col min="12307" max="12307" width="10.28515625" bestFit="1" customWidth="1"/>
    <col min="12308" max="12308" width="12.42578125" bestFit="1" customWidth="1"/>
    <col min="12309" max="12309" width="12.42578125" customWidth="1"/>
    <col min="12310" max="12310" width="12.28515625" bestFit="1" customWidth="1"/>
    <col min="12549" max="12551" width="10.28515625" bestFit="1" customWidth="1"/>
    <col min="12552" max="12552" width="11.42578125" bestFit="1" customWidth="1"/>
    <col min="12553" max="12553" width="3" customWidth="1"/>
    <col min="12555" max="12555" width="11" bestFit="1" customWidth="1"/>
    <col min="12557" max="12557" width="5" customWidth="1"/>
    <col min="12559" max="12559" width="11" bestFit="1" customWidth="1"/>
    <col min="12560" max="12560" width="11" customWidth="1"/>
    <col min="12561" max="12561" width="12" bestFit="1" customWidth="1"/>
    <col min="12562" max="12562" width="2.5703125" customWidth="1"/>
    <col min="12563" max="12563" width="10.28515625" bestFit="1" customWidth="1"/>
    <col min="12564" max="12564" width="12.42578125" bestFit="1" customWidth="1"/>
    <col min="12565" max="12565" width="12.42578125" customWidth="1"/>
    <col min="12566" max="12566" width="12.28515625" bestFit="1" customWidth="1"/>
    <col min="12805" max="12807" width="10.28515625" bestFit="1" customWidth="1"/>
    <col min="12808" max="12808" width="11.42578125" bestFit="1" customWidth="1"/>
    <col min="12809" max="12809" width="3" customWidth="1"/>
    <col min="12811" max="12811" width="11" bestFit="1" customWidth="1"/>
    <col min="12813" max="12813" width="5" customWidth="1"/>
    <col min="12815" max="12815" width="11" bestFit="1" customWidth="1"/>
    <col min="12816" max="12816" width="11" customWidth="1"/>
    <col min="12817" max="12817" width="12" bestFit="1" customWidth="1"/>
    <col min="12818" max="12818" width="2.5703125" customWidth="1"/>
    <col min="12819" max="12819" width="10.28515625" bestFit="1" customWidth="1"/>
    <col min="12820" max="12820" width="12.42578125" bestFit="1" customWidth="1"/>
    <col min="12821" max="12821" width="12.42578125" customWidth="1"/>
    <col min="12822" max="12822" width="12.28515625" bestFit="1" customWidth="1"/>
    <col min="13061" max="13063" width="10.28515625" bestFit="1" customWidth="1"/>
    <col min="13064" max="13064" width="11.42578125" bestFit="1" customWidth="1"/>
    <col min="13065" max="13065" width="3" customWidth="1"/>
    <col min="13067" max="13067" width="11" bestFit="1" customWidth="1"/>
    <col min="13069" max="13069" width="5" customWidth="1"/>
    <col min="13071" max="13071" width="11" bestFit="1" customWidth="1"/>
    <col min="13072" max="13072" width="11" customWidth="1"/>
    <col min="13073" max="13073" width="12" bestFit="1" customWidth="1"/>
    <col min="13074" max="13074" width="2.5703125" customWidth="1"/>
    <col min="13075" max="13075" width="10.28515625" bestFit="1" customWidth="1"/>
    <col min="13076" max="13076" width="12.42578125" bestFit="1" customWidth="1"/>
    <col min="13077" max="13077" width="12.42578125" customWidth="1"/>
    <col min="13078" max="13078" width="12.28515625" bestFit="1" customWidth="1"/>
    <col min="13317" max="13319" width="10.28515625" bestFit="1" customWidth="1"/>
    <col min="13320" max="13320" width="11.42578125" bestFit="1" customWidth="1"/>
    <col min="13321" max="13321" width="3" customWidth="1"/>
    <col min="13323" max="13323" width="11" bestFit="1" customWidth="1"/>
    <col min="13325" max="13325" width="5" customWidth="1"/>
    <col min="13327" max="13327" width="11" bestFit="1" customWidth="1"/>
    <col min="13328" max="13328" width="11" customWidth="1"/>
    <col min="13329" max="13329" width="12" bestFit="1" customWidth="1"/>
    <col min="13330" max="13330" width="2.5703125" customWidth="1"/>
    <col min="13331" max="13331" width="10.28515625" bestFit="1" customWidth="1"/>
    <col min="13332" max="13332" width="12.42578125" bestFit="1" customWidth="1"/>
    <col min="13333" max="13333" width="12.42578125" customWidth="1"/>
    <col min="13334" max="13334" width="12.28515625" bestFit="1" customWidth="1"/>
    <col min="13573" max="13575" width="10.28515625" bestFit="1" customWidth="1"/>
    <col min="13576" max="13576" width="11.42578125" bestFit="1" customWidth="1"/>
    <col min="13577" max="13577" width="3" customWidth="1"/>
    <col min="13579" max="13579" width="11" bestFit="1" customWidth="1"/>
    <col min="13581" max="13581" width="5" customWidth="1"/>
    <col min="13583" max="13583" width="11" bestFit="1" customWidth="1"/>
    <col min="13584" max="13584" width="11" customWidth="1"/>
    <col min="13585" max="13585" width="12" bestFit="1" customWidth="1"/>
    <col min="13586" max="13586" width="2.5703125" customWidth="1"/>
    <col min="13587" max="13587" width="10.28515625" bestFit="1" customWidth="1"/>
    <col min="13588" max="13588" width="12.42578125" bestFit="1" customWidth="1"/>
    <col min="13589" max="13589" width="12.42578125" customWidth="1"/>
    <col min="13590" max="13590" width="12.28515625" bestFit="1" customWidth="1"/>
    <col min="13829" max="13831" width="10.28515625" bestFit="1" customWidth="1"/>
    <col min="13832" max="13832" width="11.42578125" bestFit="1" customWidth="1"/>
    <col min="13833" max="13833" width="3" customWidth="1"/>
    <col min="13835" max="13835" width="11" bestFit="1" customWidth="1"/>
    <col min="13837" max="13837" width="5" customWidth="1"/>
    <col min="13839" max="13839" width="11" bestFit="1" customWidth="1"/>
    <col min="13840" max="13840" width="11" customWidth="1"/>
    <col min="13841" max="13841" width="12" bestFit="1" customWidth="1"/>
    <col min="13842" max="13842" width="2.5703125" customWidth="1"/>
    <col min="13843" max="13843" width="10.28515625" bestFit="1" customWidth="1"/>
    <col min="13844" max="13844" width="12.42578125" bestFit="1" customWidth="1"/>
    <col min="13845" max="13845" width="12.42578125" customWidth="1"/>
    <col min="13846" max="13846" width="12.28515625" bestFit="1" customWidth="1"/>
    <col min="14085" max="14087" width="10.28515625" bestFit="1" customWidth="1"/>
    <col min="14088" max="14088" width="11.42578125" bestFit="1" customWidth="1"/>
    <col min="14089" max="14089" width="3" customWidth="1"/>
    <col min="14091" max="14091" width="11" bestFit="1" customWidth="1"/>
    <col min="14093" max="14093" width="5" customWidth="1"/>
    <col min="14095" max="14095" width="11" bestFit="1" customWidth="1"/>
    <col min="14096" max="14096" width="11" customWidth="1"/>
    <col min="14097" max="14097" width="12" bestFit="1" customWidth="1"/>
    <col min="14098" max="14098" width="2.5703125" customWidth="1"/>
    <col min="14099" max="14099" width="10.28515625" bestFit="1" customWidth="1"/>
    <col min="14100" max="14100" width="12.42578125" bestFit="1" customWidth="1"/>
    <col min="14101" max="14101" width="12.42578125" customWidth="1"/>
    <col min="14102" max="14102" width="12.28515625" bestFit="1" customWidth="1"/>
    <col min="14341" max="14343" width="10.28515625" bestFit="1" customWidth="1"/>
    <col min="14344" max="14344" width="11.42578125" bestFit="1" customWidth="1"/>
    <col min="14345" max="14345" width="3" customWidth="1"/>
    <col min="14347" max="14347" width="11" bestFit="1" customWidth="1"/>
    <col min="14349" max="14349" width="5" customWidth="1"/>
    <col min="14351" max="14351" width="11" bestFit="1" customWidth="1"/>
    <col min="14352" max="14352" width="11" customWidth="1"/>
    <col min="14353" max="14353" width="12" bestFit="1" customWidth="1"/>
    <col min="14354" max="14354" width="2.5703125" customWidth="1"/>
    <col min="14355" max="14355" width="10.28515625" bestFit="1" customWidth="1"/>
    <col min="14356" max="14356" width="12.42578125" bestFit="1" customWidth="1"/>
    <col min="14357" max="14357" width="12.42578125" customWidth="1"/>
    <col min="14358" max="14358" width="12.28515625" bestFit="1" customWidth="1"/>
    <col min="14597" max="14599" width="10.28515625" bestFit="1" customWidth="1"/>
    <col min="14600" max="14600" width="11.42578125" bestFit="1" customWidth="1"/>
    <col min="14601" max="14601" width="3" customWidth="1"/>
    <col min="14603" max="14603" width="11" bestFit="1" customWidth="1"/>
    <col min="14605" max="14605" width="5" customWidth="1"/>
    <col min="14607" max="14607" width="11" bestFit="1" customWidth="1"/>
    <col min="14608" max="14608" width="11" customWidth="1"/>
    <col min="14609" max="14609" width="12" bestFit="1" customWidth="1"/>
    <col min="14610" max="14610" width="2.5703125" customWidth="1"/>
    <col min="14611" max="14611" width="10.28515625" bestFit="1" customWidth="1"/>
    <col min="14612" max="14612" width="12.42578125" bestFit="1" customWidth="1"/>
    <col min="14613" max="14613" width="12.42578125" customWidth="1"/>
    <col min="14614" max="14614" width="12.28515625" bestFit="1" customWidth="1"/>
    <col min="14853" max="14855" width="10.28515625" bestFit="1" customWidth="1"/>
    <col min="14856" max="14856" width="11.42578125" bestFit="1" customWidth="1"/>
    <col min="14857" max="14857" width="3" customWidth="1"/>
    <col min="14859" max="14859" width="11" bestFit="1" customWidth="1"/>
    <col min="14861" max="14861" width="5" customWidth="1"/>
    <col min="14863" max="14863" width="11" bestFit="1" customWidth="1"/>
    <col min="14864" max="14864" width="11" customWidth="1"/>
    <col min="14865" max="14865" width="12" bestFit="1" customWidth="1"/>
    <col min="14866" max="14866" width="2.5703125" customWidth="1"/>
    <col min="14867" max="14867" width="10.28515625" bestFit="1" customWidth="1"/>
    <col min="14868" max="14868" width="12.42578125" bestFit="1" customWidth="1"/>
    <col min="14869" max="14869" width="12.42578125" customWidth="1"/>
    <col min="14870" max="14870" width="12.28515625" bestFit="1" customWidth="1"/>
    <col min="15109" max="15111" width="10.28515625" bestFit="1" customWidth="1"/>
    <col min="15112" max="15112" width="11.42578125" bestFit="1" customWidth="1"/>
    <col min="15113" max="15113" width="3" customWidth="1"/>
    <col min="15115" max="15115" width="11" bestFit="1" customWidth="1"/>
    <col min="15117" max="15117" width="5" customWidth="1"/>
    <col min="15119" max="15119" width="11" bestFit="1" customWidth="1"/>
    <col min="15120" max="15120" width="11" customWidth="1"/>
    <col min="15121" max="15121" width="12" bestFit="1" customWidth="1"/>
    <col min="15122" max="15122" width="2.5703125" customWidth="1"/>
    <col min="15123" max="15123" width="10.28515625" bestFit="1" customWidth="1"/>
    <col min="15124" max="15124" width="12.42578125" bestFit="1" customWidth="1"/>
    <col min="15125" max="15125" width="12.42578125" customWidth="1"/>
    <col min="15126" max="15126" width="12.28515625" bestFit="1" customWidth="1"/>
    <col min="15365" max="15367" width="10.28515625" bestFit="1" customWidth="1"/>
    <col min="15368" max="15368" width="11.42578125" bestFit="1" customWidth="1"/>
    <col min="15369" max="15369" width="3" customWidth="1"/>
    <col min="15371" max="15371" width="11" bestFit="1" customWidth="1"/>
    <col min="15373" max="15373" width="5" customWidth="1"/>
    <col min="15375" max="15375" width="11" bestFit="1" customWidth="1"/>
    <col min="15376" max="15376" width="11" customWidth="1"/>
    <col min="15377" max="15377" width="12" bestFit="1" customWidth="1"/>
    <col min="15378" max="15378" width="2.5703125" customWidth="1"/>
    <col min="15379" max="15379" width="10.28515625" bestFit="1" customWidth="1"/>
    <col min="15380" max="15380" width="12.42578125" bestFit="1" customWidth="1"/>
    <col min="15381" max="15381" width="12.42578125" customWidth="1"/>
    <col min="15382" max="15382" width="12.28515625" bestFit="1" customWidth="1"/>
    <col min="15621" max="15623" width="10.28515625" bestFit="1" customWidth="1"/>
    <col min="15624" max="15624" width="11.42578125" bestFit="1" customWidth="1"/>
    <col min="15625" max="15625" width="3" customWidth="1"/>
    <col min="15627" max="15627" width="11" bestFit="1" customWidth="1"/>
    <col min="15629" max="15629" width="5" customWidth="1"/>
    <col min="15631" max="15631" width="11" bestFit="1" customWidth="1"/>
    <col min="15632" max="15632" width="11" customWidth="1"/>
    <col min="15633" max="15633" width="12" bestFit="1" customWidth="1"/>
    <col min="15634" max="15634" width="2.5703125" customWidth="1"/>
    <col min="15635" max="15635" width="10.28515625" bestFit="1" customWidth="1"/>
    <col min="15636" max="15636" width="12.42578125" bestFit="1" customWidth="1"/>
    <col min="15637" max="15637" width="12.42578125" customWidth="1"/>
    <col min="15638" max="15638" width="12.28515625" bestFit="1" customWidth="1"/>
    <col min="15877" max="15879" width="10.28515625" bestFit="1" customWidth="1"/>
    <col min="15880" max="15880" width="11.42578125" bestFit="1" customWidth="1"/>
    <col min="15881" max="15881" width="3" customWidth="1"/>
    <col min="15883" max="15883" width="11" bestFit="1" customWidth="1"/>
    <col min="15885" max="15885" width="5" customWidth="1"/>
    <col min="15887" max="15887" width="11" bestFit="1" customWidth="1"/>
    <col min="15888" max="15888" width="11" customWidth="1"/>
    <col min="15889" max="15889" width="12" bestFit="1" customWidth="1"/>
    <col min="15890" max="15890" width="2.5703125" customWidth="1"/>
    <col min="15891" max="15891" width="10.28515625" bestFit="1" customWidth="1"/>
    <col min="15892" max="15892" width="12.42578125" bestFit="1" customWidth="1"/>
    <col min="15893" max="15893" width="12.42578125" customWidth="1"/>
    <col min="15894" max="15894" width="12.28515625" bestFit="1" customWidth="1"/>
    <col min="16133" max="16135" width="10.28515625" bestFit="1" customWidth="1"/>
    <col min="16136" max="16136" width="11.42578125" bestFit="1" customWidth="1"/>
    <col min="16137" max="16137" width="3" customWidth="1"/>
    <col min="16139" max="16139" width="11" bestFit="1" customWidth="1"/>
    <col min="16141" max="16141" width="5" customWidth="1"/>
    <col min="16143" max="16143" width="11" bestFit="1" customWidth="1"/>
    <col min="16144" max="16144" width="11" customWidth="1"/>
    <col min="16145" max="16145" width="12" bestFit="1" customWidth="1"/>
    <col min="16146" max="16146" width="2.5703125" customWidth="1"/>
    <col min="16147" max="16147" width="10.28515625" bestFit="1" customWidth="1"/>
    <col min="16148" max="16148" width="12.42578125" bestFit="1" customWidth="1"/>
    <col min="16149" max="16149" width="12.42578125" customWidth="1"/>
    <col min="16150" max="16150" width="12.28515625" bestFit="1" customWidth="1"/>
  </cols>
  <sheetData>
    <row r="1" spans="1:10" ht="23.25">
      <c r="A1" s="425" t="s">
        <v>298</v>
      </c>
    </row>
    <row r="2" spans="1:10" ht="23.25">
      <c r="A2" s="425"/>
    </row>
    <row r="4" spans="1:10" ht="15">
      <c r="A4" s="325"/>
      <c r="C4" s="445"/>
      <c r="D4" s="446" t="s">
        <v>320</v>
      </c>
      <c r="E4" s="501"/>
      <c r="F4" s="446" t="s">
        <v>319</v>
      </c>
      <c r="H4" s="105"/>
    </row>
    <row r="5" spans="1:10" ht="15">
      <c r="A5" s="325"/>
      <c r="C5" s="447"/>
      <c r="D5" s="448" t="s">
        <v>282</v>
      </c>
      <c r="E5" s="501"/>
      <c r="F5" s="448" t="s">
        <v>282</v>
      </c>
      <c r="H5" s="501" t="s">
        <v>16</v>
      </c>
      <c r="I5" s="500" t="s">
        <v>81</v>
      </c>
      <c r="J5" s="105"/>
    </row>
    <row r="6" spans="1:10" ht="15.75">
      <c r="A6" s="449" t="s">
        <v>283</v>
      </c>
      <c r="C6" s="447"/>
      <c r="D6" s="448"/>
      <c r="E6" s="501"/>
      <c r="F6" s="501"/>
      <c r="H6" s="105"/>
    </row>
    <row r="7" spans="1:10" ht="14.25">
      <c r="A7" s="450" t="s">
        <v>284</v>
      </c>
      <c r="B7" s="451"/>
      <c r="E7" s="501"/>
      <c r="F7" s="501"/>
      <c r="H7" s="513"/>
      <c r="I7" s="475"/>
      <c r="J7" s="475"/>
    </row>
    <row r="8" spans="1:10" ht="14.25">
      <c r="A8" s="452"/>
      <c r="B8" s="325" t="s">
        <v>285</v>
      </c>
      <c r="C8" s="453"/>
      <c r="D8" s="453">
        <v>51854</v>
      </c>
      <c r="E8" s="501"/>
      <c r="F8" s="511">
        <f>+'2020-2021 Recy. Tons &amp; Revenue'!G98</f>
        <v>52126.989999999991</v>
      </c>
      <c r="H8" s="513"/>
      <c r="I8" s="475"/>
      <c r="J8" s="475"/>
    </row>
    <row r="9" spans="1:10" ht="14.25">
      <c r="A9" s="452"/>
      <c r="B9" s="325" t="s">
        <v>286</v>
      </c>
      <c r="C9" s="453"/>
      <c r="D9" s="453">
        <v>64650</v>
      </c>
      <c r="E9" s="501"/>
      <c r="F9" s="512">
        <f>+H9+I9</f>
        <v>63053</v>
      </c>
      <c r="H9" s="76">
        <f>2027+116+969+2999+40319</f>
        <v>46430</v>
      </c>
      <c r="I9" s="76">
        <f>16+2+16605</f>
        <v>16623</v>
      </c>
      <c r="J9" s="76"/>
    </row>
    <row r="10" spans="1:10" ht="16.5">
      <c r="A10" s="452"/>
      <c r="B10" s="325" t="s">
        <v>287</v>
      </c>
      <c r="C10" s="455"/>
      <c r="D10" s="117">
        <v>116536</v>
      </c>
      <c r="E10" s="501"/>
      <c r="F10" s="516">
        <f>+H10+I10</f>
        <v>114614</v>
      </c>
      <c r="H10" s="76">
        <f>64807+3972+1776+139+2031</f>
        <v>72725</v>
      </c>
      <c r="I10" s="76">
        <f>41+3+41845</f>
        <v>41889</v>
      </c>
      <c r="J10" s="76"/>
    </row>
    <row r="11" spans="1:10" ht="15">
      <c r="A11" s="456"/>
      <c r="B11" s="457" t="s">
        <v>288</v>
      </c>
      <c r="C11" s="458"/>
      <c r="D11" s="459">
        <f>SUM(D8:D10)</f>
        <v>233040</v>
      </c>
      <c r="E11" s="501"/>
      <c r="F11" s="459">
        <f>SUM(F8:F10)</f>
        <v>229793.99</v>
      </c>
      <c r="H11" s="513"/>
      <c r="I11" s="475"/>
      <c r="J11" s="475"/>
    </row>
    <row r="12" spans="1:10" ht="14.25">
      <c r="A12" s="450" t="s">
        <v>289</v>
      </c>
      <c r="B12" s="451"/>
      <c r="E12" s="501"/>
      <c r="F12" s="501"/>
      <c r="H12" s="513"/>
      <c r="I12" s="475"/>
      <c r="J12" s="475"/>
    </row>
    <row r="13" spans="1:10" ht="14.25">
      <c r="A13" s="452"/>
      <c r="B13" s="325" t="s">
        <v>290</v>
      </c>
      <c r="D13" s="453">
        <v>6170</v>
      </c>
      <c r="E13" s="501"/>
      <c r="F13" s="512">
        <f>+'2020-2021 Recy. Tons &amp; Revenue'!G129</f>
        <v>6238.5199999999986</v>
      </c>
      <c r="G13" s="453"/>
      <c r="H13" s="513"/>
      <c r="I13" s="475"/>
      <c r="J13" s="475"/>
    </row>
    <row r="14" spans="1:10" ht="14.25">
      <c r="A14" s="452"/>
      <c r="B14" s="325" t="s">
        <v>291</v>
      </c>
      <c r="D14" s="453">
        <v>51</v>
      </c>
      <c r="E14" s="501"/>
      <c r="F14" s="512">
        <f>+H14+I14</f>
        <v>48</v>
      </c>
      <c r="H14" s="76">
        <f>4+5+36</f>
        <v>45</v>
      </c>
      <c r="I14" s="76">
        <v>3</v>
      </c>
      <c r="J14" s="475"/>
    </row>
    <row r="15" spans="1:10" ht="16.5">
      <c r="A15" s="452"/>
      <c r="B15" s="325" t="s">
        <v>292</v>
      </c>
      <c r="C15" s="462"/>
      <c r="D15" s="117">
        <v>32258</v>
      </c>
      <c r="E15" s="501"/>
      <c r="F15" s="516">
        <f>+H15+I15</f>
        <v>31116</v>
      </c>
      <c r="H15" s="76">
        <f>3+197+4738+5417+19968</f>
        <v>30323</v>
      </c>
      <c r="I15" s="76">
        <f>23+770</f>
        <v>793</v>
      </c>
      <c r="J15" s="475"/>
    </row>
    <row r="16" spans="1:10" ht="15">
      <c r="A16" s="456"/>
      <c r="B16" s="451" t="s">
        <v>293</v>
      </c>
      <c r="C16" s="463"/>
      <c r="D16" s="459">
        <f>SUM(D13:D15)</f>
        <v>38479</v>
      </c>
      <c r="E16" s="459"/>
      <c r="F16" s="459">
        <f t="shared" ref="F16" si="0">SUM(F13:F15)</f>
        <v>37402.519999999997</v>
      </c>
      <c r="H16" s="70"/>
      <c r="I16" s="475"/>
      <c r="J16" s="475"/>
    </row>
    <row r="17" spans="1:19" ht="15">
      <c r="A17" s="465" t="s">
        <v>294</v>
      </c>
      <c r="B17" s="466"/>
      <c r="C17" s="467"/>
      <c r="D17" s="468">
        <f>+D16+D11</f>
        <v>271519</v>
      </c>
      <c r="E17" s="468"/>
      <c r="F17" s="468">
        <f t="shared" ref="F17" si="1">+F16+F11</f>
        <v>267196.51</v>
      </c>
      <c r="H17" s="513"/>
      <c r="I17" s="475"/>
      <c r="J17" s="475"/>
    </row>
    <row r="18" spans="1:19" ht="15">
      <c r="A18" s="465"/>
      <c r="B18" s="466"/>
      <c r="C18" s="458"/>
      <c r="D18" s="469"/>
      <c r="E18" s="501"/>
      <c r="F18" s="501"/>
      <c r="H18" s="513"/>
      <c r="I18" s="475"/>
      <c r="J18" s="475"/>
    </row>
    <row r="19" spans="1:19" ht="15">
      <c r="A19" s="470"/>
      <c r="B19" s="95" t="s">
        <v>295</v>
      </c>
      <c r="C19" s="467"/>
      <c r="D19" s="468">
        <f>+D8+D9+D13+D14</f>
        <v>122725</v>
      </c>
      <c r="E19" s="501"/>
      <c r="F19" s="468">
        <f>+F8+F9+F13+F14</f>
        <v>121466.51</v>
      </c>
      <c r="H19" s="513"/>
      <c r="I19" s="475"/>
      <c r="J19" s="475"/>
    </row>
    <row r="20" spans="1:19" ht="15">
      <c r="A20" s="470"/>
      <c r="B20" s="95" t="s">
        <v>296</v>
      </c>
      <c r="C20" s="471"/>
      <c r="D20" s="472">
        <f>+D19/D17</f>
        <v>0.45199415142218408</v>
      </c>
      <c r="E20" s="501"/>
      <c r="F20" s="472">
        <f>+F19/F17</f>
        <v>0.45459616968799477</v>
      </c>
      <c r="H20" s="513"/>
      <c r="I20" s="475"/>
      <c r="J20" s="475"/>
    </row>
    <row r="23" spans="1:19">
      <c r="S23" s="330"/>
    </row>
    <row r="24" spans="1:19" ht="15.75">
      <c r="B24" s="449"/>
      <c r="F24" s="454"/>
      <c r="G24" s="454"/>
      <c r="I24" s="70"/>
      <c r="J24" s="475"/>
      <c r="K24" s="475"/>
      <c r="L24" s="475"/>
      <c r="S24" s="330"/>
    </row>
    <row r="25" spans="1:19" ht="15.75">
      <c r="A25" s="474" t="s">
        <v>299</v>
      </c>
      <c r="F25" s="589"/>
      <c r="G25" s="589"/>
      <c r="H25" s="589"/>
      <c r="I25" s="475"/>
      <c r="J25" s="590"/>
      <c r="K25" s="590"/>
      <c r="L25" s="590"/>
      <c r="S25" s="330"/>
    </row>
    <row r="26" spans="1:19">
      <c r="A26" s="325"/>
      <c r="E26" s="178" t="s">
        <v>317</v>
      </c>
      <c r="F26" s="178" t="s">
        <v>297</v>
      </c>
      <c r="G26" s="188"/>
      <c r="H26" s="475"/>
      <c r="I26" s="514"/>
      <c r="J26" s="514"/>
      <c r="K26" s="70"/>
      <c r="L26" s="70"/>
      <c r="S26" s="330"/>
    </row>
    <row r="27" spans="1:19">
      <c r="A27" s="325"/>
      <c r="E27" s="501" t="s">
        <v>96</v>
      </c>
      <c r="F27" s="501" t="s">
        <v>96</v>
      </c>
      <c r="G27" s="500" t="s">
        <v>80</v>
      </c>
      <c r="H27" s="475"/>
      <c r="I27" s="501" t="s">
        <v>16</v>
      </c>
      <c r="J27" s="500" t="s">
        <v>81</v>
      </c>
      <c r="K27" s="515"/>
      <c r="L27" s="515"/>
      <c r="S27" s="330"/>
    </row>
    <row r="28" spans="1:19">
      <c r="A28" s="325"/>
      <c r="B28" s="325" t="s">
        <v>315</v>
      </c>
      <c r="E28" s="330">
        <f>+'Customer Counts - Enspire'!G6+'Customer Counts - Enspire'!H6</f>
        <v>101778</v>
      </c>
      <c r="F28" s="330">
        <f>+I28+J28</f>
        <v>45506</v>
      </c>
      <c r="G28" s="453">
        <f>+F28+E28</f>
        <v>147284</v>
      </c>
      <c r="H28" s="475"/>
      <c r="I28" s="76">
        <f>1499+79+748+2287+30138</f>
        <v>34751</v>
      </c>
      <c r="J28" s="76">
        <f>11+1+10743</f>
        <v>10755</v>
      </c>
      <c r="K28" s="76"/>
      <c r="L28" s="76"/>
      <c r="S28" s="330"/>
    </row>
    <row r="29" spans="1:19">
      <c r="A29" s="325"/>
      <c r="E29" s="330"/>
      <c r="F29" s="330"/>
      <c r="G29" s="453">
        <f t="shared" ref="G29:G30" si="2">+F29+E29</f>
        <v>0</v>
      </c>
      <c r="H29" s="475"/>
      <c r="I29" s="76"/>
      <c r="J29" s="76"/>
      <c r="K29" s="76"/>
      <c r="L29" s="76"/>
      <c r="S29" s="330"/>
    </row>
    <row r="30" spans="1:19">
      <c r="A30" s="325"/>
      <c r="B30" s="325" t="s">
        <v>316</v>
      </c>
      <c r="E30" s="330">
        <f>+'Customer Counts - Enspire'!G29+'Customer Counts - Enspire'!H29</f>
        <v>99121</v>
      </c>
      <c r="F30" s="330">
        <f>+I30+J30</f>
        <v>50183</v>
      </c>
      <c r="G30" s="453">
        <f t="shared" si="2"/>
        <v>149304</v>
      </c>
      <c r="H30" s="475"/>
      <c r="I30" s="76">
        <f>1538+102+834+2526+32723</f>
        <v>37723</v>
      </c>
      <c r="J30" s="76">
        <f>12443+1+16</f>
        <v>12460</v>
      </c>
      <c r="K30" s="76"/>
      <c r="L30" s="76"/>
      <c r="S30" s="330"/>
    </row>
    <row r="31" spans="1:19">
      <c r="A31" s="325"/>
      <c r="H31" s="475"/>
      <c r="I31" s="475"/>
      <c r="J31" s="475"/>
      <c r="K31" s="475"/>
      <c r="L31" s="475"/>
      <c r="S31" s="330"/>
    </row>
    <row r="32" spans="1:19">
      <c r="B32" s="1" t="s">
        <v>318</v>
      </c>
      <c r="C32" s="1"/>
      <c r="D32" s="1"/>
      <c r="E32" s="509">
        <f>+E30/E28-1</f>
        <v>-2.6105838196859854E-2</v>
      </c>
      <c r="F32" s="509">
        <f>+F30/F28-1</f>
        <v>0.10277765569375474</v>
      </c>
      <c r="G32" s="509">
        <f>+G30/G28-1</f>
        <v>1.3714999592623789E-2</v>
      </c>
      <c r="H32" s="475"/>
      <c r="I32" s="475"/>
      <c r="J32" s="475"/>
      <c r="K32" s="475"/>
      <c r="L32" s="475"/>
      <c r="S32" s="330"/>
    </row>
    <row r="33" spans="1:12" ht="15">
      <c r="B33" s="1"/>
      <c r="E33" s="90"/>
      <c r="F33" s="90"/>
      <c r="K33" s="90"/>
    </row>
    <row r="35" spans="1:12" ht="15.75">
      <c r="A35" s="505" t="s">
        <v>310</v>
      </c>
    </row>
    <row r="36" spans="1:12" ht="15.75">
      <c r="A36" s="505"/>
    </row>
    <row r="37" spans="1:12" ht="86.25" customHeight="1">
      <c r="A37" s="591" t="s">
        <v>321</v>
      </c>
      <c r="B37" s="588"/>
      <c r="C37" s="588"/>
      <c r="D37" s="588"/>
      <c r="E37" s="588"/>
      <c r="F37" s="588"/>
      <c r="G37" s="588"/>
      <c r="H37" s="588"/>
      <c r="I37" s="588"/>
      <c r="J37" s="588"/>
      <c r="K37" s="588"/>
      <c r="L37" s="588"/>
    </row>
    <row r="38" spans="1:12" ht="15.75">
      <c r="A38" s="506"/>
    </row>
    <row r="39" spans="1:12" ht="52.5" customHeight="1">
      <c r="A39" s="591" t="s">
        <v>322</v>
      </c>
      <c r="B39" s="588"/>
      <c r="C39" s="588"/>
      <c r="D39" s="588"/>
      <c r="E39" s="588"/>
      <c r="F39" s="588"/>
      <c r="G39" s="588"/>
      <c r="H39" s="588"/>
      <c r="I39" s="588"/>
      <c r="J39" s="588"/>
      <c r="K39" s="588"/>
      <c r="L39" s="588"/>
    </row>
    <row r="40" spans="1:12" ht="15.75">
      <c r="A40" s="506"/>
    </row>
    <row r="41" spans="1:12" ht="15.75">
      <c r="A41" s="506" t="s">
        <v>311</v>
      </c>
    </row>
    <row r="42" spans="1:12" ht="15.75">
      <c r="A42" s="506"/>
    </row>
    <row r="43" spans="1:12" ht="97.5" customHeight="1">
      <c r="A43" s="592" t="s">
        <v>324</v>
      </c>
      <c r="B43" s="593"/>
      <c r="C43" s="593"/>
      <c r="D43" s="593"/>
      <c r="E43" s="593"/>
      <c r="F43" s="593"/>
      <c r="G43" s="593"/>
      <c r="H43" s="593"/>
      <c r="I43" s="593"/>
      <c r="J43" s="593"/>
      <c r="K43" s="593"/>
      <c r="L43" s="593"/>
    </row>
    <row r="44" spans="1:12" ht="51.75" customHeight="1">
      <c r="A44" s="587" t="s">
        <v>323</v>
      </c>
      <c r="B44" s="588"/>
      <c r="C44" s="588"/>
      <c r="D44" s="588"/>
      <c r="E44" s="588"/>
      <c r="F44" s="588"/>
      <c r="G44" s="588"/>
      <c r="H44" s="588"/>
      <c r="I44" s="588"/>
      <c r="J44" s="588"/>
      <c r="K44" s="588"/>
      <c r="L44" s="588"/>
    </row>
    <row r="45" spans="1:12" ht="15.75">
      <c r="A45" s="507"/>
    </row>
    <row r="46" spans="1:12" ht="87" customHeight="1">
      <c r="A46" s="587" t="s">
        <v>325</v>
      </c>
      <c r="B46" s="588"/>
      <c r="C46" s="588"/>
      <c r="D46" s="588"/>
      <c r="E46" s="588"/>
      <c r="F46" s="588"/>
      <c r="G46" s="588"/>
      <c r="H46" s="588"/>
      <c r="I46" s="588"/>
      <c r="J46" s="588"/>
      <c r="K46" s="588"/>
      <c r="L46" s="588"/>
    </row>
    <row r="48" spans="1:12" ht="66" customHeight="1">
      <c r="A48" s="587" t="s">
        <v>314</v>
      </c>
      <c r="B48" s="588"/>
      <c r="C48" s="588"/>
      <c r="D48" s="588"/>
      <c r="E48" s="588"/>
      <c r="F48" s="588"/>
      <c r="G48" s="588"/>
      <c r="H48" s="588"/>
      <c r="I48" s="588"/>
      <c r="J48" s="588"/>
      <c r="K48" s="588"/>
      <c r="L48" s="588"/>
    </row>
  </sheetData>
  <mergeCells count="8">
    <mergeCell ref="A44:L44"/>
    <mergeCell ref="A46:L46"/>
    <mergeCell ref="A48:L48"/>
    <mergeCell ref="F25:H25"/>
    <mergeCell ref="J25:L25"/>
    <mergeCell ref="A37:L37"/>
    <mergeCell ref="A39:L39"/>
    <mergeCell ref="A43:L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2021-11-15T08:00:00+00:00</OpenedDate>
    <SignificantOrder xmlns="dc463f71-b30c-4ab2-9473-d307f9d35888">false</SignificantOrder>
    <Date1 xmlns="dc463f71-b30c-4ab2-9473-d307f9d35888">2021-11-15T08:00:00+00:00</Date1>
    <IsDocumentOrder xmlns="dc463f71-b30c-4ab2-9473-d307f9d35888">false</IsDocumentOrder>
    <IsHighlyConfidential xmlns="dc463f71-b30c-4ab2-9473-d307f9d35888">false</IsHighlyConfidential>
    <CaseCompanyNames xmlns="dc463f71-b30c-4ab2-9473-d307f9d35888">Waste Management of Washington, Inc.</CaseCompanyNames>
    <Nickname xmlns="http://schemas.microsoft.com/sharepoint/v3" xsi:nil="true"/>
    <DocketNumber xmlns="dc463f71-b30c-4ab2-9473-d307f9d35888">210884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BD357C362C1004897139251C36D5D3B" ma:contentTypeVersion="44" ma:contentTypeDescription="" ma:contentTypeScope="" ma:versionID="ab0a9ed496d4daa09a20f053b06606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BD5CA4B-9387-4BA4-91FE-53A077495810}"/>
</file>

<file path=customXml/itemProps2.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3.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5FE7EB91-1352-4B6E-8D70-A2E889C261F8}"/>
</file>

<file path=customXml/itemProps5.xml><?xml version="1.0" encoding="utf-8"?>
<ds:datastoreItem xmlns:ds="http://schemas.openxmlformats.org/officeDocument/2006/customXml" ds:itemID="{C50088DE-79D3-495C-AC91-4F0C9E16397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Rebate (Charge) Analysis</vt:lpstr>
      <vt:lpstr>Rate Sheet Summary</vt:lpstr>
      <vt:lpstr>Rebate (charge) Calculation</vt:lpstr>
      <vt:lpstr>2020-2021 Recy. Tons &amp; Revenue</vt:lpstr>
      <vt:lpstr>KC Tonnage - Enspire</vt:lpstr>
      <vt:lpstr>SC Tonnage - Enspire</vt:lpstr>
      <vt:lpstr>Customer Counts - Enspire</vt:lpstr>
      <vt:lpstr>Prices - Recy. Acct. Analysis</vt:lpstr>
      <vt:lpstr>Composition-Rec. Acct. Analysis</vt:lpstr>
      <vt:lpstr>SC 2022-2023 Budget</vt:lpstr>
      <vt:lpstr>KC 2022-2023 Budget</vt:lpstr>
      <vt:lpstr>Labor Costs built into rates</vt:lpstr>
      <vt:lpstr>KC 2020-2021 Budget vs. Actual</vt:lpstr>
      <vt:lpstr>SC 2020-2021 Budget vs. Actual</vt:lpstr>
      <vt:lpstr>KC Incentive Analysis</vt:lpstr>
      <vt:lpstr>SC Incentive Analysis</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Weinstein, Mike</cp:lastModifiedBy>
  <cp:lastPrinted>2019-12-13T16:30:59Z</cp:lastPrinted>
  <dcterms:created xsi:type="dcterms:W3CDTF">2003-10-21T02:01:02Z</dcterms:created>
  <dcterms:modified xsi:type="dcterms:W3CDTF">2021-11-15T17:49:03Z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0x0101006E56B4D1795A2E4DB2F0B01679ED314A008BD357C362C1004897139251C36D5D3B</vt:lpwstr>
  </property>
  <property fmtid="{D5CDD505-2E9C-101B-9397-08002B2CF9AE}" pid="8" name="_docset_NoMedatataSyncRequired">
    <vt:lpwstr>False</vt:lpwstr>
  </property>
  <property fmtid="{D5CDD505-2E9C-101B-9397-08002B2CF9AE}" pid="9" name="IsEFSEC">
    <vt:bool>false</vt:bool>
  </property>
</Properties>
</file>