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st-file01\DistShare$\2000 Western Region Office\WUTC\WUTC-Empire 2120\Dump Fee\Spokane 1-1-2022\"/>
    </mc:Choice>
  </mc:AlternateContent>
  <bookViews>
    <workbookView xWindow="13875" yWindow="660" windowWidth="14925" windowHeight="11850" tabRatio="771" activeTab="4"/>
  </bookViews>
  <sheets>
    <sheet name="References" sheetId="2" r:id="rId1"/>
    <sheet name="Spokane DF Calc" sheetId="3" r:id="rId2"/>
    <sheet name="Proposed Rates" sheetId="4" r:id="rId3"/>
    <sheet name="Disposal Schedule" sheetId="6" r:id="rId4"/>
    <sheet name="Spokane Reg - Price out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4" hidden="1">#REF!</definedName>
    <definedName name="_132Graph_h" hidden="1">#REF!</definedName>
    <definedName name="_ACT1" localSheetId="3">[4]Hidden!#REF!</definedName>
    <definedName name="_ACT1" localSheetId="4">[4]Hidden!#REF!</definedName>
    <definedName name="_ACT1">[5]Hidden!#REF!</definedName>
    <definedName name="_ACT2" localSheetId="3">[4]Hidden!#REF!</definedName>
    <definedName name="_ACT2" localSheetId="4">[4]Hidden!#REF!</definedName>
    <definedName name="_ACT2">[5]Hidden!#REF!</definedName>
    <definedName name="_ACT3" localSheetId="3">[4]Hidden!#REF!</definedName>
    <definedName name="_ACT3" localSheetId="4">[4]Hidden!#REF!</definedName>
    <definedName name="_ACT3">[5]Hidden!#REF!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4" hidden="1">#REF!</definedName>
    <definedName name="_Fill" hidden="1">#REF!</definedName>
    <definedName name="_xlnm._FilterDatabase" localSheetId="1" hidden="1">'Spokane DF Calc'!$A$1:$T$49</definedName>
    <definedName name="_Key1" localSheetId="4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4" hidden="1">#REF!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4" hidden="1">#REF!</definedName>
    <definedName name="_Sort" hidden="1">#REF!</definedName>
    <definedName name="_Sort1" hidden="1">'[2]#REF'!$A$10:$Z$281</definedName>
    <definedName name="_sort3" hidden="1">[3]XXXXXX!$G$10:$J$11</definedName>
    <definedName name="ACCT" localSheetId="3">[4]Hidden!#REF!</definedName>
    <definedName name="ACCT" localSheetId="4">[1]Hidden!$D$11</definedName>
    <definedName name="ACCT">[5]Hidden!#REF!</definedName>
    <definedName name="ACCT.ConsolSum">[1]Hidden!$Q$11</definedName>
    <definedName name="ACT_CUR" localSheetId="3">[4]Hidden!#REF!</definedName>
    <definedName name="ACT_CUR" localSheetId="4">[4]Hidden!#REF!</definedName>
    <definedName name="ACT_CUR">[5]Hidden!#REF!</definedName>
    <definedName name="ACT_YTD" localSheetId="3">[4]Hidden!#REF!</definedName>
    <definedName name="ACT_YTD" localSheetId="4">[4]Hidden!#REF!</definedName>
    <definedName name="ACT_YTD">[5]Hidden!#REF!</definedName>
    <definedName name="AmountCount" localSheetId="3">#REF!</definedName>
    <definedName name="AmountCount" localSheetId="4">#REF!</definedName>
    <definedName name="AmountCount">#REF!</definedName>
    <definedName name="AmountCount1">#REF!</definedName>
    <definedName name="AmountTotal">#REF!</definedName>
    <definedName name="AmountTotal1">#REF!</definedName>
    <definedName name="BookRev" localSheetId="3">'[6]Pacific Regulated - Price Out'!$F$50</definedName>
    <definedName name="BookRev" localSheetId="4">'[6]Pacific Regulated - Price Out'!$F$50</definedName>
    <definedName name="BookRev">'[7]Pacific Regulated - Price Out'!$F$50</definedName>
    <definedName name="BookRev_com" localSheetId="3">'[6]Pacific Regulated - Price Out'!$F$214</definedName>
    <definedName name="BookRev_com" localSheetId="4">'[6]Pacific Regulated - Price Out'!$F$214</definedName>
    <definedName name="BookRev_com">'[7]Pacific Regulated - Price Out'!$F$214</definedName>
    <definedName name="BookRev_mfr" localSheetId="3">'[6]Pacific Regulated - Price Out'!$F$222</definedName>
    <definedName name="BookRev_mfr" localSheetId="4">'[6]Pacific Regulated - Price Out'!$F$222</definedName>
    <definedName name="BookRev_mfr">'[7]Pacific Regulated - Price Out'!$F$222</definedName>
    <definedName name="BookRev_ro" localSheetId="3">'[6]Pacific Regulated - Price Out'!$F$282</definedName>
    <definedName name="BookRev_ro" localSheetId="4">'[6]Pacific Regulated - Price Out'!$F$282</definedName>
    <definedName name="BookRev_ro">'[7]Pacific Regulated - Price Out'!$F$282</definedName>
    <definedName name="BookRev_rr" localSheetId="3">'[6]Pacific Regulated - Price Out'!$F$59</definedName>
    <definedName name="BookRev_rr" localSheetId="4">'[6]Pacific Regulated - Price Out'!$F$59</definedName>
    <definedName name="BookRev_rr">'[7]Pacific Regulated - Price Out'!$F$59</definedName>
    <definedName name="BookRev_yw" localSheetId="3">'[6]Pacific Regulated - Price Out'!$F$70</definedName>
    <definedName name="BookRev_yw" localSheetId="4">'[6]Pacific Regulated - Price Out'!$F$70</definedName>
    <definedName name="BookRev_yw">'[7]Pacific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>#REF!</definedName>
    <definedName name="BUD_CUR" localSheetId="3">[4]Hidden!#REF!</definedName>
    <definedName name="BUD_CUR" localSheetId="4">[4]Hidden!#REF!</definedName>
    <definedName name="BUD_CUR">[5]Hidden!#REF!</definedName>
    <definedName name="BUD_YTD" localSheetId="3">[4]Hidden!#REF!</definedName>
    <definedName name="BUD_YTD" localSheetId="4">[4]Hidden!#REF!</definedName>
    <definedName name="BUD_YTD">[5]Hidden!#REF!</definedName>
    <definedName name="CalRecyTons" localSheetId="3">'[8]Recycl Tons, Commodity Value'!$L$23</definedName>
    <definedName name="CalRecyTons" localSheetId="4">'[8]Recycl Tons, Commodity Value'!$L$23</definedName>
    <definedName name="CalRecyTons">'[9]Recycl Tons, Commodity Value'!$L$23</definedName>
    <definedName name="CheckTotals" localSheetId="3">#REF!</definedName>
    <definedName name="CheckTotals" localSheetId="4">#REF!</definedName>
    <definedName name="CheckTotals">#REF!</definedName>
    <definedName name="colgroup">[1]Orientation!$G$6</definedName>
    <definedName name="colsegment">[1]Orientation!$F$6</definedName>
    <definedName name="CommlStaffPriceOut">'[10]Price Out-Reg EASTSIDE-Resi'!#REF!</definedName>
    <definedName name="CRCTable" localSheetId="3">#REF!</definedName>
    <definedName name="CRCTable" localSheetId="4">#REF!</definedName>
    <definedName name="CRCTable">#REF!</definedName>
    <definedName name="CRCTableOLD">#REF!</definedName>
    <definedName name="CriteriaType">[11]ControlPanel!$Z$2:$Z$5</definedName>
    <definedName name="CurrentMonth">'[12]38000 Other Rev'!$H$8</definedName>
    <definedName name="Cutomers" localSheetId="3">#REF!</definedName>
    <definedName name="Cutomers" localSheetId="4">#REF!</definedName>
    <definedName name="Cutomers">#REF!</definedName>
    <definedName name="_xlnm.Database">#REF!</definedName>
    <definedName name="Database1">#REF!</definedName>
    <definedName name="DateFrom">'[12]38000 Other Rev'!$G$12</definedName>
    <definedName name="DateTo">'[12]38000 Other Rev'!$G$13</definedName>
    <definedName name="DBxStaffPriceOut">'[10]Price Out-Reg EASTSIDE-Resi'!#REF!</definedName>
    <definedName name="DEPT" localSheetId="3">[4]Hidden!#REF!</definedName>
    <definedName name="DEPT" localSheetId="4">[4]Hidden!#REF!</definedName>
    <definedName name="DEPT">[5]Hidden!#REF!</definedName>
    <definedName name="Dist">[13]Data!$E$3</definedName>
    <definedName name="District" localSheetId="3">'[14]Vashon BS'!#REF!</definedName>
    <definedName name="District" localSheetId="4">#REF!</definedName>
    <definedName name="District">'[15]Vashon BS'!#REF!</definedName>
    <definedName name="DistrictNum" localSheetId="3">#REF!</definedName>
    <definedName name="DistrictNum" localSheetId="4">#REF!</definedName>
    <definedName name="DistrictNum">#REF!</definedName>
    <definedName name="dOG" localSheetId="3">#REF!</definedName>
    <definedName name="dOG">#REF!</definedName>
    <definedName name="drlFilter">[1]Settings!$D$27</definedName>
    <definedName name="End" localSheetId="3">#REF!</definedName>
    <definedName name="End" localSheetId="4">#REF!</definedName>
    <definedName name="End">'[16]IS-2120'!#REF!</definedName>
    <definedName name="EntrieShownLimit">'[12]38000 Other Rev'!$D$6</definedName>
    <definedName name="ExcludeIC" localSheetId="3">'[12]2025 BS'!#REF!</definedName>
    <definedName name="ExcludeIC" localSheetId="4">#REF!</definedName>
    <definedName name="ExcludeIC">'[15]Vashon BS'!#REF!</definedName>
    <definedName name="EXT">#REF!</definedName>
    <definedName name="FBTable" localSheetId="3">#REF!</definedName>
    <definedName name="FBTable" localSheetId="4">#REF!</definedName>
    <definedName name="FBTable">#REF!</definedName>
    <definedName name="FBTableOld">#REF!</definedName>
    <definedName name="filter">[1]Settings!$B$14:$H$25</definedName>
    <definedName name="FundsApprPend" localSheetId="4">[13]Data!#REF!</definedName>
    <definedName name="FundsApprPend">[13]Data!#REF!</definedName>
    <definedName name="FundsBudUnbud" localSheetId="4">[13]Data!#REF!</definedName>
    <definedName name="FundsBudUnbud">[13]Data!#REF!</definedName>
    <definedName name="GLMappingStart" localSheetId="3">#REF!</definedName>
    <definedName name="GLMappingStart" localSheetId="4">#REF!</definedName>
    <definedName name="GLMappingStart">#REF!</definedName>
    <definedName name="GLMappingStart1">#REF!</definedName>
    <definedName name="Import_Range" localSheetId="4">[13]Data!#REF!</definedName>
    <definedName name="Import_Range">[13]Data!#REF!</definedName>
    <definedName name="IncomeStmnt" localSheetId="4">#REF!</definedName>
    <definedName name="IncomeStmnt">#REF!</definedName>
    <definedName name="INPUT" localSheetId="3">#REF!</definedName>
    <definedName name="INPUT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4">[13]Invoice_Drill!#REF!</definedName>
    <definedName name="Invoice_Start">[13]Invoice_Drill!#REF!</definedName>
    <definedName name="JEDetail" localSheetId="4">#REF!</definedName>
    <definedName name="JEDetail">#REF!</definedName>
    <definedName name="JEDetail1">#REF!</definedName>
    <definedName name="JEType">#REF!</definedName>
    <definedName name="JEType1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 localSheetId="3">#REF!</definedName>
    <definedName name="master_def" localSheetId="4">#REF!</definedName>
    <definedName name="master_def">'[16]IS-2120'!#REF!</definedName>
    <definedName name="MATRIX">#REF!</definedName>
    <definedName name="MemoAttachment" localSheetId="3">#REF!</definedName>
    <definedName name="MemoAttachment" localSheetId="4">#REF!</definedName>
    <definedName name="MemoAttachment">#REF!</definedName>
    <definedName name="MetaSet">[1]Orientation!$C$22</definedName>
    <definedName name="MFStaffPriceOut">'[10]Price Out-Reg EASTSIDE-Resi'!#REF!</definedName>
    <definedName name="MonthList">'[13]Lookup Tables'!$A$1:$A$13</definedName>
    <definedName name="NewOnlyOrg">#N/A</definedName>
    <definedName name="nn">#REF!</definedName>
    <definedName name="NOTES" localSheetId="3">#REF!</definedName>
    <definedName name="NOTES" localSheetId="4">#REF!</definedName>
    <definedName name="NOTES">#REF!</definedName>
    <definedName name="NR">#REF!</definedName>
    <definedName name="OfficerSalary">#N/A</definedName>
    <definedName name="OffsetAcctBil">[17]JEexport!$L$10</definedName>
    <definedName name="OffsetAcctPmt">[17]JEexport!$L$9</definedName>
    <definedName name="Org11_13">#N/A</definedName>
    <definedName name="Org7_10">#N/A</definedName>
    <definedName name="p" localSheetId="3">#REF!</definedName>
    <definedName name="p" localSheetId="4">#REF!</definedName>
    <definedName name="p">#REF!</definedName>
    <definedName name="PAGE_1">#REF!</definedName>
    <definedName name="Page16">#REF!</definedName>
    <definedName name="Page17">#REF!</definedName>
    <definedName name="Page18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2">'Proposed Rates'!$A$1:$E$97</definedName>
    <definedName name="_xlnm.Print_Area" localSheetId="1">'Spokane DF Calc'!$A$1:$T$75</definedName>
    <definedName name="_xlnm.Print_Area" localSheetId="4">'Spokane Reg - Price out'!$A$1:$S$113</definedName>
    <definedName name="_xlnm.Print_Area">#REF!</definedName>
    <definedName name="Print_Area_MI" localSheetId="3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2">'Proposed Rates'!$1:$5</definedName>
    <definedName name="_xlnm.Print_Titles" localSheetId="1">'Spokane DF Calc'!$1:$5</definedName>
    <definedName name="_xlnm.Print_Titles" localSheetId="4">'Spokane Reg - Price out'!$1:$6</definedName>
    <definedName name="Print1" localSheetId="3">#REF!</definedName>
    <definedName name="Print1" localSheetId="4">#REF!</definedName>
    <definedName name="Print1">#REF!</definedName>
    <definedName name="Print2">#REF!</definedName>
    <definedName name="Print5">#REF!</definedName>
    <definedName name="ProRev" localSheetId="3">'[6]Pacific Regulated - Price Out'!$M$49</definedName>
    <definedName name="ProRev" localSheetId="4">'[6]Pacific Regulated - Price Out'!$M$49</definedName>
    <definedName name="ProRev">'[7]Pacific Regulated - Price Out'!$M$49</definedName>
    <definedName name="ProRev_com" localSheetId="3">'[6]Pacific Regulated - Price Out'!$M$213</definedName>
    <definedName name="ProRev_com" localSheetId="4">'[6]Pacific Regulated - Price Out'!$M$213</definedName>
    <definedName name="ProRev_com">'[7]Pacific Regulated - Price Out'!$M$213</definedName>
    <definedName name="ProRev_mfr" localSheetId="3">'[6]Pacific Regulated - Price Out'!$M$221</definedName>
    <definedName name="ProRev_mfr" localSheetId="4">'[6]Pacific Regulated - Price Out'!$M$221</definedName>
    <definedName name="ProRev_mfr">'[7]Pacific Regulated - Price Out'!$M$221</definedName>
    <definedName name="ProRev_ro" localSheetId="3">'[6]Pacific Regulated - Price Out'!$M$281</definedName>
    <definedName name="ProRev_ro" localSheetId="4">'[6]Pacific Regulated - Price Out'!$M$281</definedName>
    <definedName name="ProRev_ro">'[7]Pacific Regulated - Price Out'!$M$281</definedName>
    <definedName name="ProRev_rr" localSheetId="3">'[6]Pacific Regulated - Price Out'!$M$58</definedName>
    <definedName name="ProRev_rr" localSheetId="4">'[6]Pacific Regulated - Price Out'!$M$58</definedName>
    <definedName name="ProRev_rr">'[7]Pacific Regulated - Price Out'!$M$58</definedName>
    <definedName name="ProRev_yw" localSheetId="3">'[6]Pacific Regulated - Price Out'!$M$69</definedName>
    <definedName name="ProRev_yw" localSheetId="4">'[6]Pacific Regulated - Price Out'!$M$69</definedName>
    <definedName name="ProRev_yw">'[7]Pacific Regulated - Price Out'!$M$69</definedName>
    <definedName name="pServer" localSheetId="3">#REF!</definedName>
    <definedName name="pServer" localSheetId="4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g_Cust_Billed_Percent">'[18]Consolidated IS 2009 2010'!$AK$20</definedName>
    <definedName name="Reg_Cust_Percent">'[18]Consolidated IS 2009 2010'!$AC$20</definedName>
    <definedName name="Reg_Drive_Percent">'[18]Consolidated IS 2009 2010'!$AC$40</definedName>
    <definedName name="Reg_Haul_Rev_Percent">'[18]Consolidated IS 2009 2010'!$Z$18</definedName>
    <definedName name="Reg_Lab_Percent">'[18]Consolidated IS 2009 2010'!$AC$39</definedName>
    <definedName name="Reg_Steel_Cont_Percent">'[18]Consolidated IS 2009 2010'!$AE$120</definedName>
    <definedName name="RegulatedIS">'[18]2009 IS'!$A$12:$Q$655</definedName>
    <definedName name="RelatedSalary">#N/A</definedName>
    <definedName name="report_type">[1]Orientation!$C$24</definedName>
    <definedName name="ReportNames">[19]ControlPanel!$S$2:$S$16</definedName>
    <definedName name="ReportVersion">[1]Settings!$D$5</definedName>
    <definedName name="ReslStaffPriceOut">'[10]Price Out-Reg EASTSIDE-Resi'!#REF!</definedName>
    <definedName name="RetainedEarnings" localSheetId="3">#REF!</definedName>
    <definedName name="RetainedEarnings" localSheetId="4">#REF!</definedName>
    <definedName name="RetainedEarnings">#REF!</definedName>
    <definedName name="RevCust" localSheetId="3">[20]RevenuesCust!#REF!</definedName>
    <definedName name="RevCust" localSheetId="4">[20]RevenuesCust!#REF!</definedName>
    <definedName name="RevCust">[21]RevenuesCust!#REF!</definedName>
    <definedName name="RevCustomer" localSheetId="3">#REF!</definedName>
    <definedName name="RevCustomer" localSheetId="4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>'[16]IS-2120'!#REF!</definedName>
    <definedName name="sSRCDate" localSheetId="3">'[22]Feb''12 FAR Data'!#REF!</definedName>
    <definedName name="sSRCDate" localSheetId="4">'[23]Feb''12 FAR Data'!#REF!</definedName>
    <definedName name="sSRCDate">'[24]Feb''12 FAR Data'!#REF!</definedName>
    <definedName name="Supplemental_filter">[1]Settings!$C$31</definedName>
    <definedName name="SWDisposal">#N/A</definedName>
    <definedName name="System" localSheetId="4">#REF!</definedName>
    <definedName name="System">[25]BS_Close!$V$8</definedName>
    <definedName name="TemplateEnd" localSheetId="3">#REF!</definedName>
    <definedName name="TemplateEnd" localSheetId="4">#REF!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ns">#REF!</definedName>
    <definedName name="Total_Comm" localSheetId="3">'[8]Tariff Rate Sheet'!$L$214</definedName>
    <definedName name="Total_Comm" localSheetId="4">'[8]Tariff Rate Sheet'!$L$214</definedName>
    <definedName name="Total_Comm">'[9]Tariff Rate Sheet'!$L$214</definedName>
    <definedName name="Total_DB" localSheetId="3">'[8]Tariff Rate Sheet'!$L$278</definedName>
    <definedName name="Total_DB" localSheetId="4">'[8]Tariff Rate Sheet'!$L$278</definedName>
    <definedName name="Total_DB">'[9]Tariff Rate Sheet'!$L$278</definedName>
    <definedName name="Total_Resi" localSheetId="3">'[8]Tariff Rate Sheet'!$L$107</definedName>
    <definedName name="Total_Resi" localSheetId="4">'[8]Tariff Rate Sheet'!$L$107</definedName>
    <definedName name="Total_Resi">'[9]Tariff Rate Sheet'!$L$107</definedName>
    <definedName name="Transactions" localSheetId="3">#REF!</definedName>
    <definedName name="Transactions" localSheetId="4">#REF!</definedName>
    <definedName name="Transactions">#REF!</definedName>
    <definedName name="UnregulatedIS">'[18]2010 IS'!$A$12:$Q$654</definedName>
    <definedName name="Version" localSheetId="4">[13]Data!#REF!</definedName>
    <definedName name="Version">[13]Data!#REF!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 localSheetId="4">#REF!</definedName>
    <definedName name="WTable">#REF!</definedName>
    <definedName name="WTableOld" localSheetId="4">#REF!</definedName>
    <definedName name="WTableOld">#REF!</definedName>
    <definedName name="ww">#REF!</definedName>
    <definedName name="xperiod">[1]Orientation!$G$15</definedName>
    <definedName name="xtabin" localSheetId="3">[4]Hidden!#REF!</definedName>
    <definedName name="xtabin" localSheetId="4">[4]Hidden!#REF!</definedName>
    <definedName name="xtabin">[5]Hidden!#REF!</definedName>
    <definedName name="xx" localSheetId="3">#REF!</definedName>
    <definedName name="xx" localSheetId="4">#REF!</definedName>
    <definedName name="xx">#REF!</definedName>
    <definedName name="xxx">#REF!</definedName>
    <definedName name="xxxx">#REF!</definedName>
    <definedName name="YearMonth" localSheetId="3">'[14]Vashon BS'!#REF!</definedName>
    <definedName name="YearMonth" localSheetId="4">#REF!</definedName>
    <definedName name="YearMonth">'[15]Vashon BS'!#REF!</definedName>
    <definedName name="YWMedWasteDisp">#N/A</definedName>
    <definedName name="yy" localSheetId="3">#REF!</definedName>
    <definedName name="yy" localSheetId="4">#REF!</definedName>
    <definedName name="yy">#REF!</definedName>
  </definedNames>
  <calcPr calcId="162913"/>
</workbook>
</file>

<file path=xl/calcChain.xml><?xml version="1.0" encoding="utf-8"?>
<calcChain xmlns="http://schemas.openxmlformats.org/spreadsheetml/2006/main">
  <c r="R64" i="3" l="1"/>
  <c r="R63" i="3"/>
  <c r="W68" i="3" l="1"/>
  <c r="W67" i="3"/>
  <c r="W66" i="3"/>
  <c r="R55" i="3" l="1"/>
  <c r="Y68" i="3" l="1"/>
  <c r="S99" i="8" l="1"/>
  <c r="Y67" i="3"/>
  <c r="Y66" i="3"/>
  <c r="V47" i="3" l="1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32" i="3"/>
  <c r="V31" i="3"/>
  <c r="V30" i="3"/>
  <c r="V29" i="3"/>
  <c r="V28" i="3"/>
  <c r="V27" i="3"/>
  <c r="V26" i="3"/>
  <c r="V25" i="3"/>
  <c r="V24" i="3"/>
  <c r="V23" i="3"/>
  <c r="V22" i="3"/>
  <c r="V6" i="3"/>
  <c r="G53" i="2" l="1"/>
  <c r="B61" i="2" l="1"/>
  <c r="D23" i="3" l="1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0" i="3"/>
  <c r="D42" i="3"/>
  <c r="D43" i="3"/>
  <c r="D44" i="3"/>
  <c r="D45" i="3"/>
  <c r="D46" i="3"/>
  <c r="D47" i="3"/>
  <c r="D22" i="3"/>
  <c r="D7" i="3"/>
  <c r="D8" i="3"/>
  <c r="D9" i="3"/>
  <c r="D10" i="3"/>
  <c r="D11" i="3"/>
  <c r="D12" i="3"/>
  <c r="D13" i="3"/>
  <c r="D14" i="3"/>
  <c r="D15" i="3"/>
  <c r="D17" i="3"/>
  <c r="D18" i="3"/>
  <c r="D19" i="3"/>
  <c r="D20" i="3"/>
  <c r="D6" i="3"/>
  <c r="M23" i="3"/>
  <c r="G23" i="3"/>
  <c r="F23" i="3"/>
  <c r="L61" i="8"/>
  <c r="L62" i="8"/>
  <c r="L63" i="8"/>
  <c r="L64" i="8"/>
  <c r="L65" i="8"/>
  <c r="L66" i="8"/>
  <c r="L67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38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12" i="8"/>
  <c r="P23" i="3" l="1"/>
  <c r="H23" i="3"/>
  <c r="B29" i="4" l="1"/>
  <c r="B28" i="4"/>
  <c r="C36" i="4" l="1"/>
  <c r="C37" i="4" l="1"/>
  <c r="G47" i="3" l="1"/>
  <c r="M47" i="3"/>
  <c r="M46" i="3"/>
  <c r="M45" i="3"/>
  <c r="M44" i="3"/>
  <c r="M43" i="3"/>
  <c r="M42" i="3"/>
  <c r="M41" i="3"/>
  <c r="M40" i="3"/>
  <c r="M39" i="3"/>
  <c r="M38" i="3"/>
  <c r="M36" i="3"/>
  <c r="M37" i="3" s="1"/>
  <c r="M35" i="3"/>
  <c r="M34" i="3"/>
  <c r="M33" i="3"/>
  <c r="M32" i="3"/>
  <c r="M29" i="3"/>
  <c r="M28" i="3"/>
  <c r="M31" i="3"/>
  <c r="M30" i="3"/>
  <c r="M27" i="3"/>
  <c r="M57" i="3"/>
  <c r="G57" i="3"/>
  <c r="H57" i="3" s="1"/>
  <c r="G32" i="3"/>
  <c r="G46" i="3" l="1"/>
  <c r="G45" i="3"/>
  <c r="G44" i="3"/>
  <c r="G43" i="3"/>
  <c r="G42" i="3"/>
  <c r="G41" i="3"/>
  <c r="G40" i="3"/>
  <c r="G24" i="3"/>
  <c r="G39" i="3"/>
  <c r="G22" i="3"/>
  <c r="G38" i="3"/>
  <c r="G37" i="3"/>
  <c r="G36" i="3"/>
  <c r="G35" i="3"/>
  <c r="G34" i="3"/>
  <c r="G33" i="3"/>
  <c r="G30" i="3"/>
  <c r="G31" i="3" s="1"/>
  <c r="G28" i="3"/>
  <c r="G29" i="3" s="1"/>
  <c r="G27" i="3" l="1"/>
  <c r="G15" i="3" l="1"/>
  <c r="G13" i="3"/>
  <c r="T52" i="3" l="1"/>
  <c r="D21" i="3"/>
  <c r="T53" i="3"/>
  <c r="D48" i="3"/>
  <c r="B36" i="6" l="1"/>
  <c r="C35" i="6" s="1"/>
  <c r="M25" i="6"/>
  <c r="L25" i="6"/>
  <c r="J25" i="6"/>
  <c r="I25" i="6"/>
  <c r="F25" i="6"/>
  <c r="E25" i="6"/>
  <c r="C25" i="6"/>
  <c r="B25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25" i="6" l="1"/>
  <c r="G25" i="6"/>
  <c r="K25" i="6"/>
  <c r="N25" i="6"/>
  <c r="D25" i="6"/>
  <c r="P25" i="6"/>
  <c r="C34" i="6"/>
  <c r="C66" i="2" s="1"/>
  <c r="D71" i="3" s="1"/>
  <c r="B66" i="2" l="1"/>
  <c r="D72" i="3" s="1"/>
  <c r="D73" i="3" s="1"/>
  <c r="D63" i="3" s="1"/>
  <c r="E72" i="3" l="1"/>
  <c r="E71" i="3"/>
  <c r="C60" i="2"/>
  <c r="C59" i="2"/>
  <c r="B57" i="2"/>
  <c r="C56" i="2"/>
  <c r="C55" i="2"/>
  <c r="C61" i="2" l="1"/>
  <c r="D61" i="2"/>
  <c r="R58" i="3"/>
  <c r="B64" i="2"/>
  <c r="R59" i="3"/>
  <c r="D57" i="2"/>
  <c r="C57" i="2"/>
  <c r="C64" i="2"/>
  <c r="J6" i="3" l="1"/>
  <c r="W47" i="3"/>
  <c r="X47" i="3" s="1"/>
  <c r="W39" i="3"/>
  <c r="X39" i="3" s="1"/>
  <c r="W25" i="3"/>
  <c r="X25" i="3" s="1"/>
  <c r="W36" i="3"/>
  <c r="X36" i="3" s="1"/>
  <c r="W44" i="3"/>
  <c r="X44" i="3" s="1"/>
  <c r="W33" i="3"/>
  <c r="X33" i="3" s="1"/>
  <c r="W42" i="3"/>
  <c r="X42" i="3" s="1"/>
  <c r="W28" i="3"/>
  <c r="X28" i="3" s="1"/>
  <c r="W41" i="3"/>
  <c r="X41" i="3" s="1"/>
  <c r="W40" i="3"/>
  <c r="X40" i="3" s="1"/>
  <c r="W26" i="3"/>
  <c r="X26" i="3" s="1"/>
  <c r="W46" i="3"/>
  <c r="X46" i="3" s="1"/>
  <c r="W38" i="3"/>
  <c r="X38" i="3" s="1"/>
  <c r="W43" i="3"/>
  <c r="X43" i="3" s="1"/>
  <c r="W29" i="3"/>
  <c r="X29" i="3" s="1"/>
  <c r="W45" i="3"/>
  <c r="X45" i="3" s="1"/>
  <c r="W24" i="3"/>
  <c r="X24" i="3" s="1"/>
  <c r="W32" i="3"/>
  <c r="X32" i="3" s="1"/>
  <c r="W31" i="3"/>
  <c r="X31" i="3" s="1"/>
  <c r="W22" i="3"/>
  <c r="X22" i="3" s="1"/>
  <c r="W35" i="3"/>
  <c r="X35" i="3" s="1"/>
  <c r="W6" i="3"/>
  <c r="X6" i="3" s="1"/>
  <c r="W15" i="3"/>
  <c r="X15" i="3" s="1"/>
  <c r="W8" i="3"/>
  <c r="X8" i="3" s="1"/>
  <c r="W20" i="3"/>
  <c r="X20" i="3" s="1"/>
  <c r="W7" i="3"/>
  <c r="X7" i="3" s="1"/>
  <c r="W13" i="3"/>
  <c r="X13" i="3" s="1"/>
  <c r="W9" i="3"/>
  <c r="X9" i="3" s="1"/>
  <c r="W30" i="3"/>
  <c r="X30" i="3" s="1"/>
  <c r="W18" i="3"/>
  <c r="X18" i="3" s="1"/>
  <c r="W23" i="3"/>
  <c r="X23" i="3" s="1"/>
  <c r="W19" i="3"/>
  <c r="X19" i="3" s="1"/>
  <c r="W10" i="3"/>
  <c r="X10" i="3" s="1"/>
  <c r="W27" i="3"/>
  <c r="X27" i="3" s="1"/>
  <c r="W17" i="3"/>
  <c r="X17" i="3" s="1"/>
  <c r="W16" i="3"/>
  <c r="X16" i="3" s="1"/>
  <c r="W11" i="3"/>
  <c r="X11" i="3" s="1"/>
  <c r="W34" i="3"/>
  <c r="X34" i="3" s="1"/>
  <c r="W14" i="3"/>
  <c r="X14" i="3" s="1"/>
  <c r="W37" i="3"/>
  <c r="X37" i="3" s="1"/>
  <c r="W12" i="3"/>
  <c r="X12" i="3" s="1"/>
  <c r="R60" i="3"/>
  <c r="G12" i="3"/>
  <c r="G26" i="3" l="1"/>
  <c r="G25" i="3"/>
  <c r="G14" i="3"/>
  <c r="M26" i="3" l="1"/>
  <c r="M25" i="3"/>
  <c r="G55" i="3"/>
  <c r="G54" i="3"/>
  <c r="M7" i="3"/>
  <c r="M53" i="3"/>
  <c r="M10" i="3"/>
  <c r="M9" i="3"/>
  <c r="M8" i="3"/>
  <c r="M56" i="3"/>
  <c r="M18" i="3"/>
  <c r="M22" i="3"/>
  <c r="M14" i="3"/>
  <c r="M12" i="3"/>
  <c r="M24" i="3"/>
  <c r="M20" i="3"/>
  <c r="M19" i="3"/>
  <c r="M17" i="3"/>
  <c r="M16" i="3"/>
  <c r="M13" i="3"/>
  <c r="M15" i="3" s="1"/>
  <c r="P15" i="3" s="1"/>
  <c r="M11" i="3"/>
  <c r="M6" i="3"/>
  <c r="G56" i="3" l="1"/>
  <c r="H56" i="3" s="1"/>
  <c r="G20" i="3"/>
  <c r="G19" i="3"/>
  <c r="G18" i="3"/>
  <c r="G17" i="3"/>
  <c r="G16" i="3"/>
  <c r="G11" i="3"/>
  <c r="G53" i="3"/>
  <c r="G10" i="3"/>
  <c r="G9" i="3"/>
  <c r="G8" i="3"/>
  <c r="G7" i="3"/>
  <c r="G6" i="3"/>
  <c r="P8" i="3" l="1"/>
  <c r="P7" i="3"/>
  <c r="P10" i="3" l="1"/>
  <c r="P11" i="3"/>
  <c r="P13" i="3" l="1"/>
  <c r="P9" i="3"/>
  <c r="P6" i="3"/>
  <c r="P12" i="3"/>
  <c r="P14" i="3" l="1"/>
  <c r="M55" i="3"/>
  <c r="M54" i="3"/>
  <c r="D64" i="3" l="1"/>
  <c r="G56" i="2" l="1"/>
  <c r="G58" i="2" s="1"/>
  <c r="B12" i="2"/>
  <c r="B11" i="2"/>
  <c r="H11" i="2" s="1"/>
  <c r="B10" i="2"/>
  <c r="B9" i="2"/>
  <c r="B8" i="2"/>
  <c r="B7" i="2"/>
  <c r="B6" i="2"/>
  <c r="E45" i="3" l="1"/>
  <c r="E41" i="3"/>
  <c r="E40" i="3"/>
  <c r="F40" i="3" s="1"/>
  <c r="P40" i="3" s="1"/>
  <c r="E47" i="3"/>
  <c r="E43" i="3"/>
  <c r="E39" i="3"/>
  <c r="E46" i="3"/>
  <c r="F46" i="3" s="1"/>
  <c r="P46" i="3" s="1"/>
  <c r="E42" i="3"/>
  <c r="F42" i="3" s="1"/>
  <c r="P42" i="3" s="1"/>
  <c r="E38" i="3"/>
  <c r="E44" i="3"/>
  <c r="E37" i="3"/>
  <c r="F37" i="3" s="1"/>
  <c r="P37" i="3" s="1"/>
  <c r="E36" i="3"/>
  <c r="F36" i="3" s="1"/>
  <c r="P36" i="3" s="1"/>
  <c r="E35" i="3"/>
  <c r="E32" i="3"/>
  <c r="E29" i="3"/>
  <c r="F29" i="3" s="1"/>
  <c r="P29" i="3" s="1"/>
  <c r="E27" i="3"/>
  <c r="F27" i="3" s="1"/>
  <c r="P27" i="3" s="1"/>
  <c r="E31" i="3"/>
  <c r="E30" i="3"/>
  <c r="F30" i="3" s="1"/>
  <c r="P30" i="3" s="1"/>
  <c r="E28" i="3"/>
  <c r="F28" i="3" s="1"/>
  <c r="P28" i="3" s="1"/>
  <c r="E15" i="3"/>
  <c r="F15" i="3" s="1"/>
  <c r="H15" i="3" s="1"/>
  <c r="E8" i="2"/>
  <c r="F39" i="3"/>
  <c r="P39" i="3" s="1"/>
  <c r="F32" i="3"/>
  <c r="P32" i="3" s="1"/>
  <c r="C6" i="2"/>
  <c r="F45" i="3"/>
  <c r="E34" i="3"/>
  <c r="F34" i="3" s="1"/>
  <c r="P34" i="3" s="1"/>
  <c r="E12" i="3"/>
  <c r="F38" i="3"/>
  <c r="P38" i="3" s="1"/>
  <c r="E25" i="3"/>
  <c r="F25" i="3" s="1"/>
  <c r="P25" i="3" s="1"/>
  <c r="E24" i="3"/>
  <c r="F24" i="3" s="1"/>
  <c r="P24" i="3" s="1"/>
  <c r="E11" i="3"/>
  <c r="E26" i="3"/>
  <c r="F26" i="3" s="1"/>
  <c r="P26" i="3" s="1"/>
  <c r="E14" i="3"/>
  <c r="F41" i="3"/>
  <c r="P41" i="3" s="1"/>
  <c r="E22" i="3"/>
  <c r="F22" i="3" s="1"/>
  <c r="E55" i="3"/>
  <c r="F55" i="3" s="1"/>
  <c r="H55" i="3" s="1"/>
  <c r="E54" i="3"/>
  <c r="F54" i="3" s="1"/>
  <c r="H54" i="3" s="1"/>
  <c r="E33" i="3"/>
  <c r="F33" i="3" s="1"/>
  <c r="P33" i="3" s="1"/>
  <c r="F35" i="3"/>
  <c r="P35" i="3" s="1"/>
  <c r="F47" i="3"/>
  <c r="P47" i="3" s="1"/>
  <c r="F43" i="3"/>
  <c r="P43" i="3" s="1"/>
  <c r="F31" i="3"/>
  <c r="P31" i="3" s="1"/>
  <c r="H7" i="2"/>
  <c r="F44" i="3"/>
  <c r="P44" i="3" s="1"/>
  <c r="B65" i="2"/>
  <c r="B67" i="2" s="1"/>
  <c r="C65" i="2"/>
  <c r="C67" i="2" s="1"/>
  <c r="E7" i="2"/>
  <c r="H10" i="2"/>
  <c r="F6" i="2"/>
  <c r="E56" i="3"/>
  <c r="E17" i="3"/>
  <c r="E20" i="3"/>
  <c r="E19" i="3"/>
  <c r="E16" i="3"/>
  <c r="E18" i="3"/>
  <c r="E7" i="3"/>
  <c r="E10" i="3"/>
  <c r="E6" i="3"/>
  <c r="E13" i="3"/>
  <c r="E9" i="3"/>
  <c r="E8" i="3"/>
  <c r="E53" i="3"/>
  <c r="E6" i="2"/>
  <c r="H6" i="2"/>
  <c r="D6" i="2"/>
  <c r="F9" i="2"/>
  <c r="F7" i="2"/>
  <c r="G9" i="2"/>
  <c r="G8" i="2"/>
  <c r="H9" i="2"/>
  <c r="D12" i="2"/>
  <c r="F8" i="2"/>
  <c r="C7" i="2"/>
  <c r="G7" i="2"/>
  <c r="G6" i="2"/>
  <c r="D7" i="2"/>
  <c r="H8" i="2"/>
  <c r="G10" i="2"/>
  <c r="C11" i="2"/>
  <c r="C10" i="2"/>
  <c r="E12" i="2"/>
  <c r="C8" i="2"/>
  <c r="D9" i="2"/>
  <c r="E10" i="2"/>
  <c r="F11" i="2"/>
  <c r="G12" i="2"/>
  <c r="C12" i="2"/>
  <c r="D11" i="2"/>
  <c r="C9" i="2"/>
  <c r="E11" i="2"/>
  <c r="F12" i="2"/>
  <c r="D8" i="2"/>
  <c r="E9" i="2"/>
  <c r="F10" i="2"/>
  <c r="G11" i="2"/>
  <c r="H12" i="2"/>
  <c r="D10" i="2"/>
  <c r="P22" i="3" l="1"/>
  <c r="F48" i="3"/>
  <c r="D67" i="2"/>
  <c r="P45" i="3"/>
  <c r="H45" i="3"/>
  <c r="F12" i="3"/>
  <c r="H12" i="3" s="1"/>
  <c r="P48" i="3" l="1"/>
  <c r="F17" i="3"/>
  <c r="H29" i="3"/>
  <c r="H41" i="3"/>
  <c r="H28" i="3"/>
  <c r="H17" i="3" l="1"/>
  <c r="P17" i="3"/>
  <c r="F10" i="3"/>
  <c r="H10" i="3" s="1"/>
  <c r="H42" i="3"/>
  <c r="H40" i="3"/>
  <c r="H25" i="3"/>
  <c r="F7" i="3"/>
  <c r="H7" i="3" s="1"/>
  <c r="F20" i="3"/>
  <c r="F9" i="3"/>
  <c r="H9" i="3" s="1"/>
  <c r="H46" i="3"/>
  <c r="F18" i="3"/>
  <c r="H27" i="3"/>
  <c r="H35" i="3"/>
  <c r="H26" i="3"/>
  <c r="H39" i="3"/>
  <c r="H24" i="3"/>
  <c r="F19" i="3"/>
  <c r="H36" i="3"/>
  <c r="H30" i="3"/>
  <c r="H38" i="3"/>
  <c r="H37" i="3"/>
  <c r="H32" i="3"/>
  <c r="H34" i="3"/>
  <c r="H33" i="3"/>
  <c r="H22" i="3"/>
  <c r="F14" i="3"/>
  <c r="H14" i="3" s="1"/>
  <c r="H43" i="3"/>
  <c r="F6" i="3"/>
  <c r="F11" i="3"/>
  <c r="H11" i="3" s="1"/>
  <c r="F16" i="3"/>
  <c r="H31" i="3"/>
  <c r="H47" i="3"/>
  <c r="F13" i="3"/>
  <c r="H13" i="3" s="1"/>
  <c r="H53" i="3"/>
  <c r="F8" i="3"/>
  <c r="H8" i="3" s="1"/>
  <c r="F21" i="3" l="1"/>
  <c r="H19" i="3"/>
  <c r="P19" i="3"/>
  <c r="H18" i="3"/>
  <c r="P18" i="3"/>
  <c r="H16" i="3"/>
  <c r="P16" i="3"/>
  <c r="H20" i="3"/>
  <c r="P20" i="3"/>
  <c r="H6" i="3"/>
  <c r="H44" i="3"/>
  <c r="H48" i="3" s="1"/>
  <c r="H21" i="3" l="1"/>
  <c r="P21" i="3"/>
  <c r="H49" i="3"/>
  <c r="D66" i="3" s="1"/>
  <c r="I57" i="3" l="1"/>
  <c r="J57" i="3" s="1"/>
  <c r="K57" i="3" s="1"/>
  <c r="N57" i="3" s="1"/>
  <c r="I23" i="3"/>
  <c r="J23" i="3" s="1"/>
  <c r="K23" i="3" s="1"/>
  <c r="I30" i="3"/>
  <c r="J30" i="3" s="1"/>
  <c r="K30" i="3" s="1"/>
  <c r="I6" i="3"/>
  <c r="I43" i="3"/>
  <c r="J43" i="3" s="1"/>
  <c r="K43" i="3" s="1"/>
  <c r="L43" i="3" s="1"/>
  <c r="Y43" i="3" s="1"/>
  <c r="I28" i="3"/>
  <c r="J28" i="3" s="1"/>
  <c r="K28" i="3" s="1"/>
  <c r="L28" i="3" s="1"/>
  <c r="Y28" i="3" s="1"/>
  <c r="I27" i="3"/>
  <c r="J27" i="3" s="1"/>
  <c r="K27" i="3" s="1"/>
  <c r="L27" i="3" s="1"/>
  <c r="Y27" i="3" s="1"/>
  <c r="I29" i="3"/>
  <c r="J29" i="3" s="1"/>
  <c r="K29" i="3" s="1"/>
  <c r="L29" i="3" s="1"/>
  <c r="Y29" i="3" s="1"/>
  <c r="I14" i="3"/>
  <c r="J14" i="3" s="1"/>
  <c r="K14" i="3" s="1"/>
  <c r="L14" i="3" s="1"/>
  <c r="Y14" i="3" s="1"/>
  <c r="I36" i="3"/>
  <c r="J36" i="3" s="1"/>
  <c r="K36" i="3" s="1"/>
  <c r="L36" i="3" s="1"/>
  <c r="Y36" i="3" s="1"/>
  <c r="I55" i="3"/>
  <c r="J55" i="3" s="1"/>
  <c r="I45" i="3"/>
  <c r="J45" i="3" s="1"/>
  <c r="K45" i="3" s="1"/>
  <c r="L45" i="3" s="1"/>
  <c r="Y45" i="3" s="1"/>
  <c r="I7" i="3"/>
  <c r="J7" i="3" s="1"/>
  <c r="K7" i="3" s="1"/>
  <c r="L7" i="3" s="1"/>
  <c r="Y7" i="3" s="1"/>
  <c r="I38" i="3"/>
  <c r="J38" i="3" s="1"/>
  <c r="K38" i="3" s="1"/>
  <c r="L38" i="3" s="1"/>
  <c r="Y38" i="3" s="1"/>
  <c r="I53" i="3"/>
  <c r="J53" i="3" s="1"/>
  <c r="I33" i="3"/>
  <c r="J33" i="3" s="1"/>
  <c r="K33" i="3" s="1"/>
  <c r="L33" i="3" s="1"/>
  <c r="Y33" i="3" s="1"/>
  <c r="I42" i="3"/>
  <c r="J42" i="3" s="1"/>
  <c r="K42" i="3" s="1"/>
  <c r="L42" i="3" s="1"/>
  <c r="Y42" i="3" s="1"/>
  <c r="I18" i="3"/>
  <c r="J18" i="3" s="1"/>
  <c r="K18" i="3" s="1"/>
  <c r="L18" i="3" s="1"/>
  <c r="Y18" i="3" s="1"/>
  <c r="I44" i="3"/>
  <c r="J44" i="3" s="1"/>
  <c r="K44" i="3" s="1"/>
  <c r="L44" i="3" s="1"/>
  <c r="Y44" i="3" s="1"/>
  <c r="I17" i="3"/>
  <c r="J17" i="3" s="1"/>
  <c r="K17" i="3" s="1"/>
  <c r="L17" i="3" s="1"/>
  <c r="Y17" i="3" s="1"/>
  <c r="I47" i="3"/>
  <c r="J47" i="3" s="1"/>
  <c r="K47" i="3" s="1"/>
  <c r="L47" i="3" s="1"/>
  <c r="Y47" i="3" s="1"/>
  <c r="I25" i="3"/>
  <c r="J25" i="3" s="1"/>
  <c r="K25" i="3" s="1"/>
  <c r="L25" i="3" s="1"/>
  <c r="Y25" i="3" s="1"/>
  <c r="I12" i="3"/>
  <c r="J12" i="3" s="1"/>
  <c r="K12" i="3" s="1"/>
  <c r="L12" i="3" s="1"/>
  <c r="Y12" i="3" s="1"/>
  <c r="I15" i="3"/>
  <c r="J15" i="3" s="1"/>
  <c r="K15" i="3" s="1"/>
  <c r="L15" i="3" s="1"/>
  <c r="Y15" i="3" s="1"/>
  <c r="I8" i="3"/>
  <c r="J8" i="3" s="1"/>
  <c r="K8" i="3" s="1"/>
  <c r="L8" i="3" s="1"/>
  <c r="Y8" i="3" s="1"/>
  <c r="I13" i="3"/>
  <c r="J13" i="3" s="1"/>
  <c r="K13" i="3" s="1"/>
  <c r="L13" i="3" s="1"/>
  <c r="Y13" i="3" s="1"/>
  <c r="I34" i="3"/>
  <c r="J34" i="3" s="1"/>
  <c r="K34" i="3" s="1"/>
  <c r="L34" i="3" s="1"/>
  <c r="Y34" i="3" s="1"/>
  <c r="I20" i="3"/>
  <c r="J20" i="3" s="1"/>
  <c r="K20" i="3" s="1"/>
  <c r="L20" i="3" s="1"/>
  <c r="Y20" i="3" s="1"/>
  <c r="I26" i="3"/>
  <c r="J26" i="3" s="1"/>
  <c r="K26" i="3" s="1"/>
  <c r="L26" i="3" s="1"/>
  <c r="I35" i="3"/>
  <c r="J35" i="3" s="1"/>
  <c r="K35" i="3" s="1"/>
  <c r="L35" i="3" s="1"/>
  <c r="Y35" i="3" s="1"/>
  <c r="I22" i="3"/>
  <c r="I32" i="3"/>
  <c r="J32" i="3" s="1"/>
  <c r="K32" i="3" s="1"/>
  <c r="I11" i="3"/>
  <c r="J11" i="3" s="1"/>
  <c r="K11" i="3" s="1"/>
  <c r="L11" i="3" s="1"/>
  <c r="Y11" i="3" s="1"/>
  <c r="I16" i="3"/>
  <c r="J16" i="3" s="1"/>
  <c r="K16" i="3" s="1"/>
  <c r="L16" i="3" s="1"/>
  <c r="Y16" i="3" s="1"/>
  <c r="I10" i="3"/>
  <c r="J10" i="3" s="1"/>
  <c r="K10" i="3" s="1"/>
  <c r="L10" i="3" s="1"/>
  <c r="Y10" i="3" s="1"/>
  <c r="I19" i="3"/>
  <c r="J19" i="3" s="1"/>
  <c r="K19" i="3" s="1"/>
  <c r="L19" i="3" s="1"/>
  <c r="Y19" i="3" s="1"/>
  <c r="I54" i="3"/>
  <c r="I31" i="3"/>
  <c r="J31" i="3" s="1"/>
  <c r="K31" i="3" s="1"/>
  <c r="L31" i="3" s="1"/>
  <c r="Y31" i="3" s="1"/>
  <c r="I46" i="3"/>
  <c r="J46" i="3" s="1"/>
  <c r="K46" i="3" s="1"/>
  <c r="L46" i="3" s="1"/>
  <c r="Y46" i="3" s="1"/>
  <c r="I24" i="3"/>
  <c r="J24" i="3" s="1"/>
  <c r="K24" i="3" s="1"/>
  <c r="L24" i="3" s="1"/>
  <c r="Y24" i="3" s="1"/>
  <c r="I40" i="3"/>
  <c r="J40" i="3" s="1"/>
  <c r="K40" i="3" s="1"/>
  <c r="L40" i="3" s="1"/>
  <c r="Y40" i="3" s="1"/>
  <c r="I9" i="3"/>
  <c r="J9" i="3" s="1"/>
  <c r="K9" i="3" s="1"/>
  <c r="L9" i="3" s="1"/>
  <c r="Y9" i="3" s="1"/>
  <c r="I41" i="3"/>
  <c r="J41" i="3" s="1"/>
  <c r="K41" i="3" s="1"/>
  <c r="L41" i="3" s="1"/>
  <c r="Y41" i="3" s="1"/>
  <c r="I39" i="3"/>
  <c r="J39" i="3" s="1"/>
  <c r="K39" i="3" s="1"/>
  <c r="L39" i="3" s="1"/>
  <c r="Y39" i="3" s="1"/>
  <c r="I56" i="3"/>
  <c r="J56" i="3" s="1"/>
  <c r="I37" i="3"/>
  <c r="J37" i="3" s="1"/>
  <c r="K37" i="3" s="1"/>
  <c r="L37" i="3" s="1"/>
  <c r="Y37" i="3" s="1"/>
  <c r="N26" i="3" l="1"/>
  <c r="Y26" i="3"/>
  <c r="L30" i="3"/>
  <c r="L23" i="3"/>
  <c r="L32" i="3"/>
  <c r="L57" i="3"/>
  <c r="C47" i="4" s="1"/>
  <c r="C89" i="4" s="1"/>
  <c r="J22" i="3"/>
  <c r="K22" i="3" s="1"/>
  <c r="I48" i="3"/>
  <c r="I21" i="3"/>
  <c r="K55" i="3"/>
  <c r="L55" i="3" s="1"/>
  <c r="C16" i="4" s="1"/>
  <c r="J54" i="3"/>
  <c r="K54" i="3" s="1"/>
  <c r="L54" i="3" s="1"/>
  <c r="C15" i="4" s="1"/>
  <c r="N30" i="3"/>
  <c r="N47" i="3"/>
  <c r="N43" i="3"/>
  <c r="K56" i="3"/>
  <c r="L56" i="3" s="1"/>
  <c r="C24" i="4"/>
  <c r="N15" i="3"/>
  <c r="O15" i="3" s="1"/>
  <c r="C19" i="4"/>
  <c r="N39" i="3"/>
  <c r="C7" i="4"/>
  <c r="D7" i="4" s="1"/>
  <c r="N34" i="3"/>
  <c r="C66" i="4"/>
  <c r="N45" i="3"/>
  <c r="K6" i="3"/>
  <c r="N40" i="3"/>
  <c r="N14" i="3"/>
  <c r="O14" i="3" s="1"/>
  <c r="C42" i="4"/>
  <c r="C17" i="4"/>
  <c r="C18" i="4"/>
  <c r="N42" i="3"/>
  <c r="C73" i="4"/>
  <c r="N12" i="3"/>
  <c r="C69" i="4"/>
  <c r="D69" i="4" s="1"/>
  <c r="N44" i="3"/>
  <c r="K53" i="3"/>
  <c r="L53" i="3" s="1"/>
  <c r="C14" i="4" s="1"/>
  <c r="C43" i="4"/>
  <c r="C12" i="4"/>
  <c r="N31" i="3"/>
  <c r="S31" i="3" s="1"/>
  <c r="C13" i="4"/>
  <c r="N20" i="3"/>
  <c r="C11" i="4"/>
  <c r="N25" i="3"/>
  <c r="N18" i="3"/>
  <c r="N38" i="3"/>
  <c r="C77" i="4"/>
  <c r="C44" i="4"/>
  <c r="C46" i="4" l="1"/>
  <c r="Y32" i="3"/>
  <c r="N23" i="3"/>
  <c r="S23" i="3" s="1"/>
  <c r="Y23" i="3"/>
  <c r="C45" i="4"/>
  <c r="D45" i="4" s="1"/>
  <c r="Y30" i="3"/>
  <c r="C55" i="4"/>
  <c r="D55" i="4" s="1"/>
  <c r="C54" i="4"/>
  <c r="C96" i="4"/>
  <c r="C62" i="4"/>
  <c r="C88" i="4"/>
  <c r="L6" i="3"/>
  <c r="N6" i="3" s="1"/>
  <c r="L22" i="3"/>
  <c r="N22" i="3" s="1"/>
  <c r="S22" i="3" s="1"/>
  <c r="C63" i="4"/>
  <c r="D63" i="4" s="1"/>
  <c r="F63" i="4" s="1"/>
  <c r="C97" i="4"/>
  <c r="D97" i="4" s="1"/>
  <c r="C79" i="4"/>
  <c r="D79" i="4" s="1"/>
  <c r="C78" i="4"/>
  <c r="C22" i="4"/>
  <c r="D22" i="4" s="1"/>
  <c r="O17" i="3" s="1"/>
  <c r="Q17" i="3" s="1"/>
  <c r="C23" i="4"/>
  <c r="D23" i="4" s="1"/>
  <c r="C86" i="4"/>
  <c r="C52" i="4"/>
  <c r="C94" i="4"/>
  <c r="C60" i="4"/>
  <c r="C75" i="4"/>
  <c r="D75" i="4" s="1"/>
  <c r="C74" i="4"/>
  <c r="C84" i="4"/>
  <c r="C50" i="4"/>
  <c r="C92" i="4"/>
  <c r="C58" i="4"/>
  <c r="C85" i="4"/>
  <c r="D85" i="4" s="1"/>
  <c r="C51" i="4"/>
  <c r="D51" i="4" s="1"/>
  <c r="C93" i="4"/>
  <c r="D93" i="4" s="1"/>
  <c r="C59" i="4"/>
  <c r="D59" i="4" s="1"/>
  <c r="C71" i="4"/>
  <c r="D71" i="4" s="1"/>
  <c r="C68" i="4"/>
  <c r="D68" i="4" s="1"/>
  <c r="C67" i="4"/>
  <c r="D67" i="4" s="1"/>
  <c r="C70" i="4"/>
  <c r="C32" i="4"/>
  <c r="D32" i="4" s="1"/>
  <c r="C28" i="4"/>
  <c r="D28" i="4" s="1"/>
  <c r="C31" i="4"/>
  <c r="D31" i="4" s="1"/>
  <c r="C27" i="4"/>
  <c r="D27" i="4" s="1"/>
  <c r="O47" i="3" s="1"/>
  <c r="C29" i="4"/>
  <c r="D29" i="4" s="1"/>
  <c r="C30" i="4"/>
  <c r="D30" i="4" s="1"/>
  <c r="S30" i="3"/>
  <c r="D16" i="4"/>
  <c r="O55" i="3" s="1"/>
  <c r="N55" i="3"/>
  <c r="N54" i="3"/>
  <c r="D15" i="4"/>
  <c r="O54" i="3" s="1"/>
  <c r="N24" i="3"/>
  <c r="S24" i="3" s="1"/>
  <c r="N32" i="3"/>
  <c r="D46" i="4"/>
  <c r="O32" i="3" s="1"/>
  <c r="Q32" i="3" s="1"/>
  <c r="R32" i="3" s="1"/>
  <c r="D66" i="4"/>
  <c r="N28" i="3"/>
  <c r="S28" i="3" s="1"/>
  <c r="N36" i="3"/>
  <c r="S36" i="3" s="1"/>
  <c r="N27" i="3"/>
  <c r="S27" i="3" s="1"/>
  <c r="D43" i="4"/>
  <c r="O27" i="3" s="1"/>
  <c r="N35" i="3"/>
  <c r="S35" i="3" s="1"/>
  <c r="S44" i="3"/>
  <c r="N29" i="3"/>
  <c r="S29" i="3" s="1"/>
  <c r="N33" i="3"/>
  <c r="S34" i="3"/>
  <c r="S39" i="3"/>
  <c r="S15" i="3"/>
  <c r="N56" i="3"/>
  <c r="S47" i="3"/>
  <c r="D11" i="4"/>
  <c r="O8" i="3" s="1"/>
  <c r="Q8" i="3" s="1"/>
  <c r="N8" i="3"/>
  <c r="S8" i="3" s="1"/>
  <c r="N37" i="3"/>
  <c r="S37" i="3" s="1"/>
  <c r="S42" i="3"/>
  <c r="N46" i="3"/>
  <c r="D89" i="4"/>
  <c r="D47" i="4"/>
  <c r="S12" i="3"/>
  <c r="S18" i="3"/>
  <c r="S25" i="3"/>
  <c r="N9" i="3"/>
  <c r="D12" i="4"/>
  <c r="O9" i="3" s="1"/>
  <c r="Q9" i="3" s="1"/>
  <c r="N53" i="3"/>
  <c r="D14" i="4"/>
  <c r="O53" i="3" s="1"/>
  <c r="S45" i="3"/>
  <c r="N17" i="3"/>
  <c r="N19" i="3"/>
  <c r="D19" i="4"/>
  <c r="N7" i="3"/>
  <c r="N16" i="3"/>
  <c r="D24" i="4"/>
  <c r="O16" i="3" s="1"/>
  <c r="Q16" i="3" s="1"/>
  <c r="S43" i="3"/>
  <c r="S38" i="3"/>
  <c r="S20" i="3"/>
  <c r="D13" i="4"/>
  <c r="O10" i="3" s="1"/>
  <c r="Q10" i="3" s="1"/>
  <c r="N10" i="3"/>
  <c r="S26" i="3"/>
  <c r="S14" i="3"/>
  <c r="N41" i="3"/>
  <c r="N13" i="3"/>
  <c r="D18" i="4"/>
  <c r="D17" i="4"/>
  <c r="N11" i="3"/>
  <c r="S40" i="3"/>
  <c r="C95" i="4" l="1"/>
  <c r="D95" i="4" s="1"/>
  <c r="C53" i="4"/>
  <c r="D53" i="4" s="1"/>
  <c r="C87" i="4"/>
  <c r="D87" i="4" s="1"/>
  <c r="C61" i="4"/>
  <c r="D61" i="4" s="1"/>
  <c r="O45" i="3" s="1"/>
  <c r="Q45" i="3" s="1"/>
  <c r="C41" i="4"/>
  <c r="D41" i="4" s="1"/>
  <c r="J41" i="4" s="1"/>
  <c r="Y22" i="3"/>
  <c r="C10" i="4"/>
  <c r="D10" i="4" s="1"/>
  <c r="O6" i="3" s="1"/>
  <c r="Q6" i="3" s="1"/>
  <c r="R6" i="3" s="1"/>
  <c r="Y6" i="3"/>
  <c r="T8" i="3"/>
  <c r="D62" i="4"/>
  <c r="F62" i="4" s="1"/>
  <c r="D88" i="4"/>
  <c r="J88" i="4" s="1"/>
  <c r="D54" i="4"/>
  <c r="D96" i="4"/>
  <c r="D44" i="4"/>
  <c r="H44" i="4" s="1"/>
  <c r="D52" i="4"/>
  <c r="D94" i="4"/>
  <c r="D60" i="4"/>
  <c r="D86" i="4"/>
  <c r="J86" i="4" s="1"/>
  <c r="O31" i="3"/>
  <c r="Q31" i="3" s="1"/>
  <c r="R31" i="3" s="1"/>
  <c r="O30" i="3"/>
  <c r="Q30" i="3" s="1"/>
  <c r="O33" i="3"/>
  <c r="Q33" i="3" s="1"/>
  <c r="O46" i="3"/>
  <c r="Q46" i="3" s="1"/>
  <c r="O38" i="3"/>
  <c r="Q38" i="3" s="1"/>
  <c r="O34" i="3"/>
  <c r="Q34" i="3" s="1"/>
  <c r="D42" i="4"/>
  <c r="O25" i="3" s="1"/>
  <c r="Q25" i="3" s="1"/>
  <c r="R25" i="3" s="1"/>
  <c r="D92" i="4"/>
  <c r="D58" i="4"/>
  <c r="D84" i="4"/>
  <c r="F84" i="4" s="1"/>
  <c r="D50" i="4"/>
  <c r="O40" i="3" s="1"/>
  <c r="Q40" i="3" s="1"/>
  <c r="F59" i="4"/>
  <c r="O43" i="3"/>
  <c r="Q43" i="3" s="1"/>
  <c r="S32" i="3"/>
  <c r="D70" i="4"/>
  <c r="D73" i="4"/>
  <c r="O35" i="3" s="1"/>
  <c r="Q35" i="3" s="1"/>
  <c r="D77" i="4"/>
  <c r="O36" i="3" s="1"/>
  <c r="O37" i="3" s="1"/>
  <c r="Q37" i="3" s="1"/>
  <c r="R37" i="3" s="1"/>
  <c r="G66" i="4"/>
  <c r="J66" i="4"/>
  <c r="H66" i="4"/>
  <c r="F66" i="4"/>
  <c r="I66" i="4"/>
  <c r="Q27" i="3"/>
  <c r="R27" i="3" s="1"/>
  <c r="O7" i="3"/>
  <c r="Q7" i="3" s="1"/>
  <c r="R17" i="3"/>
  <c r="I45" i="4"/>
  <c r="H45" i="4"/>
  <c r="J45" i="4"/>
  <c r="F45" i="4"/>
  <c r="G45" i="4"/>
  <c r="O56" i="3"/>
  <c r="O18" i="3"/>
  <c r="Q18" i="3" s="1"/>
  <c r="H43" i="4"/>
  <c r="F43" i="4"/>
  <c r="G43" i="4"/>
  <c r="J43" i="4"/>
  <c r="I43" i="4"/>
  <c r="S10" i="3"/>
  <c r="T10" i="3" s="1"/>
  <c r="R16" i="3"/>
  <c r="S6" i="3"/>
  <c r="H89" i="4"/>
  <c r="J89" i="4"/>
  <c r="G89" i="4"/>
  <c r="F89" i="4"/>
  <c r="I89" i="4"/>
  <c r="R8" i="3"/>
  <c r="S33" i="3"/>
  <c r="S11" i="3"/>
  <c r="J46" i="4"/>
  <c r="I46" i="4"/>
  <c r="F46" i="4"/>
  <c r="H46" i="4"/>
  <c r="G46" i="4"/>
  <c r="O12" i="3"/>
  <c r="Q12" i="3" s="1"/>
  <c r="O11" i="3"/>
  <c r="Q11" i="3" s="1"/>
  <c r="S41" i="3"/>
  <c r="R10" i="3"/>
  <c r="S16" i="3"/>
  <c r="T16" i="3" s="1"/>
  <c r="R9" i="3"/>
  <c r="H47" i="4"/>
  <c r="I47" i="4"/>
  <c r="J47" i="4"/>
  <c r="Q47" i="3"/>
  <c r="F47" i="4"/>
  <c r="G47" i="4"/>
  <c r="I85" i="4"/>
  <c r="F85" i="4"/>
  <c r="H85" i="4"/>
  <c r="G85" i="4"/>
  <c r="J85" i="4"/>
  <c r="S13" i="3"/>
  <c r="S19" i="3"/>
  <c r="O19" i="3"/>
  <c r="Q19" i="3" s="1"/>
  <c r="O20" i="3"/>
  <c r="Q20" i="3" s="1"/>
  <c r="S46" i="3"/>
  <c r="O13" i="3"/>
  <c r="Q14" i="3"/>
  <c r="S7" i="3"/>
  <c r="S17" i="3"/>
  <c r="T17" i="3" s="1"/>
  <c r="S9" i="3"/>
  <c r="T9" i="3" s="1"/>
  <c r="I87" i="4"/>
  <c r="H87" i="4"/>
  <c r="G87" i="4"/>
  <c r="J87" i="4"/>
  <c r="F87" i="4"/>
  <c r="C91" i="4" l="1"/>
  <c r="D91" i="4" s="1"/>
  <c r="C83" i="4"/>
  <c r="D83" i="4" s="1"/>
  <c r="H83" i="4" s="1"/>
  <c r="C49" i="4"/>
  <c r="D49" i="4" s="1"/>
  <c r="O39" i="3" s="1"/>
  <c r="Q39" i="3" s="1"/>
  <c r="T39" i="3" s="1"/>
  <c r="F61" i="4"/>
  <c r="C57" i="4"/>
  <c r="D57" i="4" s="1"/>
  <c r="F57" i="4" s="1"/>
  <c r="G83" i="4"/>
  <c r="I83" i="4"/>
  <c r="O22" i="3"/>
  <c r="Q22" i="3" s="1"/>
  <c r="T22" i="3" s="1"/>
  <c r="G41" i="4"/>
  <c r="I41" i="4"/>
  <c r="F41" i="4"/>
  <c r="H41" i="4"/>
  <c r="O23" i="3"/>
  <c r="Q23" i="3" s="1"/>
  <c r="T23" i="3" s="1"/>
  <c r="O41" i="3"/>
  <c r="Q41" i="3" s="1"/>
  <c r="T41" i="3" s="1"/>
  <c r="Q36" i="3"/>
  <c r="R36" i="3" s="1"/>
  <c r="G88" i="4"/>
  <c r="F88" i="4"/>
  <c r="S48" i="3"/>
  <c r="S21" i="3"/>
  <c r="I44" i="4"/>
  <c r="F44" i="4"/>
  <c r="G86" i="4"/>
  <c r="H86" i="4"/>
  <c r="F86" i="4"/>
  <c r="G44" i="4"/>
  <c r="J44" i="4"/>
  <c r="I86" i="4"/>
  <c r="O24" i="3"/>
  <c r="Q24" i="3" s="1"/>
  <c r="R24" i="3" s="1"/>
  <c r="G42" i="4"/>
  <c r="F42" i="4"/>
  <c r="I88" i="4"/>
  <c r="H88" i="4"/>
  <c r="H42" i="4"/>
  <c r="I42" i="4"/>
  <c r="J42" i="4"/>
  <c r="O26" i="3"/>
  <c r="Q26" i="3" s="1"/>
  <c r="R26" i="3" s="1"/>
  <c r="H84" i="4"/>
  <c r="Q13" i="3"/>
  <c r="T13" i="3" s="1"/>
  <c r="Q15" i="3"/>
  <c r="R15" i="3" s="1"/>
  <c r="I84" i="4"/>
  <c r="J84" i="4"/>
  <c r="F58" i="4"/>
  <c r="O42" i="3"/>
  <c r="Q42" i="3" s="1"/>
  <c r="R42" i="3" s="1"/>
  <c r="G84" i="4"/>
  <c r="O29" i="3"/>
  <c r="Q29" i="3" s="1"/>
  <c r="T29" i="3" s="1"/>
  <c r="O28" i="3"/>
  <c r="Q28" i="3" s="1"/>
  <c r="R28" i="3" s="1"/>
  <c r="F60" i="4"/>
  <c r="O44" i="3"/>
  <c r="Q44" i="3" s="1"/>
  <c r="T44" i="3" s="1"/>
  <c r="J77" i="4"/>
  <c r="G77" i="4"/>
  <c r="F77" i="4"/>
  <c r="I77" i="4"/>
  <c r="H77" i="4"/>
  <c r="O57" i="3"/>
  <c r="D78" i="4"/>
  <c r="T27" i="3"/>
  <c r="G73" i="4"/>
  <c r="I73" i="4"/>
  <c r="F73" i="4"/>
  <c r="J73" i="4"/>
  <c r="H73" i="4"/>
  <c r="D74" i="4"/>
  <c r="T25" i="3"/>
  <c r="R33" i="3"/>
  <c r="T33" i="3"/>
  <c r="T32" i="3"/>
  <c r="R39" i="3"/>
  <c r="T40" i="3"/>
  <c r="R40" i="3"/>
  <c r="T6" i="3"/>
  <c r="T45" i="3"/>
  <c r="R45" i="3"/>
  <c r="R14" i="3"/>
  <c r="T14" i="3"/>
  <c r="R34" i="3"/>
  <c r="T34" i="3"/>
  <c r="R47" i="3"/>
  <c r="T47" i="3"/>
  <c r="R11" i="3"/>
  <c r="T11" i="3"/>
  <c r="R30" i="3"/>
  <c r="T30" i="3"/>
  <c r="T31" i="3"/>
  <c r="R18" i="3"/>
  <c r="T18" i="3"/>
  <c r="T38" i="3"/>
  <c r="R38" i="3"/>
  <c r="T37" i="3"/>
  <c r="T20" i="3"/>
  <c r="R20" i="3"/>
  <c r="R19" i="3"/>
  <c r="T19" i="3"/>
  <c r="R35" i="3"/>
  <c r="T35" i="3"/>
  <c r="R46" i="3"/>
  <c r="T46" i="3"/>
  <c r="T12" i="3"/>
  <c r="R12" i="3"/>
  <c r="T43" i="3"/>
  <c r="R43" i="3"/>
  <c r="R7" i="3"/>
  <c r="T7" i="3"/>
  <c r="J83" i="4" l="1"/>
  <c r="F83" i="4"/>
  <c r="T36" i="3"/>
  <c r="R22" i="3"/>
  <c r="R41" i="3"/>
  <c r="R23" i="3"/>
  <c r="R13" i="3"/>
  <c r="R21" i="3" s="1"/>
  <c r="Q48" i="3"/>
  <c r="Q21" i="3"/>
  <c r="T15" i="3"/>
  <c r="T21" i="3" s="1"/>
  <c r="R29" i="3"/>
  <c r="T24" i="3"/>
  <c r="T28" i="3"/>
  <c r="T26" i="3"/>
  <c r="T42" i="3"/>
  <c r="R44" i="3"/>
  <c r="I49" i="3"/>
  <c r="D49" i="3"/>
  <c r="F49" i="3"/>
  <c r="D65" i="3" s="1"/>
  <c r="S49" i="3"/>
  <c r="P49" i="3"/>
  <c r="R48" i="3" l="1"/>
  <c r="Q49" i="3"/>
  <c r="T48" i="3"/>
  <c r="T49" i="3" s="1"/>
  <c r="S52" i="3"/>
  <c r="R52" i="3"/>
  <c r="S53" i="3" l="1"/>
  <c r="R53" i="3"/>
  <c r="R54" i="3" s="1"/>
  <c r="R49" i="3"/>
  <c r="B71" i="2" s="1"/>
  <c r="B72" i="2" s="1"/>
</calcChain>
</file>

<file path=xl/comments1.xml><?xml version="1.0" encoding="utf-8"?>
<comments xmlns="http://schemas.openxmlformats.org/spreadsheetml/2006/main">
  <authors>
    <author>Akasha Leffler</author>
  </authors>
  <commentList>
    <comment ref="W65" authorId="0" shapeId="0">
      <text>
        <r>
          <rPr>
            <b/>
            <sz val="9"/>
            <color indexed="81"/>
            <rFont val="Tahoma"/>
            <family val="2"/>
          </rPr>
          <t>Akasha Leffler:</t>
        </r>
        <r>
          <rPr>
            <sz val="9"/>
            <color indexed="81"/>
            <rFont val="Tahoma"/>
            <family val="2"/>
          </rPr>
          <t xml:space="preserve">
From 2021 Quick Look Price Out</t>
        </r>
      </text>
    </comment>
    <comment ref="X65" authorId="0" shapeId="0">
      <text>
        <r>
          <rPr>
            <b/>
            <sz val="9"/>
            <color indexed="81"/>
            <rFont val="Tahoma"/>
            <family val="2"/>
          </rPr>
          <t>Akasha Leffler:</t>
        </r>
        <r>
          <rPr>
            <sz val="9"/>
            <color indexed="81"/>
            <rFont val="Tahoma"/>
            <family val="2"/>
          </rPr>
          <t xml:space="preserve">
didn't have DF increase this year</t>
        </r>
      </text>
    </comment>
  </commentList>
</comments>
</file>

<file path=xl/comments2.xml><?xml version="1.0" encoding="utf-8"?>
<comments xmlns="http://schemas.openxmlformats.org/spreadsheetml/2006/main">
  <authors>
    <author>Chelsea Paschke</author>
  </authors>
  <commentList>
    <comment ref="Q4" authorId="0" shapeId="0">
      <text>
        <r>
          <rPr>
            <b/>
            <sz val="9"/>
            <color indexed="81"/>
            <rFont val="Tahoma"/>
            <family val="2"/>
          </rPr>
          <t>Chelsea Paschke:</t>
        </r>
        <r>
          <rPr>
            <sz val="9"/>
            <color indexed="81"/>
            <rFont val="Tahoma"/>
            <family val="2"/>
          </rPr>
          <t xml:space="preserve">
New rates as of 1/1/18 per TG-171120.
</t>
        </r>
      </text>
    </comment>
  </commentList>
</comments>
</file>

<file path=xl/sharedStrings.xml><?xml version="1.0" encoding="utf-8"?>
<sst xmlns="http://schemas.openxmlformats.org/spreadsheetml/2006/main" count="588" uniqueCount="423">
  <si>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</si>
  <si>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</si>
  <si>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</si>
  <si>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</si>
  <si>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</si>
  <si>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</si>
  <si>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</si>
  <si>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</si>
  <si>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</si>
  <si>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</si>
  <si>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</si>
  <si>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</si>
  <si>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</si>
  <si>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</si>
  <si>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</si>
  <si>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</si>
  <si>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</si>
  <si>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</si>
  <si>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RL065.0G1W001</t>
  </si>
  <si>
    <t>RL 65 GL 1X WK 1</t>
  </si>
  <si>
    <t>RL090.0G1W001</t>
  </si>
  <si>
    <t>RL 90 GL 1X WK 1</t>
  </si>
  <si>
    <t>RL090.0G1W002</t>
  </si>
  <si>
    <t>RL 90 GL 1X WK 2</t>
  </si>
  <si>
    <t>RL32R-OC</t>
  </si>
  <si>
    <t>1 RL 32 GL ON CALL-RES</t>
  </si>
  <si>
    <t>EXTRA-RES</t>
  </si>
  <si>
    <t>EXTRA CAN, BAG, BOX-RES</t>
  </si>
  <si>
    <t>EXTRYDG-RES</t>
  </si>
  <si>
    <t>EXTRA YARDAGE - RES</t>
  </si>
  <si>
    <t>OS-RES</t>
  </si>
  <si>
    <t>OVERSIZE CAN - RES</t>
  </si>
  <si>
    <t>OW-RES</t>
  </si>
  <si>
    <t>OVERFILL/WEIGHT CAN-RES</t>
  </si>
  <si>
    <t>BULKY-RES</t>
  </si>
  <si>
    <t>BULKY ITEM PICK UP-RES</t>
  </si>
  <si>
    <t>REDEL-RES</t>
  </si>
  <si>
    <t>REDELIVERY FEE - RES</t>
  </si>
  <si>
    <t>REINSTATE-RES</t>
  </si>
  <si>
    <t>REINSTATE FEE - RES</t>
  </si>
  <si>
    <t>TOTAL RESIDENTIAL GARBAGE</t>
  </si>
  <si>
    <t>COMMERCIAL SERVICES</t>
  </si>
  <si>
    <t>COMMERCIAL GARBAGE</t>
  </si>
  <si>
    <t>RL001.0Y1W001</t>
  </si>
  <si>
    <t>RL 1 YD 1X WK 1</t>
  </si>
  <si>
    <t>RL001.5Y1W001</t>
  </si>
  <si>
    <t>RL 1.5 YD 1X WK 1</t>
  </si>
  <si>
    <t>RL001.5Y1W002</t>
  </si>
  <si>
    <t>RL 1.5 YD 1X WK 2</t>
  </si>
  <si>
    <t>RL001.5Y1W003</t>
  </si>
  <si>
    <t>RL 1.5 YD 1X WK 3</t>
  </si>
  <si>
    <t>RL002.0Y1W001</t>
  </si>
  <si>
    <t>RL 2 YD 1X WK 1</t>
  </si>
  <si>
    <t>RL003.0Y1W001</t>
  </si>
  <si>
    <t>RL 3 YD 1X WK 1</t>
  </si>
  <si>
    <t>RL003.0Y1W002</t>
  </si>
  <si>
    <t>RL 3 YD 1X WK 2</t>
  </si>
  <si>
    <t>RL004.0Y1W001</t>
  </si>
  <si>
    <t>RL 4 YD 1X WK 1</t>
  </si>
  <si>
    <t>RL004.0Y1W002</t>
  </si>
  <si>
    <t>RL 4 YD 1X WK 2</t>
  </si>
  <si>
    <t>RL006.0Y1W002</t>
  </si>
  <si>
    <t>RL 6 YD 1X WK 2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</si>
  <si>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</si>
  <si>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</si>
  <si>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</si>
  <si>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</si>
  <si>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</si>
  <si>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</si>
  <si>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RL090.0G1W001COMM</t>
  </si>
  <si>
    <t>RL 90 GL 1X WK COMM 1</t>
  </si>
  <si>
    <t>RL090.0G1W002COMM</t>
  </si>
  <si>
    <t>RL 90 GL 1X WK COMM 2</t>
  </si>
  <si>
    <t>RL32C-OC</t>
  </si>
  <si>
    <t>1 RL 32 GL ON CALL - COMM</t>
  </si>
  <si>
    <t>EXTRA-COMM</t>
  </si>
  <si>
    <t>EXTRA CAN, BAG, BOX-COMM</t>
  </si>
  <si>
    <t>RL1C-OC</t>
  </si>
  <si>
    <t>1 RL 1 YD ON CALL-COMM</t>
  </si>
  <si>
    <t>RL1.5C-OC</t>
  </si>
  <si>
    <t>1 RL 1.5 YD ON CALL-COMM</t>
  </si>
  <si>
    <t>RL1.5TC-COMM</t>
  </si>
  <si>
    <t>RL TEMPORARY 1.5 YD-COMM</t>
  </si>
  <si>
    <t>RL1TC-COMM</t>
  </si>
  <si>
    <t>RL TEMPORARY 1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</si>
  <si>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</si>
  <si>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</si>
  <si>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</si>
  <si>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</si>
  <si>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</si>
  <si>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</si>
  <si>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</si>
  <si>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</si>
  <si>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</si>
  <si>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</si>
  <si>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</si>
  <si>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</si>
  <si>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</si>
  <si>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</si>
  <si>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RENT1TEMP-COMM</t>
  </si>
  <si>
    <t>RENTAL FEE 1 YD TEMP - COMM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</si>
  <si>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</si>
  <si>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</si>
  <si>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</si>
  <si>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</si>
  <si>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</si>
  <si>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</si>
  <si>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</si>
  <si>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</si>
  <si>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</si>
  <si>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</si>
  <si>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</si>
  <si>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</si>
  <si>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</si>
  <si>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</si>
  <si>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DELTEMP-COMM</t>
  </si>
  <si>
    <t>DELIVERY FEE TEMP-COMM</t>
  </si>
  <si>
    <t>REINSTATE-COMM</t>
  </si>
  <si>
    <t>REINSTATE FEE - COMM</t>
  </si>
  <si>
    <t>TOTAL COMMERCIAL GARBAGE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</si>
  <si>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</si>
  <si>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</si>
  <si>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</si>
  <si>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</si>
  <si>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</si>
  <si>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</si>
  <si>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</si>
  <si>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</si>
  <si>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</si>
  <si>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</si>
  <si>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</si>
  <si>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</si>
  <si>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</si>
  <si>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</si>
  <si>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</si>
  <si>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</si>
  <si>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</si>
  <si>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</si>
  <si>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</si>
  <si>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</si>
  <si>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</si>
  <si>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</si>
  <si>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</si>
  <si>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</si>
  <si>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</si>
  <si>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</si>
  <si>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</si>
  <si>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</si>
  <si>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</si>
  <si>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</si>
  <si>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</si>
  <si>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</si>
  <si>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</si>
  <si>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</si>
  <si>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</si>
  <si>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</si>
  <si>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</si>
  <si>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</si>
  <si>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</si>
  <si>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</si>
  <si>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</si>
  <si>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</si>
  <si>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</si>
  <si>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</si>
  <si>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</si>
  <si>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</si>
  <si>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</si>
  <si>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</si>
  <si>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</si>
  <si>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</si>
  <si>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</si>
  <si>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</si>
  <si>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</si>
  <si>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</si>
  <si>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</si>
  <si>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</si>
  <si>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</si>
  <si>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</si>
  <si>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</si>
  <si>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</si>
  <si>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</si>
  <si>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</si>
  <si>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</si>
  <si>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</si>
  <si>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</si>
  <si>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</si>
  <si>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Factor</t>
  </si>
  <si>
    <t>Residential</t>
  </si>
  <si>
    <t>Commercial</t>
  </si>
  <si>
    <t>Monthly Customers</t>
  </si>
  <si>
    <t>Monthly Frequency</t>
  </si>
  <si>
    <t>Annual Pickups</t>
  </si>
  <si>
    <t>Calculated Annual Pounds</t>
  </si>
  <si>
    <t>Adjusted Annual Pounds</t>
  </si>
  <si>
    <t>Gross Up</t>
  </si>
  <si>
    <t>Company Current Tariff</t>
  </si>
  <si>
    <t>Company Proposed Tariff</t>
  </si>
  <si>
    <t>Company Current Revenue</t>
  </si>
  <si>
    <t xml:space="preserve">  Average Monthly Cust divide by </t>
  </si>
  <si>
    <t>Tons</t>
  </si>
  <si>
    <t>Adjustment Factor Calculation</t>
  </si>
  <si>
    <t>Total Tonnage</t>
  </si>
  <si>
    <t>Total Pounds</t>
  </si>
  <si>
    <t>Total Pick Ups</t>
  </si>
  <si>
    <t>Adjustment factor</t>
  </si>
  <si>
    <t>Oversized Unit</t>
  </si>
  <si>
    <t>Mini Can</t>
  </si>
  <si>
    <t>1 Can Weekly</t>
  </si>
  <si>
    <t>2 Can Weekly</t>
  </si>
  <si>
    <t>3 Can Weekly</t>
  </si>
  <si>
    <t>4 Can Weekly</t>
  </si>
  <si>
    <t>5 Can Weekly</t>
  </si>
  <si>
    <t>6 Can Weekly</t>
  </si>
  <si>
    <t>65 Gal Weekly</t>
  </si>
  <si>
    <t>90 Gal Weekly</t>
  </si>
  <si>
    <t>32 Gal Extra</t>
  </si>
  <si>
    <t>Bag</t>
  </si>
  <si>
    <t>On-Call</t>
  </si>
  <si>
    <t>Loose Material 1-4yd</t>
  </si>
  <si>
    <t>Loose Material per Yard</t>
  </si>
  <si>
    <t>Loose Material Min Charge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</si>
  <si>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</si>
  <si>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</si>
  <si>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</si>
  <si>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</si>
  <si>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</si>
  <si>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</si>
  <si>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</si>
  <si>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</si>
  <si>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</si>
  <si>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</si>
  <si>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</si>
  <si>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</si>
  <si>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</si>
  <si>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</si>
  <si>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</si>
  <si>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</si>
  <si>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</si>
  <si>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</si>
  <si>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</si>
  <si>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</si>
  <si>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</si>
  <si>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Monthly Minumum</t>
  </si>
  <si>
    <t>65 Gal</t>
  </si>
  <si>
    <t>90 Gal</t>
  </si>
  <si>
    <t>1 yard</t>
  </si>
  <si>
    <t>1.5 yard</t>
  </si>
  <si>
    <t>6  Yard</t>
  </si>
  <si>
    <t>8 yard</t>
  </si>
  <si>
    <t>1 yard - Special</t>
  </si>
  <si>
    <t>1.5 yard - Special</t>
  </si>
  <si>
    <t>6  Yard - Special</t>
  </si>
  <si>
    <t>8 yard - Special</t>
  </si>
  <si>
    <t>Add'l Cont</t>
  </si>
  <si>
    <t>Add'l PU's</t>
  </si>
  <si>
    <t>Company Proposed Revenue</t>
  </si>
  <si>
    <t>No Current Customers</t>
  </si>
  <si>
    <t>5 Can</t>
  </si>
  <si>
    <t>6 Can</t>
  </si>
  <si>
    <t>RL065.0G1W002</t>
  </si>
  <si>
    <t>RL 65 GL 1X WK 2</t>
  </si>
  <si>
    <t>DRIVEIN1-RES</t>
  </si>
  <si>
    <t xml:space="preserve">DRIVE IN 125-250' - RES </t>
  </si>
  <si>
    <t xml:space="preserve">DRIVEIN1-COMM </t>
  </si>
  <si>
    <t>DRIVE IN 125-250' - COMM</t>
  </si>
  <si>
    <t>Transfer Station</t>
  </si>
  <si>
    <t>Roll Off</t>
  </si>
  <si>
    <t>MSW</t>
  </si>
  <si>
    <t>$</t>
  </si>
  <si>
    <t>Lbs</t>
  </si>
  <si>
    <t>%</t>
  </si>
  <si>
    <t>Regulated</t>
  </si>
  <si>
    <t>Non-Regulated</t>
  </si>
  <si>
    <t>Empire Disposal, Inc. G-75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</si>
  <si>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</si>
  <si>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</si>
  <si>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</si>
  <si>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</si>
  <si>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</si>
  <si>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</si>
  <si>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</si>
  <si>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</si>
  <si>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</si>
  <si>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Tariff Rate Increase</t>
  </si>
  <si>
    <t>Company Calculated Rate</t>
  </si>
  <si>
    <t>Company Increased Revenue</t>
  </si>
  <si>
    <t>Check</t>
  </si>
  <si>
    <t xml:space="preserve"> Company Over/ (Under)</t>
  </si>
  <si>
    <t>Totals</t>
  </si>
  <si>
    <t>Current Tariff Rate</t>
  </si>
  <si>
    <t>Proposed Increase</t>
  </si>
  <si>
    <t>Item 230, Pg. 36</t>
  </si>
  <si>
    <t>90 Gal Special PU</t>
  </si>
  <si>
    <t>65 Gal Special PU</t>
  </si>
  <si>
    <t>32 Gal Special PU</t>
  </si>
  <si>
    <t>Resi.</t>
  </si>
  <si>
    <t>Empire Dump Fee Calc References</t>
  </si>
  <si>
    <t>1x</t>
  </si>
  <si>
    <t>2x</t>
  </si>
  <si>
    <t>3x</t>
  </si>
  <si>
    <t>4x</t>
  </si>
  <si>
    <t>5x</t>
  </si>
  <si>
    <t>Spokane Dump Fee Calculation</t>
  </si>
  <si>
    <t>Spokane County</t>
  </si>
  <si>
    <t xml:space="preserve"> Disposal Fees</t>
  </si>
  <si>
    <t>Spokane Waste to Energy</t>
  </si>
  <si>
    <t>Transfer Stations</t>
  </si>
  <si>
    <t>Waste to Energy</t>
  </si>
  <si>
    <t>Increase per ton</t>
  </si>
  <si>
    <t>Empire Disposal</t>
  </si>
  <si>
    <t>City of Spokane Transfer Stations Disposal Data</t>
  </si>
  <si>
    <t>Gate Rate 2015</t>
  </si>
  <si>
    <t>$102.39/Ton</t>
  </si>
  <si>
    <t>Gate Rate</t>
  </si>
  <si>
    <t>$101/Ton</t>
  </si>
  <si>
    <t>Gate Rate 2016</t>
  </si>
  <si>
    <t>$105.36/Ton</t>
  </si>
  <si>
    <t>Incinerator</t>
  </si>
  <si>
    <t>Dump Fee Allocation</t>
  </si>
  <si>
    <t>Spokane Disposal Summary</t>
  </si>
  <si>
    <t>Total Regulated Tonnage</t>
  </si>
  <si>
    <t>Transfer Sation</t>
  </si>
  <si>
    <t>Empire Disposal Inc.</t>
  </si>
  <si>
    <t>Spokane Co. Regulated - Price Out</t>
  </si>
  <si>
    <t>RL090.0G1W003</t>
  </si>
  <si>
    <t>RL 90 GL 1X WK 3</t>
  </si>
  <si>
    <t>TRIP-RES</t>
  </si>
  <si>
    <t>TRIP FEE - RES</t>
  </si>
  <si>
    <t>DIST-COM</t>
  </si>
  <si>
    <t>DISTANCE FEE - COMM</t>
  </si>
  <si>
    <t>4 Can</t>
  </si>
  <si>
    <t>Item 55, Pg. 21-A</t>
  </si>
  <si>
    <t>Item 100, Pg. 26A</t>
  </si>
  <si>
    <t>Item 100, Pg. 27-A</t>
  </si>
  <si>
    <t>Item 150, Pg. 30-A</t>
  </si>
  <si>
    <t>Item 240, Pg. 37-A</t>
  </si>
  <si>
    <t>Item 245, Pg 38-A</t>
  </si>
  <si>
    <t>Item 255, Pg 39-A</t>
  </si>
  <si>
    <t>RO Increase</t>
  </si>
  <si>
    <t>T-Stn</t>
  </si>
  <si>
    <t>WTE</t>
  </si>
  <si>
    <t>21-A</t>
  </si>
  <si>
    <t>26-A</t>
  </si>
  <si>
    <t>27-A</t>
  </si>
  <si>
    <t>30-A</t>
  </si>
  <si>
    <t>Spokane WTE</t>
  </si>
  <si>
    <t>Spokane TFS</t>
  </si>
  <si>
    <t>37-A</t>
  </si>
  <si>
    <t>38-A</t>
  </si>
  <si>
    <t>Spokane County Transfer Stations</t>
  </si>
  <si>
    <t>Rev Change</t>
  </si>
  <si>
    <t>% Change</t>
  </si>
  <si>
    <t>Bulky Material 1-4yd</t>
  </si>
  <si>
    <t>Bulky Material per Yard</t>
  </si>
  <si>
    <t>Bulky Material Min Charge</t>
  </si>
  <si>
    <t>First, Additional</t>
  </si>
  <si>
    <t>32 Gal Each Pickup</t>
  </si>
  <si>
    <t>32 Gal - Over 5 Grouped</t>
  </si>
  <si>
    <t>32 Gal - Not Grouped</t>
  </si>
  <si>
    <t>Each Add'l unit</t>
  </si>
  <si>
    <t>BILL AREAS: SPOKANE CO., TOWN OF LATAH</t>
  </si>
  <si>
    <t>Jan 17 - March 17</t>
  </si>
  <si>
    <t>April 17 - Dec 17</t>
  </si>
  <si>
    <t xml:space="preserve">Avg Cust </t>
  </si>
  <si>
    <t>Packer &amp; Roll-off</t>
  </si>
  <si>
    <t>Annual Increase</t>
  </si>
  <si>
    <t>As of Jan 1, 2018</t>
  </si>
  <si>
    <t>Proposed</t>
  </si>
  <si>
    <t>per Month</t>
  </si>
  <si>
    <t>Tariff Rate</t>
  </si>
  <si>
    <t>Annual Revenue</t>
  </si>
  <si>
    <t>Plug to Match LG</t>
  </si>
  <si>
    <t>RL001.0Y1M001</t>
  </si>
  <si>
    <t>RL 1 YD 1X MO 1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</si>
  <si>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</si>
  <si>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</si>
  <si>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</si>
  <si>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</si>
  <si>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</si>
  <si>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</si>
  <si>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</si>
  <si>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</si>
  <si>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</si>
  <si>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</si>
  <si>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</si>
  <si>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</si>
  <si>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</si>
  <si>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</si>
  <si>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</si>
  <si>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</si>
  <si>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</si>
  <si>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</si>
  <si>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>TOTAL DROP BOX HAULS/RENTAL</t>
  </si>
  <si>
    <t>DROP BOX RECYLING</t>
  </si>
  <si>
    <t>DROP BOX RECYLING (NON-REG)</t>
  </si>
  <si>
    <t>HAULREC-RO</t>
  </si>
  <si>
    <t>HAUL RECYCLE - RO</t>
  </si>
  <si>
    <t>TOTAL DROP BOX RECYCLING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</si>
  <si>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</si>
  <si>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</si>
  <si>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</si>
  <si>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</si>
  <si>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</si>
  <si>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</si>
  <si>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</si>
  <si>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RETCKC</t>
  </si>
  <si>
    <t>RETURN CHECK CHARGE</t>
  </si>
  <si>
    <t>TOTAL SERVICE CHARGES</t>
  </si>
  <si>
    <t>TOTAL REVENUE</t>
  </si>
  <si>
    <t>Note from Heather Garland: Customer Counts and Disposal Schedule have been copied from TG-180153.  The information shaded gray was taken directly from the audited file.</t>
  </si>
  <si>
    <t>Note from Heather Garland: Customer Counts and Disposal Schedule have been copied from TG-180153.</t>
  </si>
  <si>
    <t>Jan. 1, 2017 - Dec. 31, 2017</t>
  </si>
  <si>
    <t>New 1/1/2022 Rate</t>
  </si>
  <si>
    <t>Proposed Spokane Rates Effective 1-1-2022</t>
  </si>
  <si>
    <t>Resi Cust Count</t>
  </si>
  <si>
    <t>Comm Cust Count</t>
  </si>
  <si>
    <t>Spokane</t>
  </si>
  <si>
    <t>Whitman</t>
  </si>
  <si>
    <t>Total for TL</t>
  </si>
  <si>
    <t>RO Cust Count</t>
  </si>
  <si>
    <t>1 Can Monthly</t>
  </si>
  <si>
    <t>Effective 1-1-2022</t>
  </si>
  <si>
    <t>2020 PT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</si>
</sst>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&quot;$&quot;#,##0\ ;\(&quot;$&quot;#,##0\)"/>
    <numFmt numFmtId="173" formatCode="_([$$-409]* #,##0.00_);_([$$-409]* \(#,##0.00\);_([$$-409]* &quot;-&quot;??_);_(@_)"/>
    <numFmt numFmtId="174" formatCode="_(* #,##0.000_);_(* \(#,##0.000\);_(* &quot;-&quot;??_);_(@_)"/>
    <numFmt numFmtId="175" formatCode="mm\-yy;\-0;;@"/>
    <numFmt numFmtId="176" formatCode=".00#####;\-.00####;;@"/>
    <numFmt numFmtId="177" formatCode="_(&quot;$&quot;* #,##0.0000_);_(&quot;$&quot;* \(#,##0.0000\);_(&quot;$&quot;* &quot;-&quot;??_);_(@_)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1"/>
      <name val="Calibri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.5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1"/>
      <color rgb="FF002060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7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3" fillId="27" borderId="0">
      <alignment horizont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28" borderId="6" applyAlignment="0">
      <alignment horizontal="right"/>
      <protection locked="0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9" borderId="0">
      <alignment horizontal="right"/>
      <protection locked="0"/>
    </xf>
    <xf numFmtId="14" fontId="3" fillId="0" borderId="0"/>
    <xf numFmtId="0" fontId="16" fillId="0" borderId="0" applyNumberFormat="0" applyFill="0" applyBorder="0" applyAlignment="0" applyProtection="0"/>
    <xf numFmtId="2" fontId="15" fillId="29" borderId="0">
      <alignment horizontal="right"/>
      <protection locked="0"/>
    </xf>
    <xf numFmtId="1" fontId="3" fillId="0" borderId="0">
      <alignment horizontal="center"/>
    </xf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3" fontId="29" fillId="31" borderId="0">
      <protection locked="0"/>
    </xf>
    <xf numFmtId="4" fontId="29" fillId="31" borderId="0">
      <protection locked="0"/>
    </xf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43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166" fontId="36" fillId="0" borderId="0" applyNumberFormat="0"/>
    <xf numFmtId="0" fontId="22" fillId="24" borderId="18" applyNumberFormat="0" applyAlignment="0" applyProtection="0"/>
    <xf numFmtId="0" fontId="37" fillId="24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ont="0" applyFill="0" applyBorder="0" applyAlignment="0" applyProtection="0">
      <alignment horizontal="left"/>
    </xf>
    <xf numFmtId="0" fontId="39" fillId="0" borderId="20">
      <alignment horizont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Border="0" applyAlignment="0"/>
    <xf numFmtId="37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33" borderId="0" applyNumberFormat="0" applyFont="0" applyBorder="0" applyAlignment="0" applyProtection="0"/>
    <xf numFmtId="0" fontId="31" fillId="0" borderId="0" applyNumberFormat="0" applyFill="0" applyBorder="0" applyAlignment="0" applyProtection="0"/>
    <xf numFmtId="164" fontId="35" fillId="34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2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37" borderId="0" applyNumberFormat="0" applyBorder="0" applyAlignment="0" applyProtection="0"/>
    <xf numFmtId="0" fontId="5" fillId="20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3" applyNumberFormat="0" applyAlignment="0" applyProtection="0"/>
    <xf numFmtId="0" fontId="50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" fillId="0" borderId="0"/>
    <xf numFmtId="0" fontId="17" fillId="9" borderId="0" applyNumberFormat="0" applyBorder="0" applyAlignment="0" applyProtection="0"/>
    <xf numFmtId="0" fontId="49" fillId="36" borderId="0" applyNumberFormat="0" applyBorder="0" applyAlignment="0" applyProtection="0"/>
    <xf numFmtId="0" fontId="18" fillId="0" borderId="7" applyNumberFormat="0" applyFill="0" applyAlignment="0" applyProtection="0"/>
    <xf numFmtId="0" fontId="52" fillId="0" borderId="25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53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4" fillId="0" borderId="26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0" fontId="30" fillId="0" borderId="15" applyNumberFormat="0" applyFill="0" applyAlignment="0" applyProtection="0"/>
    <xf numFmtId="0" fontId="55" fillId="0" borderId="27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56" fillId="10" borderId="0" applyNumberFormat="0" applyBorder="0" applyAlignment="0" applyProtection="0"/>
    <xf numFmtId="0" fontId="33" fillId="10" borderId="0" applyNumberFormat="0" applyBorder="0" applyAlignment="0" applyProtection="0"/>
    <xf numFmtId="0" fontId="4" fillId="0" borderId="0"/>
    <xf numFmtId="0" fontId="4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1" fillId="0" borderId="0"/>
    <xf numFmtId="0" fontId="57" fillId="0" borderId="0"/>
    <xf numFmtId="0" fontId="4" fillId="0" borderId="0"/>
    <xf numFmtId="0" fontId="51" fillId="0" borderId="0"/>
    <xf numFmtId="0" fontId="3" fillId="0" borderId="0"/>
    <xf numFmtId="0" fontId="1" fillId="0" borderId="0"/>
    <xf numFmtId="0" fontId="5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5" fontId="3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1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0" fontId="37" fillId="24" borderId="1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8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" fillId="9" borderId="0" applyNumberFormat="0" applyBorder="0" applyAlignment="0" applyProtection="0"/>
    <xf numFmtId="0" fontId="79" fillId="4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79" fillId="53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79" fillId="57" borderId="0" applyNumberFormat="0" applyBorder="0" applyAlignment="0" applyProtection="0"/>
    <xf numFmtId="0" fontId="5" fillId="2" borderId="0" applyNumberFormat="0" applyBorder="0" applyAlignment="0" applyProtection="0"/>
    <xf numFmtId="0" fontId="5" fillId="11" borderId="0" applyNumberFormat="0" applyBorder="0" applyAlignment="0" applyProtection="0"/>
    <xf numFmtId="0" fontId="79" fillId="61" borderId="0" applyNumberFormat="0" applyBorder="0" applyAlignment="0" applyProtection="0"/>
    <xf numFmtId="0" fontId="5" fillId="9" borderId="0" applyNumberFormat="0" applyBorder="0" applyAlignment="0" applyProtection="0"/>
    <xf numFmtId="0" fontId="79" fillId="65" borderId="0" applyNumberFormat="0" applyBorder="0" applyAlignment="0" applyProtection="0"/>
    <xf numFmtId="0" fontId="79" fillId="69" borderId="0" applyNumberFormat="0" applyBorder="0" applyAlignment="0" applyProtection="0"/>
    <xf numFmtId="0" fontId="5" fillId="19" borderId="0" applyNumberFormat="0" applyBorder="0" applyAlignment="0" applyProtection="0"/>
    <xf numFmtId="0" fontId="79" fillId="46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79" fillId="50" borderId="0" applyNumberFormat="0" applyBorder="0" applyAlignment="0" applyProtection="0"/>
    <xf numFmtId="0" fontId="5" fillId="12" borderId="0" applyNumberFormat="0" applyBorder="0" applyAlignment="0" applyProtection="0"/>
    <xf numFmtId="0" fontId="79" fillId="5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79" fillId="58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79" fillId="62" borderId="0" applyNumberFormat="0" applyBorder="0" applyAlignment="0" applyProtection="0"/>
    <xf numFmtId="0" fontId="5" fillId="20" borderId="0" applyNumberFormat="0" applyBorder="0" applyAlignment="0" applyProtection="0"/>
    <xf numFmtId="0" fontId="79" fillId="66" borderId="0" applyNumberFormat="0" applyBorder="0" applyAlignment="0" applyProtection="0"/>
    <xf numFmtId="49" fontId="96" fillId="0" borderId="0" applyFill="0" applyBorder="0" applyAlignment="0" applyProtection="0"/>
    <xf numFmtId="0" fontId="97" fillId="0" borderId="29" applyBorder="0">
      <alignment horizontal="center" vertical="center" wrapText="1"/>
    </xf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71" fillId="40" borderId="0" applyNumberFormat="0" applyBorder="0" applyAlignment="0" applyProtection="0"/>
    <xf numFmtId="0" fontId="8" fillId="24" borderId="3" applyNumberFormat="0" applyAlignment="0" applyProtection="0"/>
    <xf numFmtId="0" fontId="75" fillId="43" borderId="4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77" fillId="44" borderId="46" applyNumberFormat="0" applyAlignment="0" applyProtection="0"/>
    <xf numFmtId="0" fontId="98" fillId="70" borderId="0" applyNumberFormat="0" applyBorder="0" applyAlignment="0" applyProtection="0">
      <alignment horizontal="center"/>
      <protection hidden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18" fillId="0" borderId="9" applyNumberFormat="0" applyFill="0" applyAlignment="0" applyProtection="0"/>
    <xf numFmtId="0" fontId="68" fillId="0" borderId="40" applyNumberFormat="0" applyFill="0" applyAlignment="0" applyProtection="0"/>
    <xf numFmtId="0" fontId="20" fillId="0" borderId="11" applyNumberFormat="0" applyFill="0" applyAlignment="0" applyProtection="0"/>
    <xf numFmtId="0" fontId="69" fillId="0" borderId="41" applyNumberFormat="0" applyFill="0" applyAlignment="0" applyProtection="0"/>
    <xf numFmtId="0" fontId="22" fillId="0" borderId="14" applyNumberFormat="0" applyFill="0" applyAlignment="0" applyProtection="0"/>
    <xf numFmtId="0" fontId="70" fillId="0" borderId="42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73" fillId="42" borderId="43" applyNumberFormat="0" applyAlignment="0" applyProtection="0"/>
    <xf numFmtId="0" fontId="97" fillId="0" borderId="29" applyBorder="0">
      <alignment horizontal="center" vertical="center" wrapText="1"/>
    </xf>
    <xf numFmtId="0" fontId="31" fillId="0" borderId="16" applyNumberFormat="0" applyFill="0" applyAlignment="0" applyProtection="0"/>
    <xf numFmtId="0" fontId="76" fillId="0" borderId="45" applyNumberFormat="0" applyFill="0" applyAlignment="0" applyProtection="0"/>
    <xf numFmtId="0" fontId="33" fillId="10" borderId="0" applyNumberFormat="0" applyBorder="0" applyAlignment="0" applyProtection="0"/>
    <xf numFmtId="0" fontId="72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57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100" fillId="0" borderId="0"/>
    <xf numFmtId="0" fontId="3" fillId="0" borderId="0"/>
    <xf numFmtId="40" fontId="10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4" fillId="0" borderId="0"/>
    <xf numFmtId="0" fontId="11" fillId="0" borderId="0">
      <alignment vertical="top"/>
    </xf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4" fillId="0" borderId="0"/>
    <xf numFmtId="0" fontId="34" fillId="0" borderId="0"/>
    <xf numFmtId="0" fontId="1" fillId="0" borderId="0"/>
    <xf numFmtId="0" fontId="11" fillId="0" borderId="0">
      <alignment vertical="top"/>
    </xf>
    <xf numFmtId="0" fontId="3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17" applyNumberFormat="0" applyFont="0" applyAlignment="0" applyProtection="0"/>
    <xf numFmtId="0" fontId="4" fillId="6" borderId="17" applyNumberFormat="0" applyFont="0" applyAlignment="0" applyProtection="0"/>
    <xf numFmtId="0" fontId="1" fillId="45" borderId="47" applyNumberFormat="0" applyFont="0" applyAlignment="0" applyProtection="0"/>
    <xf numFmtId="0" fontId="1" fillId="45" borderId="47" applyNumberFormat="0" applyFont="0" applyAlignment="0" applyProtection="0"/>
    <xf numFmtId="0" fontId="22" fillId="24" borderId="18" applyNumberFormat="0" applyAlignment="0" applyProtection="0"/>
    <xf numFmtId="0" fontId="37" fillId="24" borderId="19" applyNumberFormat="0" applyAlignment="0" applyProtection="0"/>
    <xf numFmtId="0" fontId="37" fillId="24" borderId="19" applyNumberFormat="0" applyAlignment="0" applyProtection="0"/>
    <xf numFmtId="0" fontId="74" fillId="43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175" fontId="14" fillId="0" borderId="0">
      <alignment horizontal="center"/>
    </xf>
    <xf numFmtId="0" fontId="11" fillId="0" borderId="0" applyNumberFormat="0" applyBorder="0" applyAlignment="0"/>
    <xf numFmtId="176" fontId="105" fillId="71" borderId="0" applyFill="0" applyBorder="0" applyProtection="0">
      <alignment horizontal="center"/>
      <protection hidden="1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48" applyNumberFormat="0" applyFill="0" applyAlignment="0" applyProtection="0"/>
    <xf numFmtId="0" fontId="106" fillId="0" borderId="0">
      <alignment horizontal="center"/>
    </xf>
    <xf numFmtId="0" fontId="46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3" fontId="0" fillId="0" borderId="0" xfId="80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45" fillId="0" borderId="0" xfId="0" applyFont="1"/>
    <xf numFmtId="43" fontId="0" fillId="0" borderId="0" xfId="80" applyFont="1" applyAlignment="1">
      <alignment horizontal="center"/>
    </xf>
    <xf numFmtId="0" fontId="0" fillId="0" borderId="0" xfId="0" applyFont="1" applyAlignment="1">
      <alignment horizontal="left" indent="1"/>
    </xf>
    <xf numFmtId="164" fontId="0" fillId="0" borderId="0" xfId="80" applyNumberFormat="1" applyFont="1"/>
    <xf numFmtId="0" fontId="46" fillId="0" borderId="0" xfId="0" applyFont="1" applyFill="1"/>
    <xf numFmtId="0" fontId="46" fillId="0" borderId="0" xfId="0" applyFont="1" applyFill="1" applyAlignment="1">
      <alignment horizontal="center"/>
    </xf>
    <xf numFmtId="0" fontId="0" fillId="0" borderId="0" xfId="0" applyFont="1" applyBorder="1"/>
    <xf numFmtId="168" fontId="0" fillId="0" borderId="0" xfId="80" applyNumberFormat="1" applyFont="1"/>
    <xf numFmtId="168" fontId="0" fillId="0" borderId="0" xfId="80" applyNumberFormat="1" applyFont="1" applyBorder="1"/>
    <xf numFmtId="168" fontId="0" fillId="0" borderId="6" xfId="80" applyNumberFormat="1" applyFont="1" applyBorder="1"/>
    <xf numFmtId="170" fontId="0" fillId="0" borderId="0" xfId="0" applyNumberFormat="1" applyFont="1"/>
    <xf numFmtId="171" fontId="0" fillId="0" borderId="0" xfId="0" applyNumberFormat="1" applyFont="1"/>
    <xf numFmtId="0" fontId="0" fillId="0" borderId="0" xfId="0" applyFont="1" applyBorder="1" applyAlignment="1">
      <alignment horizontal="left"/>
    </xf>
    <xf numFmtId="164" fontId="0" fillId="0" borderId="0" xfId="80" applyNumberFormat="1" applyFont="1" applyFill="1" applyBorder="1"/>
    <xf numFmtId="0" fontId="45" fillId="0" borderId="0" xfId="0" applyFont="1" applyFill="1" applyBorder="1"/>
    <xf numFmtId="44" fontId="0" fillId="0" borderId="0" xfId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67" fontId="0" fillId="0" borderId="0" xfId="1" applyNumberFormat="1" applyFont="1" applyFill="1" applyBorder="1"/>
    <xf numFmtId="169" fontId="0" fillId="0" borderId="0" xfId="1" applyNumberFormat="1" applyFont="1" applyFill="1" applyBorder="1"/>
    <xf numFmtId="44" fontId="0" fillId="0" borderId="0" xfId="0" applyNumberFormat="1" applyFont="1" applyFill="1" applyBorder="1"/>
    <xf numFmtId="44" fontId="45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45" fillId="0" borderId="6" xfId="332" applyNumberFormat="1" applyFont="1" applyBorder="1" applyAlignment="1">
      <alignment horizontal="center"/>
    </xf>
    <xf numFmtId="164" fontId="0" fillId="0" borderId="0" xfId="332" applyNumberFormat="1" applyFont="1" applyBorder="1"/>
    <xf numFmtId="164" fontId="0" fillId="0" borderId="0" xfId="332" applyNumberFormat="1" applyFont="1" applyBorder="1" applyAlignment="1">
      <alignment horizontal="right"/>
    </xf>
    <xf numFmtId="3" fontId="0" fillId="0" borderId="0" xfId="0" applyNumberFormat="1" applyFont="1" applyFill="1" applyBorder="1"/>
    <xf numFmtId="0" fontId="45" fillId="0" borderId="0" xfId="0" applyFont="1" applyFill="1"/>
    <xf numFmtId="3" fontId="0" fillId="0" borderId="0" xfId="0" applyNumberFormat="1" applyFont="1" applyAlignment="1">
      <alignment horizontal="center"/>
    </xf>
    <xf numFmtId="0" fontId="0" fillId="35" borderId="0" xfId="0" applyFont="1" applyFill="1" applyBorder="1"/>
    <xf numFmtId="0" fontId="0" fillId="35" borderId="0" xfId="0" applyFont="1" applyFill="1" applyBorder="1" applyAlignment="1">
      <alignment horizontal="center"/>
    </xf>
    <xf numFmtId="0" fontId="45" fillId="35" borderId="0" xfId="0" applyFont="1" applyFill="1" applyBorder="1"/>
    <xf numFmtId="164" fontId="0" fillId="35" borderId="0" xfId="332" applyNumberFormat="1" applyFont="1" applyFill="1" applyBorder="1"/>
    <xf numFmtId="0" fontId="0" fillId="0" borderId="0" xfId="0" applyFont="1" applyBorder="1" applyAlignment="1">
      <alignment horizontal="center"/>
    </xf>
    <xf numFmtId="0" fontId="48" fillId="0" borderId="0" xfId="314" applyFont="1" applyBorder="1"/>
    <xf numFmtId="164" fontId="0" fillId="0" borderId="6" xfId="332" applyNumberFormat="1" applyFont="1" applyBorder="1"/>
    <xf numFmtId="164" fontId="0" fillId="0" borderId="0" xfId="332" applyNumberFormat="1" applyFont="1" applyFill="1" applyBorder="1"/>
    <xf numFmtId="0" fontId="48" fillId="0" borderId="0" xfId="317" applyFont="1" applyBorder="1"/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/>
    </xf>
    <xf numFmtId="0" fontId="61" fillId="32" borderId="6" xfId="0" applyFont="1" applyFill="1" applyBorder="1" applyAlignment="1"/>
    <xf numFmtId="3" fontId="0" fillId="32" borderId="6" xfId="0" applyNumberFormat="1" applyFont="1" applyFill="1" applyBorder="1" applyAlignment="1">
      <alignment horizontal="center"/>
    </xf>
    <xf numFmtId="0" fontId="62" fillId="0" borderId="0" xfId="0" applyFont="1" applyFill="1" applyAlignment="1">
      <alignment horizontal="left"/>
    </xf>
    <xf numFmtId="0" fontId="0" fillId="32" borderId="6" xfId="0" applyFont="1" applyFill="1" applyBorder="1"/>
    <xf numFmtId="0" fontId="45" fillId="32" borderId="6" xfId="0" applyFont="1" applyFill="1" applyBorder="1"/>
    <xf numFmtId="0" fontId="45" fillId="0" borderId="0" xfId="0" applyFont="1" applyBorder="1"/>
    <xf numFmtId="0" fontId="0" fillId="32" borderId="6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42" fontId="45" fillId="0" borderId="0" xfId="0" applyNumberFormat="1" applyFont="1" applyBorder="1"/>
    <xf numFmtId="0" fontId="0" fillId="0" borderId="0" xfId="0" applyFont="1"/>
    <xf numFmtId="0" fontId="45" fillId="0" borderId="0" xfId="0" applyFont="1"/>
    <xf numFmtId="0" fontId="45" fillId="32" borderId="6" xfId="0" applyFont="1" applyFill="1" applyBorder="1" applyAlignment="1">
      <alignment horizontal="center" wrapText="1"/>
    </xf>
    <xf numFmtId="0" fontId="45" fillId="0" borderId="0" xfId="0" applyFont="1" applyBorder="1"/>
    <xf numFmtId="43" fontId="45" fillId="0" borderId="0" xfId="332" applyFont="1"/>
    <xf numFmtId="164" fontId="0" fillId="0" borderId="0" xfId="332" applyNumberFormat="1" applyFont="1"/>
    <xf numFmtId="164" fontId="45" fillId="32" borderId="6" xfId="332" applyNumberFormat="1" applyFont="1" applyFill="1" applyBorder="1"/>
    <xf numFmtId="164" fontId="0" fillId="32" borderId="6" xfId="332" applyNumberFormat="1" applyFont="1" applyFill="1" applyBorder="1"/>
    <xf numFmtId="164" fontId="0" fillId="0" borderId="0" xfId="332" applyNumberFormat="1" applyFont="1" applyFill="1"/>
    <xf numFmtId="164" fontId="45" fillId="0" borderId="0" xfId="332" applyNumberFormat="1" applyFont="1"/>
    <xf numFmtId="164" fontId="0" fillId="35" borderId="0" xfId="332" applyNumberFormat="1" applyFont="1" applyFill="1" applyBorder="1" applyAlignment="1">
      <alignment horizontal="right"/>
    </xf>
    <xf numFmtId="164" fontId="0" fillId="0" borderId="0" xfId="332" applyNumberFormat="1" applyFont="1" applyFill="1" applyBorder="1" applyAlignment="1"/>
    <xf numFmtId="43" fontId="0" fillId="0" borderId="0" xfId="332" applyNumberFormat="1" applyFont="1"/>
    <xf numFmtId="43" fontId="0" fillId="32" borderId="6" xfId="332" applyNumberFormat="1" applyFont="1" applyFill="1" applyBorder="1"/>
    <xf numFmtId="43" fontId="0" fillId="35" borderId="0" xfId="332" applyNumberFormat="1" applyFont="1" applyFill="1" applyBorder="1"/>
    <xf numFmtId="43" fontId="0" fillId="0" borderId="0" xfId="332" applyNumberFormat="1" applyFont="1" applyBorder="1"/>
    <xf numFmtId="43" fontId="0" fillId="0" borderId="6" xfId="332" applyNumberFormat="1" applyFont="1" applyBorder="1"/>
    <xf numFmtId="43" fontId="0" fillId="0" borderId="0" xfId="332" applyNumberFormat="1" applyFont="1" applyFill="1" applyBorder="1"/>
    <xf numFmtId="43" fontId="0" fillId="0" borderId="0" xfId="332" applyNumberFormat="1" applyFont="1" applyFill="1" applyBorder="1" applyAlignment="1"/>
    <xf numFmtId="173" fontId="0" fillId="0" borderId="0" xfId="0" applyNumberFormat="1" applyFont="1"/>
    <xf numFmtId="173" fontId="0" fillId="0" borderId="0" xfId="0" applyNumberFormat="1" applyFont="1" applyFill="1"/>
    <xf numFmtId="173" fontId="45" fillId="32" borderId="6" xfId="0" applyNumberFormat="1" applyFont="1" applyFill="1" applyBorder="1"/>
    <xf numFmtId="173" fontId="0" fillId="32" borderId="6" xfId="0" applyNumberFormat="1" applyFont="1" applyFill="1" applyBorder="1"/>
    <xf numFmtId="173" fontId="45" fillId="0" borderId="0" xfId="0" applyNumberFormat="1" applyFont="1"/>
    <xf numFmtId="173" fontId="0" fillId="35" borderId="0" xfId="332" applyNumberFormat="1" applyFont="1" applyFill="1" applyBorder="1"/>
    <xf numFmtId="173" fontId="0" fillId="35" borderId="0" xfId="0" applyNumberFormat="1" applyFont="1" applyFill="1" applyBorder="1"/>
    <xf numFmtId="173" fontId="0" fillId="0" borderId="0" xfId="1" applyNumberFormat="1" applyFont="1" applyBorder="1"/>
    <xf numFmtId="173" fontId="0" fillId="0" borderId="6" xfId="0" applyNumberFormat="1" applyFont="1" applyBorder="1"/>
    <xf numFmtId="173" fontId="0" fillId="0" borderId="0" xfId="0" applyNumberFormat="1" applyFont="1" applyBorder="1"/>
    <xf numFmtId="173" fontId="0" fillId="0" borderId="0" xfId="1" applyNumberFormat="1" applyFont="1" applyFill="1" applyBorder="1"/>
    <xf numFmtId="173" fontId="0" fillId="0" borderId="0" xfId="0" applyNumberFormat="1"/>
    <xf numFmtId="43" fontId="0" fillId="38" borderId="0" xfId="0" applyNumberFormat="1" applyFont="1" applyFill="1" applyBorder="1"/>
    <xf numFmtId="0" fontId="61" fillId="38" borderId="0" xfId="152" applyFont="1" applyFill="1"/>
    <xf numFmtId="3" fontId="0" fillId="0" borderId="0" xfId="0" applyNumberFormat="1" applyFont="1" applyFill="1" applyAlignment="1">
      <alignment horizontal="center"/>
    </xf>
    <xf numFmtId="44" fontId="48" fillId="38" borderId="0" xfId="333" applyFont="1" applyFill="1"/>
    <xf numFmtId="0" fontId="48" fillId="38" borderId="0" xfId="152" applyFont="1" applyFill="1"/>
    <xf numFmtId="43" fontId="48" fillId="38" borderId="0" xfId="4" applyFont="1" applyFill="1"/>
    <xf numFmtId="44" fontId="0" fillId="0" borderId="36" xfId="1" applyFont="1" applyFill="1" applyBorder="1"/>
    <xf numFmtId="10" fontId="0" fillId="38" borderId="0" xfId="2" applyNumberFormat="1" applyFont="1" applyFill="1" applyBorder="1"/>
    <xf numFmtId="0" fontId="58" fillId="0" borderId="0" xfId="0" applyFont="1" applyBorder="1" applyAlignment="1"/>
    <xf numFmtId="0" fontId="45" fillId="0" borderId="0" xfId="0" applyFont="1" applyBorder="1"/>
    <xf numFmtId="43" fontId="0" fillId="0" borderId="0" xfId="332" applyFont="1"/>
    <xf numFmtId="0" fontId="0" fillId="0" borderId="0" xfId="0" applyFont="1"/>
    <xf numFmtId="10" fontId="0" fillId="0" borderId="0" xfId="2" applyNumberFormat="1" applyFont="1" applyBorder="1" applyAlignment="1">
      <alignment horizontal="right"/>
    </xf>
    <xf numFmtId="164" fontId="0" fillId="0" borderId="0" xfId="332" applyNumberFormat="1" applyFont="1" applyBorder="1" applyAlignment="1">
      <alignment horizontal="right"/>
    </xf>
    <xf numFmtId="164" fontId="0" fillId="0" borderId="0" xfId="33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332" applyNumberFormat="1" applyFont="1" applyFill="1" applyBorder="1"/>
    <xf numFmtId="43" fontId="0" fillId="0" borderId="0" xfId="332" applyNumberFormat="1" applyFont="1" applyFill="1" applyBorder="1"/>
    <xf numFmtId="0" fontId="45" fillId="0" borderId="32" xfId="0" applyFont="1" applyBorder="1"/>
    <xf numFmtId="0" fontId="0" fillId="0" borderId="35" xfId="0" applyFont="1" applyBorder="1"/>
    <xf numFmtId="164" fontId="0" fillId="0" borderId="0" xfId="332" applyNumberFormat="1" applyFont="1" applyFill="1" applyBorder="1" applyAlignment="1">
      <alignment horizontal="right"/>
    </xf>
    <xf numFmtId="0" fontId="0" fillId="0" borderId="37" xfId="0" applyFont="1" applyBorder="1"/>
    <xf numFmtId="0" fontId="0" fillId="0" borderId="38" xfId="0" applyFont="1" applyBorder="1"/>
    <xf numFmtId="3" fontId="0" fillId="32" borderId="39" xfId="0" applyNumberFormat="1" applyFont="1" applyFill="1" applyBorder="1" applyAlignment="1">
      <alignment horizontal="center"/>
    </xf>
    <xf numFmtId="0" fontId="0" fillId="0" borderId="0" xfId="0" applyFont="1" applyFill="1"/>
    <xf numFmtId="43" fontId="45" fillId="32" borderId="0" xfId="332" applyFont="1" applyFill="1" applyBorder="1" applyAlignment="1">
      <alignment horizontal="center" wrapText="1"/>
    </xf>
    <xf numFmtId="0" fontId="45" fillId="38" borderId="6" xfId="0" applyFont="1" applyFill="1" applyBorder="1" applyAlignment="1">
      <alignment horizontal="center"/>
    </xf>
    <xf numFmtId="0" fontId="45" fillId="38" borderId="0" xfId="0" applyFont="1" applyFill="1" applyBorder="1"/>
    <xf numFmtId="0" fontId="0" fillId="38" borderId="0" xfId="0" applyFont="1" applyFill="1" applyBorder="1"/>
    <xf numFmtId="0" fontId="0" fillId="38" borderId="0" xfId="0" applyFont="1" applyFill="1"/>
    <xf numFmtId="0" fontId="0" fillId="0" borderId="0" xfId="0" applyFont="1" applyFill="1" applyBorder="1" applyAlignment="1">
      <alignment horizontal="center" vertical="center" textRotation="90"/>
    </xf>
    <xf numFmtId="44" fontId="0" fillId="0" borderId="0" xfId="1" applyFont="1" applyFill="1"/>
    <xf numFmtId="167" fontId="0" fillId="0" borderId="0" xfId="1" applyNumberFormat="1" applyFont="1" applyFill="1"/>
    <xf numFmtId="167" fontId="0" fillId="0" borderId="6" xfId="1" applyNumberFormat="1" applyFont="1" applyFill="1" applyBorder="1"/>
    <xf numFmtId="169" fontId="0" fillId="0" borderId="0" xfId="1" applyNumberFormat="1" applyFont="1" applyFill="1"/>
    <xf numFmtId="43" fontId="0" fillId="0" borderId="0" xfId="332" applyNumberFormat="1" applyFont="1" applyFill="1"/>
    <xf numFmtId="10" fontId="0" fillId="0" borderId="0" xfId="2" applyNumberFormat="1" applyFont="1" applyFill="1" applyBorder="1"/>
    <xf numFmtId="44" fontId="0" fillId="0" borderId="0" xfId="0" applyNumberFormat="1" applyFont="1"/>
    <xf numFmtId="0" fontId="0" fillId="0" borderId="0" xfId="0" applyFont="1" applyAlignment="1">
      <alignment horizontal="left"/>
    </xf>
    <xf numFmtId="10" fontId="0" fillId="0" borderId="0" xfId="0" applyNumberFormat="1" applyFont="1"/>
    <xf numFmtId="164" fontId="0" fillId="0" borderId="0" xfId="0" applyNumberFormat="1" applyFont="1"/>
    <xf numFmtId="44" fontId="45" fillId="0" borderId="0" xfId="0" applyNumberFormat="1" applyFont="1"/>
    <xf numFmtId="43" fontId="0" fillId="38" borderId="0" xfId="4" applyFont="1" applyFill="1" applyAlignment="1">
      <alignment horizontal="center"/>
    </xf>
    <xf numFmtId="0" fontId="45" fillId="38" borderId="35" xfId="0" applyFont="1" applyFill="1" applyBorder="1"/>
    <xf numFmtId="0" fontId="59" fillId="38" borderId="35" xfId="0" applyFont="1" applyFill="1" applyBorder="1"/>
    <xf numFmtId="0" fontId="60" fillId="38" borderId="35" xfId="0" applyFont="1" applyFill="1" applyBorder="1"/>
    <xf numFmtId="174" fontId="0" fillId="0" borderId="0" xfId="0" applyNumberFormat="1" applyFont="1" applyBorder="1" applyAlignment="1">
      <alignment horizontal="right"/>
    </xf>
    <xf numFmtId="0" fontId="48" fillId="0" borderId="0" xfId="553" applyFont="1"/>
    <xf numFmtId="43" fontId="0" fillId="0" borderId="0" xfId="332" applyFont="1" applyFill="1" applyBorder="1" applyAlignment="1">
      <alignment horizontal="right"/>
    </xf>
    <xf numFmtId="43" fontId="0" fillId="0" borderId="6" xfId="332" applyFont="1" applyFill="1" applyBorder="1" applyAlignment="1">
      <alignment horizontal="right"/>
    </xf>
    <xf numFmtId="43" fontId="45" fillId="0" borderId="0" xfId="332" applyFont="1" applyFill="1" applyBorder="1" applyAlignment="1">
      <alignment horizontal="right"/>
    </xf>
    <xf numFmtId="0" fontId="0" fillId="0" borderId="0" xfId="0" applyFont="1" applyFill="1" applyBorder="1" applyAlignment="1">
      <alignment vertical="center" textRotation="90" wrapText="1"/>
    </xf>
    <xf numFmtId="3" fontId="0" fillId="0" borderId="0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vertical="center" textRotation="90" wrapText="1"/>
    </xf>
    <xf numFmtId="3" fontId="0" fillId="0" borderId="6" xfId="0" applyNumberFormat="1" applyFont="1" applyFill="1" applyBorder="1" applyAlignment="1">
      <alignment horizontal="center"/>
    </xf>
    <xf numFmtId="0" fontId="0" fillId="0" borderId="6" xfId="0" applyFont="1" applyBorder="1"/>
    <xf numFmtId="173" fontId="0" fillId="0" borderId="6" xfId="0" applyNumberFormat="1" applyFont="1" applyFill="1" applyBorder="1"/>
    <xf numFmtId="43" fontId="0" fillId="0" borderId="0" xfId="332" applyFont="1" applyFill="1"/>
    <xf numFmtId="173" fontId="45" fillId="0" borderId="0" xfId="0" applyNumberFormat="1" applyFont="1" applyAlignment="1">
      <alignment horizontal="right"/>
    </xf>
    <xf numFmtId="173" fontId="63" fillId="0" borderId="0" xfId="0" applyNumberFormat="1" applyFont="1" applyAlignment="1">
      <alignment horizontal="right"/>
    </xf>
    <xf numFmtId="173" fontId="0" fillId="0" borderId="6" xfId="0" applyNumberFormat="1" applyBorder="1"/>
    <xf numFmtId="173" fontId="45" fillId="0" borderId="24" xfId="0" applyNumberFormat="1" applyFont="1" applyBorder="1"/>
    <xf numFmtId="10" fontId="0" fillId="0" borderId="0" xfId="2" applyNumberFormat="1" applyFont="1" applyAlignment="1">
      <alignment horizontal="left"/>
    </xf>
    <xf numFmtId="43" fontId="0" fillId="0" borderId="0" xfId="332" applyFont="1" applyAlignment="1">
      <alignment horizontal="center"/>
    </xf>
    <xf numFmtId="0" fontId="0" fillId="38" borderId="32" xfId="0" applyFont="1" applyFill="1" applyBorder="1"/>
    <xf numFmtId="0" fontId="0" fillId="38" borderId="33" xfId="0" applyFont="1" applyFill="1" applyBorder="1"/>
    <xf numFmtId="0" fontId="0" fillId="38" borderId="34" xfId="0" applyFont="1" applyFill="1" applyBorder="1"/>
    <xf numFmtId="0" fontId="0" fillId="38" borderId="36" xfId="0" applyFont="1" applyFill="1" applyBorder="1"/>
    <xf numFmtId="0" fontId="0" fillId="38" borderId="35" xfId="0" applyFont="1" applyFill="1" applyBorder="1"/>
    <xf numFmtId="43" fontId="0" fillId="38" borderId="6" xfId="0" applyNumberFormat="1" applyFont="1" applyFill="1" applyBorder="1"/>
    <xf numFmtId="0" fontId="0" fillId="38" borderId="37" xfId="0" applyFont="1" applyFill="1" applyBorder="1"/>
    <xf numFmtId="0" fontId="0" fillId="38" borderId="20" xfId="0" applyFont="1" applyFill="1" applyBorder="1"/>
    <xf numFmtId="0" fontId="0" fillId="38" borderId="38" xfId="0" applyFont="1" applyFill="1" applyBorder="1"/>
    <xf numFmtId="0" fontId="61" fillId="38" borderId="0" xfId="525" applyFont="1" applyFill="1"/>
    <xf numFmtId="43" fontId="48" fillId="38" borderId="0" xfId="4" applyFont="1" applyFill="1" applyBorder="1"/>
    <xf numFmtId="44" fontId="48" fillId="38" borderId="0" xfId="333" applyFont="1" applyFill="1" applyBorder="1"/>
    <xf numFmtId="0" fontId="48" fillId="38" borderId="0" xfId="525" applyFont="1" applyFill="1"/>
    <xf numFmtId="43" fontId="61" fillId="38" borderId="0" xfId="4" applyFont="1" applyFill="1" applyBorder="1"/>
    <xf numFmtId="43" fontId="61" fillId="38" borderId="0" xfId="4" applyFont="1" applyFill="1" applyBorder="1" applyAlignment="1">
      <alignment horizontal="center"/>
    </xf>
    <xf numFmtId="43" fontId="48" fillId="38" borderId="6" xfId="4" applyFont="1" applyFill="1" applyBorder="1" applyAlignment="1">
      <alignment horizontal="center"/>
    </xf>
    <xf numFmtId="44" fontId="48" fillId="38" borderId="6" xfId="333" applyFont="1" applyFill="1" applyBorder="1" applyAlignment="1">
      <alignment horizontal="center"/>
    </xf>
    <xf numFmtId="44" fontId="48" fillId="38" borderId="0" xfId="333" applyFont="1" applyFill="1" applyBorder="1" applyAlignment="1">
      <alignment horizontal="center"/>
    </xf>
    <xf numFmtId="17" fontId="48" fillId="38" borderId="0" xfId="525" applyNumberFormat="1" applyFont="1" applyFill="1" applyAlignment="1">
      <alignment horizontal="left"/>
    </xf>
    <xf numFmtId="43" fontId="48" fillId="38" borderId="0" xfId="4" applyFont="1" applyFill="1" applyAlignment="1">
      <alignment horizontal="right"/>
    </xf>
    <xf numFmtId="43" fontId="48" fillId="38" borderId="0" xfId="4" quotePrefix="1" applyFont="1" applyFill="1" applyAlignment="1">
      <alignment horizontal="right"/>
    </xf>
    <xf numFmtId="44" fontId="48" fillId="38" borderId="0" xfId="333" quotePrefix="1" applyFont="1" applyFill="1" applyAlignment="1">
      <alignment horizontal="right"/>
    </xf>
    <xf numFmtId="43" fontId="64" fillId="38" borderId="0" xfId="4" applyFont="1" applyFill="1" applyAlignment="1">
      <alignment horizontal="right"/>
    </xf>
    <xf numFmtId="44" fontId="64" fillId="38" borderId="0" xfId="333" applyFont="1" applyFill="1"/>
    <xf numFmtId="43" fontId="64" fillId="38" borderId="0" xfId="4" quotePrefix="1" applyFont="1" applyFill="1" applyAlignment="1">
      <alignment horizontal="right"/>
    </xf>
    <xf numFmtId="43" fontId="64" fillId="38" borderId="0" xfId="4" applyFont="1" applyFill="1"/>
    <xf numFmtId="43" fontId="48" fillId="38" borderId="31" xfId="4" applyFont="1" applyFill="1" applyBorder="1"/>
    <xf numFmtId="44" fontId="48" fillId="38" borderId="31" xfId="333" applyFont="1" applyFill="1" applyBorder="1"/>
    <xf numFmtId="43" fontId="0" fillId="38" borderId="0" xfId="0" applyNumberFormat="1" applyFont="1" applyFill="1"/>
    <xf numFmtId="173" fontId="45" fillId="0" borderId="0" xfId="0" applyNumberFormat="1" applyFont="1" applyAlignment="1">
      <alignment horizontal="center"/>
    </xf>
    <xf numFmtId="0" fontId="60" fillId="0" borderId="0" xfId="0" applyFont="1"/>
    <xf numFmtId="44" fontId="0" fillId="38" borderId="0" xfId="0" applyNumberFormat="1" applyFont="1" applyFill="1" applyBorder="1"/>
    <xf numFmtId="43" fontId="0" fillId="38" borderId="0" xfId="332" applyFont="1" applyFill="1"/>
    <xf numFmtId="0" fontId="82" fillId="38" borderId="0" xfId="3" applyFont="1" applyFill="1" applyAlignment="1">
      <alignment horizontal="left"/>
    </xf>
    <xf numFmtId="0" fontId="80" fillId="38" borderId="0" xfId="0" applyFont="1" applyFill="1"/>
    <xf numFmtId="0" fontId="81" fillId="38" borderId="0" xfId="3" applyFont="1" applyFill="1"/>
    <xf numFmtId="0" fontId="82" fillId="38" borderId="0" xfId="3" applyFont="1" applyFill="1"/>
    <xf numFmtId="0" fontId="81" fillId="38" borderId="0" xfId="3" applyFont="1" applyFill="1" applyAlignment="1">
      <alignment horizontal="center"/>
    </xf>
    <xf numFmtId="0" fontId="83" fillId="38" borderId="0" xfId="0" applyFont="1" applyFill="1"/>
    <xf numFmtId="164" fontId="83" fillId="38" borderId="0" xfId="332" applyNumberFormat="1" applyFont="1" applyFill="1"/>
    <xf numFmtId="43" fontId="84" fillId="38" borderId="0" xfId="3" applyNumberFormat="1" applyFont="1" applyFill="1"/>
    <xf numFmtId="43" fontId="81" fillId="38" borderId="0" xfId="3" applyNumberFormat="1" applyFont="1" applyFill="1"/>
    <xf numFmtId="0" fontId="85" fillId="38" borderId="0" xfId="3" applyFont="1" applyFill="1" applyAlignment="1">
      <alignment horizontal="left"/>
    </xf>
    <xf numFmtId="2" fontId="81" fillId="38" borderId="0" xfId="3" applyNumberFormat="1" applyFont="1" applyFill="1"/>
    <xf numFmtId="0" fontId="85" fillId="38" borderId="0" xfId="3" applyFont="1" applyFill="1" applyAlignment="1">
      <alignment horizontal="center" wrapText="1"/>
    </xf>
    <xf numFmtId="0" fontId="86" fillId="38" borderId="0" xfId="3" applyFont="1" applyFill="1" applyAlignment="1">
      <alignment horizontal="center"/>
    </xf>
    <xf numFmtId="17" fontId="86" fillId="38" borderId="0" xfId="3" applyNumberFormat="1" applyFont="1" applyFill="1" applyAlignment="1">
      <alignment horizontal="center"/>
    </xf>
    <xf numFmtId="0" fontId="86" fillId="38" borderId="0" xfId="3" applyFont="1" applyFill="1" applyAlignment="1">
      <alignment horizontal="center" wrapText="1"/>
    </xf>
    <xf numFmtId="17" fontId="85" fillId="38" borderId="0" xfId="3" applyNumberFormat="1" applyFont="1" applyFill="1" applyAlignment="1">
      <alignment horizontal="center"/>
    </xf>
    <xf numFmtId="0" fontId="80" fillId="38" borderId="0" xfId="0" applyFont="1" applyFill="1" applyAlignment="1">
      <alignment horizontal="center" wrapText="1"/>
    </xf>
    <xf numFmtId="0" fontId="87" fillId="38" borderId="0" xfId="3" applyFont="1" applyFill="1" applyAlignment="1">
      <alignment horizontal="center"/>
    </xf>
    <xf numFmtId="0" fontId="85" fillId="38" borderId="0" xfId="3" applyFont="1" applyFill="1" applyAlignment="1">
      <alignment horizontal="center"/>
    </xf>
    <xf numFmtId="14" fontId="85" fillId="38" borderId="0" xfId="3" applyNumberFormat="1" applyFont="1" applyFill="1" applyAlignment="1">
      <alignment horizontal="center" wrapText="1"/>
    </xf>
    <xf numFmtId="10" fontId="80" fillId="38" borderId="0" xfId="2" applyNumberFormat="1" applyFont="1" applyFill="1" applyAlignment="1">
      <alignment horizontal="center" wrapText="1"/>
    </xf>
    <xf numFmtId="0" fontId="89" fillId="38" borderId="0" xfId="0" applyFont="1" applyFill="1"/>
    <xf numFmtId="0" fontId="90" fillId="38" borderId="0" xfId="0" applyFont="1" applyFill="1" applyAlignment="1">
      <alignment horizontal="right"/>
    </xf>
    <xf numFmtId="10" fontId="90" fillId="38" borderId="0" xfId="2" applyNumberFormat="1" applyFont="1" applyFill="1"/>
    <xf numFmtId="164" fontId="81" fillId="38" borderId="0" xfId="332" applyNumberFormat="1" applyFont="1" applyFill="1"/>
    <xf numFmtId="0" fontId="91" fillId="38" borderId="0" xfId="3" applyFont="1" applyFill="1" applyAlignment="1">
      <alignment horizontal="left"/>
    </xf>
    <xf numFmtId="43" fontId="81" fillId="38" borderId="0" xfId="4" applyFont="1" applyFill="1" applyAlignment="1">
      <alignment horizontal="center"/>
    </xf>
    <xf numFmtId="164" fontId="81" fillId="38" borderId="0" xfId="4" applyNumberFormat="1" applyFont="1" applyFill="1"/>
    <xf numFmtId="43" fontId="83" fillId="38" borderId="0" xfId="4" applyNumberFormat="1" applyFont="1" applyFill="1"/>
    <xf numFmtId="164" fontId="83" fillId="38" borderId="0" xfId="4" applyNumberFormat="1" applyFont="1" applyFill="1"/>
    <xf numFmtId="4" fontId="81" fillId="38" borderId="0" xfId="3" applyNumberFormat="1" applyFont="1" applyFill="1"/>
    <xf numFmtId="164" fontId="81" fillId="38" borderId="0" xfId="3" applyNumberFormat="1" applyFont="1" applyFill="1"/>
    <xf numFmtId="0" fontId="92" fillId="38" borderId="0" xfId="0" applyFont="1" applyFill="1"/>
    <xf numFmtId="0" fontId="81" fillId="38" borderId="0" xfId="3" applyFont="1" applyFill="1" applyBorder="1"/>
    <xf numFmtId="0" fontId="85" fillId="38" borderId="0" xfId="3" applyFont="1" applyFill="1" applyBorder="1" applyAlignment="1">
      <alignment horizontal="right"/>
    </xf>
    <xf numFmtId="44" fontId="93" fillId="38" borderId="1" xfId="333" applyFont="1" applyFill="1" applyBorder="1"/>
    <xf numFmtId="164" fontId="85" fillId="38" borderId="2" xfId="4" applyNumberFormat="1" applyFont="1" applyFill="1" applyBorder="1"/>
    <xf numFmtId="164" fontId="85" fillId="38" borderId="0" xfId="4" applyNumberFormat="1" applyFont="1" applyFill="1" applyBorder="1"/>
    <xf numFmtId="164" fontId="85" fillId="38" borderId="1" xfId="332" applyNumberFormat="1" applyFont="1" applyFill="1" applyBorder="1"/>
    <xf numFmtId="164" fontId="81" fillId="38" borderId="0" xfId="332" applyNumberFormat="1" applyFont="1" applyFill="1" applyBorder="1"/>
    <xf numFmtId="44" fontId="85" fillId="38" borderId="1" xfId="332" applyNumberFormat="1" applyFont="1" applyFill="1" applyBorder="1"/>
    <xf numFmtId="0" fontId="81" fillId="38" borderId="0" xfId="0" applyFont="1" applyFill="1" applyAlignment="1">
      <alignment vertical="top"/>
    </xf>
    <xf numFmtId="0" fontId="85" fillId="38" borderId="0" xfId="3" applyFont="1" applyFill="1" applyAlignment="1">
      <alignment horizontal="right"/>
    </xf>
    <xf numFmtId="164" fontId="80" fillId="38" borderId="2" xfId="4" applyNumberFormat="1" applyFont="1" applyFill="1" applyBorder="1"/>
    <xf numFmtId="164" fontId="80" fillId="38" borderId="0" xfId="4" applyNumberFormat="1" applyFont="1" applyFill="1" applyBorder="1"/>
    <xf numFmtId="0" fontId="91" fillId="38" borderId="0" xfId="3" applyFont="1" applyFill="1" applyAlignment="1">
      <alignment horizontal="center"/>
    </xf>
    <xf numFmtId="0" fontId="85" fillId="38" borderId="0" xfId="3" applyFont="1" applyFill="1" applyBorder="1"/>
    <xf numFmtId="2" fontId="83" fillId="38" borderId="0" xfId="0" applyNumberFormat="1" applyFont="1" applyFill="1"/>
    <xf numFmtId="4" fontId="83" fillId="38" borderId="0" xfId="0" applyNumberFormat="1" applyFont="1" applyFill="1"/>
    <xf numFmtId="164" fontId="80" fillId="38" borderId="1" xfId="332" applyNumberFormat="1" applyFont="1" applyFill="1" applyBorder="1"/>
    <xf numFmtId="0" fontId="83" fillId="38" borderId="0" xfId="0" applyFont="1" applyFill="1" applyBorder="1"/>
    <xf numFmtId="164" fontId="83" fillId="38" borderId="0" xfId="332" applyNumberFormat="1" applyFont="1" applyFill="1" applyBorder="1"/>
    <xf numFmtId="44" fontId="80" fillId="38" borderId="1" xfId="332" applyNumberFormat="1" applyFont="1" applyFill="1" applyBorder="1"/>
    <xf numFmtId="44" fontId="93" fillId="38" borderId="0" xfId="333" applyFont="1" applyFill="1" applyBorder="1"/>
    <xf numFmtId="164" fontId="83" fillId="38" borderId="24" xfId="332" applyNumberFormat="1" applyFont="1" applyFill="1" applyBorder="1"/>
    <xf numFmtId="0" fontId="85" fillId="38" borderId="0" xfId="3" applyFont="1" applyFill="1" applyBorder="1" applyAlignment="1">
      <alignment horizontal="left"/>
    </xf>
    <xf numFmtId="43" fontId="83" fillId="38" borderId="0" xfId="4" applyFont="1" applyFill="1"/>
    <xf numFmtId="0" fontId="85" fillId="38" borderId="0" xfId="3" applyFont="1" applyFill="1"/>
    <xf numFmtId="164" fontId="83" fillId="38" borderId="0" xfId="0" applyNumberFormat="1" applyFont="1" applyFill="1"/>
    <xf numFmtId="0" fontId="94" fillId="38" borderId="0" xfId="0" applyFont="1" applyFill="1" applyAlignment="1">
      <alignment horizontal="right"/>
    </xf>
    <xf numFmtId="43" fontId="83" fillId="38" borderId="0" xfId="0" applyNumberFormat="1" applyFont="1" applyFill="1"/>
    <xf numFmtId="44" fontId="83" fillId="38" borderId="0" xfId="0" applyNumberFormat="1" applyFont="1" applyFill="1"/>
    <xf numFmtId="0" fontId="95" fillId="38" borderId="0" xfId="0" applyFont="1" applyFill="1"/>
    <xf numFmtId="10" fontId="0" fillId="0" borderId="0" xfId="2" applyNumberFormat="1" applyFont="1"/>
    <xf numFmtId="44" fontId="0" fillId="38" borderId="0" xfId="0" applyNumberFormat="1" applyFont="1" applyFill="1"/>
    <xf numFmtId="177" fontId="0" fillId="38" borderId="0" xfId="0" applyNumberFormat="1" applyFont="1" applyFill="1"/>
    <xf numFmtId="43" fontId="48" fillId="0" borderId="0" xfId="332" applyNumberFormat="1" applyFont="1"/>
    <xf numFmtId="43" fontId="61" fillId="32" borderId="0" xfId="332" applyNumberFormat="1" applyFont="1" applyFill="1" applyBorder="1" applyAlignment="1">
      <alignment horizontal="center" wrapText="1"/>
    </xf>
    <xf numFmtId="43" fontId="48" fillId="0" borderId="0" xfId="332" applyNumberFormat="1" applyFont="1" applyFill="1"/>
    <xf numFmtId="164" fontId="0" fillId="0" borderId="0" xfId="0" applyNumberFormat="1"/>
    <xf numFmtId="43" fontId="0" fillId="0" borderId="0" xfId="0" applyNumberFormat="1"/>
    <xf numFmtId="0" fontId="0" fillId="72" borderId="0" xfId="0" applyFont="1" applyFill="1"/>
    <xf numFmtId="0" fontId="107" fillId="0" borderId="0" xfId="0" applyFont="1"/>
    <xf numFmtId="0" fontId="107" fillId="0" borderId="0" xfId="0" applyFont="1" applyAlignment="1">
      <alignment horizontal="right"/>
    </xf>
    <xf numFmtId="164" fontId="107" fillId="0" borderId="0" xfId="0" applyNumberFormat="1" applyFont="1"/>
    <xf numFmtId="164" fontId="107" fillId="0" borderId="0" xfId="332" applyNumberFormat="1" applyFont="1"/>
    <xf numFmtId="44" fontId="81" fillId="38" borderId="0" xfId="3" applyNumberFormat="1" applyFont="1" applyFill="1"/>
    <xf numFmtId="0" fontId="0" fillId="0" borderId="0" xfId="0" applyFont="1" applyFill="1" applyAlignment="1">
      <alignment horizontal="center"/>
    </xf>
    <xf numFmtId="44" fontId="0" fillId="39" borderId="6" xfId="1" applyFont="1" applyFill="1" applyBorder="1"/>
    <xf numFmtId="44" fontId="0" fillId="39" borderId="0" xfId="1" applyFont="1" applyFill="1"/>
    <xf numFmtId="44" fontId="0" fillId="39" borderId="0" xfId="1" applyFont="1" applyFill="1" applyBorder="1"/>
    <xf numFmtId="164" fontId="0" fillId="39" borderId="6" xfId="332" applyNumberFormat="1" applyFont="1" applyFill="1" applyBorder="1"/>
    <xf numFmtId="0" fontId="45" fillId="72" borderId="0" xfId="0" applyFont="1" applyFill="1"/>
    <xf numFmtId="0" fontId="0" fillId="72" borderId="0" xfId="0" applyFont="1" applyFill="1" applyAlignment="1">
      <alignment horizontal="center"/>
    </xf>
    <xf numFmtId="173" fontId="0" fillId="0" borderId="0" xfId="0" applyNumberFormat="1" applyFont="1" applyFill="1" applyBorder="1"/>
    <xf numFmtId="0" fontId="0" fillId="73" borderId="0" xfId="0" applyFont="1" applyFill="1"/>
    <xf numFmtId="43" fontId="0" fillId="73" borderId="0" xfId="332" applyFont="1" applyFill="1"/>
    <xf numFmtId="43" fontId="48" fillId="73" borderId="0" xfId="332" applyNumberFormat="1" applyFont="1" applyFill="1"/>
    <xf numFmtId="0" fontId="0" fillId="73" borderId="0" xfId="0" applyFill="1"/>
    <xf numFmtId="173" fontId="0" fillId="0" borderId="0" xfId="0" applyNumberFormat="1" applyFont="1" applyFill="1" applyBorder="1" applyAlignment="1">
      <alignment horizontal="right"/>
    </xf>
    <xf numFmtId="10" fontId="45" fillId="0" borderId="0" xfId="2" applyNumberFormat="1" applyFont="1" applyFill="1" applyBorder="1"/>
    <xf numFmtId="0" fontId="0" fillId="3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45" fillId="32" borderId="6" xfId="0" applyFont="1" applyFill="1" applyBorder="1" applyAlignment="1">
      <alignment horizontal="center"/>
    </xf>
    <xf numFmtId="173" fontId="45" fillId="0" borderId="0" xfId="0" applyNumberFormat="1" applyFont="1" applyFill="1" applyBorder="1" applyAlignment="1">
      <alignment horizontal="center" wrapText="1"/>
    </xf>
    <xf numFmtId="0" fontId="0" fillId="0" borderId="24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3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4" xfId="0" applyFont="1" applyFill="1" applyBorder="1" applyAlignment="1">
      <alignment horizontal="center" vertical="center" textRotation="90"/>
    </xf>
    <xf numFmtId="0" fontId="58" fillId="38" borderId="0" xfId="0" applyFont="1" applyFill="1" applyBorder="1" applyAlignment="1">
      <alignment horizontal="left" wrapText="1"/>
    </xf>
    <xf numFmtId="43" fontId="61" fillId="38" borderId="29" xfId="4" applyFont="1" applyFill="1" applyBorder="1" applyAlignment="1">
      <alignment horizontal="center"/>
    </xf>
    <xf numFmtId="43" fontId="61" fillId="38" borderId="1" xfId="4" applyFont="1" applyFill="1" applyBorder="1" applyAlignment="1">
      <alignment horizontal="center"/>
    </xf>
    <xf numFmtId="43" fontId="61" fillId="38" borderId="30" xfId="4" applyFont="1" applyFill="1" applyBorder="1" applyAlignment="1">
      <alignment horizontal="center"/>
    </xf>
    <xf numFmtId="0" fontId="61" fillId="38" borderId="29" xfId="525" applyFont="1" applyFill="1" applyBorder="1" applyAlignment="1">
      <alignment horizontal="center"/>
    </xf>
    <xf numFmtId="0" fontId="61" fillId="38" borderId="30" xfId="525" applyFont="1" applyFill="1" applyBorder="1" applyAlignment="1">
      <alignment horizontal="center"/>
    </xf>
    <xf numFmtId="43" fontId="48" fillId="38" borderId="0" xfId="4" applyFont="1" applyFill="1" applyAlignment="1">
      <alignment horizontal="center"/>
    </xf>
    <xf numFmtId="164" fontId="80" fillId="38" borderId="0" xfId="332" applyNumberFormat="1" applyFont="1" applyFill="1" applyAlignment="1">
      <alignment horizontal="center" wrapText="1"/>
    </xf>
    <xf numFmtId="0" fontId="88" fillId="38" borderId="0" xfId="0" applyFont="1" applyFill="1" applyBorder="1" applyAlignment="1">
      <alignment horizontal="center"/>
    </xf>
  </cellXfs>
  <cellStyles count="1262">
    <cellStyle name="20% - Accent1 2" xfId="6"/>
    <cellStyle name="20% - Accent1 2 2" xfId="334"/>
    <cellStyle name="20% - Accent1 2 3" xfId="335"/>
    <cellStyle name="20% - Accent1 2 4" xfId="564"/>
    <cellStyle name="20% - Accent1 3" xfId="7"/>
    <cellStyle name="20% - Accent1 3 2" xfId="336"/>
    <cellStyle name="20% - Accent1 3 3" xfId="337"/>
    <cellStyle name="20% - Accent1 4" xfId="8"/>
    <cellStyle name="20% - Accent1 4 2" xfId="565"/>
    <cellStyle name="20% - Accent1 5" xfId="566"/>
    <cellStyle name="20% - Accent2 2" xfId="9"/>
    <cellStyle name="20% - Accent2 3" xfId="297"/>
    <cellStyle name="20% - Accent2 3 2" xfId="338"/>
    <cellStyle name="20% - Accent2 4" xfId="567"/>
    <cellStyle name="20% - Accent2 5" xfId="568"/>
    <cellStyle name="20% - Accent3 2" xfId="10"/>
    <cellStyle name="20% - Accent3 3" xfId="298"/>
    <cellStyle name="20% - Accent3 3 2" xfId="339"/>
    <cellStyle name="20% - Accent3 4" xfId="569"/>
    <cellStyle name="20% - Accent3 5" xfId="570"/>
    <cellStyle name="20% - Accent4 2" xfId="11"/>
    <cellStyle name="20% - Accent4 2 2" xfId="340"/>
    <cellStyle name="20% - Accent4 2 3" xfId="341"/>
    <cellStyle name="20% - Accent4 3" xfId="12"/>
    <cellStyle name="20% - Accent4 3 2" xfId="342"/>
    <cellStyle name="20% - Accent4 3 3" xfId="343"/>
    <cellStyle name="20% - Accent4 4" xfId="13"/>
    <cellStyle name="20% - Accent4 4 2" xfId="571"/>
    <cellStyle name="20% - Accent4 5" xfId="572"/>
    <cellStyle name="20% - Accent5 2" xfId="14"/>
    <cellStyle name="20% - Accent5 3" xfId="299"/>
    <cellStyle name="20% - Accent5 4" xfId="573"/>
    <cellStyle name="20% - Accent5 5" xfId="574"/>
    <cellStyle name="20% - Accent6 2" xfId="15"/>
    <cellStyle name="20% - Accent6 3" xfId="300"/>
    <cellStyle name="20% - Accent6 3 2" xfId="344"/>
    <cellStyle name="20% - Accent6 4" xfId="575"/>
    <cellStyle name="20% - Accent6 5" xfId="576"/>
    <cellStyle name="40% - Accent1 2" xfId="16"/>
    <cellStyle name="40% - Accent1 2 2" xfId="577"/>
    <cellStyle name="40% - Accent1 2 3" xfId="578"/>
    <cellStyle name="40% - Accent1 3" xfId="17"/>
    <cellStyle name="40% - Accent1 3 2" xfId="345"/>
    <cellStyle name="40% - Accent1 3 3" xfId="346"/>
    <cellStyle name="40% - Accent1 4" xfId="18"/>
    <cellStyle name="40% - Accent1 4 2" xfId="579"/>
    <cellStyle name="40% - Accent1 5" xfId="580"/>
    <cellStyle name="40% - Accent2 2" xfId="19"/>
    <cellStyle name="40% - Accent2 3" xfId="301"/>
    <cellStyle name="40% - Accent2 4" xfId="581"/>
    <cellStyle name="40% - Accent2 5" xfId="582"/>
    <cellStyle name="40% - Accent3 2" xfId="20"/>
    <cellStyle name="40% - Accent3 3" xfId="302"/>
    <cellStyle name="40% - Accent3 3 2" xfId="347"/>
    <cellStyle name="40% - Accent3 4" xfId="583"/>
    <cellStyle name="40% - Accent3 5" xfId="584"/>
    <cellStyle name="40% - Accent4 2" xfId="21"/>
    <cellStyle name="40% - Accent4 2 2" xfId="585"/>
    <cellStyle name="40% - Accent4 2 3" xfId="586"/>
    <cellStyle name="40% - Accent4 3" xfId="22"/>
    <cellStyle name="40% - Accent4 3 2" xfId="348"/>
    <cellStyle name="40% - Accent4 3 3" xfId="349"/>
    <cellStyle name="40% - Accent4 4" xfId="23"/>
    <cellStyle name="40% - Accent4 4 2" xfId="587"/>
    <cellStyle name="40% - Accent4 5" xfId="588"/>
    <cellStyle name="40% - Accent5 2" xfId="24"/>
    <cellStyle name="40% - Accent5 2 2" xfId="589"/>
    <cellStyle name="40% - Accent5 2 3" xfId="590"/>
    <cellStyle name="40% - Accent5 3" xfId="25"/>
    <cellStyle name="40% - Accent5 3 2" xfId="350"/>
    <cellStyle name="40% - Accent5 4" xfId="591"/>
    <cellStyle name="40% - Accent5 5" xfId="592"/>
    <cellStyle name="40% - Accent6 2" xfId="26"/>
    <cellStyle name="40% - Accent6 2 2" xfId="593"/>
    <cellStyle name="40% - Accent6 2 3" xfId="594"/>
    <cellStyle name="40% - Accent6 3" xfId="27"/>
    <cellStyle name="40% - Accent6 3 2" xfId="351"/>
    <cellStyle name="40% - Accent6 3 3" xfId="352"/>
    <cellStyle name="40% - Accent6 4" xfId="28"/>
    <cellStyle name="40% - Accent6 4 2" xfId="595"/>
    <cellStyle name="40% - Accent6 5" xfId="596"/>
    <cellStyle name="60% - Accent1 2" xfId="29"/>
    <cellStyle name="60% - Accent1 2 2" xfId="353"/>
    <cellStyle name="60% - Accent1 2 3" xfId="354"/>
    <cellStyle name="60% - Accent1 2 4" xfId="597"/>
    <cellStyle name="60% - Accent1 3" xfId="30"/>
    <cellStyle name="60% - Accent1 3 2" xfId="355"/>
    <cellStyle name="60% - Accent1 3 3" xfId="356"/>
    <cellStyle name="60% - Accent1 4" xfId="31"/>
    <cellStyle name="60% - Accent1 4 2" xfId="598"/>
    <cellStyle name="60% - Accent2 2" xfId="32"/>
    <cellStyle name="60% - Accent2 2 2" xfId="599"/>
    <cellStyle name="60% - Accent2 2 3" xfId="600"/>
    <cellStyle name="60% - Accent2 3" xfId="33"/>
    <cellStyle name="60% - Accent2 3 2" xfId="357"/>
    <cellStyle name="60% - Accent2 4" xfId="601"/>
    <cellStyle name="60% - Accent3 2" xfId="34"/>
    <cellStyle name="60% - Accent3 2 2" xfId="602"/>
    <cellStyle name="60% - Accent3 2 3" xfId="603"/>
    <cellStyle name="60% - Accent3 3" xfId="35"/>
    <cellStyle name="60% - Accent3 3 2" xfId="358"/>
    <cellStyle name="60% - Accent3 3 3" xfId="359"/>
    <cellStyle name="60% - Accent3 4" xfId="36"/>
    <cellStyle name="60% - Accent3 4 2" xfId="604"/>
    <cellStyle name="60% - Accent4 2" xfId="37"/>
    <cellStyle name="60% - Accent4 2 2" xfId="605"/>
    <cellStyle name="60% - Accent4 2 3" xfId="606"/>
    <cellStyle name="60% - Accent4 3" xfId="38"/>
    <cellStyle name="60% - Accent4 3 2" xfId="360"/>
    <cellStyle name="60% - Accent4 3 3" xfId="361"/>
    <cellStyle name="60% - Accent4 4" xfId="39"/>
    <cellStyle name="60% - Accent4 4 2" xfId="607"/>
    <cellStyle name="60% - Accent5 2" xfId="40"/>
    <cellStyle name="60% - Accent5 2 2" xfId="362"/>
    <cellStyle name="60% - Accent5 2 3" xfId="363"/>
    <cellStyle name="60% - Accent5 2 4" xfId="608"/>
    <cellStyle name="60% - Accent5 3" xfId="41"/>
    <cellStyle name="60% - Accent5 3 2" xfId="364"/>
    <cellStyle name="60% - Accent5 4" xfId="609"/>
    <cellStyle name="60% - Accent6 2" xfId="42"/>
    <cellStyle name="60% - Accent6 3" xfId="303"/>
    <cellStyle name="60% - Accent6 3 2" xfId="365"/>
    <cellStyle name="60% - Accent6 4" xfId="610"/>
    <cellStyle name="Accent1 2" xfId="43"/>
    <cellStyle name="Accent1 2 2" xfId="366"/>
    <cellStyle name="Accent1 2 3" xfId="367"/>
    <cellStyle name="Accent1 2 4" xfId="611"/>
    <cellStyle name="Accent1 3" xfId="44"/>
    <cellStyle name="Accent1 3 2" xfId="368"/>
    <cellStyle name="Accent1 3 3" xfId="369"/>
    <cellStyle name="Accent1 4" xfId="45"/>
    <cellStyle name="Accent1 4 2" xfId="612"/>
    <cellStyle name="Accent2 2" xfId="46"/>
    <cellStyle name="Accent2 2 2" xfId="613"/>
    <cellStyle name="Accent2 2 3" xfId="614"/>
    <cellStyle name="Accent2 3" xfId="47"/>
    <cellStyle name="Accent2 3 2" xfId="370"/>
    <cellStyle name="Accent2 4" xfId="615"/>
    <cellStyle name="Accent3 2" xfId="48"/>
    <cellStyle name="Accent3 2 2" xfId="371"/>
    <cellStyle name="Accent3 2 3" xfId="372"/>
    <cellStyle name="Accent3 2 4" xfId="616"/>
    <cellStyle name="Accent3 3" xfId="49"/>
    <cellStyle name="Accent3 3 2" xfId="373"/>
    <cellStyle name="Accent3 4" xfId="617"/>
    <cellStyle name="Accent4 2" xfId="50"/>
    <cellStyle name="Accent4 2 2" xfId="618"/>
    <cellStyle name="Accent4 2 2 2" xfId="619"/>
    <cellStyle name="Accent4 2 3" xfId="620"/>
    <cellStyle name="Accent4 3" xfId="51"/>
    <cellStyle name="Accent4 3 2" xfId="374"/>
    <cellStyle name="Accent4 4" xfId="621"/>
    <cellStyle name="Accent5 2" xfId="52"/>
    <cellStyle name="Accent5 2 2" xfId="622"/>
    <cellStyle name="Accent5 2 3" xfId="623"/>
    <cellStyle name="Accent5 3" xfId="53"/>
    <cellStyle name="Accent5 4" xfId="624"/>
    <cellStyle name="Accent6 2" xfId="54"/>
    <cellStyle name="Accent6 2 2" xfId="375"/>
    <cellStyle name="Accent6 2 3" xfId="376"/>
    <cellStyle name="Accent6 2 4" xfId="625"/>
    <cellStyle name="Accent6 3" xfId="55"/>
    <cellStyle name="Accent6 3 2" xfId="377"/>
    <cellStyle name="Accent6 4" xfId="626"/>
    <cellStyle name="Accounting" xfId="56"/>
    <cellStyle name="Accounting 2" xfId="57"/>
    <cellStyle name="Accounting 3" xfId="58"/>
    <cellStyle name="Accounting_2011-11" xfId="59"/>
    <cellStyle name="APS" xfId="627"/>
    <cellStyle name="APSLabels" xfId="628"/>
    <cellStyle name="Bad 2" xfId="60"/>
    <cellStyle name="Bad 2 2" xfId="629"/>
    <cellStyle name="Bad 2 3" xfId="630"/>
    <cellStyle name="Bad 3" xfId="61"/>
    <cellStyle name="Bad 3 2" xfId="378"/>
    <cellStyle name="Bad 4" xfId="631"/>
    <cellStyle name="Budget" xfId="62"/>
    <cellStyle name="Budget 2" xfId="63"/>
    <cellStyle name="Budget 3" xfId="64"/>
    <cellStyle name="Budget_2011-11" xfId="65"/>
    <cellStyle name="Calculation 2" xfId="66"/>
    <cellStyle name="Calculation 2 2" xfId="379"/>
    <cellStyle name="Calculation 2 3" xfId="380"/>
    <cellStyle name="Calculation 2 4" xfId="632"/>
    <cellStyle name="Calculation 3" xfId="67"/>
    <cellStyle name="Calculation 3 2" xfId="381"/>
    <cellStyle name="Calculation 3 3" xfId="382"/>
    <cellStyle name="Calculation 4" xfId="68"/>
    <cellStyle name="Calculation 4 2" xfId="633"/>
    <cellStyle name="Check Cell 2" xfId="69"/>
    <cellStyle name="Check Cell 2 2" xfId="634"/>
    <cellStyle name="Check Cell 2 3" xfId="635"/>
    <cellStyle name="Check Cell 3" xfId="70"/>
    <cellStyle name="Check Cell 4" xfId="636"/>
    <cellStyle name="Color" xfId="637"/>
    <cellStyle name="combo" xfId="71"/>
    <cellStyle name="Comma" xfId="332" builtinId="3"/>
    <cellStyle name="Comma 10" xfId="4"/>
    <cellStyle name="Comma 10 2" xfId="638"/>
    <cellStyle name="Comma 11" xfId="72"/>
    <cellStyle name="Comma 11 2" xfId="639"/>
    <cellStyle name="Comma 11 2 2" xfId="640"/>
    <cellStyle name="Comma 11 2 2 2" xfId="641"/>
    <cellStyle name="Comma 11 2 3" xfId="642"/>
    <cellStyle name="Comma 11 3" xfId="643"/>
    <cellStyle name="Comma 11 3 2" xfId="644"/>
    <cellStyle name="Comma 11 4" xfId="645"/>
    <cellStyle name="Comma 12" xfId="73"/>
    <cellStyle name="Comma 12 2" xfId="304"/>
    <cellStyle name="Comma 12 2 2" xfId="383"/>
    <cellStyle name="Comma 12 3" xfId="384"/>
    <cellStyle name="Comma 12 4" xfId="385"/>
    <cellStyle name="Comma 12 5" xfId="386"/>
    <cellStyle name="Comma 13" xfId="74"/>
    <cellStyle name="Comma 13 2" xfId="387"/>
    <cellStyle name="Comma 13 3" xfId="646"/>
    <cellStyle name="Comma 14" xfId="75"/>
    <cellStyle name="Comma 15" xfId="76"/>
    <cellStyle name="Comma 15 2" xfId="388"/>
    <cellStyle name="Comma 15 3" xfId="647"/>
    <cellStyle name="Comma 16" xfId="77"/>
    <cellStyle name="Comma 16 2" xfId="648"/>
    <cellStyle name="Comma 16 3" xfId="649"/>
    <cellStyle name="Comma 17" xfId="78"/>
    <cellStyle name="Comma 17 2" xfId="389"/>
    <cellStyle name="Comma 17 2 2" xfId="562"/>
    <cellStyle name="Comma 17 3" xfId="650"/>
    <cellStyle name="Comma 17 4" xfId="651"/>
    <cellStyle name="Comma 18" xfId="79"/>
    <cellStyle name="Comma 18 2" xfId="390"/>
    <cellStyle name="Comma 18 3" xfId="391"/>
    <cellStyle name="Comma 18 4" xfId="557"/>
    <cellStyle name="Comma 19" xfId="80"/>
    <cellStyle name="Comma 2" xfId="81"/>
    <cellStyle name="Comma 2 2" xfId="82"/>
    <cellStyle name="Comma 2 2 2" xfId="83"/>
    <cellStyle name="Comma 2 2 2 2" xfId="652"/>
    <cellStyle name="Comma 2 2 2 2 2" xfId="653"/>
    <cellStyle name="Comma 2 2 3" xfId="654"/>
    <cellStyle name="Comma 2 3" xfId="84"/>
    <cellStyle name="Comma 2 3 2" xfId="655"/>
    <cellStyle name="Comma 2 4" xfId="85"/>
    <cellStyle name="Comma 2 4 2" xfId="392"/>
    <cellStyle name="Comma 2 4 2 2" xfId="563"/>
    <cellStyle name="Comma 2 4 3" xfId="393"/>
    <cellStyle name="Comma 2 4 4" xfId="558"/>
    <cellStyle name="Comma 2 5" xfId="561"/>
    <cellStyle name="Comma 2 5 2" xfId="656"/>
    <cellStyle name="Comma 2 6" xfId="305"/>
    <cellStyle name="Comma 2 6 2" xfId="306"/>
    <cellStyle name="Comma 2 6 2 2" xfId="657"/>
    <cellStyle name="Comma 2 6 3" xfId="658"/>
    <cellStyle name="Comma 2 7" xfId="659"/>
    <cellStyle name="Comma 2 7 2" xfId="660"/>
    <cellStyle name="Comma 2 8" xfId="661"/>
    <cellStyle name="Comma 20" xfId="394"/>
    <cellStyle name="Comma 20 2" xfId="662"/>
    <cellStyle name="Comma 21" xfId="395"/>
    <cellStyle name="Comma 21 2" xfId="663"/>
    <cellStyle name="Comma 22" xfId="664"/>
    <cellStyle name="Comma 23" xfId="665"/>
    <cellStyle name="Comma 3" xfId="86"/>
    <cellStyle name="Comma 3 2" xfId="87"/>
    <cellStyle name="Comma 3 2 2" xfId="88"/>
    <cellStyle name="Comma 3 3" xfId="89"/>
    <cellStyle name="Comma 3 4" xfId="90"/>
    <cellStyle name="Comma 4" xfId="91"/>
    <cellStyle name="Comma 4 2" xfId="92"/>
    <cellStyle name="Comma 4 2 2" xfId="396"/>
    <cellStyle name="Comma 4 2 2 2" xfId="666"/>
    <cellStyle name="Comma 4 2 2 2 2" xfId="667"/>
    <cellStyle name="Comma 4 2 2 3" xfId="668"/>
    <cellStyle name="Comma 4 2 2 3 2" xfId="669"/>
    <cellStyle name="Comma 4 2 2 4" xfId="670"/>
    <cellStyle name="Comma 4 2 3" xfId="397"/>
    <cellStyle name="Comma 4 2 3 2" xfId="671"/>
    <cellStyle name="Comma 4 2 4" xfId="672"/>
    <cellStyle name="Comma 4 2 4 2" xfId="673"/>
    <cellStyle name="Comma 4 2 4 3" xfId="674"/>
    <cellStyle name="Comma 4 2 5" xfId="675"/>
    <cellStyle name="Comma 4 3" xfId="93"/>
    <cellStyle name="Comma 4 3 2" xfId="398"/>
    <cellStyle name="Comma 4 3 2 2" xfId="676"/>
    <cellStyle name="Comma 4 3 3" xfId="399"/>
    <cellStyle name="Comma 4 3 3 2" xfId="677"/>
    <cellStyle name="Comma 4 3 4" xfId="678"/>
    <cellStyle name="Comma 4 3 4 2" xfId="679"/>
    <cellStyle name="Comma 4 4" xfId="94"/>
    <cellStyle name="Comma 4 4 2" xfId="400"/>
    <cellStyle name="Comma 4 4 2 2" xfId="680"/>
    <cellStyle name="Comma 4 4 3" xfId="401"/>
    <cellStyle name="Comma 4 4 3 2" xfId="681"/>
    <cellStyle name="Comma 4 4 4" xfId="682"/>
    <cellStyle name="Comma 4 4 4 2" xfId="683"/>
    <cellStyle name="Comma 4 5" xfId="95"/>
    <cellStyle name="Comma 4 5 2" xfId="402"/>
    <cellStyle name="Comma 4 5 2 2" xfId="684"/>
    <cellStyle name="Comma 4 6" xfId="403"/>
    <cellStyle name="Comma 4 6 2" xfId="555"/>
    <cellStyle name="Comma 4 7" xfId="685"/>
    <cellStyle name="Comma 5" xfId="96"/>
    <cellStyle name="Comma 5 2" xfId="404"/>
    <cellStyle name="Comma 5 2 2" xfId="686"/>
    <cellStyle name="Comma 5 2 2 2" xfId="687"/>
    <cellStyle name="Comma 5 2 2 2 2" xfId="688"/>
    <cellStyle name="Comma 5 2 2 3" xfId="689"/>
    <cellStyle name="Comma 5 2 3" xfId="690"/>
    <cellStyle name="Comma 5 2 3 2" xfId="691"/>
    <cellStyle name="Comma 5 2 4" xfId="692"/>
    <cellStyle name="Comma 5 3" xfId="405"/>
    <cellStyle name="Comma 5 3 2" xfId="693"/>
    <cellStyle name="Comma 5 3 2 2" xfId="694"/>
    <cellStyle name="Comma 5 3 3" xfId="695"/>
    <cellStyle name="Comma 5 4" xfId="406"/>
    <cellStyle name="Comma 5 4 2" xfId="696"/>
    <cellStyle name="Comma 5 5" xfId="697"/>
    <cellStyle name="Comma 5 5 2" xfId="698"/>
    <cellStyle name="Comma 5 6" xfId="699"/>
    <cellStyle name="Comma 6" xfId="97"/>
    <cellStyle name="Comma 6 2" xfId="98"/>
    <cellStyle name="Comma 6 2 2" xfId="700"/>
    <cellStyle name="Comma 6 2 2 2" xfId="701"/>
    <cellStyle name="Comma 6 2 2 2 2" xfId="702"/>
    <cellStyle name="Comma 6 2 2 3" xfId="703"/>
    <cellStyle name="Comma 6 2 3" xfId="704"/>
    <cellStyle name="Comma 6 2 3 2" xfId="705"/>
    <cellStyle name="Comma 6 2 4" xfId="706"/>
    <cellStyle name="Comma 6 3" xfId="707"/>
    <cellStyle name="Comma 6 3 2" xfId="708"/>
    <cellStyle name="Comma 6 3 2 2" xfId="709"/>
    <cellStyle name="Comma 6 3 3" xfId="710"/>
    <cellStyle name="Comma 6 4" xfId="711"/>
    <cellStyle name="Comma 6 4 2" xfId="712"/>
    <cellStyle name="Comma 6 5" xfId="713"/>
    <cellStyle name="Comma 7" xfId="99"/>
    <cellStyle name="Comma 7 2" xfId="714"/>
    <cellStyle name="Comma 7 2 2" xfId="715"/>
    <cellStyle name="Comma 7 2 2 2" xfId="716"/>
    <cellStyle name="Comma 7 2 2 2 2" xfId="717"/>
    <cellStyle name="Comma 7 2 2 3" xfId="718"/>
    <cellStyle name="Comma 7 2 3" xfId="719"/>
    <cellStyle name="Comma 7 2 3 2" xfId="720"/>
    <cellStyle name="Comma 7 2 4" xfId="721"/>
    <cellStyle name="Comma 7 3" xfId="722"/>
    <cellStyle name="Comma 7 3 2" xfId="723"/>
    <cellStyle name="Comma 7 3 2 2" xfId="724"/>
    <cellStyle name="Comma 7 3 3" xfId="725"/>
    <cellStyle name="Comma 7 4" xfId="726"/>
    <cellStyle name="Comma 7 4 2" xfId="727"/>
    <cellStyle name="Comma 7 5" xfId="728"/>
    <cellStyle name="Comma 8" xfId="100"/>
    <cellStyle name="Comma 8 2" xfId="729"/>
    <cellStyle name="Comma 8 2 2" xfId="730"/>
    <cellStyle name="Comma 8 2 2 2" xfId="731"/>
    <cellStyle name="Comma 8 2 2 3" xfId="732"/>
    <cellStyle name="Comma 8 2 3" xfId="733"/>
    <cellStyle name="Comma 8 3" xfId="734"/>
    <cellStyle name="Comma 8 3 2" xfId="735"/>
    <cellStyle name="Comma 8 4" xfId="736"/>
    <cellStyle name="Comma 9" xfId="101"/>
    <cellStyle name="Comma 9 2" xfId="737"/>
    <cellStyle name="Comma(2)" xfId="102"/>
    <cellStyle name="Comma0" xfId="407"/>
    <cellStyle name="Comma0 - Style2" xfId="103"/>
    <cellStyle name="Comma1 - Style1" xfId="104"/>
    <cellStyle name="Comments" xfId="105"/>
    <cellStyle name="Currency" xfId="1" builtinId="4"/>
    <cellStyle name="Currency 10" xfId="106"/>
    <cellStyle name="Currency 10 2" xfId="738"/>
    <cellStyle name="Currency 11" xfId="333"/>
    <cellStyle name="Currency 11 2" xfId="739"/>
    <cellStyle name="Currency 12" xfId="408"/>
    <cellStyle name="Currency 13" xfId="409"/>
    <cellStyle name="Currency 14" xfId="740"/>
    <cellStyle name="Currency 15" xfId="741"/>
    <cellStyle name="Currency 2" xfId="107"/>
    <cellStyle name="Currency 2 2" xfId="108"/>
    <cellStyle name="Currency 2 2 2" xfId="307"/>
    <cellStyle name="Currency 2 2 3" xfId="410"/>
    <cellStyle name="Currency 2 2 3 2" xfId="742"/>
    <cellStyle name="Currency 2 2 4" xfId="743"/>
    <cellStyle name="Currency 2 3" xfId="109"/>
    <cellStyle name="Currency 2 3 2" xfId="411"/>
    <cellStyle name="Currency 2 3 3" xfId="412"/>
    <cellStyle name="Currency 2 4" xfId="413"/>
    <cellStyle name="Currency 2 4 2" xfId="744"/>
    <cellStyle name="Currency 2 4 3" xfId="745"/>
    <cellStyle name="Currency 2 5" xfId="746"/>
    <cellStyle name="Currency 2 5 2" xfId="747"/>
    <cellStyle name="Currency 2 6" xfId="308"/>
    <cellStyle name="Currency 2 6 2" xfId="309"/>
    <cellStyle name="Currency 2 6 3" xfId="748"/>
    <cellStyle name="Currency 2 7" xfId="749"/>
    <cellStyle name="Currency 3" xfId="110"/>
    <cellStyle name="Currency 3 2" xfId="5"/>
    <cellStyle name="Currency 3 2 2" xfId="750"/>
    <cellStyle name="Currency 3 2 2 2" xfId="751"/>
    <cellStyle name="Currency 3 2 2 2 2" xfId="752"/>
    <cellStyle name="Currency 3 2 2 3" xfId="753"/>
    <cellStyle name="Currency 3 2 3" xfId="754"/>
    <cellStyle name="Currency 3 2 3 2" xfId="755"/>
    <cellStyle name="Currency 3 2 4" xfId="756"/>
    <cellStyle name="Currency 3 3" xfId="111"/>
    <cellStyle name="Currency 3 3 2" xfId="414"/>
    <cellStyle name="Currency 3 3 2 2" xfId="757"/>
    <cellStyle name="Currency 3 3 3" xfId="554"/>
    <cellStyle name="Currency 3 3 4" xfId="758"/>
    <cellStyle name="Currency 3 4" xfId="415"/>
    <cellStyle name="Currency 3 4 2" xfId="759"/>
    <cellStyle name="Currency 3 5" xfId="416"/>
    <cellStyle name="Currency 4" xfId="112"/>
    <cellStyle name="Currency 4 2" xfId="310"/>
    <cellStyle name="Currency 4 2 2" xfId="760"/>
    <cellStyle name="Currency 4 2 2 2" xfId="761"/>
    <cellStyle name="Currency 4 2 2 2 2" xfId="762"/>
    <cellStyle name="Currency 4 2 2 3" xfId="763"/>
    <cellStyle name="Currency 4 2 3" xfId="764"/>
    <cellStyle name="Currency 4 2 3 2" xfId="765"/>
    <cellStyle name="Currency 4 2 4" xfId="766"/>
    <cellStyle name="Currency 4 3" xfId="417"/>
    <cellStyle name="Currency 4 3 2" xfId="767"/>
    <cellStyle name="Currency 4 3 2 2" xfId="768"/>
    <cellStyle name="Currency 4 3 3" xfId="769"/>
    <cellStyle name="Currency 4 4" xfId="418"/>
    <cellStyle name="Currency 4 4 2" xfId="770"/>
    <cellStyle name="Currency 4 5" xfId="771"/>
    <cellStyle name="Currency 5" xfId="113"/>
    <cellStyle name="Currency 5 2" xfId="311"/>
    <cellStyle name="Currency 5 2 2" xfId="772"/>
    <cellStyle name="Currency 5 2 2 2" xfId="773"/>
    <cellStyle name="Currency 5 2 3" xfId="774"/>
    <cellStyle name="Currency 5 3" xfId="419"/>
    <cellStyle name="Currency 5 3 2" xfId="775"/>
    <cellStyle name="Currency 5 4" xfId="776"/>
    <cellStyle name="Currency 6" xfId="114"/>
    <cellStyle name="Currency 7" xfId="115"/>
    <cellStyle name="Currency 8" xfId="116"/>
    <cellStyle name="Currency 8 2" xfId="420"/>
    <cellStyle name="Currency 8 2 2" xfId="777"/>
    <cellStyle name="Currency 8 2 2 2" xfId="778"/>
    <cellStyle name="Currency 8 2 3" xfId="779"/>
    <cellStyle name="Currency 8 3" xfId="559"/>
    <cellStyle name="Currency 8 3 2" xfId="780"/>
    <cellStyle name="Currency 8 3 3" xfId="781"/>
    <cellStyle name="Currency 8 4" xfId="782"/>
    <cellStyle name="Currency 9" xfId="117"/>
    <cellStyle name="Currency 9 2" xfId="783"/>
    <cellStyle name="Currency 9 2 2" xfId="784"/>
    <cellStyle name="Currency 9 3" xfId="785"/>
    <cellStyle name="Currency0" xfId="421"/>
    <cellStyle name="Data Enter" xfId="118"/>
    <cellStyle name="date" xfId="119"/>
    <cellStyle name="Explanatory Text 2" xfId="120"/>
    <cellStyle name="Explanatory Text 3" xfId="312"/>
    <cellStyle name="Explanatory Text 4" xfId="786"/>
    <cellStyle name="F9ReportControlStyle_ctpInquire" xfId="422"/>
    <cellStyle name="FactSheet" xfId="121"/>
    <cellStyle name="fish" xfId="122"/>
    <cellStyle name="Good 2" xfId="123"/>
    <cellStyle name="Good 2 2" xfId="787"/>
    <cellStyle name="Good 2 2 2" xfId="788"/>
    <cellStyle name="Good 2 3" xfId="789"/>
    <cellStyle name="Good 3" xfId="124"/>
    <cellStyle name="Good 3 2" xfId="423"/>
    <cellStyle name="Good 3 3" xfId="790"/>
    <cellStyle name="Good 4" xfId="424"/>
    <cellStyle name="Good 5" xfId="791"/>
    <cellStyle name="Heading 1 2" xfId="125"/>
    <cellStyle name="Heading 1 2 2" xfId="425"/>
    <cellStyle name="Heading 1 2 3" xfId="426"/>
    <cellStyle name="Heading 1 2 4" xfId="792"/>
    <cellStyle name="Heading 1 3" xfId="126"/>
    <cellStyle name="Heading 1 3 2" xfId="427"/>
    <cellStyle name="Heading 1 3 3" xfId="428"/>
    <cellStyle name="Heading 1 4" xfId="127"/>
    <cellStyle name="Heading 1 4 2" xfId="793"/>
    <cellStyle name="Heading 2 2" xfId="128"/>
    <cellStyle name="Heading 2 2 2" xfId="429"/>
    <cellStyle name="Heading 2 2 3" xfId="430"/>
    <cellStyle name="Heading 2 2 4" xfId="794"/>
    <cellStyle name="Heading 2 3" xfId="129"/>
    <cellStyle name="Heading 2 3 2" xfId="431"/>
    <cellStyle name="Heading 2 3 3" xfId="432"/>
    <cellStyle name="Heading 2 4" xfId="130"/>
    <cellStyle name="Heading 2 4 2" xfId="795"/>
    <cellStyle name="Heading 3 2" xfId="131"/>
    <cellStyle name="Heading 3 2 2" xfId="433"/>
    <cellStyle name="Heading 3 2 3" xfId="434"/>
    <cellStyle name="Heading 3 2 4" xfId="796"/>
    <cellStyle name="Heading 3 3" xfId="132"/>
    <cellStyle name="Heading 3 3 2" xfId="435"/>
    <cellStyle name="Heading 3 3 3" xfId="436"/>
    <cellStyle name="Heading 3 4" xfId="133"/>
    <cellStyle name="Heading 3 4 2" xfId="797"/>
    <cellStyle name="Heading 4 2" xfId="134"/>
    <cellStyle name="Heading 4 2 2" xfId="798"/>
    <cellStyle name="Heading 4 2 2 2" xfId="799"/>
    <cellStyle name="Heading 4 2 3" xfId="800"/>
    <cellStyle name="Heading 4 3" xfId="135"/>
    <cellStyle name="Heading 4 3 2" xfId="437"/>
    <cellStyle name="Heading 4 4" xfId="801"/>
    <cellStyle name="Hyperlink 2" xfId="136"/>
    <cellStyle name="Hyperlink 2 2" xfId="802"/>
    <cellStyle name="Hyperlink 2 2 2" xfId="803"/>
    <cellStyle name="Hyperlink 2 2 3" xfId="804"/>
    <cellStyle name="Hyperlink 2 2 4" xfId="805"/>
    <cellStyle name="Hyperlink 2 3" xfId="806"/>
    <cellStyle name="Hyperlink 3" xfId="137"/>
    <cellStyle name="Hyperlink 3 2" xfId="438"/>
    <cellStyle name="Hyperlink 3 2 2" xfId="807"/>
    <cellStyle name="Hyperlink 3 3" xfId="808"/>
    <cellStyle name="Input 2" xfId="138"/>
    <cellStyle name="Input 2 2" xfId="809"/>
    <cellStyle name="Input 2 2 2" xfId="810"/>
    <cellStyle name="Input 2 3" xfId="811"/>
    <cellStyle name="Input 3" xfId="139"/>
    <cellStyle name="Input 3 2" xfId="439"/>
    <cellStyle name="Input 4" xfId="812"/>
    <cellStyle name="input(0)" xfId="140"/>
    <cellStyle name="Input(2)" xfId="141"/>
    <cellStyle name="Labels" xfId="813"/>
    <cellStyle name="Linked Cell 2" xfId="142"/>
    <cellStyle name="Linked Cell 2 2" xfId="440"/>
    <cellStyle name="Linked Cell 2 3" xfId="441"/>
    <cellStyle name="Linked Cell 2 4" xfId="814"/>
    <cellStyle name="Linked Cell 3" xfId="143"/>
    <cellStyle name="Linked Cell 3 2" xfId="442"/>
    <cellStyle name="Linked Cell 4" xfId="815"/>
    <cellStyle name="Neutral 2" xfId="144"/>
    <cellStyle name="Neutral 2 2" xfId="443"/>
    <cellStyle name="Neutral 2 3" xfId="444"/>
    <cellStyle name="Neutral 2 4" xfId="816"/>
    <cellStyle name="Neutral 3" xfId="145"/>
    <cellStyle name="Neutral 3 2" xfId="445"/>
    <cellStyle name="Neutral 4" xfId="817"/>
    <cellStyle name="New_normal" xfId="146"/>
    <cellStyle name="Normal" xfId="0" builtinId="0"/>
    <cellStyle name="Normal - Style1" xfId="147"/>
    <cellStyle name="Normal - Style2" xfId="148"/>
    <cellStyle name="Normal - Style3" xfId="149"/>
    <cellStyle name="Normal - Style4" xfId="150"/>
    <cellStyle name="Normal - Style5" xfId="151"/>
    <cellStyle name="Normal 10" xfId="152"/>
    <cellStyle name="Normal 10 2" xfId="153"/>
    <cellStyle name="Normal 10 2 2" xfId="154"/>
    <cellStyle name="Normal 10 2 2 2" xfId="818"/>
    <cellStyle name="Normal 10 2 2 2 2" xfId="819"/>
    <cellStyle name="Normal 10 2 2 3" xfId="820"/>
    <cellStyle name="Normal 10 2 3" xfId="446"/>
    <cellStyle name="Normal 10 2 3 2" xfId="821"/>
    <cellStyle name="Normal 10 2 4" xfId="447"/>
    <cellStyle name="Normal 10 2 4 2" xfId="822"/>
    <cellStyle name="Normal 10 2 5" xfId="553"/>
    <cellStyle name="Normal 10 3" xfId="448"/>
    <cellStyle name="Normal 10 3 2" xfId="823"/>
    <cellStyle name="Normal 10 3 2 2" xfId="824"/>
    <cellStyle name="Normal 10 3 3" xfId="825"/>
    <cellStyle name="Normal 10 4" xfId="826"/>
    <cellStyle name="Normal 10 4 2" xfId="827"/>
    <cellStyle name="Normal 10 5" xfId="828"/>
    <cellStyle name="Normal 10_2112 DF Schedule" xfId="155"/>
    <cellStyle name="Normal 100" xfId="449"/>
    <cellStyle name="Normal 100 2" xfId="829"/>
    <cellStyle name="Normal 101" xfId="450"/>
    <cellStyle name="Normal 101 2" xfId="830"/>
    <cellStyle name="Normal 102" xfId="451"/>
    <cellStyle name="Normal 102 2" xfId="831"/>
    <cellStyle name="Normal 103" xfId="452"/>
    <cellStyle name="Normal 103 2" xfId="832"/>
    <cellStyle name="Normal 104" xfId="453"/>
    <cellStyle name="Normal 104 2" xfId="833"/>
    <cellStyle name="Normal 105" xfId="454"/>
    <cellStyle name="Normal 105 2" xfId="834"/>
    <cellStyle name="Normal 106" xfId="455"/>
    <cellStyle name="Normal 107" xfId="456"/>
    <cellStyle name="Normal 107 2" xfId="835"/>
    <cellStyle name="Normal 108" xfId="457"/>
    <cellStyle name="Normal 108 2" xfId="836"/>
    <cellStyle name="Normal 109" xfId="458"/>
    <cellStyle name="Normal 109 2" xfId="837"/>
    <cellStyle name="Normal 109 3" xfId="838"/>
    <cellStyle name="Normal 11" xfId="156"/>
    <cellStyle name="Normal 11 2" xfId="459"/>
    <cellStyle name="Normal 11 2 2" xfId="460"/>
    <cellStyle name="Normal 11 2 2 2" xfId="839"/>
    <cellStyle name="Normal 11 2 2 2 2" xfId="840"/>
    <cellStyle name="Normal 11 2 2 3" xfId="841"/>
    <cellStyle name="Normal 11 2 3" xfId="842"/>
    <cellStyle name="Normal 11 2 3 2" xfId="843"/>
    <cellStyle name="Normal 11 2 4" xfId="844"/>
    <cellStyle name="Normal 11 3" xfId="845"/>
    <cellStyle name="Normal 11 3 2" xfId="846"/>
    <cellStyle name="Normal 11 3 2 2" xfId="847"/>
    <cellStyle name="Normal 11 3 3" xfId="848"/>
    <cellStyle name="Normal 11 4" xfId="849"/>
    <cellStyle name="Normal 11 4 2" xfId="850"/>
    <cellStyle name="Normal 11 5" xfId="851"/>
    <cellStyle name="Normal 110" xfId="461"/>
    <cellStyle name="Normal 110 2" xfId="852"/>
    <cellStyle name="Normal 111" xfId="462"/>
    <cellStyle name="Normal 111 2" xfId="853"/>
    <cellStyle name="Normal 111 3" xfId="854"/>
    <cellStyle name="Normal 112" xfId="855"/>
    <cellStyle name="Normal 112 2" xfId="856"/>
    <cellStyle name="Normal 112 3" xfId="857"/>
    <cellStyle name="Normal 113" xfId="858"/>
    <cellStyle name="Normal 113 2" xfId="859"/>
    <cellStyle name="Normal 113 3" xfId="860"/>
    <cellStyle name="Normal 114" xfId="861"/>
    <cellStyle name="Normal 115" xfId="862"/>
    <cellStyle name="Normal 116" xfId="863"/>
    <cellStyle name="Normal 117" xfId="864"/>
    <cellStyle name="Normal 117 2" xfId="865"/>
    <cellStyle name="Normal 118" xfId="866"/>
    <cellStyle name="Normal 12" xfId="157"/>
    <cellStyle name="Normal 12 2" xfId="463"/>
    <cellStyle name="Normal 12 2 2" xfId="867"/>
    <cellStyle name="Normal 12 2 2 2" xfId="868"/>
    <cellStyle name="Normal 12 2 2 2 2" xfId="869"/>
    <cellStyle name="Normal 12 2 2 3" xfId="870"/>
    <cellStyle name="Normal 12 2 3" xfId="871"/>
    <cellStyle name="Normal 12 2 3 2" xfId="872"/>
    <cellStyle name="Normal 12 2 4" xfId="873"/>
    <cellStyle name="Normal 12 3" xfId="464"/>
    <cellStyle name="Normal 12 3 2" xfId="874"/>
    <cellStyle name="Normal 12 3 2 2" xfId="875"/>
    <cellStyle name="Normal 12 3 3" xfId="876"/>
    <cellStyle name="Normal 12 4" xfId="465"/>
    <cellStyle name="Normal 12 4 2" xfId="877"/>
    <cellStyle name="Normal 12 5" xfId="466"/>
    <cellStyle name="Normal 12 6" xfId="878"/>
    <cellStyle name="Normal 12 7" xfId="879"/>
    <cellStyle name="Normal 12_Sheet1" xfId="467"/>
    <cellStyle name="Normal 13" xfId="158"/>
    <cellStyle name="Normal 13 2" xfId="468"/>
    <cellStyle name="Normal 13 2 2" xfId="880"/>
    <cellStyle name="Normal 13 2 2 2" xfId="881"/>
    <cellStyle name="Normal 13 2 2 2 2" xfId="882"/>
    <cellStyle name="Normal 13 2 2 3" xfId="883"/>
    <cellStyle name="Normal 13 2 3" xfId="884"/>
    <cellStyle name="Normal 13 2 3 2" xfId="885"/>
    <cellStyle name="Normal 13 2 4" xfId="886"/>
    <cellStyle name="Normal 13 3" xfId="469"/>
    <cellStyle name="Normal 13 3 2" xfId="887"/>
    <cellStyle name="Normal 13 3 2 2" xfId="888"/>
    <cellStyle name="Normal 13 3 3" xfId="889"/>
    <cellStyle name="Normal 13 4" xfId="470"/>
    <cellStyle name="Normal 13 4 2" xfId="890"/>
    <cellStyle name="Normal 13 5" xfId="471"/>
    <cellStyle name="Normal 13 6" xfId="891"/>
    <cellStyle name="Normal 13 7" xfId="892"/>
    <cellStyle name="Normal 13_Sheet1" xfId="472"/>
    <cellStyle name="Normal 14" xfId="159"/>
    <cellStyle name="Normal 14 2" xfId="473"/>
    <cellStyle name="Normal 14 2 2" xfId="893"/>
    <cellStyle name="Normal 14 2 2 2" xfId="894"/>
    <cellStyle name="Normal 14 2 3" xfId="895"/>
    <cellStyle name="Normal 14 3" xfId="474"/>
    <cellStyle name="Normal 14 3 2" xfId="896"/>
    <cellStyle name="Normal 14 4" xfId="475"/>
    <cellStyle name="Normal 14 5" xfId="897"/>
    <cellStyle name="Normal 14_Sheet1" xfId="476"/>
    <cellStyle name="Normal 15" xfId="160"/>
    <cellStyle name="Normal 15 2" xfId="477"/>
    <cellStyle name="Normal 15 2 2" xfId="898"/>
    <cellStyle name="Normal 15 2 2 2" xfId="899"/>
    <cellStyle name="Normal 15 2 3" xfId="900"/>
    <cellStyle name="Normal 15 3" xfId="478"/>
    <cellStyle name="Normal 15 3 2" xfId="901"/>
    <cellStyle name="Normal 15 4" xfId="479"/>
    <cellStyle name="Normal 15 5" xfId="902"/>
    <cellStyle name="Normal 16" xfId="161"/>
    <cellStyle name="Normal 16 2" xfId="480"/>
    <cellStyle name="Normal 16 2 2" xfId="903"/>
    <cellStyle name="Normal 16 2 2 2" xfId="904"/>
    <cellStyle name="Normal 16 3" xfId="481"/>
    <cellStyle name="Normal 16 3 2" xfId="905"/>
    <cellStyle name="Normal 16 3 2 2" xfId="906"/>
    <cellStyle name="Normal 16 3 3" xfId="907"/>
    <cellStyle name="Normal 16 4" xfId="908"/>
    <cellStyle name="Normal 16 4 2" xfId="909"/>
    <cellStyle name="Normal 16 5" xfId="910"/>
    <cellStyle name="Normal 16 6" xfId="911"/>
    <cellStyle name="Normal 17" xfId="162"/>
    <cellStyle name="Normal 17 2" xfId="482"/>
    <cellStyle name="Normal 17 2 2" xfId="912"/>
    <cellStyle name="Normal 17 2 2 2" xfId="913"/>
    <cellStyle name="Normal 17 3" xfId="483"/>
    <cellStyle name="Normal 17 3 2" xfId="914"/>
    <cellStyle name="Normal 17 4" xfId="915"/>
    <cellStyle name="Normal 18" xfId="163"/>
    <cellStyle name="Normal 18 2" xfId="484"/>
    <cellStyle name="Normal 18 2 2" xfId="916"/>
    <cellStyle name="Normal 18 2 2 2" xfId="917"/>
    <cellStyle name="Normal 18 2 3" xfId="918"/>
    <cellStyle name="Normal 18 3" xfId="485"/>
    <cellStyle name="Normal 18 3 2" xfId="919"/>
    <cellStyle name="Normal 18 3 2 2" xfId="920"/>
    <cellStyle name="Normal 18 3 3" xfId="921"/>
    <cellStyle name="Normal 18 4" xfId="922"/>
    <cellStyle name="Normal 18 4 2" xfId="923"/>
    <cellStyle name="Normal 18 5" xfId="924"/>
    <cellStyle name="Normal 18 5 2" xfId="925"/>
    <cellStyle name="Normal 18 6" xfId="926"/>
    <cellStyle name="Normal 18 7" xfId="927"/>
    <cellStyle name="Normal 19" xfId="164"/>
    <cellStyle name="Normal 19 2" xfId="486"/>
    <cellStyle name="Normal 19 2 2" xfId="928"/>
    <cellStyle name="Normal 19 3" xfId="487"/>
    <cellStyle name="Normal 19 3 2" xfId="929"/>
    <cellStyle name="Normal 19 4" xfId="930"/>
    <cellStyle name="Normal 2" xfId="165"/>
    <cellStyle name="Normal 2 10" xfId="488"/>
    <cellStyle name="Normal 2 11" xfId="489"/>
    <cellStyle name="Normal 2 2" xfId="166"/>
    <cellStyle name="Normal 2 2 2" xfId="167"/>
    <cellStyle name="Normal 2 2 2 2" xfId="490"/>
    <cellStyle name="Normal 2 2 2_JE_IS11" xfId="931"/>
    <cellStyle name="Normal 2 2 3" xfId="168"/>
    <cellStyle name="Normal 2 2 4" xfId="491"/>
    <cellStyle name="Normal 2 2 5" xfId="932"/>
    <cellStyle name="Normal 2 2 6" xfId="933"/>
    <cellStyle name="Normal 2 2 7" xfId="934"/>
    <cellStyle name="Normal 2 2 8" xfId="935"/>
    <cellStyle name="Normal 2 2_4MthProj2" xfId="492"/>
    <cellStyle name="Normal 2 3" xfId="169"/>
    <cellStyle name="Normal 2 3 2" xfId="170"/>
    <cellStyle name="Normal 2 3 2 2" xfId="936"/>
    <cellStyle name="Normal 2 3 2 3" xfId="937"/>
    <cellStyle name="Normal 2 3 3" xfId="171"/>
    <cellStyle name="Normal 2 3 3 2" xfId="938"/>
    <cellStyle name="Normal 2 3 3 2 2" xfId="939"/>
    <cellStyle name="Normal 2 3 3 3" xfId="940"/>
    <cellStyle name="Normal 2 3 4" xfId="941"/>
    <cellStyle name="Normal 2 3 4 2" xfId="942"/>
    <cellStyle name="Normal 2 3 5" xfId="943"/>
    <cellStyle name="Normal 2 3_4MthProj2" xfId="493"/>
    <cellStyle name="Normal 2 4" xfId="172"/>
    <cellStyle name="Normal 2 4 2" xfId="494"/>
    <cellStyle name="Normal 2 4 2 2" xfId="944"/>
    <cellStyle name="Normal 2 4 3" xfId="945"/>
    <cellStyle name="Normal 2 4 3 2" xfId="946"/>
    <cellStyle name="Normal 2 5" xfId="173"/>
    <cellStyle name="Normal 2 5 2" xfId="947"/>
    <cellStyle name="Normal 2 5 3" xfId="948"/>
    <cellStyle name="Normal 2 6" xfId="174"/>
    <cellStyle name="Normal 2 6 2" xfId="560"/>
    <cellStyle name="Normal 2 6 2 2" xfId="949"/>
    <cellStyle name="Normal 2 6 3" xfId="950"/>
    <cellStyle name="Normal 2 7" xfId="495"/>
    <cellStyle name="Normal 2 7 2" xfId="951"/>
    <cellStyle name="Normal 2 8" xfId="496"/>
    <cellStyle name="Normal 2 9" xfId="497"/>
    <cellStyle name="Normal 2_2009 Regulated Price Out" xfId="498"/>
    <cellStyle name="Normal 20" xfId="175"/>
    <cellStyle name="Normal 20 2" xfId="499"/>
    <cellStyle name="Normal 20 2 2" xfId="952"/>
    <cellStyle name="Normal 20 2 3" xfId="953"/>
    <cellStyle name="Normal 20 3" xfId="500"/>
    <cellStyle name="Normal 20 4" xfId="954"/>
    <cellStyle name="Normal 20 4 2" xfId="955"/>
    <cellStyle name="Normal 20 5" xfId="956"/>
    <cellStyle name="Normal 20 6" xfId="957"/>
    <cellStyle name="Normal 21" xfId="176"/>
    <cellStyle name="Normal 21 2" xfId="501"/>
    <cellStyle name="Normal 21 2 2" xfId="958"/>
    <cellStyle name="Normal 21 3" xfId="959"/>
    <cellStyle name="Normal 21 3 2" xfId="960"/>
    <cellStyle name="Normal 21 4" xfId="961"/>
    <cellStyle name="Normal 22" xfId="177"/>
    <cellStyle name="Normal 22 2" xfId="502"/>
    <cellStyle name="Normal 22 2 2" xfId="962"/>
    <cellStyle name="Normal 22 3" xfId="963"/>
    <cellStyle name="Normal 22 3 2" xfId="964"/>
    <cellStyle name="Normal 22 4" xfId="965"/>
    <cellStyle name="Normal 23" xfId="178"/>
    <cellStyle name="Normal 23 2" xfId="503"/>
    <cellStyle name="Normal 23 2 2" xfId="966"/>
    <cellStyle name="Normal 23 2 3" xfId="967"/>
    <cellStyle name="Normal 23 3" xfId="968"/>
    <cellStyle name="Normal 23 3 2" xfId="969"/>
    <cellStyle name="Normal 23 3 3" xfId="970"/>
    <cellStyle name="Normal 23 4" xfId="971"/>
    <cellStyle name="Normal 24" xfId="179"/>
    <cellStyle name="Normal 24 2" xfId="504"/>
    <cellStyle name="Normal 24 2 2" xfId="972"/>
    <cellStyle name="Normal 24 2 3" xfId="973"/>
    <cellStyle name="Normal 24 3" xfId="974"/>
    <cellStyle name="Normal 24 3 2" xfId="975"/>
    <cellStyle name="Normal 24 4" xfId="976"/>
    <cellStyle name="Normal 25" xfId="180"/>
    <cellStyle name="Normal 25 2" xfId="977"/>
    <cellStyle name="Normal 25 2 2" xfId="978"/>
    <cellStyle name="Normal 25 3" xfId="979"/>
    <cellStyle name="Normal 25 4" xfId="980"/>
    <cellStyle name="Normal 26" xfId="181"/>
    <cellStyle name="Normal 26 2" xfId="981"/>
    <cellStyle name="Normal 26 2 2" xfId="982"/>
    <cellStyle name="Normal 26 3" xfId="983"/>
    <cellStyle name="Normal 26 4" xfId="984"/>
    <cellStyle name="Normal 27" xfId="182"/>
    <cellStyle name="Normal 27 2" xfId="505"/>
    <cellStyle name="Normal 27 2 2" xfId="985"/>
    <cellStyle name="Normal 27 2 2 2" xfId="986"/>
    <cellStyle name="Normal 27 3" xfId="987"/>
    <cellStyle name="Normal 27 3 2" xfId="988"/>
    <cellStyle name="Normal 27 4" xfId="989"/>
    <cellStyle name="Normal 27 5" xfId="990"/>
    <cellStyle name="Normal 28" xfId="183"/>
    <cellStyle name="Normal 28 2" xfId="991"/>
    <cellStyle name="Normal 28 2 2" xfId="992"/>
    <cellStyle name="Normal 28 3" xfId="993"/>
    <cellStyle name="Normal 28 4" xfId="994"/>
    <cellStyle name="Normal 29" xfId="184"/>
    <cellStyle name="Normal 29 2" xfId="995"/>
    <cellStyle name="Normal 29 3" xfId="996"/>
    <cellStyle name="Normal 29 4" xfId="997"/>
    <cellStyle name="Normal 3" xfId="185"/>
    <cellStyle name="Normal 3 2" xfId="186"/>
    <cellStyle name="Normal 3 2 2" xfId="506"/>
    <cellStyle name="Normal 3 2 2 2" xfId="998"/>
    <cellStyle name="Normal 3 2 2 2 2" xfId="999"/>
    <cellStyle name="Normal 3 2 3" xfId="1000"/>
    <cellStyle name="Normal 3 2 3 2" xfId="1001"/>
    <cellStyle name="Normal 3 3" xfId="187"/>
    <cellStyle name="Normal 3 3 2" xfId="507"/>
    <cellStyle name="Normal 3 3 2 2" xfId="1002"/>
    <cellStyle name="Normal 3 3 3" xfId="1003"/>
    <cellStyle name="Normal 3 3 4" xfId="1004"/>
    <cellStyle name="Normal 3 4" xfId="508"/>
    <cellStyle name="Normal 3 4 2" xfId="556"/>
    <cellStyle name="Normal 3_2012 PR" xfId="188"/>
    <cellStyle name="Normal 30" xfId="189"/>
    <cellStyle name="Normal 30 2" xfId="1005"/>
    <cellStyle name="Normal 30 3" xfId="1006"/>
    <cellStyle name="Normal 30 4" xfId="1007"/>
    <cellStyle name="Normal 31" xfId="190"/>
    <cellStyle name="Normal 31 2" xfId="509"/>
    <cellStyle name="Normal 31 2 2" xfId="1008"/>
    <cellStyle name="Normal 31 2 2 2" xfId="1009"/>
    <cellStyle name="Normal 31 2 3" xfId="1010"/>
    <cellStyle name="Normal 31 3" xfId="1011"/>
    <cellStyle name="Normal 31 3 2" xfId="1012"/>
    <cellStyle name="Normal 31 3 3" xfId="1013"/>
    <cellStyle name="Normal 31 4" xfId="1014"/>
    <cellStyle name="Normal 31 4 2" xfId="1015"/>
    <cellStyle name="Normal 32" xfId="191"/>
    <cellStyle name="Normal 32 2" xfId="1016"/>
    <cellStyle name="Normal 32 2 2" xfId="1017"/>
    <cellStyle name="Normal 32 2 2 2" xfId="1018"/>
    <cellStyle name="Normal 32 2 3" xfId="1019"/>
    <cellStyle name="Normal 32 3" xfId="1020"/>
    <cellStyle name="Normal 32 3 2" xfId="1021"/>
    <cellStyle name="Normal 32 4" xfId="1022"/>
    <cellStyle name="Normal 32 4 2" xfId="1023"/>
    <cellStyle name="Normal 33" xfId="192"/>
    <cellStyle name="Normal 33 2" xfId="1024"/>
    <cellStyle name="Normal 33 3" xfId="1025"/>
    <cellStyle name="Normal 34" xfId="193"/>
    <cellStyle name="Normal 34 2" xfId="1026"/>
    <cellStyle name="Normal 34 3" xfId="1027"/>
    <cellStyle name="Normal 35" xfId="194"/>
    <cellStyle name="Normal 35 2" xfId="1028"/>
    <cellStyle name="Normal 35 2 2" xfId="1029"/>
    <cellStyle name="Normal 35 3" xfId="1030"/>
    <cellStyle name="Normal 35 3 2" xfId="1031"/>
    <cellStyle name="Normal 36" xfId="195"/>
    <cellStyle name="Normal 36 2" xfId="1032"/>
    <cellStyle name="Normal 36 2 2" xfId="1033"/>
    <cellStyle name="Normal 36 3" xfId="1034"/>
    <cellStyle name="Normal 37" xfId="196"/>
    <cellStyle name="Normal 37 2" xfId="1035"/>
    <cellStyle name="Normal 37 2 2" xfId="1036"/>
    <cellStyle name="Normal 37 3" xfId="1037"/>
    <cellStyle name="Normal 38" xfId="197"/>
    <cellStyle name="Normal 38 2" xfId="1038"/>
    <cellStyle name="Normal 38 2 2" xfId="1039"/>
    <cellStyle name="Normal 38 3" xfId="1040"/>
    <cellStyle name="Normal 39" xfId="198"/>
    <cellStyle name="Normal 39 2" xfId="1041"/>
    <cellStyle name="Normal 39 2 2" xfId="1042"/>
    <cellStyle name="Normal 39 3" xfId="1043"/>
    <cellStyle name="Normal 4" xfId="199"/>
    <cellStyle name="Normal 4 2" xfId="200"/>
    <cellStyle name="Normal 4 2 2" xfId="510"/>
    <cellStyle name="Normal 4 2 2 2" xfId="1044"/>
    <cellStyle name="Normal 4 2 3" xfId="1045"/>
    <cellStyle name="Normal 4 2 4" xfId="1046"/>
    <cellStyle name="Normal 4 3" xfId="511"/>
    <cellStyle name="Normal 4 3 2" xfId="512"/>
    <cellStyle name="Normal 4 3 2 2" xfId="1047"/>
    <cellStyle name="Normal 4 3 3" xfId="1048"/>
    <cellStyle name="Normal 4 4" xfId="1049"/>
    <cellStyle name="Normal 4 4 2" xfId="1050"/>
    <cellStyle name="Normal 4 5" xfId="1051"/>
    <cellStyle name="Normal 4_B&amp;O Taxes" xfId="1052"/>
    <cellStyle name="Normal 40" xfId="201"/>
    <cellStyle name="Normal 40 2" xfId="1053"/>
    <cellStyle name="Normal 40 2 2" xfId="1054"/>
    <cellStyle name="Normal 40 3" xfId="1055"/>
    <cellStyle name="Normal 41" xfId="202"/>
    <cellStyle name="Normal 41 2" xfId="1056"/>
    <cellStyle name="Normal 41 2 2" xfId="1057"/>
    <cellStyle name="Normal 41 3" xfId="1058"/>
    <cellStyle name="Normal 42" xfId="203"/>
    <cellStyle name="Normal 42 2" xfId="1059"/>
    <cellStyle name="Normal 42 3" xfId="1060"/>
    <cellStyle name="Normal 43" xfId="204"/>
    <cellStyle name="Normal 43 2" xfId="1061"/>
    <cellStyle name="Normal 43 3" xfId="1062"/>
    <cellStyle name="Normal 44" xfId="205"/>
    <cellStyle name="Normal 44 2" xfId="1063"/>
    <cellStyle name="Normal 44 2 2" xfId="1064"/>
    <cellStyle name="Normal 44 3" xfId="1065"/>
    <cellStyle name="Normal 45" xfId="206"/>
    <cellStyle name="Normal 45 2" xfId="1066"/>
    <cellStyle name="Normal 45 3" xfId="1067"/>
    <cellStyle name="Normal 46" xfId="207"/>
    <cellStyle name="Normal 46 2" xfId="1068"/>
    <cellStyle name="Normal 46 3" xfId="1069"/>
    <cellStyle name="Normal 47" xfId="208"/>
    <cellStyle name="Normal 47 2" xfId="1070"/>
    <cellStyle name="Normal 47 3" xfId="1071"/>
    <cellStyle name="Normal 48" xfId="209"/>
    <cellStyle name="Normal 48 2" xfId="1072"/>
    <cellStyle name="Normal 48 3" xfId="1073"/>
    <cellStyle name="Normal 49" xfId="210"/>
    <cellStyle name="Normal 49 2" xfId="1074"/>
    <cellStyle name="Normal 49 3" xfId="1075"/>
    <cellStyle name="Normal 5" xfId="211"/>
    <cellStyle name="Normal 5 2" xfId="212"/>
    <cellStyle name="Normal 5 2 2" xfId="1076"/>
    <cellStyle name="Normal 5 2 2 2" xfId="1077"/>
    <cellStyle name="Normal 5 2 2 2 2" xfId="1078"/>
    <cellStyle name="Normal 5 2 2 3" xfId="1079"/>
    <cellStyle name="Normal 5 2 3" xfId="1080"/>
    <cellStyle name="Normal 5 2 3 2" xfId="1081"/>
    <cellStyle name="Normal 5 2 4" xfId="1082"/>
    <cellStyle name="Normal 5 3" xfId="513"/>
    <cellStyle name="Normal 5 3 2" xfId="1083"/>
    <cellStyle name="Normal 5 3 2 2" xfId="1084"/>
    <cellStyle name="Normal 5 3 3" xfId="1085"/>
    <cellStyle name="Normal 5 4" xfId="514"/>
    <cellStyle name="Normal 5 4 2" xfId="1086"/>
    <cellStyle name="Normal 5 5" xfId="1087"/>
    <cellStyle name="Normal 5_2112 DF Schedule" xfId="213"/>
    <cellStyle name="Normal 50" xfId="214"/>
    <cellStyle name="Normal 50 2" xfId="1088"/>
    <cellStyle name="Normal 50 3" xfId="1089"/>
    <cellStyle name="Normal 51" xfId="215"/>
    <cellStyle name="Normal 51 2" xfId="1090"/>
    <cellStyle name="Normal 51 3" xfId="1091"/>
    <cellStyle name="Normal 52" xfId="216"/>
    <cellStyle name="Normal 52 2" xfId="1092"/>
    <cellStyle name="Normal 52 3" xfId="1093"/>
    <cellStyle name="Normal 53" xfId="217"/>
    <cellStyle name="Normal 53 2" xfId="1094"/>
    <cellStyle name="Normal 53 3" xfId="1095"/>
    <cellStyle name="Normal 54" xfId="218"/>
    <cellStyle name="Normal 54 2" xfId="1096"/>
    <cellStyle name="Normal 54 3" xfId="1097"/>
    <cellStyle name="Normal 55" xfId="219"/>
    <cellStyle name="Normal 55 2" xfId="1098"/>
    <cellStyle name="Normal 55 3" xfId="1099"/>
    <cellStyle name="Normal 56" xfId="220"/>
    <cellStyle name="Normal 56 2" xfId="1100"/>
    <cellStyle name="Normal 56 3" xfId="1101"/>
    <cellStyle name="Normal 57" xfId="221"/>
    <cellStyle name="Normal 57 2" xfId="1102"/>
    <cellStyle name="Normal 57 3" xfId="1103"/>
    <cellStyle name="Normal 58" xfId="222"/>
    <cellStyle name="Normal 58 2" xfId="1104"/>
    <cellStyle name="Normal 58 3" xfId="1105"/>
    <cellStyle name="Normal 59" xfId="223"/>
    <cellStyle name="Normal 59 2" xfId="1106"/>
    <cellStyle name="Normal 59 3" xfId="1107"/>
    <cellStyle name="Normal 6" xfId="224"/>
    <cellStyle name="Normal 6 2" xfId="313"/>
    <cellStyle name="Normal 6 2 2" xfId="515"/>
    <cellStyle name="Normal 6 2 2 2" xfId="1108"/>
    <cellStyle name="Normal 6 2 2 2 2" xfId="1109"/>
    <cellStyle name="Normal 6 2 2 3" xfId="1110"/>
    <cellStyle name="Normal 6 2 3" xfId="1111"/>
    <cellStyle name="Normal 6 2 3 2" xfId="1112"/>
    <cellStyle name="Normal 6 2 4" xfId="1113"/>
    <cellStyle name="Normal 6 3" xfId="516"/>
    <cellStyle name="Normal 6 3 2" xfId="1114"/>
    <cellStyle name="Normal 6 3 2 2" xfId="1115"/>
    <cellStyle name="Normal 6 3 3" xfId="1116"/>
    <cellStyle name="Normal 6 4" xfId="1117"/>
    <cellStyle name="Normal 6 4 2" xfId="1118"/>
    <cellStyle name="Normal 6 5" xfId="1119"/>
    <cellStyle name="Normal 60" xfId="225"/>
    <cellStyle name="Normal 60 2" xfId="1120"/>
    <cellStyle name="Normal 60 3" xfId="1121"/>
    <cellStyle name="Normal 61" xfId="226"/>
    <cellStyle name="Normal 61 2" xfId="1122"/>
    <cellStyle name="Normal 61 3" xfId="1123"/>
    <cellStyle name="Normal 62" xfId="227"/>
    <cellStyle name="Normal 62 2" xfId="1124"/>
    <cellStyle name="Normal 62 3" xfId="1125"/>
    <cellStyle name="Normal 63" xfId="228"/>
    <cellStyle name="Normal 63 2" xfId="1126"/>
    <cellStyle name="Normal 63 3" xfId="1127"/>
    <cellStyle name="Normal 64" xfId="229"/>
    <cellStyle name="Normal 64 2" xfId="1128"/>
    <cellStyle name="Normal 64 3" xfId="1129"/>
    <cellStyle name="Normal 65" xfId="230"/>
    <cellStyle name="Normal 65 2" xfId="1130"/>
    <cellStyle name="Normal 65 3" xfId="1131"/>
    <cellStyle name="Normal 66" xfId="231"/>
    <cellStyle name="Normal 66 2" xfId="1132"/>
    <cellStyle name="Normal 66 3" xfId="1133"/>
    <cellStyle name="Normal 67" xfId="232"/>
    <cellStyle name="Normal 67 2" xfId="1134"/>
    <cellStyle name="Normal 67 3" xfId="1135"/>
    <cellStyle name="Normal 68" xfId="233"/>
    <cellStyle name="Normal 68 2" xfId="1136"/>
    <cellStyle name="Normal 68 3" xfId="1137"/>
    <cellStyle name="Normal 69" xfId="234"/>
    <cellStyle name="Normal 69 2" xfId="1138"/>
    <cellStyle name="Normal 69 3" xfId="1139"/>
    <cellStyle name="Normal 7" xfId="235"/>
    <cellStyle name="Normal 7 2" xfId="236"/>
    <cellStyle name="Normal 7 2 2" xfId="517"/>
    <cellStyle name="Normal 7 2 2 2" xfId="1140"/>
    <cellStyle name="Normal 7 2 2 2 2" xfId="1141"/>
    <cellStyle name="Normal 7 2 2 2 2 2" xfId="1142"/>
    <cellStyle name="Normal 7 2 2 2 3" xfId="1143"/>
    <cellStyle name="Normal 7 2 2 3" xfId="1144"/>
    <cellStyle name="Normal 7 2 2 3 2" xfId="1145"/>
    <cellStyle name="Normal 7 2 2 4" xfId="1146"/>
    <cellStyle name="Normal 7 2 3" xfId="1147"/>
    <cellStyle name="Normal 7 2 3 2" xfId="1148"/>
    <cellStyle name="Normal 7 2 3 2 2" xfId="1149"/>
    <cellStyle name="Normal 7 2 3 3" xfId="1150"/>
    <cellStyle name="Normal 7 2 4" xfId="1151"/>
    <cellStyle name="Normal 7 2 4 2" xfId="1152"/>
    <cellStyle name="Normal 7 2 5" xfId="1153"/>
    <cellStyle name="Normal 7 3" xfId="1154"/>
    <cellStyle name="Normal 7 3 2" xfId="1155"/>
    <cellStyle name="Normal 7 3 2 2" xfId="1156"/>
    <cellStyle name="Normal 7 3 2 2 2" xfId="1157"/>
    <cellStyle name="Normal 7 3 2 3" xfId="1158"/>
    <cellStyle name="Normal 7 3 3" xfId="1159"/>
    <cellStyle name="Normal 7 3 3 2" xfId="1160"/>
    <cellStyle name="Normal 7 3 4" xfId="1161"/>
    <cellStyle name="Normal 7 4" xfId="1162"/>
    <cellStyle name="Normal 7 4 2" xfId="1163"/>
    <cellStyle name="Normal 7 4 2 2" xfId="1164"/>
    <cellStyle name="Normal 7 4 3" xfId="1165"/>
    <cellStyle name="Normal 7 5" xfId="1166"/>
    <cellStyle name="Normal 7 5 2" xfId="1167"/>
    <cellStyle name="Normal 7 6" xfId="1168"/>
    <cellStyle name="Normal 70" xfId="237"/>
    <cellStyle name="Normal 70 2" xfId="1169"/>
    <cellStyle name="Normal 70 3" xfId="1170"/>
    <cellStyle name="Normal 71" xfId="238"/>
    <cellStyle name="Normal 72" xfId="239"/>
    <cellStyle name="Normal 73" xfId="240"/>
    <cellStyle name="Normal 74" xfId="241"/>
    <cellStyle name="Normal 75" xfId="242"/>
    <cellStyle name="Normal 76" xfId="243"/>
    <cellStyle name="Normal 77" xfId="244"/>
    <cellStyle name="Normal 78" xfId="245"/>
    <cellStyle name="Normal 79" xfId="246"/>
    <cellStyle name="Normal 8" xfId="247"/>
    <cellStyle name="Normal 8 2" xfId="518"/>
    <cellStyle name="Normal 8 2 2" xfId="519"/>
    <cellStyle name="Normal 8 2 2 2" xfId="1171"/>
    <cellStyle name="Normal 8 2 2 2 2" xfId="1172"/>
    <cellStyle name="Normal 8 2 2 3" xfId="1173"/>
    <cellStyle name="Normal 8 2 3" xfId="1174"/>
    <cellStyle name="Normal 8 2 3 2" xfId="1175"/>
    <cellStyle name="Normal 8 2 4" xfId="1176"/>
    <cellStyle name="Normal 8 3" xfId="1177"/>
    <cellStyle name="Normal 8 3 2" xfId="1178"/>
    <cellStyle name="Normal 8 3 2 2" xfId="1179"/>
    <cellStyle name="Normal 8 3 3" xfId="1180"/>
    <cellStyle name="Normal 8 4" xfId="1181"/>
    <cellStyle name="Normal 8 4 2" xfId="1182"/>
    <cellStyle name="Normal 8 5" xfId="1183"/>
    <cellStyle name="Normal 80" xfId="248"/>
    <cellStyle name="Normal 81" xfId="249"/>
    <cellStyle name="Normal 82" xfId="250"/>
    <cellStyle name="Normal 83" xfId="251"/>
    <cellStyle name="Normal 84" xfId="252"/>
    <cellStyle name="Normal 84 2" xfId="314"/>
    <cellStyle name="Normal 84 3" xfId="520"/>
    <cellStyle name="Normal 85" xfId="253"/>
    <cellStyle name="Normal 85 2" xfId="521"/>
    <cellStyle name="Normal 85 2 2" xfId="1184"/>
    <cellStyle name="Normal 85 3" xfId="522"/>
    <cellStyle name="Normal 86" xfId="315"/>
    <cellStyle name="Normal 86 2" xfId="1185"/>
    <cellStyle name="Normal 86 3" xfId="1186"/>
    <cellStyle name="Normal 87" xfId="316"/>
    <cellStyle name="Normal 87 2" xfId="1187"/>
    <cellStyle name="Normal 88" xfId="317"/>
    <cellStyle name="Normal 88 2" xfId="1188"/>
    <cellStyle name="Normal 89" xfId="318"/>
    <cellStyle name="Normal 9" xfId="254"/>
    <cellStyle name="Normal 9 2" xfId="523"/>
    <cellStyle name="Normal 9 2 2" xfId="524"/>
    <cellStyle name="Normal 9 2 2 2" xfId="1189"/>
    <cellStyle name="Normal 9 2 2 2 2" xfId="1190"/>
    <cellStyle name="Normal 9 2 2 3" xfId="1191"/>
    <cellStyle name="Normal 9 2 3" xfId="1192"/>
    <cellStyle name="Normal 9 2 3 2" xfId="1193"/>
    <cellStyle name="Normal 9 2 4" xfId="1194"/>
    <cellStyle name="Normal 9 3" xfId="1195"/>
    <cellStyle name="Normal 9 3 2" xfId="1196"/>
    <cellStyle name="Normal 9 3 2 2" xfId="1197"/>
    <cellStyle name="Normal 9 3 3" xfId="1198"/>
    <cellStyle name="Normal 9 4" xfId="1199"/>
    <cellStyle name="Normal 9 4 2" xfId="1200"/>
    <cellStyle name="Normal 9 5" xfId="1201"/>
    <cellStyle name="Normal 90" xfId="319"/>
    <cellStyle name="Normal 91" xfId="320"/>
    <cellStyle name="Normal 92" xfId="525"/>
    <cellStyle name="Normal 92 2" xfId="1202"/>
    <cellStyle name="Normal 93" xfId="526"/>
    <cellStyle name="Normal 93 2" xfId="1203"/>
    <cellStyle name="Normal 94" xfId="527"/>
    <cellStyle name="Normal 94 2" xfId="1204"/>
    <cellStyle name="Normal 95" xfId="528"/>
    <cellStyle name="Normal 95 2" xfId="1205"/>
    <cellStyle name="Normal 96" xfId="529"/>
    <cellStyle name="Normal 96 2" xfId="1206"/>
    <cellStyle name="Normal 97" xfId="530"/>
    <cellStyle name="Normal 97 2" xfId="1207"/>
    <cellStyle name="Normal 98" xfId="531"/>
    <cellStyle name="Normal 98 2" xfId="1208"/>
    <cellStyle name="Normal 99" xfId="532"/>
    <cellStyle name="Normal 99 2" xfId="1209"/>
    <cellStyle name="Normal_Regulated Price Out 9-6-2011 Final HL" xfId="3"/>
    <cellStyle name="Note 2" xfId="255"/>
    <cellStyle name="Note 2 2" xfId="533"/>
    <cellStyle name="Note 2 3" xfId="534"/>
    <cellStyle name="Note 2 4" xfId="1210"/>
    <cellStyle name="Note 3" xfId="256"/>
    <cellStyle name="Note 3 2" xfId="535"/>
    <cellStyle name="Note 3 3" xfId="536"/>
    <cellStyle name="Note 3 4" xfId="1211"/>
    <cellStyle name="Note 4" xfId="257"/>
    <cellStyle name="Note 4 2" xfId="1212"/>
    <cellStyle name="Note 5" xfId="1213"/>
    <cellStyle name="Notes" xfId="258"/>
    <cellStyle name="Output 2" xfId="259"/>
    <cellStyle name="Output 2 2" xfId="1214"/>
    <cellStyle name="Output 2 2 2" xfId="1215"/>
    <cellStyle name="Output 2 3" xfId="1216"/>
    <cellStyle name="Output 3" xfId="260"/>
    <cellStyle name="Output 3 2" xfId="537"/>
    <cellStyle name="Output 4" xfId="1217"/>
    <cellStyle name="Percent" xfId="2" builtinId="5"/>
    <cellStyle name="Percent 10" xfId="538"/>
    <cellStyle name="Percent 10 2" xfId="1218"/>
    <cellStyle name="Percent 10 3" xfId="1219"/>
    <cellStyle name="Percent 2" xfId="261"/>
    <cellStyle name="Percent 2 2" xfId="262"/>
    <cellStyle name="Percent 2 2 2" xfId="321"/>
    <cellStyle name="Percent 2 2 3" xfId="539"/>
    <cellStyle name="Percent 2 3" xfId="263"/>
    <cellStyle name="Percent 2 4" xfId="540"/>
    <cellStyle name="Percent 2 6" xfId="322"/>
    <cellStyle name="Percent 3" xfId="264"/>
    <cellStyle name="Percent 3 2" xfId="323"/>
    <cellStyle name="Percent 3 2 2" xfId="541"/>
    <cellStyle name="Percent 3 2 2 2" xfId="1220"/>
    <cellStyle name="Percent 3 2 2 2 2" xfId="1221"/>
    <cellStyle name="Percent 3 2 2 3" xfId="1222"/>
    <cellStyle name="Percent 3 2 3" xfId="1223"/>
    <cellStyle name="Percent 3 2 3 2" xfId="1224"/>
    <cellStyle name="Percent 3 2 4" xfId="1225"/>
    <cellStyle name="Percent 3 3" xfId="1226"/>
    <cellStyle name="Percent 3 3 2" xfId="1227"/>
    <cellStyle name="Percent 3 3 2 2" xfId="1228"/>
    <cellStyle name="Percent 3 3 3" xfId="1229"/>
    <cellStyle name="Percent 3 4" xfId="1230"/>
    <cellStyle name="Percent 3 4 2" xfId="1231"/>
    <cellStyle name="Percent 3 5" xfId="1232"/>
    <cellStyle name="Percent 3 5 2" xfId="1233"/>
    <cellStyle name="Percent 3 6" xfId="1234"/>
    <cellStyle name="Percent 4" xfId="265"/>
    <cellStyle name="Percent 4 2" xfId="266"/>
    <cellStyle name="Percent 4 3" xfId="542"/>
    <cellStyle name="Percent 4 4" xfId="543"/>
    <cellStyle name="Percent 4 4 2" xfId="1235"/>
    <cellStyle name="Percent 4 4 2 2" xfId="1236"/>
    <cellStyle name="Percent 5" xfId="267"/>
    <cellStyle name="Percent 5 2" xfId="544"/>
    <cellStyle name="Percent 5 2 2" xfId="1237"/>
    <cellStyle name="Percent 5 2 2 2" xfId="1238"/>
    <cellStyle name="Percent 5 2 3" xfId="1239"/>
    <cellStyle name="Percent 5 3" xfId="1240"/>
    <cellStyle name="Percent 5 3 2" xfId="1241"/>
    <cellStyle name="Percent 5 4" xfId="1242"/>
    <cellStyle name="Percent 5 4 2" xfId="1243"/>
    <cellStyle name="Percent 6" xfId="268"/>
    <cellStyle name="Percent 6 2" xfId="545"/>
    <cellStyle name="Percent 6 2 2" xfId="1244"/>
    <cellStyle name="Percent 6 3" xfId="1245"/>
    <cellStyle name="Percent 7" xfId="269"/>
    <cellStyle name="Percent 7 2" xfId="324"/>
    <cellStyle name="Percent 7 2 2" xfId="1246"/>
    <cellStyle name="Percent 7 3" xfId="546"/>
    <cellStyle name="Percent 7 4" xfId="1247"/>
    <cellStyle name="Percent 8" xfId="270"/>
    <cellStyle name="Percent 8 2" xfId="1248"/>
    <cellStyle name="Percent 9" xfId="547"/>
    <cellStyle name="Percent 9 2" xfId="1249"/>
    <cellStyle name="Percent 9 3" xfId="1250"/>
    <cellStyle name="Percent(1)" xfId="271"/>
    <cellStyle name="Percent(2)" xfId="272"/>
    <cellStyle name="Posting_Period" xfId="1251"/>
    <cellStyle name="PRM" xfId="273"/>
    <cellStyle name="PRM 2" xfId="274"/>
    <cellStyle name="PRM 3" xfId="275"/>
    <cellStyle name="PRM_2011-11" xfId="276"/>
    <cellStyle name="PS_Comma" xfId="325"/>
    <cellStyle name="PSChar" xfId="277"/>
    <cellStyle name="PSDate" xfId="326"/>
    <cellStyle name="PSDec" xfId="327"/>
    <cellStyle name="PSHeading" xfId="278"/>
    <cellStyle name="PSInt" xfId="328"/>
    <cellStyle name="PSSpacer" xfId="329"/>
    <cellStyle name="STYL0 - Style1" xfId="279"/>
    <cellStyle name="STYL1 - Style2" xfId="280"/>
    <cellStyle name="STYL2 - Style3" xfId="281"/>
    <cellStyle name="STYL3 - Style4" xfId="282"/>
    <cellStyle name="STYL4 - Style5" xfId="283"/>
    <cellStyle name="STYL5 - Style6" xfId="284"/>
    <cellStyle name="STYL6 - Style7" xfId="285"/>
    <cellStyle name="STYL7 - Style8" xfId="286"/>
    <cellStyle name="Style 1" xfId="287"/>
    <cellStyle name="Style 1 2" xfId="288"/>
    <cellStyle name="STYLE1" xfId="289"/>
    <cellStyle name="STYLE1 2" xfId="1252"/>
    <cellStyle name="sub heading" xfId="290"/>
    <cellStyle name="Tax_Rate" xfId="1253"/>
    <cellStyle name="Title 2" xfId="291"/>
    <cellStyle name="Title 2 2" xfId="1254"/>
    <cellStyle name="Title 2 2 2" xfId="1255"/>
    <cellStyle name="Title 2 3" xfId="1256"/>
    <cellStyle name="Title 3" xfId="292"/>
    <cellStyle name="Title 3 2" xfId="548"/>
    <cellStyle name="Title 4" xfId="1257"/>
    <cellStyle name="Total 2" xfId="293"/>
    <cellStyle name="Total 2 2" xfId="549"/>
    <cellStyle name="Total 2 3" xfId="550"/>
    <cellStyle name="Total 2 4" xfId="1258"/>
    <cellStyle name="Total 3" xfId="294"/>
    <cellStyle name="Total 3 2" xfId="551"/>
    <cellStyle name="Total 3 3" xfId="552"/>
    <cellStyle name="Total 4" xfId="295"/>
    <cellStyle name="Total 4 2" xfId="1259"/>
    <cellStyle name="Transcript_Date" xfId="1260"/>
    <cellStyle name="Warning Text 2" xfId="296"/>
    <cellStyle name="Warning Text 3" xfId="330"/>
    <cellStyle name="Warning Text 4" xfId="1261"/>
    <cellStyle name="WM_STANDARD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Dump%20Fee/DF%20Incr%201-1-2015/Empire%20-%20Spokane%20DF%20Calculations%201-1-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Empire%202120/Annual%20Report/Report%202020/Empire%20Solid%20Waste%20Class%20A%20and%20B%20Annual%20Report%20Form%20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20%20Empire/2021/Budget%20Proforma/Empire%20Price%20Out%202020-2021%20JB%20Price%20confi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Rate Schedule"/>
      <sheetName val="Co Provided Price Out"/>
    </sheetNames>
    <sheetDataSet>
      <sheetData sheetId="0">
        <row r="56">
          <cell r="G56">
            <v>0.98072499999999996</v>
          </cell>
        </row>
      </sheetData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Qs-Instructions-Information"/>
      <sheetName val="Affiliated Interest Rules"/>
      <sheetName val="Cover Sheet"/>
      <sheetName val="Ownership- Industry Info"/>
      <sheetName val="Complaint Contact Information"/>
      <sheetName val="Sch 1 Veh-Mileage-Accident Info"/>
      <sheetName val="Sch 2 Vehicle Listings"/>
      <sheetName val="Sch 3 Fuel Consumption Stats"/>
      <sheetName val="Sch 4 Employee Class-Compen"/>
      <sheetName val="Sch 5 Operating Property"/>
      <sheetName val="Sch 6 Bal Sheet Assests -Total"/>
      <sheetName val="Sch 7 Bal Sheet Liab-Equity"/>
      <sheetName val="Sch 8 Revenues"/>
      <sheetName val="Sch 9 Customers"/>
      <sheetName val="Sch 10 Income Statement"/>
      <sheetName val="Sch 11 Reg Recycle Program"/>
      <sheetName val="Sch 12 Yard Waste-Organics Prog"/>
      <sheetName val="Sch 13 Garbage Disposal Fees"/>
      <sheetName val="Sch 14 Medical Waste "/>
      <sheetName val="Sch 15 Other Disp-Process Exp"/>
      <sheetName val="Sch 16 Contracted Cities"/>
      <sheetName val="Reg Fee Calc Schedule"/>
      <sheetName val="Company Info-Certification Pag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J11">
            <v>18458.88</v>
          </cell>
        </row>
        <row r="12">
          <cell r="J12">
            <v>11598.333000000002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 Count Summary"/>
      <sheetName val="2120_IS210"/>
      <sheetName val="Spokane Reg - Price out"/>
      <sheetName val="Whitman Reg - Price Out"/>
      <sheetName val="Army Non-Reg - Price Out"/>
      <sheetName val="Latah Co Non-Reg - Price Out"/>
      <sheetName val="Rockford Non-Reg - Price Out"/>
      <sheetName val="Spangle Non-Reg - Price Out"/>
      <sheetName val="Starbuck Non-Reg - Price Out"/>
      <sheetName val="Tekoa Non-Reg - Price Out"/>
      <sheetName val="2021 Rev Tool (Jan-July)"/>
      <sheetName val="Spokane Reg Resi"/>
      <sheetName val="Spokane Reg Comm"/>
      <sheetName val="Whitman Reg Prices"/>
      <sheetName val="Rockford Price"/>
      <sheetName val="Spangle Price"/>
      <sheetName val="Starbuck Pricing"/>
      <sheetName val="Tekoa Pricing"/>
    </sheetNames>
    <sheetDataSet>
      <sheetData sheetId="0" refreshError="1"/>
      <sheetData sheetId="1">
        <row r="7">
          <cell r="B7">
            <v>1357.4564384204241</v>
          </cell>
        </row>
        <row r="8">
          <cell r="B8">
            <v>108.57734223053579</v>
          </cell>
        </row>
        <row r="9">
          <cell r="B9">
            <v>5.0279355623287456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153"/>
  <sheetViews>
    <sheetView view="pageBreakPreview" zoomScaleNormal="85" zoomScaleSheetLayoutView="100" workbookViewId="0">
      <selection activeCell="B24" sqref="B24"/>
    </sheetView>
  </sheetViews>
  <sheetFormatPr defaultRowHeight="15"/>
  <cols>
    <col min="1" max="1" width="36.28515625" style="1" bestFit="1" customWidth="1"/>
    <col min="2" max="2" width="19" style="1" bestFit="1" customWidth="1"/>
    <col min="3" max="3" width="16" style="1" bestFit="1" customWidth="1"/>
    <col min="4" max="4" width="13.140625" style="1" customWidth="1"/>
    <col min="5" max="5" width="7" style="1" bestFit="1" customWidth="1"/>
    <col min="6" max="6" width="11.42578125" style="1" bestFit="1" customWidth="1"/>
    <col min="7" max="7" width="10" style="1" bestFit="1" customWidth="1"/>
    <col min="8" max="8" width="8" style="1" bestFit="1" customWidth="1"/>
    <col min="9" max="9" width="15.85546875" style="1" bestFit="1" customWidth="1"/>
    <col min="10" max="10" width="12" style="1" bestFit="1" customWidth="1"/>
    <col min="11" max="16384" width="9.140625" style="1"/>
  </cols>
  <sheetData>
    <row r="1" spans="1:8">
      <c r="A1" s="52" t="s">
        <v>273</v>
      </c>
    </row>
    <row r="2" spans="1:8">
      <c r="A2" s="52" t="s">
        <v>296</v>
      </c>
    </row>
    <row r="4" spans="1:8">
      <c r="A4" s="276" t="s">
        <v>120</v>
      </c>
      <c r="B4" s="276"/>
      <c r="C4" s="276"/>
      <c r="D4" s="276"/>
      <c r="E4" s="276"/>
      <c r="F4" s="276"/>
      <c r="G4" s="276"/>
      <c r="H4" s="276"/>
    </row>
    <row r="5" spans="1:8">
      <c r="A5" s="1" t="s">
        <v>121</v>
      </c>
      <c r="B5" s="2" t="s">
        <v>122</v>
      </c>
      <c r="C5" s="2" t="s">
        <v>123</v>
      </c>
      <c r="D5" s="2" t="s">
        <v>124</v>
      </c>
      <c r="E5" s="3" t="s">
        <v>125</v>
      </c>
      <c r="F5" s="3" t="s">
        <v>126</v>
      </c>
      <c r="G5" s="3" t="s">
        <v>127</v>
      </c>
      <c r="H5" s="2" t="s">
        <v>128</v>
      </c>
    </row>
    <row r="6" spans="1:8">
      <c r="A6" s="1" t="s">
        <v>129</v>
      </c>
      <c r="B6" s="4">
        <f>52*5/12</f>
        <v>21.666666666666668</v>
      </c>
      <c r="C6" s="5">
        <f>$B$6*2</f>
        <v>43.333333333333336</v>
      </c>
      <c r="D6" s="5">
        <f>$B$6*3</f>
        <v>65</v>
      </c>
      <c r="E6" s="5">
        <f>$B$6*4</f>
        <v>86.666666666666671</v>
      </c>
      <c r="F6" s="5">
        <f>$B$6*5</f>
        <v>108.33333333333334</v>
      </c>
      <c r="G6" s="5">
        <f>$B$6*6</f>
        <v>130</v>
      </c>
      <c r="H6" s="5">
        <f>$B$6*7</f>
        <v>151.66666666666669</v>
      </c>
    </row>
    <row r="7" spans="1:8">
      <c r="A7" s="1" t="s">
        <v>130</v>
      </c>
      <c r="B7" s="4">
        <f>52*4/12</f>
        <v>17.333333333333332</v>
      </c>
      <c r="C7" s="5">
        <f>$B$7*2</f>
        <v>34.666666666666664</v>
      </c>
      <c r="D7" s="5">
        <f>$B$7*3</f>
        <v>52</v>
      </c>
      <c r="E7" s="5">
        <f>$B$7*4</f>
        <v>69.333333333333329</v>
      </c>
      <c r="F7" s="5">
        <f>$B$7*5</f>
        <v>86.666666666666657</v>
      </c>
      <c r="G7" s="5">
        <f>$B$7*6</f>
        <v>104</v>
      </c>
      <c r="H7" s="5">
        <f>$B$7*7</f>
        <v>121.33333333333333</v>
      </c>
    </row>
    <row r="8" spans="1:8">
      <c r="A8" s="1" t="s">
        <v>131</v>
      </c>
      <c r="B8" s="4">
        <f>52*3/12</f>
        <v>13</v>
      </c>
      <c r="C8" s="5">
        <f>$B$8*2</f>
        <v>26</v>
      </c>
      <c r="D8" s="5">
        <f>$B$8*3</f>
        <v>39</v>
      </c>
      <c r="E8" s="5">
        <f>$B$8*4</f>
        <v>52</v>
      </c>
      <c r="F8" s="5">
        <f>$B$8*5</f>
        <v>65</v>
      </c>
      <c r="G8" s="5">
        <f>$B$8*6</f>
        <v>78</v>
      </c>
      <c r="H8" s="5">
        <f>$B$8*7</f>
        <v>91</v>
      </c>
    </row>
    <row r="9" spans="1:8">
      <c r="A9" s="1" t="s">
        <v>132</v>
      </c>
      <c r="B9" s="4">
        <f>52*2/12</f>
        <v>8.6666666666666661</v>
      </c>
      <c r="C9" s="6">
        <f>$B$9*2</f>
        <v>17.333333333333332</v>
      </c>
      <c r="D9" s="6">
        <f>$B$9*3</f>
        <v>26</v>
      </c>
      <c r="E9" s="6">
        <f>$B$9*4</f>
        <v>34.666666666666664</v>
      </c>
      <c r="F9" s="6">
        <f>$B$9*5</f>
        <v>43.333333333333329</v>
      </c>
      <c r="G9" s="6">
        <f>$B$9*6</f>
        <v>52</v>
      </c>
      <c r="H9" s="6">
        <f>$B$9*7</f>
        <v>60.666666666666664</v>
      </c>
    </row>
    <row r="10" spans="1:8">
      <c r="A10" s="1" t="s">
        <v>133</v>
      </c>
      <c r="B10" s="4">
        <f>52/12</f>
        <v>4.333333333333333</v>
      </c>
      <c r="C10" s="6">
        <f>$B$10*2</f>
        <v>8.6666666666666661</v>
      </c>
      <c r="D10" s="6">
        <f>$B$10*3</f>
        <v>13</v>
      </c>
      <c r="E10" s="6">
        <f>$B$10*4</f>
        <v>17.333333333333332</v>
      </c>
      <c r="F10" s="6">
        <f>$B$10*5</f>
        <v>21.666666666666664</v>
      </c>
      <c r="G10" s="6">
        <f>$B$10*6</f>
        <v>26</v>
      </c>
      <c r="H10" s="6">
        <f>$B$10*7</f>
        <v>30.333333333333332</v>
      </c>
    </row>
    <row r="11" spans="1:8">
      <c r="A11" s="1" t="s">
        <v>134</v>
      </c>
      <c r="B11" s="4">
        <f>26/12</f>
        <v>2.1666666666666665</v>
      </c>
      <c r="C11" s="6">
        <f>$B$11*2</f>
        <v>4.333333333333333</v>
      </c>
      <c r="D11" s="6">
        <f>$B$11*3</f>
        <v>6.5</v>
      </c>
      <c r="E11" s="6">
        <f>$B$11*4</f>
        <v>8.6666666666666661</v>
      </c>
      <c r="F11" s="6">
        <f>$B$11*5</f>
        <v>10.833333333333332</v>
      </c>
      <c r="G11" s="6">
        <f>$B$11*6</f>
        <v>13</v>
      </c>
      <c r="H11" s="6">
        <f>$B$11*7</f>
        <v>15.166666666666666</v>
      </c>
    </row>
    <row r="12" spans="1:8">
      <c r="A12" s="1" t="s">
        <v>135</v>
      </c>
      <c r="B12" s="4">
        <f>12/12</f>
        <v>1</v>
      </c>
      <c r="C12" s="6">
        <f>$B$12*2</f>
        <v>2</v>
      </c>
      <c r="D12" s="6">
        <f>$B$12*3</f>
        <v>3</v>
      </c>
      <c r="E12" s="6">
        <f>$B$12*4</f>
        <v>4</v>
      </c>
      <c r="F12" s="6">
        <f>$B$12*5</f>
        <v>5</v>
      </c>
      <c r="G12" s="6">
        <f>$B$12*6</f>
        <v>6</v>
      </c>
      <c r="H12" s="6">
        <f>$B$12*7</f>
        <v>7</v>
      </c>
    </row>
    <row r="13" spans="1:8">
      <c r="B13" s="4"/>
      <c r="C13" s="6"/>
      <c r="D13" s="6"/>
      <c r="E13" s="6"/>
      <c r="F13" s="6"/>
      <c r="G13" s="6"/>
      <c r="H13" s="6"/>
    </row>
    <row r="14" spans="1:8">
      <c r="A14" s="276" t="s">
        <v>136</v>
      </c>
      <c r="B14" s="276"/>
      <c r="C14" s="6"/>
      <c r="D14" s="6"/>
      <c r="E14" s="6"/>
      <c r="F14" s="6"/>
      <c r="G14" s="6"/>
      <c r="H14" s="6"/>
    </row>
    <row r="15" spans="1:8">
      <c r="A15" s="7" t="s">
        <v>137</v>
      </c>
      <c r="B15" s="8" t="s">
        <v>138</v>
      </c>
      <c r="C15" s="6"/>
      <c r="D15" s="6"/>
      <c r="E15" s="6"/>
      <c r="F15" s="6"/>
      <c r="G15" s="6"/>
      <c r="H15" s="6"/>
    </row>
    <row r="16" spans="1:8">
      <c r="A16" s="9" t="s">
        <v>139</v>
      </c>
      <c r="B16" s="10">
        <v>20</v>
      </c>
      <c r="C16" s="6"/>
      <c r="D16" s="6"/>
      <c r="E16" s="6"/>
      <c r="F16" s="6"/>
      <c r="G16" s="6"/>
      <c r="H16" s="6"/>
    </row>
    <row r="17" spans="1:8">
      <c r="A17" s="9" t="s">
        <v>140</v>
      </c>
      <c r="B17" s="10">
        <v>34</v>
      </c>
      <c r="C17" s="6"/>
      <c r="D17" s="6"/>
      <c r="E17" s="6"/>
      <c r="F17" s="6"/>
      <c r="G17" s="6"/>
      <c r="H17" s="6"/>
    </row>
    <row r="18" spans="1:8">
      <c r="A18" s="9" t="s">
        <v>141</v>
      </c>
      <c r="B18" s="10">
        <v>51</v>
      </c>
      <c r="C18" s="6"/>
      <c r="D18" s="6"/>
      <c r="E18" s="6"/>
      <c r="F18" s="6"/>
      <c r="G18" s="6"/>
      <c r="H18" s="6"/>
    </row>
    <row r="19" spans="1:8">
      <c r="A19" s="9" t="s">
        <v>142</v>
      </c>
      <c r="B19" s="10">
        <v>77</v>
      </c>
      <c r="C19" s="6"/>
      <c r="D19" s="6"/>
      <c r="E19" s="6"/>
      <c r="F19" s="1" t="s">
        <v>143</v>
      </c>
      <c r="G19" s="10">
        <v>2000</v>
      </c>
      <c r="H19" s="6"/>
    </row>
    <row r="20" spans="1:8">
      <c r="A20" s="9" t="s">
        <v>144</v>
      </c>
      <c r="B20" s="10">
        <v>97</v>
      </c>
      <c r="C20" s="6"/>
      <c r="D20" s="6"/>
      <c r="E20" s="6"/>
      <c r="F20" s="1" t="s">
        <v>145</v>
      </c>
      <c r="G20" s="262" t="s">
        <v>146</v>
      </c>
      <c r="H20" s="6"/>
    </row>
    <row r="21" spans="1:8">
      <c r="A21" s="9" t="s">
        <v>147</v>
      </c>
      <c r="B21" s="10">
        <v>117</v>
      </c>
      <c r="C21" s="6"/>
      <c r="D21" s="6"/>
      <c r="E21" s="6"/>
      <c r="H21" s="6"/>
    </row>
    <row r="22" spans="1:8">
      <c r="A22" s="9" t="s">
        <v>148</v>
      </c>
      <c r="B22" s="10">
        <v>157</v>
      </c>
      <c r="C22" s="6"/>
      <c r="D22" s="6"/>
      <c r="E22" s="6"/>
      <c r="F22" s="11"/>
      <c r="G22" s="12"/>
      <c r="H22" s="6"/>
    </row>
    <row r="23" spans="1:8">
      <c r="A23" s="9" t="s">
        <v>149</v>
      </c>
      <c r="B23" s="10">
        <v>47</v>
      </c>
      <c r="C23" s="6"/>
      <c r="D23" s="6" t="s">
        <v>253</v>
      </c>
      <c r="E23" s="6"/>
      <c r="F23" s="6" t="s">
        <v>254</v>
      </c>
      <c r="G23" s="6"/>
      <c r="H23" s="6"/>
    </row>
    <row r="24" spans="1:8">
      <c r="A24" s="9" t="s">
        <v>150</v>
      </c>
      <c r="B24" s="10">
        <v>68</v>
      </c>
      <c r="C24" s="6"/>
      <c r="D24" s="35">
        <v>2</v>
      </c>
      <c r="E24" s="6"/>
      <c r="F24" s="35">
        <v>2</v>
      </c>
      <c r="G24" s="6"/>
      <c r="H24" s="6"/>
    </row>
    <row r="25" spans="1:8">
      <c r="A25" s="9" t="s">
        <v>151</v>
      </c>
      <c r="B25" s="10">
        <v>34</v>
      </c>
      <c r="C25" s="6"/>
      <c r="D25" s="35">
        <v>3</v>
      </c>
      <c r="E25" s="6"/>
      <c r="F25" s="35">
        <v>3</v>
      </c>
      <c r="G25" s="6"/>
      <c r="H25" s="6"/>
    </row>
    <row r="26" spans="1:8">
      <c r="A26" s="9" t="s">
        <v>152</v>
      </c>
      <c r="B26" s="10">
        <v>34</v>
      </c>
      <c r="C26" s="6"/>
      <c r="D26" s="35">
        <v>4</v>
      </c>
      <c r="E26" s="6"/>
      <c r="F26" s="35">
        <v>4</v>
      </c>
      <c r="G26" s="6"/>
      <c r="H26" s="6"/>
    </row>
    <row r="27" spans="1:8">
      <c r="A27" s="7" t="s">
        <v>153</v>
      </c>
      <c r="B27" s="10"/>
      <c r="C27" s="6"/>
      <c r="D27" s="35">
        <v>5</v>
      </c>
      <c r="E27" s="6"/>
      <c r="F27" s="35">
        <v>5</v>
      </c>
      <c r="G27" s="6"/>
      <c r="H27" s="6"/>
    </row>
    <row r="28" spans="1:8">
      <c r="A28" s="9" t="s">
        <v>154</v>
      </c>
      <c r="B28" s="10">
        <v>29</v>
      </c>
      <c r="C28" s="6"/>
      <c r="D28" s="6"/>
      <c r="E28" s="6"/>
      <c r="F28" s="6"/>
      <c r="G28" s="6"/>
      <c r="H28" s="6"/>
    </row>
    <row r="29" spans="1:8">
      <c r="A29" s="9" t="s">
        <v>155</v>
      </c>
      <c r="B29" s="10">
        <v>175</v>
      </c>
      <c r="C29" s="6"/>
      <c r="D29" s="6"/>
      <c r="E29" s="6"/>
      <c r="F29" s="6"/>
      <c r="G29" s="6"/>
      <c r="H29" s="6"/>
    </row>
    <row r="30" spans="1:8">
      <c r="A30" s="9" t="s">
        <v>156</v>
      </c>
      <c r="B30" s="10">
        <v>250</v>
      </c>
      <c r="C30" s="6"/>
      <c r="D30" s="6"/>
      <c r="E30" s="6"/>
      <c r="F30" s="6"/>
      <c r="G30" s="6"/>
      <c r="H30" s="6"/>
    </row>
    <row r="31" spans="1:8">
      <c r="A31" s="9" t="s">
        <v>157</v>
      </c>
      <c r="B31" s="10">
        <v>375</v>
      </c>
      <c r="C31" s="6" t="s">
        <v>158</v>
      </c>
      <c r="D31" s="6"/>
      <c r="E31" s="6"/>
      <c r="F31" s="6"/>
      <c r="G31" s="6"/>
      <c r="H31" s="6"/>
    </row>
    <row r="32" spans="1:8">
      <c r="A32" s="9" t="s">
        <v>159</v>
      </c>
      <c r="B32" s="10">
        <v>324</v>
      </c>
      <c r="C32" s="6"/>
      <c r="D32" s="6"/>
      <c r="E32" s="6"/>
      <c r="F32" s="6"/>
      <c r="G32" s="6"/>
      <c r="H32" s="6"/>
    </row>
    <row r="33" spans="1:8">
      <c r="A33" s="9" t="s">
        <v>160</v>
      </c>
      <c r="B33" s="10">
        <v>473</v>
      </c>
      <c r="C33" s="6"/>
      <c r="D33" s="6"/>
      <c r="E33" s="6"/>
      <c r="F33" s="6"/>
      <c r="G33" s="6"/>
      <c r="H33" s="6"/>
    </row>
    <row r="34" spans="1:8">
      <c r="A34" s="9" t="s">
        <v>161</v>
      </c>
      <c r="B34" s="10">
        <v>710</v>
      </c>
      <c r="C34" s="6" t="s">
        <v>158</v>
      </c>
      <c r="D34" s="6"/>
      <c r="E34" s="6"/>
      <c r="F34" s="6"/>
      <c r="G34" s="6"/>
      <c r="H34" s="6"/>
    </row>
    <row r="35" spans="1:8">
      <c r="A35" s="9" t="s">
        <v>162</v>
      </c>
      <c r="B35" s="10">
        <v>613</v>
      </c>
      <c r="C35" s="6"/>
      <c r="D35" s="6"/>
      <c r="E35" s="6"/>
      <c r="F35" s="6"/>
      <c r="G35" s="6"/>
      <c r="H35" s="6"/>
    </row>
    <row r="36" spans="1:8">
      <c r="A36" s="9" t="s">
        <v>163</v>
      </c>
      <c r="B36" s="10">
        <v>920</v>
      </c>
      <c r="C36" s="6" t="s">
        <v>158</v>
      </c>
      <c r="D36" s="6"/>
      <c r="E36" s="6"/>
      <c r="F36" s="6"/>
      <c r="G36" s="6"/>
      <c r="H36" s="6"/>
    </row>
    <row r="37" spans="1:8">
      <c r="A37" s="9" t="s">
        <v>164</v>
      </c>
      <c r="B37" s="10">
        <v>840</v>
      </c>
      <c r="C37" s="6"/>
      <c r="D37" s="6"/>
      <c r="E37" s="6"/>
      <c r="F37" s="6"/>
      <c r="G37" s="6"/>
      <c r="H37" s="6"/>
    </row>
    <row r="38" spans="1:8">
      <c r="A38" s="9" t="s">
        <v>165</v>
      </c>
      <c r="B38" s="10">
        <v>1260</v>
      </c>
      <c r="C38" s="6" t="s">
        <v>158</v>
      </c>
      <c r="D38" s="6"/>
      <c r="E38" s="6"/>
      <c r="F38" s="6"/>
      <c r="G38" s="6"/>
      <c r="H38" s="6"/>
    </row>
    <row r="39" spans="1:8">
      <c r="A39" s="9" t="s">
        <v>166</v>
      </c>
      <c r="B39" s="10">
        <v>980</v>
      </c>
      <c r="C39" s="6"/>
      <c r="D39" s="6"/>
      <c r="E39" s="6"/>
      <c r="F39" s="6"/>
      <c r="G39" s="6"/>
      <c r="H39" s="6"/>
    </row>
    <row r="40" spans="1:8">
      <c r="A40" s="9" t="s">
        <v>167</v>
      </c>
      <c r="B40" s="10">
        <v>482</v>
      </c>
      <c r="C40" s="6" t="s">
        <v>158</v>
      </c>
      <c r="D40" s="6"/>
      <c r="E40" s="6"/>
      <c r="F40" s="6"/>
      <c r="G40" s="6"/>
      <c r="H40" s="6"/>
    </row>
    <row r="41" spans="1:8">
      <c r="A41" s="9" t="s">
        <v>168</v>
      </c>
      <c r="B41" s="10">
        <v>689</v>
      </c>
      <c r="C41" s="6" t="s">
        <v>158</v>
      </c>
      <c r="D41" s="6"/>
      <c r="E41" s="6"/>
      <c r="F41" s="6"/>
      <c r="G41" s="6"/>
      <c r="H41" s="6"/>
    </row>
    <row r="42" spans="1:8">
      <c r="A42" s="9" t="s">
        <v>169</v>
      </c>
      <c r="B42" s="10">
        <v>892</v>
      </c>
      <c r="C42" s="6" t="s">
        <v>158</v>
      </c>
      <c r="D42" s="6"/>
      <c r="E42" s="6"/>
      <c r="F42" s="6"/>
      <c r="G42" s="6"/>
      <c r="H42" s="6"/>
    </row>
    <row r="43" spans="1:8">
      <c r="A43" s="9" t="s">
        <v>170</v>
      </c>
      <c r="B43" s="10">
        <v>1301</v>
      </c>
      <c r="C43" s="6"/>
      <c r="D43" s="6"/>
      <c r="E43" s="6"/>
      <c r="F43" s="6"/>
      <c r="G43" s="6"/>
      <c r="H43" s="6"/>
    </row>
    <row r="44" spans="1:8">
      <c r="A44" s="9" t="s">
        <v>171</v>
      </c>
      <c r="B44" s="10">
        <v>1686</v>
      </c>
      <c r="C44" s="6"/>
      <c r="D44" s="6"/>
      <c r="E44" s="6"/>
      <c r="F44" s="6"/>
      <c r="G44" s="6"/>
      <c r="H44" s="6"/>
    </row>
    <row r="45" spans="1:8">
      <c r="A45" s="9" t="s">
        <v>172</v>
      </c>
      <c r="B45" s="10">
        <v>2046</v>
      </c>
      <c r="C45" s="6"/>
      <c r="D45" s="6"/>
      <c r="E45" s="6"/>
      <c r="F45" s="6"/>
      <c r="G45" s="6"/>
      <c r="H45" s="6"/>
    </row>
    <row r="46" spans="1:8">
      <c r="A46" s="9" t="s">
        <v>173</v>
      </c>
      <c r="B46" s="10">
        <v>2310</v>
      </c>
      <c r="C46" s="6"/>
      <c r="D46" s="6"/>
      <c r="E46" s="6"/>
      <c r="F46" s="6"/>
      <c r="G46" s="6"/>
      <c r="H46" s="6"/>
    </row>
    <row r="47" spans="1:8">
      <c r="A47" s="9" t="s">
        <v>174</v>
      </c>
      <c r="B47" s="10">
        <v>2800</v>
      </c>
      <c r="C47" s="6" t="s">
        <v>158</v>
      </c>
      <c r="D47" s="6"/>
      <c r="E47" s="6"/>
      <c r="F47" s="6"/>
      <c r="G47" s="6"/>
      <c r="H47" s="6"/>
    </row>
    <row r="48" spans="1:8">
      <c r="A48" s="9" t="s">
        <v>175</v>
      </c>
      <c r="B48" s="10">
        <v>125</v>
      </c>
      <c r="C48" s="6"/>
      <c r="D48" s="6"/>
      <c r="E48" s="6"/>
      <c r="F48" s="6"/>
      <c r="G48" s="6"/>
      <c r="H48" s="6"/>
    </row>
    <row r="49" spans="1:12">
      <c r="B49" s="277" t="s">
        <v>176</v>
      </c>
      <c r="C49" s="277"/>
    </row>
    <row r="50" spans="1:12">
      <c r="A50" s="9" t="s">
        <v>198</v>
      </c>
      <c r="B50" s="20">
        <v>12</v>
      </c>
    </row>
    <row r="52" spans="1:12">
      <c r="A52" s="99"/>
      <c r="B52" s="99"/>
      <c r="C52" s="99"/>
      <c r="D52" s="99"/>
      <c r="F52" s="278" t="s">
        <v>179</v>
      </c>
      <c r="G52" s="278"/>
    </row>
    <row r="53" spans="1:12">
      <c r="A53" s="51" t="s">
        <v>304</v>
      </c>
      <c r="B53" s="53" t="s">
        <v>177</v>
      </c>
      <c r="C53" s="53" t="s">
        <v>178</v>
      </c>
      <c r="D53" s="99"/>
      <c r="F53" s="1" t="s">
        <v>181</v>
      </c>
      <c r="G53" s="14">
        <f>0.0175</f>
        <v>1.7500000000000002E-2</v>
      </c>
      <c r="I53" s="22"/>
      <c r="J53" s="25"/>
      <c r="K53" s="23"/>
      <c r="L53" s="23"/>
    </row>
    <row r="54" spans="1:12">
      <c r="A54" s="97" t="s">
        <v>305</v>
      </c>
      <c r="B54" s="13"/>
      <c r="C54" s="13"/>
      <c r="D54" s="99"/>
      <c r="F54" s="1" t="s">
        <v>183</v>
      </c>
      <c r="G54" s="15">
        <v>5.1000000000000004E-3</v>
      </c>
      <c r="I54" s="22"/>
      <c r="J54" s="25"/>
      <c r="K54" s="23"/>
      <c r="L54" s="23"/>
    </row>
    <row r="55" spans="1:12">
      <c r="A55" s="126" t="s">
        <v>180</v>
      </c>
      <c r="B55" s="265">
        <v>113.86</v>
      </c>
      <c r="C55" s="120">
        <f>B55/2000</f>
        <v>5.6930000000000001E-2</v>
      </c>
      <c r="D55" s="99"/>
      <c r="F55" s="1" t="s">
        <v>185</v>
      </c>
      <c r="G55" s="16"/>
      <c r="I55" s="22"/>
      <c r="J55" s="26"/>
      <c r="K55" s="23"/>
      <c r="L55" s="23"/>
    </row>
    <row r="56" spans="1:12">
      <c r="A56" s="126" t="s">
        <v>182</v>
      </c>
      <c r="B56" s="263">
        <v>117.16</v>
      </c>
      <c r="C56" s="121">
        <f>B56/2000</f>
        <v>5.858E-2</v>
      </c>
      <c r="D56" s="99"/>
      <c r="F56" s="1" t="s">
        <v>0</v>
      </c>
      <c r="G56" s="17">
        <f>SUM(G53:G55)</f>
        <v>2.2600000000000002E-2</v>
      </c>
      <c r="I56" s="22"/>
      <c r="J56" s="25"/>
      <c r="K56" s="23"/>
      <c r="L56" s="23"/>
    </row>
    <row r="57" spans="1:12">
      <c r="A57" s="9" t="s">
        <v>184</v>
      </c>
      <c r="B57" s="119">
        <f>B56-B55</f>
        <v>3.2999999999999972</v>
      </c>
      <c r="C57" s="122">
        <f>C56-C55</f>
        <v>1.6499999999999987E-3</v>
      </c>
      <c r="D57" s="127">
        <f>B57/B55</f>
        <v>2.8982961531705577E-2</v>
      </c>
      <c r="I57" s="22"/>
      <c r="J57" s="25"/>
      <c r="K57" s="23"/>
      <c r="L57" s="23"/>
    </row>
    <row r="58" spans="1:12">
      <c r="A58" s="58" t="s">
        <v>349</v>
      </c>
      <c r="B58" s="119"/>
      <c r="C58" s="120"/>
      <c r="D58" s="99"/>
      <c r="F58" s="1" t="s">
        <v>186</v>
      </c>
      <c r="G58" s="18">
        <f>1-G56</f>
        <v>0.97740000000000005</v>
      </c>
      <c r="I58" s="22"/>
      <c r="J58" s="25"/>
      <c r="K58" s="23"/>
      <c r="L58" s="23"/>
    </row>
    <row r="59" spans="1:12">
      <c r="A59" s="99" t="s">
        <v>180</v>
      </c>
      <c r="B59" s="264">
        <v>110</v>
      </c>
      <c r="C59" s="120">
        <f>B59/2000</f>
        <v>5.5E-2</v>
      </c>
      <c r="D59" s="99"/>
      <c r="I59" s="22"/>
      <c r="J59" s="26"/>
      <c r="K59" s="23"/>
      <c r="L59" s="23"/>
    </row>
    <row r="60" spans="1:12">
      <c r="A60" s="126" t="s">
        <v>182</v>
      </c>
      <c r="B60" s="263">
        <v>112</v>
      </c>
      <c r="C60" s="121">
        <f>B60/2000</f>
        <v>5.6000000000000001E-2</v>
      </c>
      <c r="D60" s="99"/>
      <c r="I60" s="23"/>
      <c r="J60" s="23"/>
      <c r="K60" s="23"/>
      <c r="L60" s="23"/>
    </row>
    <row r="61" spans="1:12">
      <c r="A61" s="9" t="s">
        <v>184</v>
      </c>
      <c r="B61" s="119">
        <f>B60-B59</f>
        <v>2</v>
      </c>
      <c r="C61" s="122">
        <f>C60-C59</f>
        <v>1.0000000000000009E-3</v>
      </c>
      <c r="D61" s="127">
        <f>B61/B59</f>
        <v>1.8181818181818181E-2</v>
      </c>
      <c r="E61" s="23"/>
      <c r="I61" s="23"/>
      <c r="J61" s="23"/>
      <c r="K61" s="23"/>
      <c r="L61" s="23"/>
    </row>
    <row r="62" spans="1:12" s="54" customFormat="1">
      <c r="A62" s="99"/>
      <c r="B62" s="99"/>
      <c r="C62" s="99"/>
      <c r="D62" s="127"/>
      <c r="E62" s="55"/>
      <c r="I62" s="55"/>
      <c r="J62" s="55"/>
      <c r="K62" s="55"/>
      <c r="L62" s="55"/>
    </row>
    <row r="63" spans="1:12" s="99" customFormat="1">
      <c r="B63" s="53" t="s">
        <v>307</v>
      </c>
      <c r="C63" s="53" t="s">
        <v>306</v>
      </c>
      <c r="E63" s="55"/>
      <c r="I63" s="55"/>
      <c r="J63" s="55"/>
      <c r="K63" s="55"/>
      <c r="L63" s="55"/>
    </row>
    <row r="64" spans="1:12" s="99" customFormat="1">
      <c r="A64" s="99" t="s">
        <v>308</v>
      </c>
      <c r="B64" s="125">
        <f>B57</f>
        <v>3.2999999999999972</v>
      </c>
      <c r="C64" s="125">
        <f>B61</f>
        <v>2</v>
      </c>
      <c r="E64" s="55"/>
      <c r="I64" s="55"/>
      <c r="J64" s="55"/>
      <c r="K64" s="55"/>
      <c r="L64" s="55"/>
    </row>
    <row r="65" spans="1:12" s="99" customFormat="1">
      <c r="A65" s="99" t="s">
        <v>274</v>
      </c>
      <c r="B65" s="125">
        <f>B64/$G$58</f>
        <v>3.3763044812768541</v>
      </c>
      <c r="C65" s="125">
        <f>C64/$G$58</f>
        <v>2.0462451401677919</v>
      </c>
      <c r="E65" s="55"/>
      <c r="I65" s="55"/>
      <c r="J65" s="55"/>
      <c r="K65" s="55"/>
      <c r="L65" s="55"/>
    </row>
    <row r="66" spans="1:12" s="99" customFormat="1">
      <c r="A66" s="99" t="s">
        <v>275</v>
      </c>
      <c r="B66" s="266">
        <f>'Disposal Schedule'!L25*'Disposal Schedule'!C34</f>
        <v>393.55849951921283</v>
      </c>
      <c r="C66" s="266">
        <f>'Disposal Schedule'!E25*'Disposal Schedule'!C34</f>
        <v>1006.1703185869482</v>
      </c>
      <c r="D66" s="128"/>
      <c r="E66" s="55"/>
      <c r="I66" s="55"/>
      <c r="J66" s="55"/>
      <c r="K66" s="55"/>
      <c r="L66" s="55"/>
    </row>
    <row r="67" spans="1:12" s="99" customFormat="1">
      <c r="A67" s="58" t="s">
        <v>276</v>
      </c>
      <c r="B67" s="129">
        <f>B65*B66</f>
        <v>1328.7733255713129</v>
      </c>
      <c r="C67" s="129">
        <f t="shared" ref="C67" si="0">C65*C66</f>
        <v>2058.8711245896216</v>
      </c>
      <c r="D67" s="129">
        <f>SUM(B67:C67)</f>
        <v>3387.6444501609344</v>
      </c>
      <c r="E67" s="55"/>
      <c r="I67" s="55"/>
      <c r="J67" s="55"/>
      <c r="K67" s="55"/>
      <c r="L67" s="55"/>
    </row>
    <row r="68" spans="1:12" s="99" customFormat="1">
      <c r="E68" s="55"/>
      <c r="I68" s="55"/>
      <c r="J68" s="55"/>
      <c r="K68" s="55"/>
      <c r="L68" s="55"/>
    </row>
    <row r="69" spans="1:12" s="54" customFormat="1" ht="15.75" thickBot="1">
      <c r="B69" s="56"/>
      <c r="C69" s="55"/>
      <c r="D69" s="55"/>
      <c r="E69" s="55"/>
      <c r="I69" s="55"/>
      <c r="J69" s="55"/>
      <c r="K69" s="55"/>
      <c r="L69" s="55"/>
    </row>
    <row r="70" spans="1:12" s="54" customFormat="1">
      <c r="A70" s="106" t="s">
        <v>277</v>
      </c>
      <c r="B70" s="111" t="s">
        <v>278</v>
      </c>
      <c r="C70" s="55"/>
      <c r="D70" s="55"/>
      <c r="E70" s="55"/>
      <c r="I70" s="55"/>
      <c r="J70" s="55"/>
      <c r="K70" s="55"/>
      <c r="L70" s="55"/>
    </row>
    <row r="71" spans="1:12" s="54" customFormat="1">
      <c r="A71" s="107" t="s">
        <v>279</v>
      </c>
      <c r="B71" s="94">
        <f>'Spokane DF Calc'!R49</f>
        <v>3416.423566523405</v>
      </c>
      <c r="C71" s="55"/>
      <c r="D71" s="55"/>
      <c r="E71" s="55"/>
      <c r="I71" s="55"/>
      <c r="J71" s="55"/>
      <c r="K71" s="55"/>
      <c r="L71" s="55"/>
    </row>
    <row r="72" spans="1:12" s="54" customFormat="1">
      <c r="A72" s="107" t="s">
        <v>280</v>
      </c>
      <c r="B72" s="94">
        <f>B71-D67</f>
        <v>28.779116362470631</v>
      </c>
      <c r="C72" s="124"/>
      <c r="D72" s="55"/>
      <c r="E72" s="55"/>
      <c r="I72" s="55"/>
      <c r="J72" s="55"/>
      <c r="K72" s="55"/>
      <c r="L72" s="55"/>
    </row>
    <row r="73" spans="1:12" s="54" customFormat="1" ht="15.75" thickBot="1">
      <c r="A73" s="109"/>
      <c r="B73" s="110"/>
      <c r="C73" s="55"/>
      <c r="D73" s="55"/>
      <c r="E73" s="55"/>
      <c r="I73" s="55"/>
      <c r="J73" s="55"/>
      <c r="K73" s="55"/>
      <c r="L73" s="55"/>
    </row>
    <row r="74" spans="1:12">
      <c r="A74" s="23"/>
      <c r="B74" s="33"/>
      <c r="C74" s="20"/>
      <c r="D74" s="23"/>
      <c r="E74" s="23"/>
      <c r="I74" s="20"/>
      <c r="J74" s="20"/>
      <c r="K74" s="23"/>
      <c r="L74" s="23"/>
    </row>
    <row r="75" spans="1:12">
      <c r="A75" s="23"/>
      <c r="B75" s="20"/>
      <c r="C75" s="28"/>
      <c r="D75" s="27"/>
      <c r="E75" s="23"/>
      <c r="I75" s="28"/>
      <c r="J75" s="28"/>
      <c r="K75" s="27"/>
      <c r="L75" s="23"/>
    </row>
    <row r="76" spans="1:12">
      <c r="A76" s="21"/>
      <c r="B76" s="28"/>
      <c r="C76" s="27"/>
      <c r="D76" s="27"/>
      <c r="E76" s="23"/>
      <c r="I76" s="23"/>
      <c r="J76" s="23"/>
      <c r="K76" s="23"/>
      <c r="L76" s="23"/>
    </row>
    <row r="77" spans="1:12">
      <c r="A77" s="23"/>
      <c r="B77" s="23"/>
      <c r="C77" s="23"/>
      <c r="D77" s="23"/>
      <c r="E77" s="23"/>
    </row>
    <row r="78" spans="1:12">
      <c r="A78" s="23"/>
      <c r="B78" s="23"/>
      <c r="C78" s="23"/>
      <c r="D78" s="23"/>
      <c r="E78" s="23"/>
    </row>
    <row r="79" spans="1:12">
      <c r="A79" s="23"/>
      <c r="B79" s="23"/>
      <c r="C79" s="23"/>
      <c r="D79" s="23"/>
      <c r="E79" s="23"/>
    </row>
    <row r="80" spans="1:12">
      <c r="A80" s="21"/>
      <c r="B80" s="29"/>
      <c r="C80" s="23"/>
      <c r="D80" s="23"/>
      <c r="E80" s="23"/>
    </row>
    <row r="81" spans="1:5">
      <c r="A81" s="23"/>
      <c r="B81" s="22"/>
      <c r="C81" s="23"/>
      <c r="D81" s="23"/>
      <c r="E81" s="23"/>
    </row>
    <row r="82" spans="1:5">
      <c r="A82" s="23"/>
      <c r="B82" s="22"/>
      <c r="C82" s="23"/>
      <c r="D82" s="23"/>
      <c r="E82" s="23"/>
    </row>
    <row r="83" spans="1:5">
      <c r="A83" s="23"/>
      <c r="B83" s="23"/>
      <c r="C83" s="23"/>
      <c r="D83" s="23"/>
      <c r="E83" s="23"/>
    </row>
    <row r="84" spans="1:5">
      <c r="A84" s="21"/>
      <c r="B84" s="29"/>
      <c r="C84" s="23"/>
      <c r="D84" s="23"/>
      <c r="E84" s="23"/>
    </row>
    <row r="85" spans="1:5">
      <c r="A85" s="23"/>
      <c r="B85" s="22"/>
      <c r="C85" s="23"/>
      <c r="D85" s="23"/>
      <c r="E85" s="23"/>
    </row>
    <row r="86" spans="1:5">
      <c r="A86" s="24"/>
      <c r="B86" s="22"/>
      <c r="C86" s="23"/>
      <c r="D86" s="23"/>
      <c r="E86" s="23"/>
    </row>
    <row r="87" spans="1:5">
      <c r="A87" s="23"/>
      <c r="B87" s="23"/>
      <c r="C87" s="23"/>
      <c r="D87" s="23"/>
      <c r="E87" s="23"/>
    </row>
    <row r="88" spans="1:5">
      <c r="A88" s="23"/>
      <c r="B88" s="23"/>
      <c r="C88" s="23"/>
      <c r="D88" s="23"/>
      <c r="E88" s="23"/>
    </row>
    <row r="89" spans="1:5">
      <c r="A89" s="23"/>
      <c r="B89" s="23"/>
      <c r="C89" s="23"/>
      <c r="D89" s="23"/>
      <c r="E89" s="23"/>
    </row>
    <row r="90" spans="1:5">
      <c r="A90" s="23"/>
      <c r="B90" s="23"/>
      <c r="C90" s="23"/>
      <c r="D90" s="23"/>
      <c r="E90" s="23"/>
    </row>
    <row r="91" spans="1:5">
      <c r="A91" s="23"/>
      <c r="B91" s="23"/>
      <c r="C91" s="23"/>
      <c r="D91" s="23"/>
      <c r="E91" s="23"/>
    </row>
    <row r="92" spans="1:5">
      <c r="A92" s="23"/>
      <c r="B92" s="23"/>
      <c r="C92" s="23"/>
      <c r="D92" s="23"/>
      <c r="E92" s="23"/>
    </row>
    <row r="93" spans="1:5">
      <c r="A93" s="23"/>
      <c r="B93" s="23"/>
      <c r="C93" s="23"/>
      <c r="D93" s="23"/>
      <c r="E93" s="23"/>
    </row>
    <row r="94" spans="1:5">
      <c r="A94" s="23"/>
      <c r="B94" s="23"/>
      <c r="C94" s="23"/>
      <c r="D94" s="23"/>
      <c r="E94" s="23"/>
    </row>
    <row r="95" spans="1:5">
      <c r="A95" s="23"/>
      <c r="B95" s="23"/>
      <c r="C95" s="23"/>
      <c r="D95" s="23"/>
      <c r="E95" s="23"/>
    </row>
    <row r="96" spans="1:5">
      <c r="A96" s="23"/>
      <c r="B96" s="23"/>
      <c r="C96" s="23"/>
      <c r="D96" s="23"/>
      <c r="E96" s="23"/>
    </row>
    <row r="97" spans="1:5">
      <c r="A97" s="23"/>
      <c r="B97" s="23"/>
      <c r="C97" s="23"/>
      <c r="D97" s="23"/>
      <c r="E97" s="23"/>
    </row>
    <row r="98" spans="1:5">
      <c r="A98" s="23"/>
      <c r="B98" s="23"/>
      <c r="C98" s="23"/>
      <c r="D98" s="23"/>
      <c r="E98" s="23"/>
    </row>
    <row r="99" spans="1:5">
      <c r="A99" s="23"/>
      <c r="B99" s="23"/>
      <c r="C99" s="23"/>
      <c r="D99" s="23"/>
      <c r="E99" s="23"/>
    </row>
    <row r="100" spans="1:5">
      <c r="A100" s="23"/>
      <c r="B100" s="23"/>
      <c r="C100" s="23"/>
      <c r="D100" s="23"/>
      <c r="E100" s="23"/>
    </row>
    <row r="101" spans="1:5">
      <c r="A101" s="23"/>
      <c r="B101" s="23"/>
      <c r="C101" s="23"/>
      <c r="D101" s="23"/>
      <c r="E101" s="23"/>
    </row>
    <row r="102" spans="1:5">
      <c r="A102" s="23"/>
      <c r="B102" s="23"/>
      <c r="C102" s="23"/>
      <c r="D102" s="23"/>
      <c r="E102" s="23"/>
    </row>
    <row r="103" spans="1:5">
      <c r="A103" s="23"/>
      <c r="B103" s="23"/>
      <c r="C103" s="23"/>
      <c r="D103" s="23"/>
      <c r="E103" s="23"/>
    </row>
    <row r="104" spans="1:5">
      <c r="A104" s="23"/>
      <c r="B104" s="23"/>
      <c r="C104" s="23"/>
      <c r="D104" s="23"/>
      <c r="E104" s="23"/>
    </row>
    <row r="105" spans="1:5">
      <c r="A105" s="23"/>
      <c r="B105" s="23"/>
      <c r="C105" s="23"/>
      <c r="D105" s="23"/>
      <c r="E105" s="23"/>
    </row>
    <row r="106" spans="1:5">
      <c r="A106" s="23"/>
      <c r="B106" s="23"/>
      <c r="C106" s="23"/>
      <c r="D106" s="23"/>
      <c r="E106" s="23"/>
    </row>
    <row r="107" spans="1:5">
      <c r="A107" s="23"/>
      <c r="B107" s="23"/>
      <c r="C107" s="23"/>
      <c r="D107" s="23"/>
      <c r="E107" s="23"/>
    </row>
    <row r="108" spans="1:5">
      <c r="A108" s="23"/>
      <c r="B108" s="23"/>
      <c r="C108" s="23"/>
      <c r="D108" s="23"/>
      <c r="E108" s="23"/>
    </row>
    <row r="109" spans="1:5">
      <c r="A109" s="23"/>
      <c r="B109" s="23"/>
      <c r="C109" s="23"/>
      <c r="D109" s="23"/>
      <c r="E109" s="23"/>
    </row>
    <row r="110" spans="1:5">
      <c r="A110" s="23"/>
      <c r="B110" s="23"/>
      <c r="C110" s="23"/>
      <c r="D110" s="23"/>
      <c r="E110" s="23"/>
    </row>
    <row r="111" spans="1:5">
      <c r="A111" s="23"/>
      <c r="B111" s="23"/>
      <c r="C111" s="23"/>
      <c r="D111" s="23"/>
      <c r="E111" s="23"/>
    </row>
    <row r="112" spans="1:5">
      <c r="A112" s="23"/>
      <c r="B112" s="23"/>
      <c r="C112" s="23"/>
      <c r="D112" s="23"/>
      <c r="E112" s="23"/>
    </row>
    <row r="113" spans="1:5">
      <c r="A113" s="23"/>
      <c r="B113" s="23"/>
      <c r="C113" s="23"/>
      <c r="D113" s="23"/>
      <c r="E113" s="23"/>
    </row>
    <row r="114" spans="1:5">
      <c r="A114" s="23"/>
      <c r="B114" s="23"/>
      <c r="C114" s="23"/>
      <c r="D114" s="23"/>
      <c r="E114" s="23"/>
    </row>
    <row r="115" spans="1:5">
      <c r="A115" s="23"/>
      <c r="B115" s="23"/>
      <c r="C115" s="23"/>
      <c r="D115" s="23"/>
      <c r="E115" s="23"/>
    </row>
    <row r="116" spans="1:5">
      <c r="A116" s="23"/>
      <c r="B116" s="23"/>
      <c r="C116" s="23"/>
      <c r="D116" s="23"/>
      <c r="E116" s="23"/>
    </row>
    <row r="117" spans="1:5">
      <c r="A117" s="23"/>
      <c r="B117" s="23"/>
      <c r="C117" s="23"/>
      <c r="D117" s="23"/>
      <c r="E117" s="23"/>
    </row>
    <row r="118" spans="1:5">
      <c r="A118" s="23"/>
      <c r="B118" s="23"/>
      <c r="C118" s="23"/>
      <c r="D118" s="23"/>
      <c r="E118" s="23"/>
    </row>
    <row r="119" spans="1:5">
      <c r="A119" s="23"/>
      <c r="B119" s="23"/>
      <c r="C119" s="23"/>
      <c r="D119" s="23"/>
      <c r="E119" s="23"/>
    </row>
    <row r="120" spans="1:5">
      <c r="A120" s="23"/>
      <c r="B120" s="23"/>
      <c r="C120" s="23"/>
      <c r="D120" s="23"/>
      <c r="E120" s="23"/>
    </row>
    <row r="121" spans="1:5">
      <c r="A121" s="23"/>
      <c r="B121" s="23"/>
      <c r="C121" s="23"/>
      <c r="D121" s="23"/>
      <c r="E121" s="23"/>
    </row>
    <row r="122" spans="1:5">
      <c r="A122" s="23"/>
      <c r="B122" s="23"/>
      <c r="C122" s="23"/>
      <c r="D122" s="23"/>
      <c r="E122" s="23"/>
    </row>
    <row r="123" spans="1:5">
      <c r="A123" s="23"/>
      <c r="B123" s="23"/>
      <c r="C123" s="23"/>
      <c r="D123" s="23"/>
      <c r="E123" s="23"/>
    </row>
    <row r="124" spans="1:5">
      <c r="A124" s="23"/>
      <c r="B124" s="23"/>
      <c r="C124" s="23"/>
      <c r="D124" s="23"/>
      <c r="E124" s="23"/>
    </row>
    <row r="125" spans="1:5">
      <c r="A125" s="23"/>
      <c r="B125" s="23"/>
      <c r="C125" s="23"/>
      <c r="D125" s="23"/>
      <c r="E125" s="23"/>
    </row>
    <row r="126" spans="1:5">
      <c r="A126" s="23"/>
      <c r="B126" s="23"/>
      <c r="C126" s="23"/>
      <c r="D126" s="23"/>
      <c r="E126" s="23"/>
    </row>
    <row r="127" spans="1:5">
      <c r="A127" s="23"/>
      <c r="B127" s="23"/>
      <c r="C127" s="23"/>
      <c r="D127" s="23"/>
      <c r="E127" s="23"/>
    </row>
    <row r="128" spans="1:5">
      <c r="A128" s="23"/>
      <c r="B128" s="23"/>
      <c r="C128" s="23"/>
      <c r="D128" s="23"/>
      <c r="E128" s="23"/>
    </row>
    <row r="129" spans="1:5">
      <c r="A129" s="23"/>
      <c r="B129" s="23"/>
      <c r="C129" s="23"/>
      <c r="D129" s="23"/>
      <c r="E129" s="23"/>
    </row>
    <row r="130" spans="1:5">
      <c r="A130" s="23"/>
      <c r="B130" s="23"/>
      <c r="C130" s="23"/>
      <c r="D130" s="23"/>
      <c r="E130" s="23"/>
    </row>
    <row r="131" spans="1:5">
      <c r="A131" s="23"/>
      <c r="B131" s="23"/>
      <c r="C131" s="23"/>
      <c r="D131" s="23"/>
      <c r="E131" s="23"/>
    </row>
    <row r="132" spans="1:5">
      <c r="A132" s="23"/>
      <c r="B132" s="23"/>
      <c r="C132" s="23"/>
      <c r="D132" s="23"/>
      <c r="E132" s="23"/>
    </row>
    <row r="133" spans="1:5">
      <c r="A133" s="23"/>
      <c r="B133" s="23"/>
      <c r="C133" s="23"/>
      <c r="D133" s="23"/>
      <c r="E133" s="23"/>
    </row>
    <row r="134" spans="1:5">
      <c r="A134" s="23"/>
      <c r="B134" s="23"/>
      <c r="C134" s="23"/>
      <c r="D134" s="23"/>
      <c r="E134" s="23"/>
    </row>
    <row r="135" spans="1:5">
      <c r="A135" s="23"/>
      <c r="B135" s="23"/>
      <c r="C135" s="23"/>
      <c r="D135" s="23"/>
      <c r="E135" s="23"/>
    </row>
    <row r="136" spans="1:5">
      <c r="A136" s="23"/>
      <c r="B136" s="23"/>
      <c r="C136" s="23"/>
      <c r="D136" s="23"/>
      <c r="E136" s="23"/>
    </row>
    <row r="137" spans="1:5">
      <c r="A137" s="23"/>
      <c r="B137" s="23"/>
      <c r="C137" s="23"/>
      <c r="D137" s="23"/>
      <c r="E137" s="23"/>
    </row>
    <row r="138" spans="1:5">
      <c r="A138" s="23"/>
      <c r="B138" s="23"/>
      <c r="C138" s="23"/>
      <c r="D138" s="23"/>
      <c r="E138" s="23"/>
    </row>
    <row r="139" spans="1:5">
      <c r="A139" s="23"/>
      <c r="B139" s="23"/>
      <c r="C139" s="23"/>
      <c r="D139" s="23"/>
      <c r="E139" s="23"/>
    </row>
    <row r="140" spans="1:5">
      <c r="A140" s="23"/>
      <c r="B140" s="23"/>
      <c r="C140" s="23"/>
      <c r="D140" s="23"/>
      <c r="E140" s="23"/>
    </row>
    <row r="141" spans="1:5">
      <c r="A141" s="23"/>
      <c r="B141" s="23"/>
      <c r="C141" s="23"/>
      <c r="D141" s="23"/>
      <c r="E141" s="23"/>
    </row>
    <row r="142" spans="1:5">
      <c r="A142" s="23"/>
      <c r="B142" s="23"/>
      <c r="C142" s="23"/>
      <c r="D142" s="23"/>
      <c r="E142" s="23"/>
    </row>
    <row r="143" spans="1:5">
      <c r="A143" s="23"/>
      <c r="B143" s="23"/>
      <c r="C143" s="23"/>
      <c r="D143" s="23"/>
      <c r="E143" s="23"/>
    </row>
    <row r="144" spans="1:5">
      <c r="A144" s="23"/>
      <c r="B144" s="23"/>
      <c r="C144" s="23"/>
      <c r="D144" s="23"/>
      <c r="E144" s="23"/>
    </row>
    <row r="145" spans="1:5">
      <c r="A145" s="23"/>
      <c r="B145" s="23"/>
      <c r="C145" s="23"/>
      <c r="D145" s="23"/>
      <c r="E145" s="23"/>
    </row>
    <row r="146" spans="1:5">
      <c r="A146" s="23"/>
      <c r="B146" s="23"/>
      <c r="C146" s="23"/>
      <c r="D146" s="23"/>
      <c r="E146" s="23"/>
    </row>
    <row r="147" spans="1:5">
      <c r="A147" s="23"/>
      <c r="B147" s="23"/>
      <c r="C147" s="23"/>
      <c r="D147" s="23"/>
      <c r="E147" s="23"/>
    </row>
    <row r="148" spans="1:5">
      <c r="A148" s="23"/>
      <c r="B148" s="23"/>
      <c r="C148" s="23"/>
      <c r="D148" s="23"/>
      <c r="E148" s="23"/>
    </row>
    <row r="149" spans="1:5">
      <c r="A149" s="23"/>
      <c r="B149" s="23"/>
      <c r="C149" s="23"/>
      <c r="D149" s="23"/>
      <c r="E149" s="23"/>
    </row>
    <row r="150" spans="1:5">
      <c r="A150" s="23"/>
      <c r="B150" s="23"/>
      <c r="C150" s="23"/>
      <c r="D150" s="23"/>
      <c r="E150" s="23"/>
    </row>
    <row r="151" spans="1:5">
      <c r="A151" s="23"/>
      <c r="B151" s="23"/>
      <c r="C151" s="23"/>
      <c r="D151" s="23"/>
      <c r="E151" s="23"/>
    </row>
    <row r="152" spans="1:5">
      <c r="A152" s="23"/>
      <c r="B152" s="23"/>
      <c r="C152" s="23"/>
      <c r="D152" s="23"/>
      <c r="E152" s="23"/>
    </row>
    <row r="153" spans="1:5">
      <c r="A153" s="23"/>
      <c r="B153" s="23"/>
    </row>
  </sheetData>
  <mergeCells count="4">
    <mergeCell ref="A4:H4"/>
    <mergeCell ref="A14:B14"/>
    <mergeCell ref="B49:C49"/>
    <mergeCell ref="F52:G52"/>
  </mergeCells>
  <pageMargins left="0.7" right="0.7" top="0.75" bottom="0.75" header="0.3" footer="0.3"/>
  <pageSetup scale="64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Z73"/>
  <sheetViews>
    <sheetView view="pageBreakPreview" zoomScale="85" zoomScaleNormal="85" zoomScaleSheetLayoutView="85" workbookViewId="0">
      <pane xSplit="3" ySplit="5" topLeftCell="D40" activePane="bottomRight" state="frozen"/>
      <selection activeCell="A2" sqref="A2"/>
      <selection pane="topRight" activeCell="A2" sqref="A2"/>
      <selection pane="bottomLeft" activeCell="A2" sqref="A2"/>
      <selection pane="bottomRight" activeCell="L65" sqref="L65"/>
    </sheetView>
  </sheetViews>
  <sheetFormatPr defaultRowHeight="15"/>
  <cols>
    <col min="1" max="1" width="4.140625" style="1" customWidth="1"/>
    <col min="2" max="2" width="7.7109375" style="46" customWidth="1"/>
    <col min="3" max="3" width="26.140625" style="1" customWidth="1"/>
    <col min="4" max="4" width="12.42578125" style="62" customWidth="1"/>
    <col min="5" max="5" width="10.7109375" style="69" customWidth="1"/>
    <col min="6" max="6" width="10.140625" style="62" customWidth="1"/>
    <col min="7" max="7" width="8.5703125" style="62" bestFit="1" customWidth="1"/>
    <col min="8" max="9" width="12" style="62" customWidth="1"/>
    <col min="10" max="10" width="14.28515625" style="76" bestFit="1" customWidth="1"/>
    <col min="11" max="11" width="11.5703125" style="76" bestFit="1" customWidth="1"/>
    <col min="12" max="12" width="10.28515625" style="76" bestFit="1" customWidth="1"/>
    <col min="13" max="13" width="12.42578125" style="76" bestFit="1" customWidth="1"/>
    <col min="14" max="15" width="10.85546875" style="76" customWidth="1"/>
    <col min="16" max="17" width="15.42578125" style="76" customWidth="1"/>
    <col min="18" max="18" width="13.42578125" style="76" customWidth="1"/>
    <col min="19" max="19" width="15.140625" style="76" customWidth="1"/>
    <col min="20" max="20" width="11.28515625" style="76" bestFit="1" customWidth="1"/>
    <col min="21" max="21" width="9.140625" style="1"/>
    <col min="22" max="22" width="10.5703125" bestFit="1" customWidth="1"/>
    <col min="23" max="23" width="11.5703125" bestFit="1" customWidth="1"/>
    <col min="24" max="24" width="10.7109375" bestFit="1" customWidth="1"/>
    <col min="27" max="16384" width="9.140625" style="1"/>
  </cols>
  <sheetData>
    <row r="1" spans="1:26" s="57" customFormat="1">
      <c r="A1" s="60" t="s">
        <v>273</v>
      </c>
      <c r="B1" s="46"/>
      <c r="D1" s="62"/>
      <c r="E1" s="69"/>
      <c r="F1" s="62"/>
      <c r="G1" s="62"/>
      <c r="H1" s="62"/>
      <c r="I1" s="62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V1"/>
      <c r="W1"/>
      <c r="X1"/>
      <c r="Y1"/>
      <c r="Z1"/>
    </row>
    <row r="2" spans="1:26" s="57" customFormat="1">
      <c r="A2" s="58" t="s">
        <v>302</v>
      </c>
      <c r="B2" s="46"/>
      <c r="D2" s="62"/>
      <c r="E2" s="69"/>
      <c r="F2" s="62"/>
      <c r="G2" s="62"/>
      <c r="H2" s="62"/>
      <c r="I2" s="62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V2"/>
      <c r="W2"/>
      <c r="X2"/>
      <c r="Y2"/>
      <c r="Z2"/>
    </row>
    <row r="3" spans="1:26" s="57" customFormat="1">
      <c r="A3" s="267" t="s">
        <v>421</v>
      </c>
      <c r="B3" s="268"/>
      <c r="C3" s="256"/>
      <c r="D3" s="62"/>
      <c r="E3" s="69"/>
      <c r="F3" s="62"/>
      <c r="G3" s="62"/>
      <c r="H3" s="62"/>
      <c r="I3" s="62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V3"/>
      <c r="W3"/>
      <c r="X3"/>
      <c r="Y3"/>
      <c r="Z3"/>
    </row>
    <row r="4" spans="1:26" s="57" customFormat="1">
      <c r="A4" s="96" t="s">
        <v>410</v>
      </c>
      <c r="B4" s="46"/>
      <c r="D4" s="62"/>
      <c r="E4" s="69"/>
      <c r="F4" s="62"/>
      <c r="G4" s="62"/>
      <c r="H4" s="62"/>
      <c r="I4" s="62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V4"/>
      <c r="W4"/>
      <c r="X4"/>
      <c r="Y4"/>
      <c r="Z4"/>
    </row>
    <row r="5" spans="1:26" ht="45" customHeight="1">
      <c r="A5" s="59"/>
      <c r="B5" s="59" t="s">
        <v>281</v>
      </c>
      <c r="C5" s="59" t="s">
        <v>282</v>
      </c>
      <c r="D5" s="59" t="s">
        <v>189</v>
      </c>
      <c r="E5" s="59" t="s">
        <v>190</v>
      </c>
      <c r="F5" s="59" t="s">
        <v>191</v>
      </c>
      <c r="G5" s="59" t="s">
        <v>136</v>
      </c>
      <c r="H5" s="59" t="s">
        <v>192</v>
      </c>
      <c r="I5" s="59" t="s">
        <v>193</v>
      </c>
      <c r="J5" s="59" t="s">
        <v>184</v>
      </c>
      <c r="K5" s="59" t="s">
        <v>194</v>
      </c>
      <c r="L5" s="59" t="s">
        <v>283</v>
      </c>
      <c r="M5" s="59" t="s">
        <v>195</v>
      </c>
      <c r="N5" s="59" t="s">
        <v>284</v>
      </c>
      <c r="O5" s="59" t="s">
        <v>196</v>
      </c>
      <c r="P5" s="59" t="s">
        <v>197</v>
      </c>
      <c r="Q5" s="59" t="s">
        <v>255</v>
      </c>
      <c r="R5" s="59" t="s">
        <v>285</v>
      </c>
      <c r="S5" s="59" t="s">
        <v>286</v>
      </c>
      <c r="T5" s="59" t="s">
        <v>287</v>
      </c>
    </row>
    <row r="6" spans="1:26" ht="15" customHeight="1">
      <c r="A6" s="280" t="s">
        <v>187</v>
      </c>
      <c r="B6" s="90" t="s">
        <v>342</v>
      </c>
      <c r="C6" s="1" t="s">
        <v>9</v>
      </c>
      <c r="D6" s="69">
        <f>+VLOOKUP(C6,'Spokane Reg - Price out'!$B$12:$K$78,10,FALSE)</f>
        <v>5.1021569031673337</v>
      </c>
      <c r="E6" s="69">
        <f>+References!B10</f>
        <v>4.333333333333333</v>
      </c>
      <c r="F6" s="62">
        <f>D6*E6*References!$B$50</f>
        <v>265.31215896470133</v>
      </c>
      <c r="G6" s="62">
        <f>+References!B16</f>
        <v>20</v>
      </c>
      <c r="H6" s="62">
        <f>F6*G6</f>
        <v>5306.243179294026</v>
      </c>
      <c r="I6" s="62">
        <f t="shared" ref="I6:I20" si="0">H6*$D$66</f>
        <v>3500.8441718695613</v>
      </c>
      <c r="J6" s="76">
        <f>(I6*References!$C$57*'Spokane DF Calc'!$E$72)+('Spokane DF Calc'!I6*References!$C$61*'Spokane DF Calc'!$E$71)</f>
        <v>4.1406549159086943</v>
      </c>
      <c r="K6" s="76">
        <f>J6/References!$G$58</f>
        <v>4.2363974993950215</v>
      </c>
      <c r="L6" s="76">
        <f>ROUND((K6/F6*E6),2)</f>
        <v>7.0000000000000007E-2</v>
      </c>
      <c r="M6" s="76">
        <f>+'Proposed Rates'!B10</f>
        <v>17.66</v>
      </c>
      <c r="N6" s="76">
        <f>L6+M6</f>
        <v>17.73</v>
      </c>
      <c r="O6" s="76">
        <f>+'Proposed Rates'!D10</f>
        <v>17.73</v>
      </c>
      <c r="P6" s="76">
        <f>D6*M6*References!$B$50</f>
        <v>1081.2490909192213</v>
      </c>
      <c r="Q6" s="76">
        <f>D6*O6*References!$B$50</f>
        <v>1085.5349027178818</v>
      </c>
      <c r="R6" s="76">
        <f>Q6-P6</f>
        <v>4.2858117986604611</v>
      </c>
      <c r="S6" s="76">
        <f>D6*N6*References!$B$50</f>
        <v>1085.5349027178818</v>
      </c>
      <c r="T6" s="76">
        <f>Q6-S6</f>
        <v>0</v>
      </c>
      <c r="V6" s="255">
        <f>G6*$D$66</f>
        <v>13.195189340475475</v>
      </c>
      <c r="W6" s="76">
        <f>((V6*References!$C$57*'Spokane DF Calc'!$E$72)+('Spokane DF Calc'!V6*References!$C$61*'Spokane DF Calc'!$E$71))*E6</f>
        <v>6.7629158192199154E-2</v>
      </c>
      <c r="X6" s="87">
        <f>W6/References!$G$58</f>
        <v>6.9192918142213164E-2</v>
      </c>
      <c r="Y6" s="87">
        <f>L6-X6</f>
        <v>8.0708185778684272E-4</v>
      </c>
      <c r="Z6" s="255"/>
    </row>
    <row r="7" spans="1:26">
      <c r="A7" s="281"/>
      <c r="B7" s="90" t="s">
        <v>342</v>
      </c>
      <c r="C7" s="1" t="s">
        <v>11</v>
      </c>
      <c r="D7" s="69">
        <f>+VLOOKUP(C7,'Spokane Reg - Price out'!$B$12:$K$78,10,FALSE)</f>
        <v>9.3312342569269511</v>
      </c>
      <c r="E7" s="69">
        <f>+References!B12</f>
        <v>1</v>
      </c>
      <c r="F7" s="62">
        <f>D7*E7*References!$B$50</f>
        <v>111.97481108312341</v>
      </c>
      <c r="G7" s="62">
        <f>+References!B17</f>
        <v>34</v>
      </c>
      <c r="H7" s="62">
        <f t="shared" ref="H7:H20" si="1">F7*G7</f>
        <v>3807.1435768261958</v>
      </c>
      <c r="I7" s="62">
        <f t="shared" si="0"/>
        <v>2511.7990171298347</v>
      </c>
      <c r="J7" s="76">
        <f>(I7*References!$C$57*'Spokane DF Calc'!$E$72)+('Spokane DF Calc'!I7*References!$C$61*'Spokane DF Calc'!$E$71)</f>
        <v>2.9708528678953128</v>
      </c>
      <c r="K7" s="76">
        <f>J7/References!$G$58</f>
        <v>3.0395466215421654</v>
      </c>
      <c r="L7" s="76">
        <f t="shared" ref="L7:L20" si="2">ROUND((K7/F7*E7),2)</f>
        <v>0.03</v>
      </c>
      <c r="M7" s="76">
        <f>+'Proposed Rates'!B19</f>
        <v>13.65</v>
      </c>
      <c r="N7" s="76">
        <f t="shared" ref="N7:N20" si="3">L7+M7</f>
        <v>13.68</v>
      </c>
      <c r="O7" s="76">
        <f>+'Proposed Rates'!D19</f>
        <v>13.68</v>
      </c>
      <c r="P7" s="76">
        <f>D7*M7*References!$B$50</f>
        <v>1528.4561712846346</v>
      </c>
      <c r="Q7" s="76">
        <f>D7*O7*References!$B$50</f>
        <v>1531.8154156171281</v>
      </c>
      <c r="R7" s="76">
        <f t="shared" ref="R7:R20" si="4">Q7-P7</f>
        <v>3.3592443324935175</v>
      </c>
      <c r="S7" s="76">
        <f>D7*N7*References!$B$50</f>
        <v>1531.8154156171281</v>
      </c>
      <c r="T7" s="76">
        <f t="shared" ref="T7:T20" si="5">Q7-S7</f>
        <v>0</v>
      </c>
      <c r="V7" s="255">
        <f t="shared" ref="V7:V20" si="6">G7*$D$66</f>
        <v>22.431821878808307</v>
      </c>
      <c r="W7" s="76">
        <f>((V7*References!$C$57*'Spokane DF Calc'!$E$72)+('Spokane DF Calc'!V7*References!$C$61*'Spokane DF Calc'!$E$71))*E7</f>
        <v>2.6531438983093514E-2</v>
      </c>
      <c r="X7" s="87">
        <f>W7/References!$G$58</f>
        <v>2.7144914040406705E-2</v>
      </c>
      <c r="Y7" s="87">
        <f t="shared" ref="Y7:Y32" si="7">L7-X7</f>
        <v>2.855085959593294E-3</v>
      </c>
    </row>
    <row r="8" spans="1:26">
      <c r="A8" s="281"/>
      <c r="B8" s="90" t="s">
        <v>342</v>
      </c>
      <c r="C8" s="1" t="s">
        <v>13</v>
      </c>
      <c r="D8" s="69">
        <f>+VLOOKUP(C8,'Spokane Reg - Price out'!$B$12:$K$78,10,FALSE)</f>
        <v>446.68485329181453</v>
      </c>
      <c r="E8" s="69">
        <f>+References!B10</f>
        <v>4.333333333333333</v>
      </c>
      <c r="F8" s="62">
        <f>D8*E8*References!$B$50</f>
        <v>23227.612371174353</v>
      </c>
      <c r="G8" s="62">
        <f>+References!B17</f>
        <v>34</v>
      </c>
      <c r="H8" s="62">
        <f t="shared" si="1"/>
        <v>789738.82061992795</v>
      </c>
      <c r="I8" s="62">
        <f t="shared" si="0"/>
        <v>521037.66338018735</v>
      </c>
      <c r="J8" s="76">
        <f>(I8*References!$C$57*'Spokane DF Calc'!$E$72)+('Spokane DF Calc'!I8*References!$C$61*'Spokane DF Calc'!$E$71)</f>
        <v>616.26198034876052</v>
      </c>
      <c r="K8" s="76">
        <f>J8/References!$G$58</f>
        <v>630.5115411794153</v>
      </c>
      <c r="L8" s="76">
        <f t="shared" si="2"/>
        <v>0.12</v>
      </c>
      <c r="M8" s="76">
        <f>+'Proposed Rates'!B11</f>
        <v>21.81</v>
      </c>
      <c r="N8" s="76">
        <f t="shared" si="3"/>
        <v>21.93</v>
      </c>
      <c r="O8" s="76">
        <f>+'Proposed Rates'!D11</f>
        <v>21.93</v>
      </c>
      <c r="P8" s="76">
        <f>D8*M8*References!$B$50</f>
        <v>116906.35980353369</v>
      </c>
      <c r="Q8" s="76">
        <f>D8*O8*References!$B$50</f>
        <v>117549.5859922739</v>
      </c>
      <c r="R8" s="76">
        <f t="shared" si="4"/>
        <v>643.22618874021282</v>
      </c>
      <c r="S8" s="76">
        <f>D8*N8*References!$B$50</f>
        <v>117549.5859922739</v>
      </c>
      <c r="T8" s="76">
        <f>Q8-S8</f>
        <v>0</v>
      </c>
      <c r="V8" s="255">
        <f t="shared" si="6"/>
        <v>22.431821878808307</v>
      </c>
      <c r="W8" s="76">
        <f>((V8*References!$C$57*'Spokane DF Calc'!$E$72)+('Spokane DF Calc'!V8*References!$C$61*'Spokane DF Calc'!$E$71))*E8</f>
        <v>0.11496956892673856</v>
      </c>
      <c r="X8" s="87">
        <f>W8/References!$G$58</f>
        <v>0.11762796084176239</v>
      </c>
      <c r="Y8" s="87">
        <f t="shared" si="7"/>
        <v>2.3720391582376099E-3</v>
      </c>
    </row>
    <row r="9" spans="1:26">
      <c r="A9" s="281"/>
      <c r="B9" s="90" t="s">
        <v>342</v>
      </c>
      <c r="C9" s="1" t="s">
        <v>15</v>
      </c>
      <c r="D9" s="69">
        <f>+VLOOKUP(C9,'Spokane Reg - Price out'!$B$12:$K$78,10,FALSE)</f>
        <v>130.87086689771451</v>
      </c>
      <c r="E9" s="69">
        <f>+References!B10</f>
        <v>4.333333333333333</v>
      </c>
      <c r="F9" s="62">
        <f>D9*E9*References!$B$50</f>
        <v>6805.2850786811541</v>
      </c>
      <c r="G9" s="62">
        <f>+References!B18</f>
        <v>51</v>
      </c>
      <c r="H9" s="62">
        <f t="shared" si="1"/>
        <v>347069.53901273885</v>
      </c>
      <c r="I9" s="62">
        <f t="shared" si="0"/>
        <v>228982.41407923144</v>
      </c>
      <c r="J9" s="76">
        <f>(I9*References!$C$57*'Spokane DF Calc'!$E$72)+('Spokane DF Calc'!I9*References!$C$61*'Spokane DF Calc'!$E$71)</f>
        <v>270.8310087413787</v>
      </c>
      <c r="K9" s="76">
        <f>J9/References!$G$58</f>
        <v>277.09331772189347</v>
      </c>
      <c r="L9" s="76">
        <f t="shared" si="2"/>
        <v>0.18</v>
      </c>
      <c r="M9" s="76">
        <f>+'Proposed Rates'!B12</f>
        <v>30.83</v>
      </c>
      <c r="N9" s="76">
        <f t="shared" si="3"/>
        <v>31.009999999999998</v>
      </c>
      <c r="O9" s="76">
        <f>+'Proposed Rates'!D12</f>
        <v>31.009999999999998</v>
      </c>
      <c r="P9" s="76">
        <f>D9*M9*References!$B$50</f>
        <v>48416.985917478458</v>
      </c>
      <c r="Q9" s="76">
        <f>D9*O9*References!$B$50</f>
        <v>48699.666989977515</v>
      </c>
      <c r="R9" s="76">
        <f t="shared" si="4"/>
        <v>282.68107249905734</v>
      </c>
      <c r="S9" s="76">
        <f>D9*N9*References!$B$50</f>
        <v>48699.666989977515</v>
      </c>
      <c r="T9" s="76">
        <f t="shared" si="5"/>
        <v>0</v>
      </c>
      <c r="V9" s="255">
        <f t="shared" si="6"/>
        <v>33.647732818212461</v>
      </c>
      <c r="W9" s="76">
        <f>((V9*References!$C$57*'Spokane DF Calc'!$E$72)+('Spokane DF Calc'!V9*References!$C$61*'Spokane DF Calc'!$E$71))*E9</f>
        <v>0.17245435339010784</v>
      </c>
      <c r="X9" s="87">
        <f>W9/References!$G$58</f>
        <v>0.17644194126264356</v>
      </c>
      <c r="Y9" s="87">
        <f t="shared" si="7"/>
        <v>3.5580587373564287E-3</v>
      </c>
    </row>
    <row r="10" spans="1:26">
      <c r="A10" s="281"/>
      <c r="B10" s="90" t="s">
        <v>342</v>
      </c>
      <c r="C10" s="1" t="s">
        <v>17</v>
      </c>
      <c r="D10" s="69">
        <f>+VLOOKUP(C10,'Spokane Reg - Price out'!$B$12:$K$78,10,FALSE)</f>
        <v>1.1655949256342957</v>
      </c>
      <c r="E10" s="69">
        <f>+References!B10</f>
        <v>4.333333333333333</v>
      </c>
      <c r="F10" s="62">
        <f>D10*E10*References!$B$50</f>
        <v>60.610936132983376</v>
      </c>
      <c r="G10" s="62">
        <f>+References!B19</f>
        <v>77</v>
      </c>
      <c r="H10" s="62">
        <f t="shared" si="1"/>
        <v>4667.04208223972</v>
      </c>
      <c r="I10" s="62">
        <f t="shared" si="0"/>
        <v>3079.1251967560011</v>
      </c>
      <c r="J10" s="76">
        <f>(I10*References!$C$57*'Spokane DF Calc'!$E$72)+('Spokane DF Calc'!I10*References!$C$61*'Spokane DF Calc'!$E$71)</f>
        <v>3.6418630069550844</v>
      </c>
      <c r="K10" s="76">
        <f>J10/References!$G$58</f>
        <v>3.7260722395693517</v>
      </c>
      <c r="L10" s="76">
        <f t="shared" si="2"/>
        <v>0.27</v>
      </c>
      <c r="M10" s="76">
        <f>+'Proposed Rates'!B13</f>
        <v>44.05</v>
      </c>
      <c r="N10" s="76">
        <f t="shared" si="3"/>
        <v>44.32</v>
      </c>
      <c r="O10" s="76">
        <f>+'Proposed Rates'!D13</f>
        <v>44.32</v>
      </c>
      <c r="P10" s="76">
        <f>D10*M10*References!$B$50</f>
        <v>616.1334776902886</v>
      </c>
      <c r="Q10" s="76">
        <f>D10*O10*References!$B$50</f>
        <v>619.91000524934384</v>
      </c>
      <c r="R10" s="76">
        <f t="shared" si="4"/>
        <v>3.7765275590552392</v>
      </c>
      <c r="S10" s="76">
        <f>D10*N10*References!$B$50</f>
        <v>619.91000524934384</v>
      </c>
      <c r="T10" s="76">
        <f t="shared" si="5"/>
        <v>0</v>
      </c>
      <c r="V10" s="255">
        <f t="shared" si="6"/>
        <v>50.801478960830579</v>
      </c>
      <c r="W10" s="76">
        <f>((V10*References!$C$57*'Spokane DF Calc'!$E$72)+('Spokane DF Calc'!V10*References!$C$61*'Spokane DF Calc'!$E$71))*E10</f>
        <v>0.26037225903996675</v>
      </c>
      <c r="X10" s="87">
        <f>W10/References!$G$58</f>
        <v>0.26639273484752068</v>
      </c>
      <c r="Y10" s="87">
        <f t="shared" si="7"/>
        <v>3.6072651524793331E-3</v>
      </c>
    </row>
    <row r="11" spans="1:26">
      <c r="A11" s="281"/>
      <c r="B11" s="90" t="s">
        <v>342</v>
      </c>
      <c r="C11" s="1" t="s">
        <v>19</v>
      </c>
      <c r="D11" s="69">
        <f>+VLOOKUP(C11,'Spokane Reg - Price out'!$B$12:$K$78,10,FALSE)</f>
        <v>288.06134665831559</v>
      </c>
      <c r="E11" s="69">
        <f>+References!$B$10</f>
        <v>4.333333333333333</v>
      </c>
      <c r="F11" s="62">
        <f>D11*E11*References!$B$50</f>
        <v>14979.190026232411</v>
      </c>
      <c r="G11" s="62">
        <f>+References!B23</f>
        <v>47</v>
      </c>
      <c r="H11" s="62">
        <f t="shared" si="1"/>
        <v>704021.93123292329</v>
      </c>
      <c r="I11" s="62">
        <f t="shared" si="0"/>
        <v>464485.13412328134</v>
      </c>
      <c r="J11" s="76">
        <f>(I11*References!$C$57*'Spokane DF Calc'!$E$72)+('Spokane DF Calc'!I11*References!$C$61*'Spokane DF Calc'!$E$71)</f>
        <v>549.37396797841063</v>
      </c>
      <c r="K11" s="76">
        <f>J11/References!$G$58</f>
        <v>562.07690605525943</v>
      </c>
      <c r="L11" s="76">
        <f t="shared" si="2"/>
        <v>0.16</v>
      </c>
      <c r="M11" s="76">
        <f>+'Proposed Rates'!B17</f>
        <v>32.79</v>
      </c>
      <c r="N11" s="76">
        <f t="shared" si="3"/>
        <v>32.949999999999996</v>
      </c>
      <c r="O11" s="76">
        <f>+'Proposed Rates'!D17</f>
        <v>32.949999999999996</v>
      </c>
      <c r="P11" s="76">
        <f>D11*M11*References!$B$50</f>
        <v>113346.37868311402</v>
      </c>
      <c r="Q11" s="76">
        <f>D11*O11*References!$B$50</f>
        <v>113899.45646869796</v>
      </c>
      <c r="R11" s="76">
        <f t="shared" si="4"/>
        <v>553.07778558394057</v>
      </c>
      <c r="S11" s="76">
        <f>D11*N11*References!$B$50</f>
        <v>113899.45646869796</v>
      </c>
      <c r="T11" s="76">
        <f t="shared" si="5"/>
        <v>0</v>
      </c>
      <c r="V11" s="255">
        <f t="shared" si="6"/>
        <v>31.008694950117366</v>
      </c>
      <c r="W11" s="76">
        <f>((V11*References!$C$57*'Spokane DF Calc'!$E$72)+('Spokane DF Calc'!V11*References!$C$61*'Spokane DF Calc'!$E$71))*E11</f>
        <v>0.15892852175166805</v>
      </c>
      <c r="X11" s="87">
        <f>W11/References!$G$58</f>
        <v>0.16260335763420097</v>
      </c>
      <c r="Y11" s="87">
        <f t="shared" si="7"/>
        <v>-2.6033576342009701E-3</v>
      </c>
    </row>
    <row r="12" spans="1:26" s="57" customFormat="1">
      <c r="A12" s="281"/>
      <c r="B12" s="90" t="s">
        <v>342</v>
      </c>
      <c r="C12" s="57" t="s">
        <v>260</v>
      </c>
      <c r="D12" s="69">
        <f>+VLOOKUP(C12,'Spokane Reg - Price out'!$B$12:$K$78,10,FALSE)</f>
        <v>1.0000000000000002</v>
      </c>
      <c r="E12" s="123">
        <f>+References!$B$10</f>
        <v>4.333333333333333</v>
      </c>
      <c r="F12" s="65">
        <f>D12*E12*References!$B$50</f>
        <v>52.000000000000007</v>
      </c>
      <c r="G12" s="65">
        <f>+References!B23*2</f>
        <v>94</v>
      </c>
      <c r="H12" s="62">
        <f t="shared" ref="H12" si="8">F12*G12</f>
        <v>4888.0000000000009</v>
      </c>
      <c r="I12" s="62">
        <f t="shared" si="0"/>
        <v>3224.9042748122065</v>
      </c>
      <c r="J12" s="76">
        <f>(I12*References!$C$57*'Spokane DF Calc'!$E$72)+('Spokane DF Calc'!I12*References!$C$61*'Spokane DF Calc'!$E$71)</f>
        <v>3.8142845220400332</v>
      </c>
      <c r="K12" s="76">
        <f>J12/References!$G$58</f>
        <v>3.9024805832208238</v>
      </c>
      <c r="L12" s="76">
        <f t="shared" si="2"/>
        <v>0.33</v>
      </c>
      <c r="M12" s="76">
        <f>+'Proposed Rates'!B17*2</f>
        <v>65.58</v>
      </c>
      <c r="N12" s="76">
        <f>L12+M12</f>
        <v>65.91</v>
      </c>
      <c r="O12" s="76">
        <f>+'Proposed Rates'!D17*2</f>
        <v>65.899999999999991</v>
      </c>
      <c r="P12" s="76">
        <f>D12*M12*References!$B$50</f>
        <v>786.96000000000015</v>
      </c>
      <c r="Q12" s="76">
        <f>D12*O12*References!$B$50</f>
        <v>790.80000000000007</v>
      </c>
      <c r="R12" s="76">
        <f t="shared" si="4"/>
        <v>3.8399999999999181</v>
      </c>
      <c r="S12" s="76">
        <f>D12*N12*References!$B$50</f>
        <v>790.92000000000007</v>
      </c>
      <c r="T12" s="76">
        <f t="shared" si="5"/>
        <v>-0.12000000000000455</v>
      </c>
      <c r="V12" s="255">
        <f t="shared" si="6"/>
        <v>62.017389900234733</v>
      </c>
      <c r="W12" s="76">
        <f>((V12*References!$C$57*'Spokane DF Calc'!$E$72)+('Spokane DF Calc'!V12*References!$C$61*'Spokane DF Calc'!$E$71))*E12</f>
        <v>0.3178570435033361</v>
      </c>
      <c r="X12" s="87">
        <f>W12/References!$G$58</f>
        <v>0.32520671526840195</v>
      </c>
      <c r="Y12" s="87">
        <f t="shared" si="7"/>
        <v>4.7932847315980687E-3</v>
      </c>
      <c r="Z12"/>
    </row>
    <row r="13" spans="1:26">
      <c r="A13" s="281"/>
      <c r="B13" s="90" t="s">
        <v>342</v>
      </c>
      <c r="C13" s="1" t="s">
        <v>21</v>
      </c>
      <c r="D13" s="69">
        <f>+VLOOKUP(C13,'Spokane Reg - Price out'!$B$12:$K$78,10,FALSE)</f>
        <v>318.82955084789825</v>
      </c>
      <c r="E13" s="69">
        <f>+References!B10</f>
        <v>4.333333333333333</v>
      </c>
      <c r="F13" s="62">
        <f>D13*E13*References!$B$50</f>
        <v>16579.136644090708</v>
      </c>
      <c r="G13" s="62">
        <f>+References!$B$24</f>
        <v>68</v>
      </c>
      <c r="H13" s="62">
        <f t="shared" si="1"/>
        <v>1127381.2917981681</v>
      </c>
      <c r="I13" s="62">
        <f t="shared" si="0"/>
        <v>743800.48020933289</v>
      </c>
      <c r="J13" s="76">
        <f>(I13*References!$C$57*'Spokane DF Calc'!$E$72)+('Spokane DF Calc'!I13*References!$C$61*'Spokane DF Calc'!$E$71)</f>
        <v>879.73670453012471</v>
      </c>
      <c r="K13" s="76">
        <f>J13/References!$G$58</f>
        <v>900.07847813599824</v>
      </c>
      <c r="L13" s="76">
        <f t="shared" si="2"/>
        <v>0.24</v>
      </c>
      <c r="M13" s="76">
        <f>+'Proposed Rates'!B18</f>
        <v>41.09</v>
      </c>
      <c r="N13" s="76">
        <f t="shared" si="3"/>
        <v>41.330000000000005</v>
      </c>
      <c r="O13" s="76">
        <f>+'Proposed Rates'!D18</f>
        <v>41.330000000000005</v>
      </c>
      <c r="P13" s="76">
        <f>D13*M13*References!$B$50</f>
        <v>157208.47493208168</v>
      </c>
      <c r="Q13" s="76">
        <f>D13*O13*References!$B$50</f>
        <v>158126.70403852363</v>
      </c>
      <c r="R13" s="76">
        <f t="shared" si="4"/>
        <v>918.22910644195508</v>
      </c>
      <c r="S13" s="76">
        <f>D13*N13*References!$B$50</f>
        <v>158126.70403852363</v>
      </c>
      <c r="T13" s="76">
        <f t="shared" si="5"/>
        <v>0</v>
      </c>
      <c r="V13" s="255">
        <f t="shared" si="6"/>
        <v>44.863643757616614</v>
      </c>
      <c r="W13" s="76">
        <f>((V13*References!$C$57*'Spokane DF Calc'!$E$72)+('Spokane DF Calc'!V13*References!$C$61*'Spokane DF Calc'!$E$71))*E13</f>
        <v>0.22993913785347711</v>
      </c>
      <c r="X13" s="87">
        <f>W13/References!$G$58</f>
        <v>0.23525592168352477</v>
      </c>
      <c r="Y13" s="87">
        <f t="shared" si="7"/>
        <v>4.7440783164752198E-3</v>
      </c>
    </row>
    <row r="14" spans="1:26">
      <c r="A14" s="281"/>
      <c r="B14" s="90" t="s">
        <v>342</v>
      </c>
      <c r="C14" s="1" t="s">
        <v>23</v>
      </c>
      <c r="D14" s="69">
        <f>+VLOOKUP(C14,'Spokane Reg - Price out'!$B$12:$K$78,10,FALSE)</f>
        <v>3.226337737794021</v>
      </c>
      <c r="E14" s="123">
        <f>+References!$B$10</f>
        <v>4.333333333333333</v>
      </c>
      <c r="F14" s="62">
        <f>D14*E14*References!$B$50</f>
        <v>167.76956236528909</v>
      </c>
      <c r="G14" s="65">
        <f>+References!B24*2</f>
        <v>136</v>
      </c>
      <c r="H14" s="62">
        <f t="shared" si="1"/>
        <v>22816.660481679315</v>
      </c>
      <c r="I14" s="62">
        <f t="shared" si="0"/>
        <v>15053.507758655145</v>
      </c>
      <c r="J14" s="76">
        <f>(I14*References!$C$57*'Spokane DF Calc'!$E$72)+('Spokane DF Calc'!I14*References!$C$61*'Spokane DF Calc'!$E$71)</f>
        <v>17.804671628459879</v>
      </c>
      <c r="K14" s="76">
        <f>J14/References!$G$58</f>
        <v>18.216361396009695</v>
      </c>
      <c r="L14" s="76">
        <f t="shared" si="2"/>
        <v>0.47</v>
      </c>
      <c r="M14" s="76">
        <f>+'Proposed Rates'!B18*2</f>
        <v>82.18</v>
      </c>
      <c r="N14" s="76">
        <f t="shared" si="3"/>
        <v>82.65</v>
      </c>
      <c r="O14" s="76">
        <f>N14</f>
        <v>82.65</v>
      </c>
      <c r="P14" s="76">
        <f>D14*M14*References!$B$50</f>
        <v>3181.6852235029523</v>
      </c>
      <c r="Q14" s="76">
        <f>D14*O14*References!$B$50</f>
        <v>3199.8817683441102</v>
      </c>
      <c r="R14" s="76">
        <f t="shared" si="4"/>
        <v>18.196544841157902</v>
      </c>
      <c r="S14" s="76">
        <f>D14*N14*References!$B$50</f>
        <v>3199.8817683441102</v>
      </c>
      <c r="T14" s="76">
        <f>Q14-S14</f>
        <v>0</v>
      </c>
      <c r="V14" s="255">
        <f t="shared" si="6"/>
        <v>89.727287515233229</v>
      </c>
      <c r="W14" s="76">
        <f>((V14*References!$C$57*'Spokane DF Calc'!$E$72)+('Spokane DF Calc'!V14*References!$C$61*'Spokane DF Calc'!$E$71))*E14</f>
        <v>0.45987827570695422</v>
      </c>
      <c r="X14" s="87">
        <f>W14/References!$G$58</f>
        <v>0.47051184336704954</v>
      </c>
      <c r="Y14" s="87">
        <f t="shared" si="7"/>
        <v>-5.1184336704956923E-4</v>
      </c>
    </row>
    <row r="15" spans="1:26" s="99" customFormat="1">
      <c r="A15" s="281"/>
      <c r="B15" s="90" t="s">
        <v>342</v>
      </c>
      <c r="C15" s="99" t="s">
        <v>325</v>
      </c>
      <c r="D15" s="69">
        <f>+VLOOKUP(C15,'Spokane Reg - Price out'!$B$12:$K$78,10,FALSE)</f>
        <v>0.9947287039640148</v>
      </c>
      <c r="E15" s="123">
        <f>+References!$B$10</f>
        <v>4.333333333333333</v>
      </c>
      <c r="F15" s="62">
        <f>D15*E15*References!$B$50</f>
        <v>51.725892606128767</v>
      </c>
      <c r="G15" s="62">
        <f>+References!$B$24*3</f>
        <v>204</v>
      </c>
      <c r="H15" s="62">
        <f t="shared" si="1"/>
        <v>10552.082091650269</v>
      </c>
      <c r="I15" s="62">
        <f t="shared" si="0"/>
        <v>6961.8360567782893</v>
      </c>
      <c r="J15" s="76">
        <f>(I15*References!$C$57*'Spokane DF Calc'!$E$72)+('Spokane DF Calc'!I15*References!$C$61*'Spokane DF Calc'!$E$71)</f>
        <v>8.2341741811533211</v>
      </c>
      <c r="K15" s="76">
        <f>J15/References!$G$58</f>
        <v>8.4245694507400462</v>
      </c>
      <c r="L15" s="76">
        <f t="shared" si="2"/>
        <v>0.71</v>
      </c>
      <c r="M15" s="76">
        <f>M13*3</f>
        <v>123.27000000000001</v>
      </c>
      <c r="N15" s="76">
        <f t="shared" ref="N15" si="9">L15+M15</f>
        <v>123.98</v>
      </c>
      <c r="O15" s="76">
        <f>N15</f>
        <v>123.98</v>
      </c>
      <c r="P15" s="76">
        <f>D15*M15*References!$B$50</f>
        <v>1471.4424880517295</v>
      </c>
      <c r="Q15" s="76">
        <f>D15*O15*References!$B$50</f>
        <v>1479.9175766095027</v>
      </c>
      <c r="R15" s="76">
        <f t="shared" ref="R15" si="10">Q15-P15</f>
        <v>8.4750885577732333</v>
      </c>
      <c r="S15" s="76">
        <f>D15*N15*References!$B$50</f>
        <v>1479.9175766095027</v>
      </c>
      <c r="T15" s="76">
        <f>Q15-S15</f>
        <v>0</v>
      </c>
      <c r="V15" s="255">
        <f t="shared" si="6"/>
        <v>134.59093127284984</v>
      </c>
      <c r="W15" s="76">
        <f>((V15*References!$C$57*'Spokane DF Calc'!$E$72)+('Spokane DF Calc'!V15*References!$C$61*'Spokane DF Calc'!$E$71))*E15</f>
        <v>0.68981741356043136</v>
      </c>
      <c r="X15" s="87">
        <f>W15/References!$G$58</f>
        <v>0.70576776505057426</v>
      </c>
      <c r="Y15" s="87">
        <f t="shared" si="7"/>
        <v>4.2322349494257061E-3</v>
      </c>
      <c r="Z15"/>
    </row>
    <row r="16" spans="1:26">
      <c r="A16" s="281"/>
      <c r="B16" s="90" t="s">
        <v>343</v>
      </c>
      <c r="C16" s="1" t="s">
        <v>25</v>
      </c>
      <c r="D16" s="69">
        <v>0.67</v>
      </c>
      <c r="E16" s="69">
        <f>+References!$B$12</f>
        <v>1</v>
      </c>
      <c r="F16" s="62">
        <f>D16*E16*References!$B$50</f>
        <v>8.0400000000000009</v>
      </c>
      <c r="G16" s="62">
        <f>+References!B17</f>
        <v>34</v>
      </c>
      <c r="H16" s="62">
        <f t="shared" si="1"/>
        <v>273.36</v>
      </c>
      <c r="I16" s="62">
        <f t="shared" si="0"/>
        <v>180.3518479056188</v>
      </c>
      <c r="J16" s="76">
        <f>(I16*References!$C$57*'Spokane DF Calc'!$E$72)+('Spokane DF Calc'!I16*References!$C$61*'Spokane DF Calc'!$E$71)</f>
        <v>0.2133127694240719</v>
      </c>
      <c r="K16" s="76">
        <f>J16/References!$G$58</f>
        <v>0.21824510888486995</v>
      </c>
      <c r="L16" s="76">
        <f t="shared" si="2"/>
        <v>0.03</v>
      </c>
      <c r="M16" s="76">
        <f>+'Proposed Rates'!B24</f>
        <v>14.96</v>
      </c>
      <c r="N16" s="76">
        <f t="shared" si="3"/>
        <v>14.99</v>
      </c>
      <c r="O16" s="76">
        <f>+'Proposed Rates'!D24</f>
        <v>14.99</v>
      </c>
      <c r="P16" s="76">
        <f>F16*M16</f>
        <v>120.27840000000002</v>
      </c>
      <c r="Q16" s="76">
        <f>F16*O16</f>
        <v>120.51960000000001</v>
      </c>
      <c r="R16" s="76">
        <f t="shared" si="4"/>
        <v>0.24119999999999209</v>
      </c>
      <c r="S16" s="76">
        <f>F16*N16</f>
        <v>120.51960000000001</v>
      </c>
      <c r="T16" s="76">
        <f t="shared" si="5"/>
        <v>0</v>
      </c>
      <c r="V16" s="255">
        <f t="shared" si="6"/>
        <v>22.431821878808307</v>
      </c>
      <c r="W16" s="76">
        <f>((V16*References!$C$57*'Spokane DF Calc'!$E$72)+('Spokane DF Calc'!V16*References!$C$61*'Spokane DF Calc'!$E$71))*E16</f>
        <v>2.6531438983093514E-2</v>
      </c>
      <c r="X16" s="87">
        <f>W16/References!$G$58</f>
        <v>2.7144914040406705E-2</v>
      </c>
      <c r="Y16" s="87">
        <f t="shared" si="7"/>
        <v>2.855085959593294E-3</v>
      </c>
    </row>
    <row r="17" spans="1:26">
      <c r="A17" s="281"/>
      <c r="B17" s="90" t="s">
        <v>343</v>
      </c>
      <c r="C17" s="1" t="s">
        <v>27</v>
      </c>
      <c r="D17" s="69">
        <f>+VLOOKUP(C17,'Spokane Reg - Price out'!$B$12:$K$78,10,FALSE)</f>
        <v>101.28898218931626</v>
      </c>
      <c r="E17" s="69">
        <f>+References!$B$12</f>
        <v>1</v>
      </c>
      <c r="F17" s="62">
        <f>D17*E17*References!$B$50</f>
        <v>1215.4677862717951</v>
      </c>
      <c r="G17" s="62">
        <f>+References!B26</f>
        <v>34</v>
      </c>
      <c r="H17" s="62">
        <f t="shared" si="1"/>
        <v>41325.904733241034</v>
      </c>
      <c r="I17" s="62">
        <f t="shared" si="0"/>
        <v>27265.156881078354</v>
      </c>
      <c r="J17" s="76">
        <f>(I17*References!$C$57*'Spokane DF Calc'!$E$72)+('Spokane DF Calc'!I17*References!$C$61*'Spokane DF Calc'!$E$71)</f>
        <v>32.248109407385883</v>
      </c>
      <c r="K17" s="76">
        <f>J17/References!$G$58</f>
        <v>32.993768577231307</v>
      </c>
      <c r="L17" s="76">
        <f t="shared" si="2"/>
        <v>0.03</v>
      </c>
      <c r="M17" s="76">
        <f>+'Proposed Rates'!B22</f>
        <v>5.18</v>
      </c>
      <c r="N17" s="76">
        <f t="shared" si="3"/>
        <v>5.21</v>
      </c>
      <c r="O17" s="76">
        <f>+'Proposed Rates'!D22</f>
        <v>5.21</v>
      </c>
      <c r="P17" s="76">
        <f t="shared" ref="P17:P20" si="11">F17*M17</f>
        <v>6296.1231328878985</v>
      </c>
      <c r="Q17" s="76">
        <f t="shared" ref="Q17:Q20" si="12">F17*O17</f>
        <v>6332.5871664760525</v>
      </c>
      <c r="R17" s="76">
        <f t="shared" si="4"/>
        <v>36.464033588154052</v>
      </c>
      <c r="S17" s="76">
        <f t="shared" ref="S17:S20" si="13">F17*N17</f>
        <v>6332.5871664760525</v>
      </c>
      <c r="T17" s="76">
        <f t="shared" si="5"/>
        <v>0</v>
      </c>
      <c r="V17" s="255">
        <f t="shared" si="6"/>
        <v>22.431821878808307</v>
      </c>
      <c r="W17" s="76">
        <f>((V17*References!$C$57*'Spokane DF Calc'!$E$72)+('Spokane DF Calc'!V17*References!$C$61*'Spokane DF Calc'!$E$71))*E17</f>
        <v>2.6531438983093514E-2</v>
      </c>
      <c r="X17" s="87">
        <f>W17/References!$G$58</f>
        <v>2.7144914040406705E-2</v>
      </c>
      <c r="Y17" s="87">
        <f t="shared" si="7"/>
        <v>2.855085959593294E-3</v>
      </c>
    </row>
    <row r="18" spans="1:26">
      <c r="A18" s="281"/>
      <c r="B18" s="90" t="s">
        <v>344</v>
      </c>
      <c r="C18" s="1" t="s">
        <v>29</v>
      </c>
      <c r="D18" s="69">
        <f>+VLOOKUP(C18,'Spokane Reg - Price out'!$B$12:$K$78,10,FALSE)</f>
        <v>0.25</v>
      </c>
      <c r="E18" s="69">
        <f>+References!$B$12</f>
        <v>1</v>
      </c>
      <c r="F18" s="62">
        <f>D18*E18*References!$B$50</f>
        <v>3</v>
      </c>
      <c r="G18" s="62">
        <f>+References!B48</f>
        <v>125</v>
      </c>
      <c r="H18" s="62">
        <f t="shared" si="1"/>
        <v>375</v>
      </c>
      <c r="I18" s="62">
        <f t="shared" si="0"/>
        <v>247.40980013391516</v>
      </c>
      <c r="J18" s="76">
        <f>(I18*References!$C$57*'Spokane DF Calc'!$E$72)+('Spokane DF Calc'!I18*References!$C$61*'Spokane DF Calc'!$E$71)</f>
        <v>0.29262616525470792</v>
      </c>
      <c r="K18" s="76">
        <f>J18/References!$G$58</f>
        <v>0.29939243426919165</v>
      </c>
      <c r="L18" s="76">
        <f t="shared" si="2"/>
        <v>0.1</v>
      </c>
      <c r="M18" s="77">
        <f>+'Proposed Rates'!B27</f>
        <v>26.24</v>
      </c>
      <c r="N18" s="76">
        <f t="shared" si="3"/>
        <v>26.34</v>
      </c>
      <c r="O18" s="77">
        <f>'Proposed Rates'!D27</f>
        <v>26.34</v>
      </c>
      <c r="P18" s="76">
        <f t="shared" si="11"/>
        <v>78.72</v>
      </c>
      <c r="Q18" s="76">
        <f t="shared" si="12"/>
        <v>79.02</v>
      </c>
      <c r="R18" s="76">
        <f t="shared" si="4"/>
        <v>0.29999999999999716</v>
      </c>
      <c r="S18" s="76">
        <f t="shared" si="13"/>
        <v>79.02</v>
      </c>
      <c r="T18" s="76">
        <f t="shared" si="5"/>
        <v>0</v>
      </c>
      <c r="V18" s="255">
        <f t="shared" si="6"/>
        <v>82.469933377971714</v>
      </c>
      <c r="W18" s="76">
        <f>((V18*References!$C$57*'Spokane DF Calc'!$E$72)+('Spokane DF Calc'!V18*References!$C$61*'Spokane DF Calc'!$E$71))*E18</f>
        <v>9.7542055084902629E-2</v>
      </c>
      <c r="X18" s="87">
        <f>W18/References!$G$58</f>
        <v>9.9797478089730537E-2</v>
      </c>
      <c r="Y18" s="87">
        <f t="shared" si="7"/>
        <v>2.0252191026946809E-4</v>
      </c>
    </row>
    <row r="19" spans="1:26">
      <c r="A19" s="281"/>
      <c r="B19" s="90" t="s">
        <v>341</v>
      </c>
      <c r="C19" s="1" t="s">
        <v>31</v>
      </c>
      <c r="D19" s="69">
        <f>+VLOOKUP(C19,'Spokane Reg - Price out'!$B$12:$K$78,10,FALSE)</f>
        <v>1.7438752783964364</v>
      </c>
      <c r="E19" s="69">
        <f>+References!$B$12</f>
        <v>1</v>
      </c>
      <c r="F19" s="62">
        <f>D19*E19*References!$B$50</f>
        <v>20.926503340757236</v>
      </c>
      <c r="G19" s="62">
        <f>+References!B26</f>
        <v>34</v>
      </c>
      <c r="H19" s="62">
        <f t="shared" si="1"/>
        <v>711.501113585746</v>
      </c>
      <c r="I19" s="62">
        <f t="shared" si="0"/>
        <v>469.4195954861533</v>
      </c>
      <c r="J19" s="76">
        <f>(I19*References!$C$57*'Spokane DF Calc'!$E$72)+('Spokane DF Calc'!I19*References!$C$61*'Spokane DF Calc'!$E$71)</f>
        <v>0.55521024651480322</v>
      </c>
      <c r="K19" s="76">
        <f>J19/References!$G$58</f>
        <v>0.56804813435113888</v>
      </c>
      <c r="L19" s="76">
        <f t="shared" si="2"/>
        <v>0.03</v>
      </c>
      <c r="M19" s="76">
        <f>+'Proposed Rates'!B7</f>
        <v>5.18</v>
      </c>
      <c r="N19" s="76">
        <f t="shared" si="3"/>
        <v>5.21</v>
      </c>
      <c r="O19" s="76">
        <f>+'Proposed Rates'!D7</f>
        <v>5.21</v>
      </c>
      <c r="P19" s="76">
        <f t="shared" si="11"/>
        <v>108.39928730512247</v>
      </c>
      <c r="Q19" s="76">
        <f t="shared" si="12"/>
        <v>109.0270824053452</v>
      </c>
      <c r="R19" s="76">
        <f t="shared" si="4"/>
        <v>0.62779510022272689</v>
      </c>
      <c r="S19" s="76">
        <f t="shared" si="13"/>
        <v>109.0270824053452</v>
      </c>
      <c r="T19" s="76">
        <f t="shared" si="5"/>
        <v>0</v>
      </c>
      <c r="V19" s="255">
        <f t="shared" si="6"/>
        <v>22.431821878808307</v>
      </c>
      <c r="W19" s="76">
        <f>((V19*References!$C$57*'Spokane DF Calc'!$E$72)+('Spokane DF Calc'!V19*References!$C$61*'Spokane DF Calc'!$E$71))*E19</f>
        <v>2.6531438983093514E-2</v>
      </c>
      <c r="X19" s="87">
        <f>W19/References!$G$58</f>
        <v>2.7144914040406705E-2</v>
      </c>
      <c r="Y19" s="87">
        <f t="shared" si="7"/>
        <v>2.855085959593294E-3</v>
      </c>
    </row>
    <row r="20" spans="1:26">
      <c r="A20" s="281"/>
      <c r="B20" s="90" t="s">
        <v>341</v>
      </c>
      <c r="C20" s="1" t="s">
        <v>33</v>
      </c>
      <c r="D20" s="69">
        <f>+VLOOKUP(C20,'Spokane Reg - Price out'!$B$12:$K$78,10,FALSE)</f>
        <v>0.91666666666666685</v>
      </c>
      <c r="E20" s="69">
        <f>+References!$B$12</f>
        <v>1</v>
      </c>
      <c r="F20" s="62">
        <f>D20*E20*References!$B$50</f>
        <v>11.000000000000002</v>
      </c>
      <c r="G20" s="62">
        <f>+References!B26</f>
        <v>34</v>
      </c>
      <c r="H20" s="62">
        <f t="shared" si="1"/>
        <v>374.00000000000006</v>
      </c>
      <c r="I20" s="62">
        <f t="shared" si="0"/>
        <v>246.75004066689141</v>
      </c>
      <c r="J20" s="76">
        <f>(I20*References!$C$57*'Spokane DF Calc'!$E$72)+('Spokane DF Calc'!I20*References!$C$61*'Spokane DF Calc'!$E$71)</f>
        <v>0.29184582881402871</v>
      </c>
      <c r="K20" s="76">
        <f>J20/References!$G$58</f>
        <v>0.29859405444447379</v>
      </c>
      <c r="L20" s="76">
        <f t="shared" si="2"/>
        <v>0.03</v>
      </c>
      <c r="M20" s="76">
        <f>+'Proposed Rates'!B7</f>
        <v>5.18</v>
      </c>
      <c r="N20" s="76">
        <f t="shared" si="3"/>
        <v>5.21</v>
      </c>
      <c r="O20" s="76">
        <f>+'Proposed Rates'!D7</f>
        <v>5.21</v>
      </c>
      <c r="P20" s="76">
        <f t="shared" si="11"/>
        <v>56.980000000000004</v>
      </c>
      <c r="Q20" s="76">
        <f t="shared" si="12"/>
        <v>57.310000000000009</v>
      </c>
      <c r="R20" s="76">
        <f t="shared" si="4"/>
        <v>0.3300000000000054</v>
      </c>
      <c r="S20" s="76">
        <f t="shared" si="13"/>
        <v>57.310000000000009</v>
      </c>
      <c r="T20" s="76">
        <f t="shared" si="5"/>
        <v>0</v>
      </c>
      <c r="V20" s="255">
        <f t="shared" si="6"/>
        <v>22.431821878808307</v>
      </c>
      <c r="W20" s="76">
        <f>((V20*References!$C$57*'Spokane DF Calc'!$E$72)+('Spokane DF Calc'!V20*References!$C$61*'Spokane DF Calc'!$E$71))*E20</f>
        <v>2.6531438983093514E-2</v>
      </c>
      <c r="X20" s="87">
        <f>W20/References!$G$58</f>
        <v>2.7144914040406705E-2</v>
      </c>
      <c r="Y20" s="87">
        <f t="shared" si="7"/>
        <v>2.855085959593294E-3</v>
      </c>
    </row>
    <row r="21" spans="1:26">
      <c r="A21" s="50"/>
      <c r="B21" s="48"/>
      <c r="C21" s="47" t="s">
        <v>0</v>
      </c>
      <c r="D21" s="63">
        <f>SUM(D6:D20)</f>
        <v>1310.1361943576089</v>
      </c>
      <c r="E21" s="70"/>
      <c r="F21" s="63">
        <f>SUM(F6:F20)</f>
        <v>63559.051770943406</v>
      </c>
      <c r="G21" s="64"/>
      <c r="H21" s="63">
        <f>SUM(H6:H20)</f>
        <v>3063308.5199222742</v>
      </c>
      <c r="I21" s="63">
        <f>SUM(I6:I20)</f>
        <v>2021046.7964333051</v>
      </c>
      <c r="J21" s="78"/>
      <c r="K21" s="78"/>
      <c r="L21" s="79"/>
      <c r="M21" s="79"/>
      <c r="N21" s="79"/>
      <c r="O21" s="79"/>
      <c r="P21" s="63">
        <f>SUM(P6:P20)</f>
        <v>451204.62660784967</v>
      </c>
      <c r="Q21" s="63">
        <f>SUM(Q6:Q20)</f>
        <v>453681.73700689245</v>
      </c>
      <c r="R21" s="63">
        <f>SUM(R6:R20)</f>
        <v>2477.1103990426827</v>
      </c>
      <c r="S21" s="63">
        <f>SUM(S6:S20)</f>
        <v>453681.85700689245</v>
      </c>
      <c r="T21" s="63">
        <f t="shared" ref="T21" si="14">SUM(T6:T20)</f>
        <v>-0.12000000000000455</v>
      </c>
      <c r="V21" s="254"/>
      <c r="X21" s="248"/>
    </row>
    <row r="22" spans="1:26" ht="15" customHeight="1">
      <c r="A22" s="284" t="s">
        <v>188</v>
      </c>
      <c r="B22" s="90" t="s">
        <v>347</v>
      </c>
      <c r="C22" s="99" t="s">
        <v>44</v>
      </c>
      <c r="D22" s="62">
        <f>+VLOOKUP(C22,'Spokane Reg - Price out'!$B$12:$K$78,10,FALSE)</f>
        <v>26.4375</v>
      </c>
      <c r="E22" s="69">
        <f>+References!B10</f>
        <v>4.333333333333333</v>
      </c>
      <c r="F22" s="62">
        <f>D22*E22*References!$B$50</f>
        <v>1374.7499999999998</v>
      </c>
      <c r="G22" s="62">
        <f>+References!$B$29</f>
        <v>175</v>
      </c>
      <c r="H22" s="62">
        <f t="shared" ref="H22:H47" si="15">F22*G22</f>
        <v>240581.24999999997</v>
      </c>
      <c r="I22" s="62">
        <f t="shared" ref="I22:I47" si="16">H22*$D$66</f>
        <v>158725.75727591326</v>
      </c>
      <c r="J22" s="76">
        <f>(I22*References!$C$57*'Spokane DF Calc'!$E$72)+('Spokane DF Calc'!I22*References!$C$61*'Spokane DF Calc'!$E$71)</f>
        <v>187.73431631915784</v>
      </c>
      <c r="K22" s="76">
        <f>J22/References!$G$58</f>
        <v>192.07521620539987</v>
      </c>
      <c r="L22" s="76">
        <f>ROUND((K22/F22),2)</f>
        <v>0.14000000000000001</v>
      </c>
      <c r="M22" s="76">
        <f>+'Proposed Rates'!B41</f>
        <v>20.66</v>
      </c>
      <c r="N22" s="76">
        <f t="shared" ref="N22:N47" si="17">L22+M22</f>
        <v>20.8</v>
      </c>
      <c r="O22" s="76">
        <f>+'Proposed Rates'!D41</f>
        <v>20.8</v>
      </c>
      <c r="P22" s="76">
        <f>F22*M22</f>
        <v>28402.334999999995</v>
      </c>
      <c r="Q22" s="76">
        <f>F22*O22</f>
        <v>28594.799999999996</v>
      </c>
      <c r="R22" s="76">
        <f>Q22-P22</f>
        <v>192.46500000000015</v>
      </c>
      <c r="S22" s="76">
        <f>F22*N22</f>
        <v>28594.799999999996</v>
      </c>
      <c r="T22" s="76">
        <f>Q22-S22</f>
        <v>0</v>
      </c>
      <c r="V22" s="255">
        <f t="shared" ref="V22:V32" si="18">G22*$D$66</f>
        <v>115.4579067291604</v>
      </c>
      <c r="W22" s="76">
        <f>(V22*References!$C$57*'Spokane DF Calc'!$E$72)+('Spokane DF Calc'!V22*References!$C$61*'Spokane DF Calc'!$E$71)</f>
        <v>0.13655887711886366</v>
      </c>
      <c r="X22" s="87">
        <f>W22/References!$G$58</f>
        <v>0.13971646932562273</v>
      </c>
      <c r="Y22" s="87">
        <f t="shared" si="7"/>
        <v>2.835306743772803E-4</v>
      </c>
    </row>
    <row r="23" spans="1:26" s="99" customFormat="1" ht="15" customHeight="1">
      <c r="A23" s="283"/>
      <c r="B23" s="90" t="s">
        <v>347</v>
      </c>
      <c r="C23" s="99" t="s">
        <v>373</v>
      </c>
      <c r="D23" s="62">
        <f>+VLOOKUP(C23,'Spokane Reg - Price out'!$B$12:$K$78,10,FALSE)</f>
        <v>0.5</v>
      </c>
      <c r="E23" s="69">
        <v>1</v>
      </c>
      <c r="F23" s="62">
        <f>D23*E23*References!$B$50</f>
        <v>6</v>
      </c>
      <c r="G23" s="62">
        <f>+References!$B$29</f>
        <v>175</v>
      </c>
      <c r="H23" s="62">
        <f t="shared" si="15"/>
        <v>1050</v>
      </c>
      <c r="I23" s="62">
        <f t="shared" si="16"/>
        <v>692.74744037496248</v>
      </c>
      <c r="J23" s="76">
        <f>(I23*References!$C$57*'Spokane DF Calc'!$E$72)+('Spokane DF Calc'!I23*References!$C$61*'Spokane DF Calc'!$E$71)</f>
        <v>0.81935326271318221</v>
      </c>
      <c r="K23" s="76">
        <f>J23/References!$G$58</f>
        <v>0.83829881595373656</v>
      </c>
      <c r="L23" s="76">
        <f>ROUND((K23/F23),2)</f>
        <v>0.14000000000000001</v>
      </c>
      <c r="M23" s="76">
        <f>+'Proposed Rates'!B41</f>
        <v>20.66</v>
      </c>
      <c r="N23" s="76">
        <f t="shared" si="17"/>
        <v>20.8</v>
      </c>
      <c r="O23" s="76">
        <f>+'Proposed Rates'!D41</f>
        <v>20.8</v>
      </c>
      <c r="P23" s="76">
        <f>F23*M23</f>
        <v>123.96000000000001</v>
      </c>
      <c r="Q23" s="76">
        <f>F23*O23</f>
        <v>124.80000000000001</v>
      </c>
      <c r="R23" s="76">
        <f>Q23-P23</f>
        <v>0.84000000000000341</v>
      </c>
      <c r="S23" s="76">
        <f>F23*N23</f>
        <v>124.80000000000001</v>
      </c>
      <c r="T23" s="76">
        <f>Q23-S23</f>
        <v>0</v>
      </c>
      <c r="V23" s="255">
        <f t="shared" si="18"/>
        <v>115.4579067291604</v>
      </c>
      <c r="W23" s="76">
        <f>(V23*References!$C$57*'Spokane DF Calc'!$E$72)+('Spokane DF Calc'!V23*References!$C$61*'Spokane DF Calc'!$E$71)</f>
        <v>0.13655887711886366</v>
      </c>
      <c r="X23" s="87">
        <f>W23/References!$G$58</f>
        <v>0.13971646932562273</v>
      </c>
      <c r="Y23" s="87">
        <f t="shared" si="7"/>
        <v>2.835306743772803E-4</v>
      </c>
      <c r="Z23"/>
    </row>
    <row r="24" spans="1:26">
      <c r="A24" s="283"/>
      <c r="B24" s="90" t="s">
        <v>347</v>
      </c>
      <c r="C24" s="99" t="s">
        <v>46</v>
      </c>
      <c r="D24" s="62">
        <f>+VLOOKUP(C24,'Spokane Reg - Price out'!$B$12:$K$78,10,FALSE)</f>
        <v>11.895827927226593</v>
      </c>
      <c r="E24" s="69">
        <f>+References!$B$10</f>
        <v>4.333333333333333</v>
      </c>
      <c r="F24" s="62">
        <f>D24*E24*References!$B$50</f>
        <v>618.5830522157828</v>
      </c>
      <c r="G24" s="62">
        <f>+References!$B$30</f>
        <v>250</v>
      </c>
      <c r="H24" s="62">
        <f t="shared" si="15"/>
        <v>154645.7630539457</v>
      </c>
      <c r="I24" s="62">
        <f t="shared" si="16"/>
        <v>102029.00620995602</v>
      </c>
      <c r="J24" s="76">
        <f>(I24*References!$C$57*'Spokane DF Calc'!$E$72)+('Spokane DF Calc'!I24*References!$C$61*'Spokane DF Calc'!$E$71)</f>
        <v>120.67572430763818</v>
      </c>
      <c r="K24" s="76">
        <f>J24/References!$G$58</f>
        <v>123.46605720036645</v>
      </c>
      <c r="L24" s="76">
        <f>ROUND((K24/F24),2)</f>
        <v>0.2</v>
      </c>
      <c r="M24" s="76">
        <f>+'Proposed Rates'!B42</f>
        <v>30.92</v>
      </c>
      <c r="N24" s="76">
        <f t="shared" si="17"/>
        <v>31.12</v>
      </c>
      <c r="O24" s="76">
        <f>+'Proposed Rates'!D42</f>
        <v>31.12</v>
      </c>
      <c r="P24" s="76">
        <f t="shared" ref="P24:P47" si="19">F24*M24</f>
        <v>19126.587974512004</v>
      </c>
      <c r="Q24" s="76">
        <f t="shared" ref="Q24:Q47" si="20">F24*O24</f>
        <v>19250.30458495516</v>
      </c>
      <c r="R24" s="76">
        <f t="shared" ref="R24:R47" si="21">Q24-P24</f>
        <v>123.71661044315624</v>
      </c>
      <c r="S24" s="76">
        <f t="shared" ref="S24:S47" si="22">F24*N24</f>
        <v>19250.30458495516</v>
      </c>
      <c r="T24" s="76">
        <f t="shared" ref="T24:T47" si="23">Q24-S24</f>
        <v>0</v>
      </c>
      <c r="V24" s="255">
        <f t="shared" si="18"/>
        <v>164.93986675594343</v>
      </c>
      <c r="W24" s="76">
        <f>(V24*References!$C$57*'Spokane DF Calc'!$E$72)+('Spokane DF Calc'!V24*References!$C$61*'Spokane DF Calc'!$E$71)</f>
        <v>0.19508411016980526</v>
      </c>
      <c r="X24" s="87">
        <f>W24/References!$G$58</f>
        <v>0.19959495617946107</v>
      </c>
      <c r="Y24" s="87">
        <f t="shared" si="7"/>
        <v>4.0504382053893617E-4</v>
      </c>
    </row>
    <row r="25" spans="1:26">
      <c r="A25" s="283"/>
      <c r="B25" s="90" t="s">
        <v>347</v>
      </c>
      <c r="C25" s="99" t="s">
        <v>48</v>
      </c>
      <c r="D25" s="62">
        <f>+VLOOKUP(C25,'Spokane Reg - Price out'!$B$12:$K$78,10,FALSE)</f>
        <v>0.31250180203557937</v>
      </c>
      <c r="E25" s="123">
        <f>+References!$B$10</f>
        <v>4.333333333333333</v>
      </c>
      <c r="F25" s="65">
        <f>D25*E25*References!$B$50</f>
        <v>16.250093705850126</v>
      </c>
      <c r="G25" s="65">
        <f>+References!B30*2</f>
        <v>500</v>
      </c>
      <c r="H25" s="62">
        <f t="shared" si="15"/>
        <v>8125.0468529250629</v>
      </c>
      <c r="I25" s="62">
        <f t="shared" si="16"/>
        <v>5360.5765812290301</v>
      </c>
      <c r="J25" s="76">
        <f>(I25*References!$C$57*'Spokane DF Calc'!$E$72)+('Spokane DF Calc'!I25*References!$C$61*'Spokane DF Calc'!$E$71)</f>
        <v>6.340270141563451</v>
      </c>
      <c r="K25" s="76">
        <f>J25/References!$G$58</f>
        <v>6.4868734822625855</v>
      </c>
      <c r="L25" s="76">
        <f>ROUND((K25/(F25*2)),2)</f>
        <v>0.2</v>
      </c>
      <c r="M25" s="76">
        <f>+'Proposed Rates'!B42</f>
        <v>30.92</v>
      </c>
      <c r="N25" s="76">
        <f>L25+M25</f>
        <v>31.12</v>
      </c>
      <c r="O25" s="76">
        <f>+'Proposed Rates'!D42</f>
        <v>31.12</v>
      </c>
      <c r="P25" s="76">
        <f>F25*2*M25</f>
        <v>1004.9057947697719</v>
      </c>
      <c r="Q25" s="76">
        <f>F25*2*O25</f>
        <v>1011.4058322521118</v>
      </c>
      <c r="R25" s="76">
        <f t="shared" si="21"/>
        <v>6.5000374823399625</v>
      </c>
      <c r="S25" s="76">
        <f>F25*2*N25</f>
        <v>1011.4058322521118</v>
      </c>
      <c r="T25" s="76">
        <f t="shared" si="23"/>
        <v>0</v>
      </c>
      <c r="V25" s="255">
        <f t="shared" si="18"/>
        <v>329.87973351188685</v>
      </c>
      <c r="W25" s="76">
        <f>((V25*References!$C$57*'Spokane DF Calc'!$E$72)+('Spokane DF Calc'!V25*References!$C$61*'Spokane DF Calc'!$E$71))/2</f>
        <v>0.19508411016980526</v>
      </c>
      <c r="X25" s="87">
        <f>W25/References!$G$58</f>
        <v>0.19959495617946107</v>
      </c>
      <c r="Y25" s="87">
        <f t="shared" si="7"/>
        <v>4.0504382053893617E-4</v>
      </c>
    </row>
    <row r="26" spans="1:26">
      <c r="A26" s="283"/>
      <c r="B26" s="90" t="s">
        <v>347</v>
      </c>
      <c r="C26" s="99" t="s">
        <v>50</v>
      </c>
      <c r="D26" s="62">
        <f>+VLOOKUP(C26,'Spokane Reg - Price out'!$B$12:$K$78,10,FALSE)</f>
        <v>0.29166787645355596</v>
      </c>
      <c r="E26" s="123">
        <f>+References!$B$10</f>
        <v>4.333333333333333</v>
      </c>
      <c r="F26" s="65">
        <f>D26*E26*References!$B$50</f>
        <v>15.16672957558491</v>
      </c>
      <c r="G26" s="65">
        <f>+References!B30*3</f>
        <v>750</v>
      </c>
      <c r="H26" s="62">
        <f t="shared" si="15"/>
        <v>11375.047181688682</v>
      </c>
      <c r="I26" s="62">
        <f t="shared" si="16"/>
        <v>7504.7950659612043</v>
      </c>
      <c r="J26" s="76">
        <f>(I26*References!$C$57*'Spokane DF Calc'!$E$72)+('Spokane DF Calc'!I26*References!$C$61*'Spokane DF Calc'!$E$71)</f>
        <v>8.8763638303171497</v>
      </c>
      <c r="K26" s="76">
        <f>J26/References!$G$58</f>
        <v>9.0816081750738178</v>
      </c>
      <c r="L26" s="76">
        <f>ROUND((K26/(F26*3)),2)</f>
        <v>0.2</v>
      </c>
      <c r="M26" s="76">
        <f>+'Proposed Rates'!B42</f>
        <v>30.92</v>
      </c>
      <c r="N26" s="76">
        <f t="shared" si="17"/>
        <v>31.12</v>
      </c>
      <c r="O26" s="76">
        <f>+'Proposed Rates'!D42</f>
        <v>31.12</v>
      </c>
      <c r="P26" s="76">
        <f>F26*3*M26</f>
        <v>1406.8658354312563</v>
      </c>
      <c r="Q26" s="76">
        <f>F26*3*O26</f>
        <v>1415.9658731766071</v>
      </c>
      <c r="R26" s="76">
        <f t="shared" si="21"/>
        <v>9.1000377453508463</v>
      </c>
      <c r="S26" s="76">
        <f>F26*3*N26</f>
        <v>1415.9658731766071</v>
      </c>
      <c r="T26" s="76">
        <f t="shared" si="23"/>
        <v>0</v>
      </c>
      <c r="V26" s="255">
        <f t="shared" si="18"/>
        <v>494.81960026783031</v>
      </c>
      <c r="W26" s="76">
        <f>((V26*References!$C$57*'Spokane DF Calc'!$E$72)+('Spokane DF Calc'!V26*References!$C$61*'Spokane DF Calc'!$E$71))/3</f>
        <v>0.19508411016980529</v>
      </c>
      <c r="X26" s="87">
        <f>W26/References!$G$58</f>
        <v>0.1995949561794611</v>
      </c>
      <c r="Y26" s="87">
        <f t="shared" si="7"/>
        <v>4.0504382053890842E-4</v>
      </c>
    </row>
    <row r="27" spans="1:26">
      <c r="A27" s="283"/>
      <c r="B27" s="90" t="s">
        <v>347</v>
      </c>
      <c r="C27" s="99" t="s">
        <v>52</v>
      </c>
      <c r="D27" s="62">
        <f>+VLOOKUP(C27,'Spokane Reg - Price out'!$B$12:$K$78,10,FALSE)</f>
        <v>9.2083360447712632</v>
      </c>
      <c r="E27" s="123">
        <f>+References!$B$10</f>
        <v>4.333333333333333</v>
      </c>
      <c r="F27" s="62">
        <f>D27*E27*References!$B$50</f>
        <v>478.83347432810564</v>
      </c>
      <c r="G27" s="62">
        <f>References!$B$32</f>
        <v>324</v>
      </c>
      <c r="H27" s="62">
        <f t="shared" si="15"/>
        <v>155142.04568230623</v>
      </c>
      <c r="I27" s="62">
        <f t="shared" si="16"/>
        <v>102356.43337233631</v>
      </c>
      <c r="J27" s="76">
        <f>(I27*References!$C$57*'Spokane DF Calc'!$E$72)+('Spokane DF Calc'!I27*References!$C$61*'Spokane DF Calc'!$E$71)</f>
        <v>121.06299172742393</v>
      </c>
      <c r="K27" s="76">
        <f>J27/References!$G$58</f>
        <v>123.86227923820742</v>
      </c>
      <c r="L27" s="76">
        <f>ROUND((K27/F27),2)</f>
        <v>0.26</v>
      </c>
      <c r="M27" s="76">
        <f>'Proposed Rates'!B43</f>
        <v>41.05</v>
      </c>
      <c r="N27" s="76">
        <f t="shared" si="17"/>
        <v>41.309999999999995</v>
      </c>
      <c r="O27" s="76">
        <f>'Proposed Rates'!D43</f>
        <v>41.309999999999995</v>
      </c>
      <c r="P27" s="76">
        <f t="shared" si="19"/>
        <v>19656.114121168735</v>
      </c>
      <c r="Q27" s="76">
        <f t="shared" si="20"/>
        <v>19780.610824494041</v>
      </c>
      <c r="R27" s="76">
        <f t="shared" si="21"/>
        <v>124.49670332530513</v>
      </c>
      <c r="S27" s="76">
        <f t="shared" si="22"/>
        <v>19780.610824494041</v>
      </c>
      <c r="T27" s="76">
        <f t="shared" si="23"/>
        <v>0</v>
      </c>
      <c r="V27" s="255">
        <f t="shared" si="18"/>
        <v>213.76206731570269</v>
      </c>
      <c r="W27" s="76">
        <f>(V27*References!$C$57*'Spokane DF Calc'!$E$72)+('Spokane DF Calc'!V27*References!$C$61*'Spokane DF Calc'!$E$71)</f>
        <v>0.25282900678006764</v>
      </c>
      <c r="X27" s="87">
        <f>W27/References!$G$58</f>
        <v>0.25867506320858158</v>
      </c>
      <c r="Y27" s="87">
        <f t="shared" si="7"/>
        <v>1.3249367914184296E-3</v>
      </c>
    </row>
    <row r="28" spans="1:26">
      <c r="A28" s="283"/>
      <c r="B28" s="90" t="s">
        <v>347</v>
      </c>
      <c r="C28" s="99" t="s">
        <v>54</v>
      </c>
      <c r="D28" s="62">
        <f>+VLOOKUP(C28,'Spokane Reg - Price out'!$B$12:$K$78,10,FALSE)</f>
        <v>3.3333333333333326</v>
      </c>
      <c r="E28" s="123">
        <f>+References!$B$10</f>
        <v>4.333333333333333</v>
      </c>
      <c r="F28" s="65">
        <f>D28*E28*References!$B$50</f>
        <v>173.33333333333329</v>
      </c>
      <c r="G28" s="62">
        <f>References!$B$33</f>
        <v>473</v>
      </c>
      <c r="H28" s="62">
        <f t="shared" si="15"/>
        <v>81986.666666666642</v>
      </c>
      <c r="I28" s="62">
        <f t="shared" si="16"/>
        <v>54091.47950305578</v>
      </c>
      <c r="J28" s="76">
        <f>(I28*References!$C$57*'Spokane DF Calc'!$E$72)+('Spokane DF Calc'!I28*References!$C$61*'Spokane DF Calc'!$E$71)</f>
        <v>63.97718364982039</v>
      </c>
      <c r="K28" s="76">
        <f>J28/References!$G$58</f>
        <v>65.456500562533648</v>
      </c>
      <c r="L28" s="76">
        <f>ROUND((K28/F28),2)</f>
        <v>0.38</v>
      </c>
      <c r="M28" s="76">
        <f>'Proposed Rates'!$B$44</f>
        <v>57.7</v>
      </c>
      <c r="N28" s="76">
        <f t="shared" si="17"/>
        <v>58.080000000000005</v>
      </c>
      <c r="O28" s="76">
        <f>'Proposed Rates'!$D$44</f>
        <v>58.080000000000005</v>
      </c>
      <c r="P28" s="76">
        <f t="shared" si="19"/>
        <v>10001.33333333333</v>
      </c>
      <c r="Q28" s="76">
        <f t="shared" si="20"/>
        <v>10067.199999999999</v>
      </c>
      <c r="R28" s="76">
        <f t="shared" si="21"/>
        <v>65.866666666668607</v>
      </c>
      <c r="S28" s="76">
        <f t="shared" si="22"/>
        <v>10067.199999999999</v>
      </c>
      <c r="T28" s="76">
        <f t="shared" si="23"/>
        <v>0</v>
      </c>
      <c r="V28" s="255">
        <f t="shared" si="18"/>
        <v>312.06622790224498</v>
      </c>
      <c r="W28" s="76">
        <f>(V28*References!$C$57*'Spokane DF Calc'!$E$72)+('Spokane DF Calc'!V28*References!$C$61*'Spokane DF Calc'!$E$71)</f>
        <v>0.36909913644127157</v>
      </c>
      <c r="X28" s="87">
        <f>W28/References!$G$58</f>
        <v>0.37763365709154034</v>
      </c>
      <c r="Y28" s="87">
        <f t="shared" si="7"/>
        <v>2.3663429084596621E-3</v>
      </c>
    </row>
    <row r="29" spans="1:26">
      <c r="A29" s="283"/>
      <c r="B29" s="90" t="s">
        <v>347</v>
      </c>
      <c r="C29" s="99" t="s">
        <v>56</v>
      </c>
      <c r="D29" s="62">
        <f>+VLOOKUP(C29,'Spokane Reg - Price out'!$B$12:$K$78,10,FALSE)</f>
        <v>1.1041666666666665</v>
      </c>
      <c r="E29" s="123">
        <f>+References!$B$10</f>
        <v>4.333333333333333</v>
      </c>
      <c r="F29" s="65">
        <f>D29*E29*References!$B$50</f>
        <v>57.416666666666657</v>
      </c>
      <c r="G29" s="62">
        <f>G28*2</f>
        <v>946</v>
      </c>
      <c r="H29" s="62">
        <f t="shared" si="15"/>
        <v>54316.166666666657</v>
      </c>
      <c r="I29" s="62">
        <f t="shared" si="16"/>
        <v>35835.605170774463</v>
      </c>
      <c r="J29" s="76">
        <f>(I29*References!$C$57*'Spokane DF Calc'!$E$72)+('Spokane DF Calc'!I29*References!$C$61*'Spokane DF Calc'!$E$71)</f>
        <v>42.38488416800601</v>
      </c>
      <c r="K29" s="76">
        <f>J29/References!$G$58</f>
        <v>43.36493162267854</v>
      </c>
      <c r="L29" s="76">
        <f>ROUND((K29/(F29*2)),2)</f>
        <v>0.38</v>
      </c>
      <c r="M29" s="76">
        <f>'Proposed Rates'!$B$44</f>
        <v>57.7</v>
      </c>
      <c r="N29" s="76">
        <f t="shared" si="17"/>
        <v>58.080000000000005</v>
      </c>
      <c r="O29" s="76">
        <f>'Proposed Rates'!$D$44</f>
        <v>58.080000000000005</v>
      </c>
      <c r="P29" s="76">
        <f>F29*2*M29</f>
        <v>6625.8833333333323</v>
      </c>
      <c r="Q29" s="76">
        <f>F29*2*O29</f>
        <v>6669.5199999999995</v>
      </c>
      <c r="R29" s="76">
        <f t="shared" si="21"/>
        <v>43.636666666667224</v>
      </c>
      <c r="S29" s="76">
        <f>F29*2*N29</f>
        <v>6669.5199999999995</v>
      </c>
      <c r="T29" s="76">
        <f t="shared" si="23"/>
        <v>0</v>
      </c>
      <c r="V29" s="255">
        <f t="shared" si="18"/>
        <v>624.13245580448995</v>
      </c>
      <c r="W29" s="76">
        <f>((V29*References!$C$57*'Spokane DF Calc'!$E$72)+('Spokane DF Calc'!V29*References!$C$61*'Spokane DF Calc'!$E$71))/2</f>
        <v>0.36909913644127157</v>
      </c>
      <c r="X29" s="87">
        <f>W29/References!$G$58</f>
        <v>0.37763365709154034</v>
      </c>
      <c r="Y29" s="87">
        <f t="shared" si="7"/>
        <v>2.3663429084596621E-3</v>
      </c>
    </row>
    <row r="30" spans="1:26">
      <c r="A30" s="283"/>
      <c r="B30" s="90" t="s">
        <v>347</v>
      </c>
      <c r="C30" s="99" t="s">
        <v>58</v>
      </c>
      <c r="D30" s="62">
        <f>+VLOOKUP(C30,'Spokane Reg - Price out'!$B$12:$K$78,10,FALSE)</f>
        <v>5.4791659378971795</v>
      </c>
      <c r="E30" s="69">
        <f>+References!$B$10</f>
        <v>4.333333333333333</v>
      </c>
      <c r="F30" s="62">
        <f>D30*E30*References!$B$50</f>
        <v>284.91662877065335</v>
      </c>
      <c r="G30" s="62">
        <f>References!$B$35</f>
        <v>613</v>
      </c>
      <c r="H30" s="62">
        <f t="shared" si="15"/>
        <v>174653.89343641049</v>
      </c>
      <c r="I30" s="62">
        <f t="shared" si="16"/>
        <v>115229.55964723317</v>
      </c>
      <c r="J30" s="76">
        <f>(I30*References!$C$57*'Spokane DF Calc'!$E$72)+('Spokane DF Calc'!I30*References!$C$61*'Spokane DF Calc'!$E$71)</f>
        <v>136.28879755493654</v>
      </c>
      <c r="K30" s="76">
        <f>J30/References!$G$58</f>
        <v>139.44014482805048</v>
      </c>
      <c r="L30" s="76">
        <f>ROUND((K30/F30),2)</f>
        <v>0.49</v>
      </c>
      <c r="M30" s="76">
        <f>'Proposed Rates'!$B$45</f>
        <v>76.39</v>
      </c>
      <c r="N30" s="76">
        <f t="shared" si="17"/>
        <v>76.88</v>
      </c>
      <c r="O30" s="76">
        <f>'Proposed Rates'!$D$45</f>
        <v>76.88</v>
      </c>
      <c r="P30" s="76">
        <f t="shared" si="19"/>
        <v>21764.781271790209</v>
      </c>
      <c r="Q30" s="76">
        <f t="shared" si="20"/>
        <v>21904.390419887826</v>
      </c>
      <c r="R30" s="76">
        <f t="shared" si="21"/>
        <v>139.60914809761744</v>
      </c>
      <c r="S30" s="76">
        <f t="shared" si="22"/>
        <v>21904.390419887826</v>
      </c>
      <c r="T30" s="76">
        <f t="shared" si="23"/>
        <v>0</v>
      </c>
      <c r="V30" s="255">
        <f t="shared" si="18"/>
        <v>404.43255328557331</v>
      </c>
      <c r="W30" s="76">
        <f>(V30*References!$C$57*'Spokane DF Calc'!$E$72)+('Spokane DF Calc'!V30*References!$C$61*'Spokane DF Calc'!$E$71)</f>
        <v>0.47834623813636257</v>
      </c>
      <c r="X30" s="87">
        <f>W30/References!$G$58</f>
        <v>0.4894068325520386</v>
      </c>
      <c r="Y30" s="87">
        <f t="shared" si="7"/>
        <v>5.9316744796139576E-4</v>
      </c>
    </row>
    <row r="31" spans="1:26">
      <c r="A31" s="283"/>
      <c r="B31" s="90" t="s">
        <v>347</v>
      </c>
      <c r="C31" s="99" t="s">
        <v>60</v>
      </c>
      <c r="D31" s="62">
        <f>+VLOOKUP(C31,'Spokane Reg - Price out'!$B$12:$K$78,10,FALSE)</f>
        <v>1.8958340722874469</v>
      </c>
      <c r="E31" s="69">
        <f>+References!$B$10</f>
        <v>4.333333333333333</v>
      </c>
      <c r="F31" s="62">
        <f>D31*E31*References!$B$50</f>
        <v>98.583371758947237</v>
      </c>
      <c r="G31" s="62">
        <f>G30*2</f>
        <v>1226</v>
      </c>
      <c r="H31" s="62">
        <f t="shared" si="15"/>
        <v>120863.21377646932</v>
      </c>
      <c r="I31" s="62">
        <f t="shared" si="16"/>
        <v>79740.64950394383</v>
      </c>
      <c r="J31" s="76">
        <f>(I31*References!$C$57*'Spokane DF Calc'!$E$72)+('Spokane DF Calc'!I31*References!$C$61*'Spokane DF Calc'!$E$71)</f>
        <v>94.313970047381872</v>
      </c>
      <c r="K31" s="76">
        <f>J31/References!$G$58</f>
        <v>96.494751429692926</v>
      </c>
      <c r="L31" s="76">
        <f>ROUND((K31/(F31*2)),2)</f>
        <v>0.49</v>
      </c>
      <c r="M31" s="76">
        <f>'Proposed Rates'!$B$45</f>
        <v>76.39</v>
      </c>
      <c r="N31" s="76">
        <f t="shared" si="17"/>
        <v>76.88</v>
      </c>
      <c r="O31" s="76">
        <f>'Proposed Rates'!$D$45</f>
        <v>76.88</v>
      </c>
      <c r="P31" s="76">
        <f t="shared" ref="P31:P32" si="24">F31*2*M31</f>
        <v>15061.567537331959</v>
      </c>
      <c r="Q31" s="76">
        <f t="shared" ref="Q31:Q32" si="25">F31*2*O31</f>
        <v>15158.179241655725</v>
      </c>
      <c r="R31" s="76">
        <f t="shared" ref="R31:R32" si="26">Q31-P31</f>
        <v>96.611704323766389</v>
      </c>
      <c r="S31" s="76">
        <f t="shared" ref="S31:S32" si="27">F31*2*N31</f>
        <v>15158.179241655725</v>
      </c>
      <c r="T31" s="76">
        <f t="shared" si="23"/>
        <v>0</v>
      </c>
      <c r="V31" s="255">
        <f t="shared" si="18"/>
        <v>808.86510657114661</v>
      </c>
      <c r="W31" s="76">
        <f>((V31*References!$C$57*'Spokane DF Calc'!$E$72)+('Spokane DF Calc'!V31*References!$C$61*'Spokane DF Calc'!$E$71))/2</f>
        <v>0.47834623813636257</v>
      </c>
      <c r="X31" s="87">
        <f>W31/References!$G$58</f>
        <v>0.4894068325520386</v>
      </c>
      <c r="Y31" s="87">
        <f t="shared" si="7"/>
        <v>5.9316744796139576E-4</v>
      </c>
    </row>
    <row r="32" spans="1:26">
      <c r="A32" s="283"/>
      <c r="B32" s="90" t="s">
        <v>347</v>
      </c>
      <c r="C32" s="99" t="s">
        <v>62</v>
      </c>
      <c r="D32" s="62">
        <f>+VLOOKUP(C32,'Spokane Reg - Price out'!$B$12:$K$78,10,FALSE)</f>
        <v>1.0000000000000002</v>
      </c>
      <c r="E32" s="69">
        <f>+References!$B$10</f>
        <v>4.333333333333333</v>
      </c>
      <c r="F32" s="62">
        <f>D32*E32*References!$B$50</f>
        <v>52.000000000000007</v>
      </c>
      <c r="G32" s="62">
        <f>References!B37*2</f>
        <v>1680</v>
      </c>
      <c r="H32" s="62">
        <f t="shared" si="15"/>
        <v>87360.000000000015</v>
      </c>
      <c r="I32" s="62">
        <f t="shared" si="16"/>
        <v>57636.587039196886</v>
      </c>
      <c r="J32" s="76">
        <f>(I32*References!$C$57*'Spokane DF Calc'!$E$72)+('Spokane DF Calc'!I32*References!$C$61*'Spokane DF Calc'!$E$71)</f>
        <v>68.170191457736777</v>
      </c>
      <c r="K32" s="76">
        <f>J32/References!$G$58</f>
        <v>69.746461487350899</v>
      </c>
      <c r="L32" s="76">
        <f>ROUND((K32/(F32*2)),2)</f>
        <v>0.67</v>
      </c>
      <c r="M32" s="76">
        <f>'Proposed Rates'!B46</f>
        <v>110.69</v>
      </c>
      <c r="N32" s="76">
        <f t="shared" si="17"/>
        <v>111.36</v>
      </c>
      <c r="O32" s="76">
        <f>'Proposed Rates'!D46</f>
        <v>111.36</v>
      </c>
      <c r="P32" s="76">
        <f t="shared" si="24"/>
        <v>11511.760000000002</v>
      </c>
      <c r="Q32" s="76">
        <f t="shared" si="25"/>
        <v>11581.440000000002</v>
      </c>
      <c r="R32" s="76">
        <f t="shared" si="26"/>
        <v>69.680000000000291</v>
      </c>
      <c r="S32" s="76">
        <f t="shared" si="27"/>
        <v>11581.440000000002</v>
      </c>
      <c r="T32" s="76">
        <f t="shared" si="23"/>
        <v>0</v>
      </c>
      <c r="V32" s="255">
        <f t="shared" si="18"/>
        <v>1108.39590459994</v>
      </c>
      <c r="W32" s="76">
        <f>((V32*References!$C$57*'Spokane DF Calc'!$E$72)+('Spokane DF Calc'!V32*References!$C$61*'Spokane DF Calc'!$E$71))/2</f>
        <v>0.65548261017054577</v>
      </c>
      <c r="X32" s="87">
        <f>W32/References!$G$58</f>
        <v>0.6706390527629893</v>
      </c>
      <c r="Y32" s="87">
        <f t="shared" si="7"/>
        <v>-6.3905276298925617E-4</v>
      </c>
    </row>
    <row r="33" spans="1:26">
      <c r="A33" s="283"/>
      <c r="B33" s="90" t="s">
        <v>348</v>
      </c>
      <c r="C33" s="99" t="s">
        <v>64</v>
      </c>
      <c r="D33" s="62">
        <f>+VLOOKUP(C33,'Spokane Reg - Price out'!$B$12:$K$78,10,FALSE)</f>
        <v>9.9058777835318477</v>
      </c>
      <c r="E33" s="69">
        <f>+References!B10</f>
        <v>4.333333333333333</v>
      </c>
      <c r="F33" s="62">
        <f>D33*E33*References!$B$50</f>
        <v>515.10564474365606</v>
      </c>
      <c r="G33" s="62">
        <f>References!$B$28</f>
        <v>29</v>
      </c>
      <c r="H33" s="62">
        <f t="shared" si="15"/>
        <v>14938.063697566025</v>
      </c>
      <c r="I33" s="62">
        <f t="shared" si="16"/>
        <v>9855.528943473344</v>
      </c>
      <c r="J33" s="76">
        <f>(I33*References!$C$57*'Spokane DF Calc'!$E$72)+('Spokane DF Calc'!I33*References!$C$61*'Spokane DF Calc'!$E$71)</f>
        <v>11.656715456398157</v>
      </c>
      <c r="K33" s="76">
        <f>J33/References!$G$58</f>
        <v>11.926248676486757</v>
      </c>
      <c r="L33" s="76">
        <f>ROUND((K33/F33),2)</f>
        <v>0.02</v>
      </c>
      <c r="M33" s="76">
        <f>'Proposed Rates'!$B$66</f>
        <v>4.93</v>
      </c>
      <c r="N33" s="76">
        <f t="shared" si="17"/>
        <v>4.9499999999999993</v>
      </c>
      <c r="O33" s="76">
        <f>'Proposed Rates'!$D$66</f>
        <v>4.9499999999999993</v>
      </c>
      <c r="P33" s="76">
        <f t="shared" si="19"/>
        <v>2539.4708285862243</v>
      </c>
      <c r="Q33" s="76">
        <f t="shared" si="20"/>
        <v>2549.772941481097</v>
      </c>
      <c r="R33" s="76">
        <f t="shared" si="21"/>
        <v>10.302112894872607</v>
      </c>
      <c r="S33" s="76">
        <f t="shared" si="22"/>
        <v>2549.772941481097</v>
      </c>
      <c r="T33" s="76">
        <f t="shared" si="23"/>
        <v>0</v>
      </c>
      <c r="V33" s="255">
        <f t="shared" ref="V33:V47" si="28">G33*$D$66</f>
        <v>19.133024543689437</v>
      </c>
      <c r="W33" s="76">
        <f>((V33*References!$C$57*'Spokane DF Calc'!$E$72)+('Spokane DF Calc'!V33*References!$C$61*'Spokane DF Calc'!$E$71))</f>
        <v>2.2629756779697408E-2</v>
      </c>
      <c r="X33" s="87">
        <f>W33/References!$G$58</f>
        <v>2.3153014916817483E-2</v>
      </c>
      <c r="Y33" s="87">
        <f t="shared" ref="Y33:Y47" si="29">L33-X33</f>
        <v>-3.1530149168174822E-3</v>
      </c>
    </row>
    <row r="34" spans="1:26">
      <c r="A34" s="283"/>
      <c r="B34" s="90" t="s">
        <v>348</v>
      </c>
      <c r="C34" s="99" t="s">
        <v>66</v>
      </c>
      <c r="D34" s="62">
        <f>+VLOOKUP(C34,'Spokane Reg - Price out'!$B$12:$K$78,10,FALSE)</f>
        <v>0.875</v>
      </c>
      <c r="E34" s="123">
        <f>+References!$B$10</f>
        <v>4.333333333333333</v>
      </c>
      <c r="F34" s="65">
        <f>D34*E34*References!$B$50</f>
        <v>45.5</v>
      </c>
      <c r="G34" s="62">
        <f>References!$B$28*2</f>
        <v>58</v>
      </c>
      <c r="H34" s="62">
        <f t="shared" si="15"/>
        <v>2639</v>
      </c>
      <c r="I34" s="62">
        <f t="shared" si="16"/>
        <v>1741.1052334757389</v>
      </c>
      <c r="J34" s="76">
        <f>(I34*References!$C$57*'Spokane DF Calc'!$E$72)+('Spokane DF Calc'!I34*References!$C$61*'Spokane DF Calc'!$E$71)</f>
        <v>2.0593078669524645</v>
      </c>
      <c r="K34" s="76">
        <f>J34/References!$G$58</f>
        <v>2.1069243574303913</v>
      </c>
      <c r="L34" s="76">
        <f>ROUND((K34/(F34*2)),2)</f>
        <v>0.02</v>
      </c>
      <c r="M34" s="76">
        <f>'Proposed Rates'!$B$66</f>
        <v>4.93</v>
      </c>
      <c r="N34" s="76">
        <f t="shared" si="17"/>
        <v>4.9499999999999993</v>
      </c>
      <c r="O34" s="76">
        <f>'Proposed Rates'!$D$66</f>
        <v>4.9499999999999993</v>
      </c>
      <c r="P34" s="76">
        <f>(F34*2)*M34</f>
        <v>448.63</v>
      </c>
      <c r="Q34" s="76">
        <f>(F34*2)*O34</f>
        <v>450.44999999999993</v>
      </c>
      <c r="R34" s="76">
        <f t="shared" si="21"/>
        <v>1.8199999999999363</v>
      </c>
      <c r="S34" s="76">
        <f>(F34*2)*N34</f>
        <v>450.44999999999993</v>
      </c>
      <c r="T34" s="76">
        <f t="shared" si="23"/>
        <v>0</v>
      </c>
      <c r="V34" s="255">
        <f t="shared" si="28"/>
        <v>38.266049087378875</v>
      </c>
      <c r="W34" s="76">
        <f>((V34*References!$C$57*'Spokane DF Calc'!$E$72)+('Spokane DF Calc'!V34*References!$C$61*'Spokane DF Calc'!$E$71))/2</f>
        <v>2.2629756779697408E-2</v>
      </c>
      <c r="X34" s="87">
        <f>W34/References!$G$58</f>
        <v>2.3153014916817483E-2</v>
      </c>
      <c r="Y34" s="87">
        <f t="shared" si="29"/>
        <v>-3.1530149168174822E-3</v>
      </c>
    </row>
    <row r="35" spans="1:26">
      <c r="A35" s="283"/>
      <c r="B35" s="90" t="s">
        <v>348</v>
      </c>
      <c r="C35" s="99" t="s">
        <v>68</v>
      </c>
      <c r="D35" s="62">
        <f>+VLOOKUP(C35,'Spokane Reg - Price out'!$B$12:$K$78,10,FALSE)</f>
        <v>4.0625116063138345</v>
      </c>
      <c r="E35" s="123">
        <f>+References!$B$10</f>
        <v>4.333333333333333</v>
      </c>
      <c r="F35" s="62">
        <f>D35*E35*References!$B$50</f>
        <v>211.2506035283194</v>
      </c>
      <c r="G35" s="62">
        <f>References!$B$23</f>
        <v>47</v>
      </c>
      <c r="H35" s="62">
        <f t="shared" si="15"/>
        <v>9928.7783658310127</v>
      </c>
      <c r="I35" s="62">
        <f t="shared" si="16"/>
        <v>6550.6055228378445</v>
      </c>
      <c r="J35" s="76">
        <f>(I35*References!$C$57*'Spokane DF Calc'!$E$72)+('Spokane DF Calc'!I35*References!$C$61*'Spokane DF Calc'!$E$71)</f>
        <v>7.7477875702854266</v>
      </c>
      <c r="K35" s="76">
        <f>J35/References!$G$58</f>
        <v>7.9269363313744901</v>
      </c>
      <c r="L35" s="76">
        <f>ROUND((K35/F35),2)</f>
        <v>0.04</v>
      </c>
      <c r="M35" s="76">
        <f>'Proposed Rates'!$B$73</f>
        <v>9.6199999999999992</v>
      </c>
      <c r="N35" s="76">
        <f t="shared" si="17"/>
        <v>9.6599999999999984</v>
      </c>
      <c r="O35" s="76">
        <f>'Proposed Rates'!$D$73</f>
        <v>9.6599999999999984</v>
      </c>
      <c r="P35" s="76">
        <f t="shared" si="19"/>
        <v>2032.2308059424324</v>
      </c>
      <c r="Q35" s="76">
        <f t="shared" si="20"/>
        <v>2040.6808300835651</v>
      </c>
      <c r="R35" s="76">
        <f t="shared" si="21"/>
        <v>8.4500241411326442</v>
      </c>
      <c r="S35" s="76">
        <f t="shared" si="22"/>
        <v>2040.6808300835651</v>
      </c>
      <c r="T35" s="76">
        <f t="shared" si="23"/>
        <v>0</v>
      </c>
      <c r="V35" s="255">
        <f t="shared" si="28"/>
        <v>31.008694950117366</v>
      </c>
      <c r="W35" s="76">
        <f>((V35*References!$C$57*'Spokane DF Calc'!$E$72)+('Spokane DF Calc'!V35*References!$C$61*'Spokane DF Calc'!$E$71))</f>
        <v>3.6675812711923397E-2</v>
      </c>
      <c r="X35" s="87">
        <f>W35/References!$G$58</f>
        <v>3.752385176173869E-2</v>
      </c>
      <c r="Y35" s="87">
        <f t="shared" si="29"/>
        <v>2.4761482382613109E-3</v>
      </c>
    </row>
    <row r="36" spans="1:26">
      <c r="A36" s="283"/>
      <c r="B36" s="90" t="s">
        <v>348</v>
      </c>
      <c r="C36" s="99" t="s">
        <v>70</v>
      </c>
      <c r="D36" s="62">
        <f>+VLOOKUP(C36,'Spokane Reg - Price out'!$B$12:$K$78,10,FALSE)</f>
        <v>5.9791761234679983</v>
      </c>
      <c r="E36" s="123">
        <f>+References!$B$10</f>
        <v>4.333333333333333</v>
      </c>
      <c r="F36" s="62">
        <f>D36*E36*References!$B$50</f>
        <v>310.91715842033591</v>
      </c>
      <c r="G36" s="62">
        <f>References!$B$24</f>
        <v>68</v>
      </c>
      <c r="H36" s="62">
        <f t="shared" si="15"/>
        <v>21142.366772582842</v>
      </c>
      <c r="I36" s="62">
        <f t="shared" si="16"/>
        <v>13948.876633500398</v>
      </c>
      <c r="J36" s="76">
        <f>(I36*References!$C$57*'Spokane DF Calc'!$E$72)+('Spokane DF Calc'!I36*References!$C$61*'Spokane DF Calc'!$E$71)</f>
        <v>16.498159234851926</v>
      </c>
      <c r="K36" s="76">
        <f>J36/References!$G$58</f>
        <v>16.879639078015064</v>
      </c>
      <c r="L36" s="76">
        <f>ROUND((K36/F36),2)</f>
        <v>0.05</v>
      </c>
      <c r="M36" s="76">
        <f>'Proposed Rates'!$B$77</f>
        <v>11.84</v>
      </c>
      <c r="N36" s="76">
        <f t="shared" si="17"/>
        <v>11.89</v>
      </c>
      <c r="O36" s="76">
        <f>'Proposed Rates'!$D$77</f>
        <v>11.89</v>
      </c>
      <c r="P36" s="76">
        <f t="shared" si="19"/>
        <v>3681.2591556967773</v>
      </c>
      <c r="Q36" s="76">
        <f t="shared" si="20"/>
        <v>3696.805013617794</v>
      </c>
      <c r="R36" s="76">
        <f t="shared" si="21"/>
        <v>15.545857921016704</v>
      </c>
      <c r="S36" s="76">
        <f t="shared" si="22"/>
        <v>3696.805013617794</v>
      </c>
      <c r="T36" s="76">
        <f t="shared" si="23"/>
        <v>0</v>
      </c>
      <c r="V36" s="255">
        <f t="shared" si="28"/>
        <v>44.863643757616614</v>
      </c>
      <c r="W36" s="76">
        <f>((V36*References!$C$57*'Spokane DF Calc'!$E$72)+('Spokane DF Calc'!V36*References!$C$61*'Spokane DF Calc'!$E$71))</f>
        <v>5.3062877966187028E-2</v>
      </c>
      <c r="X36" s="87">
        <f>W36/References!$G$58</f>
        <v>5.428982808081341E-2</v>
      </c>
      <c r="Y36" s="87">
        <f t="shared" si="29"/>
        <v>-4.2898280808134071E-3</v>
      </c>
    </row>
    <row r="37" spans="1:26">
      <c r="A37" s="283"/>
      <c r="B37" s="90" t="s">
        <v>348</v>
      </c>
      <c r="C37" s="99" t="s">
        <v>72</v>
      </c>
      <c r="D37" s="62">
        <f>+VLOOKUP(C37,'Spokane Reg - Price out'!$B$12:$K$78,10,FALSE)</f>
        <v>1</v>
      </c>
      <c r="E37" s="123">
        <f>+References!$B$10</f>
        <v>4.333333333333333</v>
      </c>
      <c r="F37" s="62">
        <f>D37*E37*References!$B$50</f>
        <v>52</v>
      </c>
      <c r="G37" s="62">
        <f>References!$B$24*2</f>
        <v>136</v>
      </c>
      <c r="H37" s="62">
        <f t="shared" si="15"/>
        <v>7072</v>
      </c>
      <c r="I37" s="62">
        <f t="shared" si="16"/>
        <v>4665.8189507921279</v>
      </c>
      <c r="J37" s="76">
        <f>(I37*References!$C$57*'Spokane DF Calc'!$E$72)+('Spokane DF Calc'!I37*References!$C$61*'Spokane DF Calc'!$E$71)</f>
        <v>5.5185393084834518</v>
      </c>
      <c r="K37" s="76">
        <f>J37/References!$G$58</f>
        <v>5.646142120404595</v>
      </c>
      <c r="L37" s="76">
        <f>ROUND((K37/(F37*2)),2)</f>
        <v>0.05</v>
      </c>
      <c r="M37" s="76">
        <f>M36</f>
        <v>11.84</v>
      </c>
      <c r="N37" s="76">
        <f t="shared" si="17"/>
        <v>11.89</v>
      </c>
      <c r="O37" s="76">
        <f>O36</f>
        <v>11.89</v>
      </c>
      <c r="P37" s="76">
        <f>F37*2*M37</f>
        <v>1231.3599999999999</v>
      </c>
      <c r="Q37" s="76">
        <f>F37*2*O37</f>
        <v>1236.56</v>
      </c>
      <c r="R37" s="76">
        <f t="shared" ref="R37" si="30">Q37-P37</f>
        <v>5.2000000000000455</v>
      </c>
      <c r="S37" s="76">
        <f>F37*2*N37</f>
        <v>1236.56</v>
      </c>
      <c r="T37" s="76">
        <f t="shared" si="23"/>
        <v>0</v>
      </c>
      <c r="V37" s="255">
        <f t="shared" si="28"/>
        <v>89.727287515233229</v>
      </c>
      <c r="W37" s="76">
        <f>((V37*References!$C$57*'Spokane DF Calc'!$E$72)+('Spokane DF Calc'!V37*References!$C$61*'Spokane DF Calc'!$E$71))/2</f>
        <v>5.3062877966187028E-2</v>
      </c>
      <c r="X37" s="87">
        <f>W37/References!$G$58</f>
        <v>5.428982808081341E-2</v>
      </c>
      <c r="Y37" s="87">
        <f t="shared" si="29"/>
        <v>-4.2898280808134071E-3</v>
      </c>
    </row>
    <row r="38" spans="1:26">
      <c r="A38" s="283"/>
      <c r="B38" s="90" t="s">
        <v>348</v>
      </c>
      <c r="C38" s="99" t="s">
        <v>74</v>
      </c>
      <c r="D38" s="62">
        <f>+VLOOKUP(C38,'Spokane Reg - Price out'!$B$12:$K$78,10,FALSE)</f>
        <v>0.16666666666666666</v>
      </c>
      <c r="E38" s="123">
        <f>References!$B$12</f>
        <v>1</v>
      </c>
      <c r="F38" s="65">
        <f>D38*E38*References!$B$50</f>
        <v>2</v>
      </c>
      <c r="G38" s="62">
        <f>References!$B$28</f>
        <v>29</v>
      </c>
      <c r="H38" s="62">
        <f t="shared" si="15"/>
        <v>58</v>
      </c>
      <c r="I38" s="62">
        <f t="shared" si="16"/>
        <v>38.266049087378875</v>
      </c>
      <c r="J38" s="76">
        <f>(I38*References!$C$57*'Spokane DF Calc'!$E$72)+('Spokane DF Calc'!I38*References!$C$61*'Spokane DF Calc'!$E$71)</f>
        <v>4.5259513559394816E-2</v>
      </c>
      <c r="K38" s="76">
        <f>J38/References!$G$58</f>
        <v>4.6306029833634965E-2</v>
      </c>
      <c r="L38" s="76">
        <f t="shared" ref="L38:L47" si="31">ROUND((K38/F38),2)</f>
        <v>0.02</v>
      </c>
      <c r="M38" s="76">
        <f>'Proposed Rates'!$B$66</f>
        <v>4.93</v>
      </c>
      <c r="N38" s="76">
        <f t="shared" si="17"/>
        <v>4.9499999999999993</v>
      </c>
      <c r="O38" s="76">
        <f>'Proposed Rates'!$D$66</f>
        <v>4.9499999999999993</v>
      </c>
      <c r="P38" s="76">
        <f>F38*2*M38</f>
        <v>19.72</v>
      </c>
      <c r="Q38" s="76">
        <f>F38*2*O38</f>
        <v>19.799999999999997</v>
      </c>
      <c r="R38" s="76">
        <f t="shared" si="21"/>
        <v>7.9999999999998295E-2</v>
      </c>
      <c r="S38" s="76">
        <f>F38*2*N38</f>
        <v>19.799999999999997</v>
      </c>
      <c r="T38" s="76">
        <f t="shared" si="23"/>
        <v>0</v>
      </c>
      <c r="V38" s="255">
        <f t="shared" si="28"/>
        <v>19.133024543689437</v>
      </c>
      <c r="W38" s="76">
        <f>((V38*References!$C$57*'Spokane DF Calc'!$E$72)+('Spokane DF Calc'!V38*References!$C$61*'Spokane DF Calc'!$E$71))</f>
        <v>2.2629756779697408E-2</v>
      </c>
      <c r="X38" s="87">
        <f>W38/References!$G$58</f>
        <v>2.3153014916817483E-2</v>
      </c>
      <c r="Y38" s="87">
        <f t="shared" si="29"/>
        <v>-3.1530149168174822E-3</v>
      </c>
    </row>
    <row r="39" spans="1:26">
      <c r="A39" s="283"/>
      <c r="B39" s="90" t="s">
        <v>347</v>
      </c>
      <c r="C39" s="99" t="s">
        <v>78</v>
      </c>
      <c r="D39" s="62">
        <v>0.01</v>
      </c>
      <c r="E39" s="123">
        <f>References!$B$12</f>
        <v>1</v>
      </c>
      <c r="F39" s="62">
        <f>D39*E39*References!$B$50</f>
        <v>0.12</v>
      </c>
      <c r="G39" s="62">
        <f>+References!$B$29</f>
        <v>175</v>
      </c>
      <c r="H39" s="62">
        <f t="shared" si="15"/>
        <v>21</v>
      </c>
      <c r="I39" s="62">
        <f t="shared" si="16"/>
        <v>13.854948807499248</v>
      </c>
      <c r="J39" s="76">
        <f>(I39*References!$C$57*'Spokane DF Calc'!$E$72)+('Spokane DF Calc'!I39*References!$C$61*'Spokane DF Calc'!$E$71)</f>
        <v>1.6387065254263644E-2</v>
      </c>
      <c r="K39" s="76">
        <f>J39/References!$G$58</f>
        <v>1.6765976319074734E-2</v>
      </c>
      <c r="L39" s="76">
        <f t="shared" si="31"/>
        <v>0.14000000000000001</v>
      </c>
      <c r="M39" s="76">
        <f>'Proposed Rates'!$B$49</f>
        <v>54.52</v>
      </c>
      <c r="N39" s="76">
        <f t="shared" si="17"/>
        <v>54.660000000000004</v>
      </c>
      <c r="O39" s="76">
        <f>'Proposed Rates'!$D$49</f>
        <v>54.660000000000004</v>
      </c>
      <c r="P39" s="76">
        <f t="shared" si="19"/>
        <v>6.5423999999999998</v>
      </c>
      <c r="Q39" s="76">
        <f t="shared" si="20"/>
        <v>6.5592000000000006</v>
      </c>
      <c r="R39" s="76">
        <f t="shared" si="21"/>
        <v>1.6800000000000814E-2</v>
      </c>
      <c r="S39" s="76">
        <f t="shared" si="22"/>
        <v>6.5592000000000006</v>
      </c>
      <c r="T39" s="76">
        <f t="shared" si="23"/>
        <v>0</v>
      </c>
      <c r="V39" s="255">
        <f t="shared" si="28"/>
        <v>115.4579067291604</v>
      </c>
      <c r="W39" s="76">
        <f>((V39*References!$C$57*'Spokane DF Calc'!$E$72)+('Spokane DF Calc'!V39*References!$C$61*'Spokane DF Calc'!$E$71))</f>
        <v>0.13655887711886366</v>
      </c>
      <c r="X39" s="87">
        <f>W39/References!$G$58</f>
        <v>0.13971646932562273</v>
      </c>
      <c r="Y39" s="87">
        <f t="shared" si="29"/>
        <v>2.835306743772803E-4</v>
      </c>
    </row>
    <row r="40" spans="1:26">
      <c r="A40" s="283"/>
      <c r="B40" s="90" t="s">
        <v>347</v>
      </c>
      <c r="C40" s="99" t="s">
        <v>80</v>
      </c>
      <c r="D40" s="62">
        <f>+VLOOKUP(C40,'Spokane Reg - Price out'!$B$12:$K$78,10,FALSE)</f>
        <v>0.91666666666666663</v>
      </c>
      <c r="E40" s="123">
        <f>References!$B$12</f>
        <v>1</v>
      </c>
      <c r="F40" s="62">
        <f>D40*E40*References!$B$50</f>
        <v>11</v>
      </c>
      <c r="G40" s="62">
        <f>+References!$B$30</f>
        <v>250</v>
      </c>
      <c r="H40" s="62">
        <f t="shared" si="15"/>
        <v>2750</v>
      </c>
      <c r="I40" s="62">
        <f t="shared" si="16"/>
        <v>1814.3385343153777</v>
      </c>
      <c r="J40" s="76">
        <f>(I40*References!$C$57*'Spokane DF Calc'!$E$72)+('Spokane DF Calc'!I40*References!$C$61*'Spokane DF Calc'!$E$71)</f>
        <v>2.145925211867858</v>
      </c>
      <c r="K40" s="76">
        <f>J40/References!$G$58</f>
        <v>2.195544517974072</v>
      </c>
      <c r="L40" s="76">
        <f t="shared" si="31"/>
        <v>0.2</v>
      </c>
      <c r="M40" s="76">
        <f>'Proposed Rates'!$B$50</f>
        <v>77.48</v>
      </c>
      <c r="N40" s="76">
        <f t="shared" si="17"/>
        <v>77.680000000000007</v>
      </c>
      <c r="O40" s="76">
        <f>'Proposed Rates'!$D$50</f>
        <v>77.680000000000007</v>
      </c>
      <c r="P40" s="76">
        <f t="shared" si="19"/>
        <v>852.28000000000009</v>
      </c>
      <c r="Q40" s="76">
        <f t="shared" si="20"/>
        <v>854.48</v>
      </c>
      <c r="R40" s="76">
        <f t="shared" si="21"/>
        <v>2.1999999999999318</v>
      </c>
      <c r="S40" s="76">
        <f t="shared" si="22"/>
        <v>854.48</v>
      </c>
      <c r="T40" s="76">
        <f t="shared" si="23"/>
        <v>0</v>
      </c>
      <c r="V40" s="255">
        <f t="shared" si="28"/>
        <v>164.93986675594343</v>
      </c>
      <c r="W40" s="76">
        <f>((V40*References!$C$57*'Spokane DF Calc'!$E$72)+('Spokane DF Calc'!V40*References!$C$61*'Spokane DF Calc'!$E$71))</f>
        <v>0.19508411016980526</v>
      </c>
      <c r="X40" s="87">
        <f>W40/References!$G$58</f>
        <v>0.19959495617946107</v>
      </c>
      <c r="Y40" s="87">
        <f t="shared" si="29"/>
        <v>4.0504382053893617E-4</v>
      </c>
    </row>
    <row r="41" spans="1:26">
      <c r="A41" s="283"/>
      <c r="B41" s="90" t="s">
        <v>347</v>
      </c>
      <c r="C41" s="99" t="s">
        <v>84</v>
      </c>
      <c r="D41" s="62">
        <v>0.01</v>
      </c>
      <c r="E41" s="123">
        <f>References!$B$12</f>
        <v>1</v>
      </c>
      <c r="F41" s="62">
        <f>D41*E41*References!$B$50</f>
        <v>0.12</v>
      </c>
      <c r="G41" s="62">
        <f>+References!$B$29</f>
        <v>175</v>
      </c>
      <c r="H41" s="62">
        <f t="shared" si="15"/>
        <v>21</v>
      </c>
      <c r="I41" s="62">
        <f t="shared" si="16"/>
        <v>13.854948807499248</v>
      </c>
      <c r="J41" s="76">
        <f>(I41*References!$C$57*'Spokane DF Calc'!$E$72)+('Spokane DF Calc'!I41*References!$C$61*'Spokane DF Calc'!$E$71)</f>
        <v>1.6387065254263644E-2</v>
      </c>
      <c r="K41" s="76">
        <f>J41/References!$G$58</f>
        <v>1.6765976319074734E-2</v>
      </c>
      <c r="L41" s="76">
        <f t="shared" si="31"/>
        <v>0.14000000000000001</v>
      </c>
      <c r="M41" s="76">
        <f>'Proposed Rates'!$B$57</f>
        <v>25.17</v>
      </c>
      <c r="N41" s="76">
        <f t="shared" si="17"/>
        <v>25.310000000000002</v>
      </c>
      <c r="O41" s="76">
        <f>'Proposed Rates'!$D$57</f>
        <v>25.310000000000002</v>
      </c>
      <c r="P41" s="76">
        <f t="shared" si="19"/>
        <v>3.0204</v>
      </c>
      <c r="Q41" s="76">
        <f t="shared" si="20"/>
        <v>3.0372000000000003</v>
      </c>
      <c r="R41" s="76">
        <f t="shared" si="21"/>
        <v>1.680000000000037E-2</v>
      </c>
      <c r="S41" s="76">
        <f t="shared" si="22"/>
        <v>3.0372000000000003</v>
      </c>
      <c r="T41" s="76">
        <f t="shared" si="23"/>
        <v>0</v>
      </c>
      <c r="V41" s="255">
        <f t="shared" si="28"/>
        <v>115.4579067291604</v>
      </c>
      <c r="W41" s="76">
        <f>((V41*References!$C$57*'Spokane DF Calc'!$E$72)+('Spokane DF Calc'!V41*References!$C$61*'Spokane DF Calc'!$E$71))</f>
        <v>0.13655887711886366</v>
      </c>
      <c r="X41" s="87">
        <f>W41/References!$G$58</f>
        <v>0.13971646932562273</v>
      </c>
      <c r="Y41" s="87">
        <f t="shared" si="29"/>
        <v>2.835306743772803E-4</v>
      </c>
    </row>
    <row r="42" spans="1:26">
      <c r="A42" s="283"/>
      <c r="B42" s="90" t="s">
        <v>347</v>
      </c>
      <c r="C42" s="99" t="s">
        <v>82</v>
      </c>
      <c r="D42" s="62">
        <f>+VLOOKUP(C42,'Spokane Reg - Price out'!$B$12:$K$78,10,FALSE)</f>
        <v>8.3333333333333329E-2</v>
      </c>
      <c r="E42" s="123">
        <f>References!$B$12</f>
        <v>1</v>
      </c>
      <c r="F42" s="65">
        <f>D42*E42*References!$B$50</f>
        <v>1</v>
      </c>
      <c r="G42" s="62">
        <f>+References!$B$30</f>
        <v>250</v>
      </c>
      <c r="H42" s="62">
        <f t="shared" si="15"/>
        <v>250</v>
      </c>
      <c r="I42" s="62">
        <f t="shared" si="16"/>
        <v>164.93986675594343</v>
      </c>
      <c r="J42" s="76">
        <f>(I42*References!$C$57*'Spokane DF Calc'!$E$72)+('Spokane DF Calc'!I42*References!$C$61*'Spokane DF Calc'!$E$71)</f>
        <v>0.19508411016980526</v>
      </c>
      <c r="K42" s="76">
        <f>J42/References!$G$58</f>
        <v>0.19959495617946107</v>
      </c>
      <c r="L42" s="76">
        <f t="shared" si="31"/>
        <v>0.2</v>
      </c>
      <c r="M42" s="76">
        <f>'Proposed Rates'!$B$58</f>
        <v>37.85</v>
      </c>
      <c r="N42" s="76">
        <f t="shared" si="17"/>
        <v>38.050000000000004</v>
      </c>
      <c r="O42" s="76">
        <f>'Proposed Rates'!$D$58</f>
        <v>38.050000000000004</v>
      </c>
      <c r="P42" s="76">
        <f>F42*2*M42</f>
        <v>75.7</v>
      </c>
      <c r="Q42" s="76">
        <f>F42*2*O42</f>
        <v>76.100000000000009</v>
      </c>
      <c r="R42" s="76">
        <f t="shared" si="21"/>
        <v>0.40000000000000568</v>
      </c>
      <c r="S42" s="76">
        <f>F42*2*N42</f>
        <v>76.100000000000009</v>
      </c>
      <c r="T42" s="76">
        <f t="shared" si="23"/>
        <v>0</v>
      </c>
      <c r="V42" s="255">
        <f t="shared" si="28"/>
        <v>164.93986675594343</v>
      </c>
      <c r="W42" s="76">
        <f>((V42*References!$C$57*'Spokane DF Calc'!$E$72)+('Spokane DF Calc'!V42*References!$C$61*'Spokane DF Calc'!$E$71))</f>
        <v>0.19508411016980526</v>
      </c>
      <c r="X42" s="87">
        <f>W42/References!$G$58</f>
        <v>0.19959495617946107</v>
      </c>
      <c r="Y42" s="87">
        <f t="shared" si="29"/>
        <v>4.0504382053893617E-4</v>
      </c>
    </row>
    <row r="43" spans="1:26">
      <c r="A43" s="283"/>
      <c r="B43" s="90" t="s">
        <v>347</v>
      </c>
      <c r="C43" s="99" t="s">
        <v>86</v>
      </c>
      <c r="D43" s="62">
        <f>+VLOOKUP(C43,'Spokane Reg - Price out'!$B$12:$K$78,10,FALSE)</f>
        <v>0.16666666666666666</v>
      </c>
      <c r="E43" s="123">
        <f>References!$B$12</f>
        <v>1</v>
      </c>
      <c r="F43" s="62">
        <f>D43*E43*References!$B$50</f>
        <v>2</v>
      </c>
      <c r="G43" s="62">
        <f>References!$B$32</f>
        <v>324</v>
      </c>
      <c r="H43" s="62">
        <f t="shared" si="15"/>
        <v>648</v>
      </c>
      <c r="I43" s="62">
        <f t="shared" si="16"/>
        <v>427.52413463140539</v>
      </c>
      <c r="J43" s="76">
        <f>(I43*References!$C$57*'Spokane DF Calc'!$E$72)+('Spokane DF Calc'!I43*References!$C$61*'Spokane DF Calc'!$E$71)</f>
        <v>0.50565801356013529</v>
      </c>
      <c r="K43" s="76">
        <f>J43/References!$G$58</f>
        <v>0.51735012641716316</v>
      </c>
      <c r="L43" s="76">
        <f t="shared" si="31"/>
        <v>0.26</v>
      </c>
      <c r="M43" s="76">
        <f>'Proposed Rates'!$B$59</f>
        <v>48.5</v>
      </c>
      <c r="N43" s="76">
        <f t="shared" si="17"/>
        <v>48.76</v>
      </c>
      <c r="O43" s="76">
        <f>'Proposed Rates'!$D$59</f>
        <v>48.76</v>
      </c>
      <c r="P43" s="76">
        <f t="shared" si="19"/>
        <v>97</v>
      </c>
      <c r="Q43" s="76">
        <f t="shared" si="20"/>
        <v>97.52</v>
      </c>
      <c r="R43" s="76">
        <f t="shared" si="21"/>
        <v>0.51999999999999602</v>
      </c>
      <c r="S43" s="76">
        <f t="shared" si="22"/>
        <v>97.52</v>
      </c>
      <c r="T43" s="76">
        <f t="shared" si="23"/>
        <v>0</v>
      </c>
      <c r="V43" s="255">
        <f t="shared" si="28"/>
        <v>213.76206731570269</v>
      </c>
      <c r="W43" s="76">
        <f>((V43*References!$C$57*'Spokane DF Calc'!$E$72)+('Spokane DF Calc'!V43*References!$C$61*'Spokane DF Calc'!$E$71))</f>
        <v>0.25282900678006764</v>
      </c>
      <c r="X43" s="87">
        <f>W43/References!$G$58</f>
        <v>0.25867506320858158</v>
      </c>
      <c r="Y43" s="87">
        <f t="shared" si="29"/>
        <v>1.3249367914184296E-3</v>
      </c>
    </row>
    <row r="44" spans="1:26">
      <c r="A44" s="283"/>
      <c r="B44" s="90" t="s">
        <v>347</v>
      </c>
      <c r="C44" s="99" t="s">
        <v>88</v>
      </c>
      <c r="D44" s="62">
        <f>+VLOOKUP(C44,'Spokane Reg - Price out'!$B$12:$K$78,10,FALSE)</f>
        <v>0.16666666666666666</v>
      </c>
      <c r="E44" s="123">
        <f>References!$B$12</f>
        <v>1</v>
      </c>
      <c r="F44" s="62">
        <f>D44*E44*References!$B$50</f>
        <v>2</v>
      </c>
      <c r="G44" s="62">
        <f>References!$B$33</f>
        <v>473</v>
      </c>
      <c r="H44" s="62">
        <f t="shared" si="15"/>
        <v>946</v>
      </c>
      <c r="I44" s="62">
        <f t="shared" si="16"/>
        <v>624.13245580448995</v>
      </c>
      <c r="J44" s="76">
        <f>(I44*References!$C$57*'Spokane DF Calc'!$E$72)+('Spokane DF Calc'!I44*References!$C$61*'Spokane DF Calc'!$E$71)</f>
        <v>0.73819827288254314</v>
      </c>
      <c r="K44" s="76">
        <f>J44/References!$G$58</f>
        <v>0.75526731418308068</v>
      </c>
      <c r="L44" s="76">
        <f t="shared" si="31"/>
        <v>0.38</v>
      </c>
      <c r="M44" s="76">
        <f>'Proposed Rates'!$B$60</f>
        <v>68.3</v>
      </c>
      <c r="N44" s="76">
        <f t="shared" si="17"/>
        <v>68.679999999999993</v>
      </c>
      <c r="O44" s="76">
        <f>'Proposed Rates'!$D$60</f>
        <v>68.679999999999993</v>
      </c>
      <c r="P44" s="76">
        <f t="shared" si="19"/>
        <v>136.6</v>
      </c>
      <c r="Q44" s="76">
        <f t="shared" si="20"/>
        <v>137.35999999999999</v>
      </c>
      <c r="R44" s="76">
        <f t="shared" si="21"/>
        <v>0.75999999999999091</v>
      </c>
      <c r="S44" s="76">
        <f t="shared" si="22"/>
        <v>137.35999999999999</v>
      </c>
      <c r="T44" s="76">
        <f t="shared" si="23"/>
        <v>0</v>
      </c>
      <c r="V44" s="255">
        <f t="shared" si="28"/>
        <v>312.06622790224498</v>
      </c>
      <c r="W44" s="76">
        <f>((V44*References!$C$57*'Spokane DF Calc'!$E$72)+('Spokane DF Calc'!V44*References!$C$61*'Spokane DF Calc'!$E$71))</f>
        <v>0.36909913644127157</v>
      </c>
      <c r="X44" s="87">
        <f>W44/References!$G$58</f>
        <v>0.37763365709154034</v>
      </c>
      <c r="Y44" s="87">
        <f t="shared" si="29"/>
        <v>2.3663429084596621E-3</v>
      </c>
    </row>
    <row r="45" spans="1:26" s="57" customFormat="1">
      <c r="A45" s="283"/>
      <c r="B45" s="90" t="s">
        <v>347</v>
      </c>
      <c r="C45" s="99" t="s">
        <v>90</v>
      </c>
      <c r="D45" s="62">
        <f>+VLOOKUP(C45,'Spokane Reg - Price out'!$B$12:$K$78,10,FALSE)</f>
        <v>1.4166666666666667</v>
      </c>
      <c r="E45" s="123">
        <f>References!$B$12</f>
        <v>1</v>
      </c>
      <c r="F45" s="62">
        <f>D45*E45*References!$B$50</f>
        <v>17</v>
      </c>
      <c r="G45" s="62">
        <f>References!$B$35</f>
        <v>613</v>
      </c>
      <c r="H45" s="62">
        <f t="shared" ref="H45" si="32">F45*G45</f>
        <v>10421</v>
      </c>
      <c r="I45" s="62">
        <f t="shared" si="16"/>
        <v>6875.3534058547466</v>
      </c>
      <c r="J45" s="76">
        <f>(I45*References!$C$57*'Spokane DF Calc'!$E$72)+('Spokane DF Calc'!I45*References!$C$61*'Spokane DF Calc'!$E$71)</f>
        <v>8.1318860483181634</v>
      </c>
      <c r="K45" s="76">
        <f>J45/References!$G$58</f>
        <v>8.3199161533846571</v>
      </c>
      <c r="L45" s="76">
        <f t="shared" si="31"/>
        <v>0.49</v>
      </c>
      <c r="M45" s="76">
        <f>'Proposed Rates'!$B$61</f>
        <v>91.1</v>
      </c>
      <c r="N45" s="76">
        <f t="shared" si="17"/>
        <v>91.589999999999989</v>
      </c>
      <c r="O45" s="76">
        <f>'Proposed Rates'!$D$61</f>
        <v>91.589999999999989</v>
      </c>
      <c r="P45" s="76">
        <f t="shared" si="19"/>
        <v>1548.6999999999998</v>
      </c>
      <c r="Q45" s="76">
        <f t="shared" si="20"/>
        <v>1557.0299999999997</v>
      </c>
      <c r="R45" s="76">
        <f t="shared" si="21"/>
        <v>8.3299999999999272</v>
      </c>
      <c r="S45" s="76">
        <f t="shared" si="22"/>
        <v>1557.0299999999997</v>
      </c>
      <c r="T45" s="76">
        <f t="shared" si="23"/>
        <v>0</v>
      </c>
      <c r="V45" s="255">
        <f t="shared" si="28"/>
        <v>404.43255328557331</v>
      </c>
      <c r="W45" s="76">
        <f>((V45*References!$C$57*'Spokane DF Calc'!$E$72)+('Spokane DF Calc'!V45*References!$C$61*'Spokane DF Calc'!$E$71))</f>
        <v>0.47834623813636257</v>
      </c>
      <c r="X45" s="87">
        <f>W45/References!$G$58</f>
        <v>0.4894068325520386</v>
      </c>
      <c r="Y45" s="87">
        <f t="shared" si="29"/>
        <v>5.9316744796139576E-4</v>
      </c>
      <c r="Z45"/>
    </row>
    <row r="46" spans="1:26" ht="15" customHeight="1">
      <c r="A46" s="283"/>
      <c r="B46" s="90" t="s">
        <v>348</v>
      </c>
      <c r="C46" s="99" t="s">
        <v>76</v>
      </c>
      <c r="D46" s="62">
        <f>+VLOOKUP(C46,'Spokane Reg - Price out'!$B$12:$K$78,10,FALSE)</f>
        <v>51.454157386785461</v>
      </c>
      <c r="E46" s="123">
        <f>References!$B$12</f>
        <v>1</v>
      </c>
      <c r="F46" s="62">
        <f>D46*E46*References!$B$50</f>
        <v>617.44988864142556</v>
      </c>
      <c r="G46" s="62">
        <f>References!$B$28</f>
        <v>29</v>
      </c>
      <c r="H46" s="62">
        <f t="shared" si="15"/>
        <v>17906.046770601341</v>
      </c>
      <c r="I46" s="62">
        <f t="shared" si="16"/>
        <v>11813.683873874705</v>
      </c>
      <c r="J46" s="76">
        <f>(I46*References!$C$57*'Spokane DF Calc'!$E$72)+('Spokane DF Calc'!I46*References!$C$61*'Spokane DF Calc'!$E$71)</f>
        <v>13.97274080360671</v>
      </c>
      <c r="K46" s="76">
        <f>J46/References!$G$58</f>
        <v>14.295826482102219</v>
      </c>
      <c r="L46" s="76">
        <f t="shared" si="31"/>
        <v>0.02</v>
      </c>
      <c r="M46" s="76">
        <f>'Proposed Rates'!B66</f>
        <v>4.93</v>
      </c>
      <c r="N46" s="76">
        <f t="shared" si="17"/>
        <v>4.9499999999999993</v>
      </c>
      <c r="O46" s="76">
        <f>'Proposed Rates'!D66</f>
        <v>4.9499999999999993</v>
      </c>
      <c r="P46" s="76">
        <f t="shared" si="19"/>
        <v>3044.0279510022278</v>
      </c>
      <c r="Q46" s="76">
        <f t="shared" si="20"/>
        <v>3056.376948775056</v>
      </c>
      <c r="R46" s="76">
        <f t="shared" si="21"/>
        <v>12.34899777282817</v>
      </c>
      <c r="S46" s="76">
        <f t="shared" si="22"/>
        <v>3056.376948775056</v>
      </c>
      <c r="T46" s="76">
        <f t="shared" si="23"/>
        <v>0</v>
      </c>
      <c r="V46" s="255">
        <f t="shared" si="28"/>
        <v>19.133024543689437</v>
      </c>
      <c r="W46" s="76">
        <f>((V46*References!$C$57*'Spokane DF Calc'!$E$72)+('Spokane DF Calc'!V46*References!$C$61*'Spokane DF Calc'!$E$71))</f>
        <v>2.2629756779697408E-2</v>
      </c>
      <c r="X46" s="87">
        <f>W46/References!$G$58</f>
        <v>2.3153014916817483E-2</v>
      </c>
      <c r="Y46" s="87">
        <f t="shared" si="29"/>
        <v>-3.1530149168174822E-3</v>
      </c>
    </row>
    <row r="47" spans="1:26">
      <c r="A47" s="283"/>
      <c r="B47" s="90" t="s">
        <v>344</v>
      </c>
      <c r="C47" s="99" t="s">
        <v>92</v>
      </c>
      <c r="D47" s="62">
        <f>+VLOOKUP(C47,'Spokane Reg - Price out'!$B$12:$K$78,10,FALSE)</f>
        <v>0.66666666666666685</v>
      </c>
      <c r="E47" s="123">
        <f>References!$B$12</f>
        <v>1</v>
      </c>
      <c r="F47" s="62">
        <f>D47*E47*References!$B$50</f>
        <v>8.0000000000000018</v>
      </c>
      <c r="G47" s="62">
        <f>References!B48</f>
        <v>125</v>
      </c>
      <c r="H47" s="62">
        <f t="shared" si="15"/>
        <v>1000.0000000000002</v>
      </c>
      <c r="I47" s="62">
        <f t="shared" si="16"/>
        <v>659.75946702377394</v>
      </c>
      <c r="J47" s="76">
        <f>(I47*References!$C$57*'Spokane DF Calc'!$E$72)+('Spokane DF Calc'!I47*References!$C$61*'Spokane DF Calc'!$E$71)</f>
        <v>0.78033644067922125</v>
      </c>
      <c r="K47" s="76">
        <f>J47/References!$G$58</f>
        <v>0.79837982471784452</v>
      </c>
      <c r="L47" s="76">
        <f t="shared" si="31"/>
        <v>0.1</v>
      </c>
      <c r="M47" s="76">
        <f>'Proposed Rates'!B27</f>
        <v>26.24</v>
      </c>
      <c r="N47" s="76">
        <f t="shared" si="17"/>
        <v>26.34</v>
      </c>
      <c r="O47" s="76">
        <f>'Proposed Rates'!D27</f>
        <v>26.34</v>
      </c>
      <c r="P47" s="76">
        <f t="shared" si="19"/>
        <v>209.92000000000004</v>
      </c>
      <c r="Q47" s="76">
        <f t="shared" si="20"/>
        <v>210.72000000000006</v>
      </c>
      <c r="R47" s="76">
        <f t="shared" si="21"/>
        <v>0.80000000000001137</v>
      </c>
      <c r="S47" s="76">
        <f t="shared" si="22"/>
        <v>210.72000000000006</v>
      </c>
      <c r="T47" s="76">
        <f t="shared" si="23"/>
        <v>0</v>
      </c>
      <c r="V47" s="255">
        <f t="shared" si="28"/>
        <v>82.469933377971714</v>
      </c>
      <c r="W47" s="76">
        <f>((V47*References!$C$57*'Spokane DF Calc'!$E$72)+('Spokane DF Calc'!V47*References!$C$61*'Spokane DF Calc'!$E$71))</f>
        <v>9.7542055084902629E-2</v>
      </c>
      <c r="X47" s="87">
        <f>W47/References!$G$58</f>
        <v>9.9797478089730537E-2</v>
      </c>
      <c r="Y47" s="87">
        <f t="shared" si="29"/>
        <v>2.0252191026946809E-4</v>
      </c>
    </row>
    <row r="48" spans="1:26">
      <c r="A48" s="50"/>
      <c r="B48" s="48"/>
      <c r="C48" s="47" t="s">
        <v>0</v>
      </c>
      <c r="D48" s="63">
        <f>SUM(D22:D47)</f>
        <v>138.3383898941041</v>
      </c>
      <c r="E48" s="70"/>
      <c r="F48" s="63">
        <f>SUM(F22:F47)</f>
        <v>4971.2966456886606</v>
      </c>
      <c r="G48" s="64"/>
      <c r="H48" s="63">
        <f>SUM(H22:H47)</f>
        <v>1179840.3489236599</v>
      </c>
      <c r="I48" s="63">
        <f>SUM(I22:I47)</f>
        <v>778410.83977901714</v>
      </c>
      <c r="J48" s="78"/>
      <c r="K48" s="78"/>
      <c r="L48" s="79"/>
      <c r="M48" s="79"/>
      <c r="N48" s="79"/>
      <c r="O48" s="79"/>
      <c r="P48" s="63">
        <f>SUM(P22:P47)</f>
        <v>150612.55574289832</v>
      </c>
      <c r="Q48" s="63">
        <f>SUM(Q22:Q47)</f>
        <v>151551.86891037895</v>
      </c>
      <c r="R48" s="63">
        <f>SUM(R22:R47)</f>
        <v>939.31316748072231</v>
      </c>
      <c r="S48" s="63">
        <f>SUM(S22:S47)</f>
        <v>151551.86891037895</v>
      </c>
      <c r="T48" s="63">
        <f>SUM(T22:T47)</f>
        <v>0</v>
      </c>
      <c r="V48" s="254"/>
      <c r="W48" s="254"/>
      <c r="X48" s="248"/>
    </row>
    <row r="49" spans="1:26">
      <c r="C49" s="49" t="s">
        <v>288</v>
      </c>
      <c r="D49" s="66">
        <f>+D21+D48</f>
        <v>1448.4745842517129</v>
      </c>
      <c r="F49" s="66">
        <f>+F21+F48</f>
        <v>68530.34841663207</v>
      </c>
      <c r="H49" s="66">
        <f>+H21+H48</f>
        <v>4243148.868845934</v>
      </c>
      <c r="I49" s="66">
        <f>+I21+I48</f>
        <v>2799457.6362123224</v>
      </c>
      <c r="P49" s="80">
        <f>+P21+P48</f>
        <v>601817.18235074799</v>
      </c>
      <c r="Q49" s="80">
        <f>+Q21+Q48</f>
        <v>605233.60591727146</v>
      </c>
      <c r="R49" s="80">
        <f>+R21+R48</f>
        <v>3416.423566523405</v>
      </c>
      <c r="S49" s="80">
        <f>+S21+S48</f>
        <v>605233.72591727134</v>
      </c>
      <c r="T49" s="80">
        <f>+T21+T48</f>
        <v>-0.12000000000000455</v>
      </c>
    </row>
    <row r="51" spans="1:26">
      <c r="R51" s="181" t="s">
        <v>350</v>
      </c>
      <c r="S51" s="181" t="s">
        <v>351</v>
      </c>
      <c r="T51" s="181" t="s">
        <v>5</v>
      </c>
      <c r="U51"/>
      <c r="Z51" s="1"/>
    </row>
    <row r="52" spans="1:26" ht="15" customHeight="1">
      <c r="A52" s="36"/>
      <c r="B52" s="37"/>
      <c r="C52" s="38" t="s">
        <v>256</v>
      </c>
      <c r="D52" s="67"/>
      <c r="E52" s="71"/>
      <c r="F52" s="39"/>
      <c r="G52" s="39"/>
      <c r="H52" s="39"/>
      <c r="I52" s="39"/>
      <c r="J52" s="81"/>
      <c r="K52" s="82"/>
      <c r="L52" s="82"/>
      <c r="M52" s="82"/>
      <c r="N52" s="82"/>
      <c r="O52" s="82"/>
      <c r="Q52" s="146" t="s">
        <v>187</v>
      </c>
      <c r="R52" s="76">
        <f>R21</f>
        <v>2477.1103990426827</v>
      </c>
      <c r="S52" s="150">
        <f>+R21/P21</f>
        <v>5.4899933488394516E-3</v>
      </c>
      <c r="T52" s="62">
        <f>SUM(D6:D15)</f>
        <v>1205.2666702232293</v>
      </c>
      <c r="U52"/>
      <c r="Z52" s="1"/>
    </row>
    <row r="53" spans="1:26">
      <c r="A53" s="139"/>
      <c r="B53" s="90" t="s">
        <v>342</v>
      </c>
      <c r="C53" s="1" t="s">
        <v>330</v>
      </c>
      <c r="D53" s="62">
        <v>0</v>
      </c>
      <c r="E53" s="69">
        <f>+References!B10</f>
        <v>4.333333333333333</v>
      </c>
      <c r="F53" s="62">
        <v>52</v>
      </c>
      <c r="G53" s="62">
        <f>+References!B20</f>
        <v>97</v>
      </c>
      <c r="H53" s="62">
        <f>F53*G53</f>
        <v>5044</v>
      </c>
      <c r="I53" s="62">
        <f>H53*$D$66</f>
        <v>3327.8267516679148</v>
      </c>
      <c r="J53" s="76">
        <f>(I53*References!$C$57*'Spokane DF Calc'!$E$72)+('Spokane DF Calc'!I53*References!$C$61*'Spokane DF Calc'!$E$71)</f>
        <v>3.936017006785991</v>
      </c>
      <c r="K53" s="76">
        <f>J53/References!$G$58</f>
        <v>4.0270278358768063</v>
      </c>
      <c r="L53" s="76">
        <f>K53/F53*E53</f>
        <v>0.33558565298973386</v>
      </c>
      <c r="M53" s="76">
        <f>+'Proposed Rates'!B14</f>
        <v>63.56</v>
      </c>
      <c r="N53" s="76">
        <f>L53+M53</f>
        <v>63.895585652989737</v>
      </c>
      <c r="O53" s="76">
        <f>+'Proposed Rates'!D14</f>
        <v>63.900000000000006</v>
      </c>
      <c r="Q53" s="146" t="s">
        <v>188</v>
      </c>
      <c r="R53" s="76">
        <f>R48</f>
        <v>939.31316748072231</v>
      </c>
      <c r="S53" s="150">
        <f>+R48/P48</f>
        <v>6.2366192702032596E-3</v>
      </c>
      <c r="T53" s="62">
        <f>SUM(D22:D37)</f>
        <v>83.28089917398529</v>
      </c>
    </row>
    <row r="54" spans="1:26">
      <c r="A54" s="283" t="s">
        <v>295</v>
      </c>
      <c r="B54" s="140" t="s">
        <v>342</v>
      </c>
      <c r="C54" s="41" t="s">
        <v>257</v>
      </c>
      <c r="D54" s="101">
        <v>0</v>
      </c>
      <c r="E54" s="72">
        <f>+References!B10</f>
        <v>4.333333333333333</v>
      </c>
      <c r="F54" s="102">
        <f>E54*References!$B$50</f>
        <v>52</v>
      </c>
      <c r="G54" s="102">
        <f>+References!B21</f>
        <v>117</v>
      </c>
      <c r="H54" s="62">
        <f t="shared" ref="H54:H57" si="33">F54*G54</f>
        <v>6084</v>
      </c>
      <c r="I54" s="102">
        <f>H54*$D$66</f>
        <v>4013.9765973726394</v>
      </c>
      <c r="J54" s="76">
        <f>(I54*References!$C$57*'Spokane DF Calc'!$E$72)+('Spokane DF Calc'!I54*References!$C$61*'Spokane DF Calc'!$E$71)</f>
        <v>4.7475669050923814</v>
      </c>
      <c r="K54" s="85">
        <f>J54/References!$G$58</f>
        <v>4.8573428535833649</v>
      </c>
      <c r="L54" s="76">
        <f t="shared" ref="L54:L55" si="34">K54/F54*E54</f>
        <v>0.40477857113194704</v>
      </c>
      <c r="M54" s="83">
        <f>'Proposed Rates'!B15</f>
        <v>77.819999999999993</v>
      </c>
      <c r="N54" s="83">
        <f t="shared" ref="N54:N55" si="35">K54+M54</f>
        <v>82.677342853583355</v>
      </c>
      <c r="O54" s="83">
        <f>'Proposed Rates'!D15</f>
        <v>78.22</v>
      </c>
      <c r="Q54" s="146" t="s">
        <v>0</v>
      </c>
      <c r="R54" s="149">
        <f>SUM(R52:R53)</f>
        <v>3416.423566523405</v>
      </c>
      <c r="U54"/>
      <c r="Z54" s="1"/>
    </row>
    <row r="55" spans="1:26">
      <c r="A55" s="283"/>
      <c r="B55" s="140" t="s">
        <v>342</v>
      </c>
      <c r="C55" s="41" t="s">
        <v>258</v>
      </c>
      <c r="D55" s="101">
        <v>0</v>
      </c>
      <c r="E55" s="72">
        <f>+References!B10</f>
        <v>4.333333333333333</v>
      </c>
      <c r="F55" s="102">
        <f>E55*References!$B$50</f>
        <v>52</v>
      </c>
      <c r="G55" s="102">
        <f>+References!B22</f>
        <v>157</v>
      </c>
      <c r="H55" s="62">
        <f t="shared" si="33"/>
        <v>8164</v>
      </c>
      <c r="I55" s="102">
        <f>H55*$D$66</f>
        <v>5386.2762887820891</v>
      </c>
      <c r="J55" s="76">
        <f>(I55*References!$C$57*'Spokane DF Calc'!$E$72)+('Spokane DF Calc'!I55*References!$C$61*'Spokane DF Calc'!$E$71)</f>
        <v>6.3706667017051615</v>
      </c>
      <c r="K55" s="85">
        <f>J55/References!$G$58</f>
        <v>6.5179728889964821</v>
      </c>
      <c r="L55" s="76">
        <f t="shared" si="34"/>
        <v>0.5431644074163734</v>
      </c>
      <c r="M55" s="83">
        <f>'Proposed Rates'!B16</f>
        <v>90.34</v>
      </c>
      <c r="N55" s="83">
        <f t="shared" si="35"/>
        <v>96.857972888996485</v>
      </c>
      <c r="O55" s="83">
        <f>'Proposed Rates'!D16</f>
        <v>90.88000000000001</v>
      </c>
      <c r="R55" s="76">
        <f>+R54-R49</f>
        <v>0</v>
      </c>
      <c r="U55"/>
      <c r="Z55" s="1"/>
    </row>
    <row r="56" spans="1:26">
      <c r="A56" s="141"/>
      <c r="B56" s="142" t="s">
        <v>344</v>
      </c>
      <c r="C56" s="143" t="s">
        <v>35</v>
      </c>
      <c r="D56" s="42">
        <v>0</v>
      </c>
      <c r="E56" s="73">
        <f>+References!$B$12</f>
        <v>1</v>
      </c>
      <c r="F56" s="42">
        <v>1</v>
      </c>
      <c r="G56" s="42">
        <f>+References!B48</f>
        <v>125</v>
      </c>
      <c r="H56" s="42">
        <f t="shared" si="33"/>
        <v>125</v>
      </c>
      <c r="I56" s="42">
        <f>H56*$D$66</f>
        <v>82.469933377971714</v>
      </c>
      <c r="J56" s="84">
        <f>(I56*References!$C$57*'Spokane DF Calc'!$E$72)+('Spokane DF Calc'!I56*References!$C$61*'Spokane DF Calc'!$E$71)</f>
        <v>9.7542055084902629E-2</v>
      </c>
      <c r="K56" s="84">
        <f>J56/References!$G$58</f>
        <v>9.9797478089730537E-2</v>
      </c>
      <c r="L56" s="84">
        <f>K56/F56*E56</f>
        <v>9.9797478089730537E-2</v>
      </c>
      <c r="M56" s="144">
        <f>+'Proposed Rates'!B27</f>
        <v>26.24</v>
      </c>
      <c r="N56" s="84">
        <f>L56+M56</f>
        <v>26.339797478089729</v>
      </c>
      <c r="O56" s="144">
        <f>+'Proposed Rates'!D27</f>
        <v>26.34</v>
      </c>
    </row>
    <row r="57" spans="1:26" ht="17.25">
      <c r="A57" s="118"/>
      <c r="B57" s="103" t="s">
        <v>347</v>
      </c>
      <c r="C57" s="44" t="s">
        <v>227</v>
      </c>
      <c r="D57" s="101">
        <v>0</v>
      </c>
      <c r="E57" s="105">
        <v>1</v>
      </c>
      <c r="F57" s="102">
        <v>1</v>
      </c>
      <c r="G57" s="104">
        <f>References!B39</f>
        <v>980</v>
      </c>
      <c r="H57" s="62">
        <f t="shared" si="33"/>
        <v>980</v>
      </c>
      <c r="I57" s="102">
        <f>H57*$D$66</f>
        <v>646.56427768329831</v>
      </c>
      <c r="J57" s="76">
        <f>(I57*References!$C$57*'Spokane DF Calc'!$E$72)+('Spokane DF Calc'!I57*References!$C$61*'Spokane DF Calc'!$E$71)</f>
        <v>0.76472971186563676</v>
      </c>
      <c r="K57" s="83">
        <f>J57/[26]References!$G$56</f>
        <v>0.77975957772631144</v>
      </c>
      <c r="L57" s="85">
        <f t="shared" ref="L57" si="36">K57</f>
        <v>0.77975957772631144</v>
      </c>
      <c r="M57" s="83">
        <f>'Proposed Rates'!B79</f>
        <v>51.31</v>
      </c>
      <c r="N57" s="83">
        <f t="shared" ref="N57" si="37">K57+M57</f>
        <v>52.089759577726312</v>
      </c>
      <c r="O57" s="83">
        <f>'Proposed Rates'!D79</f>
        <v>51.526666666666671</v>
      </c>
      <c r="Q57" s="147" t="s">
        <v>338</v>
      </c>
      <c r="U57"/>
      <c r="Z57" s="1"/>
    </row>
    <row r="58" spans="1:26">
      <c r="A58" s="45"/>
      <c r="B58" s="40"/>
      <c r="C58" s="44"/>
      <c r="D58" s="32"/>
      <c r="E58" s="74"/>
      <c r="F58" s="31"/>
      <c r="G58" s="43"/>
      <c r="H58" s="31"/>
      <c r="I58" s="31"/>
      <c r="J58" s="86"/>
      <c r="K58" s="83"/>
      <c r="L58" s="83"/>
      <c r="M58" s="83"/>
      <c r="N58" s="83"/>
      <c r="O58" s="83"/>
      <c r="P58" s="86"/>
      <c r="Q58" s="146" t="s">
        <v>339</v>
      </c>
      <c r="R58" s="76">
        <f>'Disposal Schedule'!B25*References!B61</f>
        <v>240.44</v>
      </c>
    </row>
    <row r="59" spans="1:26" customFormat="1">
      <c r="D59" s="62"/>
      <c r="E59" s="69"/>
      <c r="F59" s="62"/>
      <c r="G59" s="62"/>
      <c r="H59" s="62"/>
      <c r="I59" s="62"/>
      <c r="J59" s="87"/>
      <c r="K59" s="87"/>
      <c r="L59" s="87"/>
      <c r="M59" s="87"/>
      <c r="N59" s="87"/>
      <c r="O59" s="87"/>
      <c r="P59" s="87"/>
      <c r="Q59" s="146" t="s">
        <v>340</v>
      </c>
      <c r="R59" s="148">
        <f>'Disposal Schedule'!I25*References!B57</f>
        <v>447.47999999999968</v>
      </c>
      <c r="S59" s="87"/>
      <c r="T59" s="87"/>
    </row>
    <row r="60" spans="1:26">
      <c r="R60" s="80">
        <f>SUM(R58:R59)</f>
        <v>687.91999999999962</v>
      </c>
      <c r="S60" s="77"/>
      <c r="T60" s="77"/>
      <c r="V60" s="87"/>
      <c r="W60" s="62"/>
      <c r="X60" s="248"/>
    </row>
    <row r="61" spans="1:26">
      <c r="C61" s="282" t="s">
        <v>200</v>
      </c>
      <c r="D61" s="282"/>
      <c r="E61" s="75"/>
      <c r="F61" s="68"/>
      <c r="Q61" s="269"/>
      <c r="R61" s="269"/>
      <c r="S61" s="269"/>
      <c r="T61" s="269"/>
      <c r="X61" s="248"/>
    </row>
    <row r="62" spans="1:26">
      <c r="C62" s="13"/>
      <c r="D62" s="30" t="s">
        <v>0</v>
      </c>
      <c r="Q62" s="279"/>
      <c r="R62" s="279"/>
      <c r="S62" s="279"/>
      <c r="T62" s="279"/>
    </row>
    <row r="63" spans="1:26">
      <c r="C63" s="13" t="s">
        <v>201</v>
      </c>
      <c r="D63" s="108">
        <f>D73</f>
        <v>1399.728818106161</v>
      </c>
      <c r="Q63" s="274" t="s">
        <v>422</v>
      </c>
      <c r="R63" s="269">
        <f>'[27]Sch 13 Garbage Disposal Fees'!$J$11+'[27]Sch 13 Garbage Disposal Fees'!$J$12</f>
        <v>30057.213000000003</v>
      </c>
      <c r="S63" s="269"/>
      <c r="T63" s="124"/>
    </row>
    <row r="64" spans="1:26">
      <c r="C64" s="13" t="s">
        <v>202</v>
      </c>
      <c r="D64" s="32">
        <f>D63*References!G19</f>
        <v>2799457.6362123219</v>
      </c>
      <c r="Q64" s="274" t="s">
        <v>184</v>
      </c>
      <c r="R64" s="275">
        <f>R60/R63</f>
        <v>2.2887018833050141E-2</v>
      </c>
      <c r="S64" s="269"/>
      <c r="T64" s="124"/>
    </row>
    <row r="65" spans="3:26" ht="15" customHeight="1">
      <c r="C65" s="13" t="s">
        <v>203</v>
      </c>
      <c r="D65" s="32">
        <f>+F49</f>
        <v>68530.34841663207</v>
      </c>
      <c r="Q65" s="269"/>
      <c r="R65" s="269"/>
      <c r="S65" s="269"/>
      <c r="T65" s="269"/>
      <c r="V65" s="257"/>
      <c r="W65" s="257" t="s">
        <v>416</v>
      </c>
      <c r="X65" s="257" t="s">
        <v>417</v>
      </c>
      <c r="Y65" s="257" t="s">
        <v>418</v>
      </c>
      <c r="Z65" s="257"/>
    </row>
    <row r="66" spans="3:26">
      <c r="C66" s="19" t="s">
        <v>204</v>
      </c>
      <c r="D66" s="100">
        <f>D64/H49</f>
        <v>0.65975946702377375</v>
      </c>
      <c r="V66" s="258" t="s">
        <v>414</v>
      </c>
      <c r="W66" s="259">
        <f>+'[28]Cust Count Summary'!$B$7</f>
        <v>1357.4564384204241</v>
      </c>
      <c r="X66" s="260">
        <v>0</v>
      </c>
      <c r="Y66" s="259">
        <f>SUM(W66:X66)</f>
        <v>1357.4564384204241</v>
      </c>
      <c r="Z66" s="257"/>
    </row>
    <row r="67" spans="3:26">
      <c r="V67" s="258" t="s">
        <v>415</v>
      </c>
      <c r="W67" s="259">
        <f>+'[28]Cust Count Summary'!$B$8</f>
        <v>108.57734223053579</v>
      </c>
      <c r="X67" s="260">
        <v>0</v>
      </c>
      <c r="Y67" s="259">
        <f>SUM(W67:X67)</f>
        <v>108.57734223053579</v>
      </c>
      <c r="Z67" s="257"/>
    </row>
    <row r="68" spans="3:26">
      <c r="V68" s="258" t="s">
        <v>419</v>
      </c>
      <c r="W68" s="260">
        <f>+'[28]Cust Count Summary'!$B$9</f>
        <v>5.0279355623287456</v>
      </c>
      <c r="X68" s="260">
        <v>0</v>
      </c>
      <c r="Y68" s="259">
        <f>SUM(W68:X68)</f>
        <v>5.0279355623287456</v>
      </c>
      <c r="Z68" s="257"/>
    </row>
    <row r="69" spans="3:26">
      <c r="C69" s="282" t="s">
        <v>320</v>
      </c>
      <c r="D69" s="282"/>
      <c r="E69" s="282"/>
      <c r="V69" s="257"/>
      <c r="W69" s="257"/>
      <c r="X69" s="257"/>
      <c r="Y69" s="257"/>
      <c r="Z69" s="257"/>
    </row>
    <row r="70" spans="3:26">
      <c r="C70" s="13"/>
      <c r="D70" s="134"/>
      <c r="E70" s="13"/>
    </row>
    <row r="71" spans="3:26">
      <c r="C71" s="13" t="s">
        <v>321</v>
      </c>
      <c r="D71" s="136">
        <f>References!C66</f>
        <v>1006.1703185869482</v>
      </c>
      <c r="E71" s="124">
        <f>D71/D73</f>
        <v>0.71883232349841941</v>
      </c>
    </row>
    <row r="72" spans="3:26">
      <c r="C72" s="135" t="s">
        <v>307</v>
      </c>
      <c r="D72" s="137">
        <f>References!B66</f>
        <v>393.55849951921283</v>
      </c>
      <c r="E72" s="124">
        <f>D72/D73</f>
        <v>0.28116767650158059</v>
      </c>
    </row>
    <row r="73" spans="3:26">
      <c r="C73" s="135" t="s">
        <v>307</v>
      </c>
      <c r="D73" s="138">
        <f>SUM(D71:D72)</f>
        <v>1399.728818106161</v>
      </c>
      <c r="E73" s="124"/>
    </row>
  </sheetData>
  <mergeCells count="6">
    <mergeCell ref="Q62:T62"/>
    <mergeCell ref="A6:A20"/>
    <mergeCell ref="C69:E69"/>
    <mergeCell ref="C61:D61"/>
    <mergeCell ref="A54:A55"/>
    <mergeCell ref="A22:A47"/>
  </mergeCells>
  <printOptions horizontalCentered="1" verticalCentered="1"/>
  <pageMargins left="0.5" right="0.5" top="0.5" bottom="0.5" header="0.3" footer="0.3"/>
  <pageSetup scale="44" orientation="landscape" r:id="rId1"/>
  <headerFooter>
    <oddFooter>&amp;L&amp;F - &amp;A&amp;R&amp;P of &amp;N</oddFooter>
  </headerFooter>
  <rowBreaks count="1" manualBreakCount="1">
    <brk id="45" max="1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98"/>
  <sheetViews>
    <sheetView view="pageBreakPreview" zoomScale="110" zoomScaleNormal="85" zoomScaleSheetLayoutView="110" workbookViewId="0">
      <pane ySplit="5" topLeftCell="A6" activePane="bottomLeft" state="frozen"/>
      <selection pane="bottomLeft" activeCell="C71" sqref="C71"/>
    </sheetView>
  </sheetViews>
  <sheetFormatPr defaultRowHeight="15"/>
  <cols>
    <col min="1" max="1" width="26.28515625" style="1" customWidth="1"/>
    <col min="2" max="2" width="14" style="98" customWidth="1"/>
    <col min="3" max="3" width="12.28515625" style="98" customWidth="1"/>
    <col min="4" max="4" width="12" style="251" customWidth="1"/>
    <col min="5" max="5" width="9.140625" style="1"/>
    <col min="6" max="6" width="11.28515625" style="98" customWidth="1"/>
    <col min="7" max="10" width="11.7109375" style="98" customWidth="1"/>
    <col min="11" max="11" width="9.5703125" style="1" bestFit="1" customWidth="1"/>
    <col min="12" max="16384" width="9.140625" style="1"/>
  </cols>
  <sheetData>
    <row r="1" spans="1:16">
      <c r="A1" s="97" t="s">
        <v>273</v>
      </c>
      <c r="C1" s="61"/>
    </row>
    <row r="2" spans="1:16">
      <c r="A2" s="34" t="s">
        <v>413</v>
      </c>
    </row>
    <row r="3" spans="1:16">
      <c r="A3" s="112"/>
    </row>
    <row r="4" spans="1:16" customFormat="1">
      <c r="A4" s="273" t="s">
        <v>256</v>
      </c>
      <c r="B4" s="98"/>
      <c r="C4" s="98"/>
      <c r="D4" s="251"/>
      <c r="F4" s="98"/>
      <c r="G4" s="98"/>
      <c r="H4" s="98"/>
      <c r="I4" s="98"/>
      <c r="J4" s="98"/>
    </row>
    <row r="5" spans="1:16" customFormat="1" ht="45">
      <c r="B5" s="113" t="s">
        <v>289</v>
      </c>
      <c r="C5" s="113" t="s">
        <v>290</v>
      </c>
      <c r="D5" s="252" t="s">
        <v>412</v>
      </c>
      <c r="F5" s="98"/>
      <c r="G5" s="98"/>
      <c r="H5" s="98"/>
      <c r="I5" s="98"/>
      <c r="J5" s="98"/>
    </row>
    <row r="6" spans="1:16">
      <c r="A6" s="7" t="s">
        <v>331</v>
      </c>
      <c r="F6" s="151" t="s">
        <v>297</v>
      </c>
    </row>
    <row r="7" spans="1:16">
      <c r="A7" s="1" t="s">
        <v>205</v>
      </c>
      <c r="B7" s="145">
        <v>5.18</v>
      </c>
      <c r="C7" s="98">
        <f>ROUND('Spokane DF Calc'!L19,2)</f>
        <v>0.03</v>
      </c>
      <c r="D7" s="251">
        <f>SUM(B7:C7)</f>
        <v>5.21</v>
      </c>
      <c r="E7" s="248"/>
    </row>
    <row r="8" spans="1:16">
      <c r="B8" s="145"/>
      <c r="E8" s="248"/>
      <c r="O8" s="99"/>
      <c r="P8" s="99"/>
    </row>
    <row r="9" spans="1:16">
      <c r="A9" s="7" t="s">
        <v>332</v>
      </c>
      <c r="B9" s="145"/>
      <c r="E9" s="248"/>
      <c r="M9" s="99"/>
      <c r="N9" s="99"/>
      <c r="O9" s="99"/>
      <c r="P9" s="99"/>
    </row>
    <row r="10" spans="1:16">
      <c r="A10" s="1" t="s">
        <v>206</v>
      </c>
      <c r="B10" s="145">
        <v>17.66</v>
      </c>
      <c r="C10" s="98">
        <f>+ROUND('Spokane DF Calc'!L6,2)</f>
        <v>7.0000000000000007E-2</v>
      </c>
      <c r="D10" s="251">
        <f t="shared" ref="D10:D75" si="0">SUM(B10:C10)</f>
        <v>17.73</v>
      </c>
      <c r="E10" s="248"/>
      <c r="M10" s="99"/>
      <c r="N10" s="99"/>
      <c r="O10" s="99"/>
      <c r="P10" s="99"/>
    </row>
    <row r="11" spans="1:16">
      <c r="A11" s="1" t="s">
        <v>207</v>
      </c>
      <c r="B11" s="145">
        <v>21.81</v>
      </c>
      <c r="C11" s="98">
        <f>+ROUND('Spokane DF Calc'!L8,2)</f>
        <v>0.12</v>
      </c>
      <c r="D11" s="251">
        <f t="shared" si="0"/>
        <v>21.93</v>
      </c>
      <c r="E11" s="248"/>
      <c r="M11" s="99"/>
      <c r="N11" s="99"/>
      <c r="O11" s="99"/>
      <c r="P11" s="99"/>
    </row>
    <row r="12" spans="1:16">
      <c r="A12" s="1" t="s">
        <v>208</v>
      </c>
      <c r="B12" s="145">
        <v>30.83</v>
      </c>
      <c r="C12" s="98">
        <f>+ROUND('Spokane DF Calc'!L9,2)</f>
        <v>0.18</v>
      </c>
      <c r="D12" s="251">
        <f t="shared" si="0"/>
        <v>31.009999999999998</v>
      </c>
      <c r="E12" s="248"/>
      <c r="M12" s="99"/>
      <c r="N12" s="99"/>
      <c r="O12" s="99"/>
      <c r="P12" s="99"/>
    </row>
    <row r="13" spans="1:16">
      <c r="A13" s="1" t="s">
        <v>209</v>
      </c>
      <c r="B13" s="145">
        <v>44.05</v>
      </c>
      <c r="C13" s="98">
        <f>+ROUND('Spokane DF Calc'!L10,2)</f>
        <v>0.27</v>
      </c>
      <c r="D13" s="251">
        <f t="shared" si="0"/>
        <v>44.32</v>
      </c>
      <c r="E13" s="248"/>
      <c r="M13" s="99"/>
      <c r="N13" s="99"/>
      <c r="O13" s="99"/>
      <c r="P13" s="99"/>
    </row>
    <row r="14" spans="1:16">
      <c r="A14" s="270" t="s">
        <v>210</v>
      </c>
      <c r="B14" s="271">
        <v>63.56</v>
      </c>
      <c r="C14" s="271">
        <f>+ROUND('Spokane DF Calc'!L53,2)</f>
        <v>0.34</v>
      </c>
      <c r="D14" s="272">
        <f t="shared" si="0"/>
        <v>63.900000000000006</v>
      </c>
      <c r="E14" s="248"/>
      <c r="M14" s="99"/>
      <c r="N14" s="99"/>
      <c r="O14" s="99"/>
      <c r="P14" s="99"/>
    </row>
    <row r="15" spans="1:16">
      <c r="A15" s="270" t="s">
        <v>211</v>
      </c>
      <c r="B15" s="271">
        <v>77.819999999999993</v>
      </c>
      <c r="C15" s="271">
        <f>+ROUND('Spokane DF Calc'!L54,2)</f>
        <v>0.4</v>
      </c>
      <c r="D15" s="272">
        <f t="shared" si="0"/>
        <v>78.22</v>
      </c>
      <c r="E15" s="248"/>
      <c r="M15" s="99"/>
      <c r="N15" s="99"/>
      <c r="O15" s="99"/>
      <c r="P15" s="99"/>
    </row>
    <row r="16" spans="1:16">
      <c r="A16" s="270" t="s">
        <v>212</v>
      </c>
      <c r="B16" s="271">
        <v>90.34</v>
      </c>
      <c r="C16" s="271">
        <f>+ROUND('Spokane DF Calc'!L55,2)</f>
        <v>0.54</v>
      </c>
      <c r="D16" s="272">
        <f t="shared" si="0"/>
        <v>90.88000000000001</v>
      </c>
      <c r="E16" s="248"/>
      <c r="M16" s="99"/>
      <c r="N16" s="99"/>
      <c r="O16" s="99"/>
      <c r="P16" s="99"/>
    </row>
    <row r="17" spans="1:16">
      <c r="A17" s="1" t="s">
        <v>213</v>
      </c>
      <c r="B17" s="145">
        <v>32.79</v>
      </c>
      <c r="C17" s="98">
        <f>+ROUND('Spokane DF Calc'!L11,2)</f>
        <v>0.16</v>
      </c>
      <c r="D17" s="251">
        <f t="shared" si="0"/>
        <v>32.949999999999996</v>
      </c>
      <c r="E17" s="248"/>
      <c r="M17" s="99"/>
      <c r="N17" s="99"/>
      <c r="O17" s="99"/>
      <c r="P17" s="99"/>
    </row>
    <row r="18" spans="1:16">
      <c r="A18" s="1" t="s">
        <v>214</v>
      </c>
      <c r="B18" s="145">
        <v>41.09</v>
      </c>
      <c r="C18" s="98">
        <f>+ROUND('Spokane DF Calc'!L13,2)</f>
        <v>0.24</v>
      </c>
      <c r="D18" s="251">
        <f t="shared" si="0"/>
        <v>41.330000000000005</v>
      </c>
      <c r="E18" s="248"/>
      <c r="M18" s="99"/>
      <c r="N18" s="99"/>
      <c r="O18" s="99"/>
      <c r="P18" s="99"/>
    </row>
    <row r="19" spans="1:16">
      <c r="A19" s="1" t="s">
        <v>420</v>
      </c>
      <c r="B19" s="145">
        <v>13.65</v>
      </c>
      <c r="C19" s="98">
        <f>+ROUND('Spokane DF Calc'!L7,2)</f>
        <v>0.03</v>
      </c>
      <c r="D19" s="251">
        <f t="shared" si="0"/>
        <v>13.68</v>
      </c>
      <c r="E19" s="248"/>
      <c r="M19" s="99"/>
      <c r="N19" s="99"/>
      <c r="O19" s="99"/>
      <c r="P19" s="99"/>
    </row>
    <row r="20" spans="1:16">
      <c r="B20" s="145"/>
      <c r="E20" s="248"/>
      <c r="M20" s="99"/>
      <c r="N20" s="99"/>
      <c r="O20" s="99"/>
      <c r="P20" s="99"/>
    </row>
    <row r="21" spans="1:16">
      <c r="A21" s="7" t="s">
        <v>333</v>
      </c>
      <c r="B21" s="145"/>
      <c r="E21" s="248"/>
      <c r="M21" s="99"/>
      <c r="N21" s="99"/>
      <c r="O21" s="99"/>
      <c r="P21" s="99"/>
    </row>
    <row r="22" spans="1:16">
      <c r="A22" s="1" t="s">
        <v>215</v>
      </c>
      <c r="B22" s="145">
        <v>5.18</v>
      </c>
      <c r="C22" s="98">
        <f>+ROUND('Spokane DF Calc'!L17,2)</f>
        <v>0.03</v>
      </c>
      <c r="D22" s="251">
        <f t="shared" si="0"/>
        <v>5.21</v>
      </c>
      <c r="E22" s="248"/>
      <c r="M22" s="99"/>
      <c r="N22" s="99"/>
      <c r="O22" s="99"/>
      <c r="P22" s="99"/>
    </row>
    <row r="23" spans="1:16">
      <c r="A23" s="1" t="s">
        <v>216</v>
      </c>
      <c r="B23" s="145">
        <v>5.18</v>
      </c>
      <c r="C23" s="98">
        <f>+ROUND('Spokane DF Calc'!L17,2)</f>
        <v>0.03</v>
      </c>
      <c r="D23" s="251">
        <f t="shared" si="0"/>
        <v>5.21</v>
      </c>
      <c r="E23" s="248"/>
      <c r="M23" s="99"/>
      <c r="N23" s="99"/>
      <c r="O23" s="99"/>
      <c r="P23" s="99"/>
    </row>
    <row r="24" spans="1:16">
      <c r="A24" s="1" t="s">
        <v>217</v>
      </c>
      <c r="B24" s="145">
        <v>14.96</v>
      </c>
      <c r="C24" s="98">
        <f>+ROUND('Spokane DF Calc'!L16,2)</f>
        <v>0.03</v>
      </c>
      <c r="D24" s="251">
        <f t="shared" si="0"/>
        <v>14.99</v>
      </c>
      <c r="E24" s="248"/>
      <c r="M24" s="99"/>
      <c r="N24" s="99"/>
      <c r="O24" s="99"/>
      <c r="P24" s="99"/>
    </row>
    <row r="25" spans="1:16">
      <c r="B25" s="145"/>
      <c r="E25" s="248"/>
      <c r="M25" s="99"/>
      <c r="N25" s="99"/>
      <c r="O25" s="99"/>
      <c r="P25" s="99"/>
    </row>
    <row r="26" spans="1:16">
      <c r="A26" s="7" t="s">
        <v>334</v>
      </c>
      <c r="B26" s="145"/>
      <c r="E26" s="248"/>
      <c r="M26" s="99"/>
      <c r="N26" s="99"/>
      <c r="O26" s="99"/>
      <c r="P26" s="99"/>
    </row>
    <row r="27" spans="1:16">
      <c r="A27" s="1" t="s">
        <v>218</v>
      </c>
      <c r="B27" s="145">
        <v>26.24</v>
      </c>
      <c r="C27" s="98">
        <f>+ROUND('Spokane DF Calc'!L56,2)</f>
        <v>0.1</v>
      </c>
      <c r="D27" s="251">
        <f t="shared" si="0"/>
        <v>26.34</v>
      </c>
      <c r="E27" s="248"/>
      <c r="M27" s="99"/>
      <c r="N27" s="99"/>
      <c r="O27" s="99"/>
      <c r="P27" s="99"/>
    </row>
    <row r="28" spans="1:16">
      <c r="A28" s="1" t="s">
        <v>219</v>
      </c>
      <c r="B28" s="145">
        <f>+ROUND(B27,2)</f>
        <v>26.24</v>
      </c>
      <c r="C28" s="98">
        <f>+ROUND('Spokane DF Calc'!L56,2)</f>
        <v>0.1</v>
      </c>
      <c r="D28" s="251">
        <f t="shared" si="0"/>
        <v>26.34</v>
      </c>
      <c r="E28" s="248"/>
      <c r="M28" s="99"/>
      <c r="N28" s="99"/>
      <c r="O28" s="99"/>
      <c r="P28" s="99"/>
    </row>
    <row r="29" spans="1:16">
      <c r="A29" s="1" t="s">
        <v>220</v>
      </c>
      <c r="B29" s="145">
        <f>+ROUND(B27,2)</f>
        <v>26.24</v>
      </c>
      <c r="C29" s="98">
        <f>+ROUND('Spokane DF Calc'!L56,2)</f>
        <v>0.1</v>
      </c>
      <c r="D29" s="251">
        <f t="shared" si="0"/>
        <v>26.34</v>
      </c>
      <c r="E29" s="248"/>
      <c r="M29" s="99"/>
      <c r="N29" s="99"/>
      <c r="O29" s="99"/>
      <c r="P29" s="99"/>
    </row>
    <row r="30" spans="1:16" s="99" customFormat="1">
      <c r="A30" s="99" t="s">
        <v>352</v>
      </c>
      <c r="B30" s="145">
        <v>26.24</v>
      </c>
      <c r="C30" s="98">
        <f>+ROUND('Spokane DF Calc'!L56,2)</f>
        <v>0.1</v>
      </c>
      <c r="D30" s="251">
        <f t="shared" si="0"/>
        <v>26.34</v>
      </c>
      <c r="E30" s="248"/>
      <c r="F30" s="98"/>
      <c r="G30" s="98"/>
      <c r="H30" s="98"/>
      <c r="I30" s="98"/>
      <c r="J30" s="98"/>
    </row>
    <row r="31" spans="1:16" s="99" customFormat="1">
      <c r="A31" s="99" t="s">
        <v>353</v>
      </c>
      <c r="B31" s="145">
        <v>26.24</v>
      </c>
      <c r="C31" s="98">
        <f>+ROUND('Spokane DF Calc'!L56,2)</f>
        <v>0.1</v>
      </c>
      <c r="D31" s="251">
        <f t="shared" si="0"/>
        <v>26.34</v>
      </c>
      <c r="E31" s="248"/>
      <c r="F31" s="98"/>
      <c r="G31" s="98"/>
      <c r="H31" s="98"/>
      <c r="I31" s="98"/>
      <c r="J31" s="98"/>
    </row>
    <row r="32" spans="1:16" s="99" customFormat="1">
      <c r="A32" s="99" t="s">
        <v>354</v>
      </c>
      <c r="B32" s="145">
        <v>26.24</v>
      </c>
      <c r="C32" s="98">
        <f>+ROUND('Spokane DF Calc'!L56,2)</f>
        <v>0.1</v>
      </c>
      <c r="D32" s="251">
        <f t="shared" si="0"/>
        <v>26.34</v>
      </c>
      <c r="E32" s="248"/>
      <c r="F32" s="98"/>
      <c r="G32" s="98"/>
      <c r="H32" s="98"/>
      <c r="I32" s="98"/>
      <c r="J32" s="98"/>
    </row>
    <row r="33" spans="1:16" s="99" customFormat="1">
      <c r="B33" s="145"/>
      <c r="C33" s="98"/>
      <c r="D33" s="251"/>
      <c r="E33" s="248"/>
      <c r="F33" s="98"/>
      <c r="G33" s="98"/>
      <c r="H33" s="98"/>
      <c r="I33" s="98"/>
      <c r="J33" s="98"/>
    </row>
    <row r="34" spans="1:16">
      <c r="B34" s="145"/>
      <c r="E34" s="248"/>
      <c r="M34" s="99"/>
      <c r="N34" s="99"/>
      <c r="O34" s="99"/>
      <c r="P34" s="99"/>
    </row>
    <row r="35" spans="1:16">
      <c r="A35" s="7" t="s">
        <v>291</v>
      </c>
      <c r="B35" s="145"/>
      <c r="C35" s="145"/>
      <c r="E35" s="248"/>
      <c r="M35" s="99"/>
      <c r="N35" s="99"/>
      <c r="O35" s="99"/>
      <c r="P35" s="99"/>
    </row>
    <row r="36" spans="1:16">
      <c r="A36" s="1" t="s">
        <v>345</v>
      </c>
      <c r="B36" s="145">
        <v>113.86</v>
      </c>
      <c r="C36" s="145">
        <f>+ROUND(D36-B36,2)</f>
        <v>3.3</v>
      </c>
      <c r="D36" s="253">
        <v>117.16</v>
      </c>
      <c r="E36" s="248"/>
      <c r="M36" s="99"/>
      <c r="N36" s="99"/>
      <c r="O36" s="99"/>
      <c r="P36" s="99"/>
    </row>
    <row r="37" spans="1:16" s="99" customFormat="1">
      <c r="A37" s="99" t="s">
        <v>346</v>
      </c>
      <c r="B37" s="145">
        <v>110</v>
      </c>
      <c r="C37" s="145">
        <f>D37-B37</f>
        <v>2</v>
      </c>
      <c r="D37" s="253">
        <v>112</v>
      </c>
      <c r="E37" s="248"/>
      <c r="F37" s="98"/>
      <c r="G37" s="98"/>
      <c r="H37" s="98"/>
      <c r="I37" s="98"/>
      <c r="J37" s="98"/>
    </row>
    <row r="38" spans="1:16">
      <c r="E38" s="248"/>
      <c r="M38" s="99"/>
      <c r="N38" s="99"/>
      <c r="O38" s="99"/>
      <c r="P38" s="99"/>
    </row>
    <row r="39" spans="1:16">
      <c r="A39" s="7" t="s">
        <v>335</v>
      </c>
      <c r="E39" s="248"/>
      <c r="F39" s="1"/>
      <c r="G39" s="1"/>
      <c r="H39" s="1"/>
      <c r="I39" s="1"/>
      <c r="J39" s="1"/>
      <c r="M39" s="99"/>
      <c r="N39" s="99"/>
      <c r="O39" s="99"/>
      <c r="P39" s="99"/>
    </row>
    <row r="40" spans="1:16" s="99" customFormat="1">
      <c r="A40" s="182" t="s">
        <v>355</v>
      </c>
      <c r="B40" s="98"/>
      <c r="C40" s="98"/>
      <c r="D40" s="251"/>
      <c r="E40" s="248"/>
      <c r="F40" s="151" t="s">
        <v>297</v>
      </c>
      <c r="G40" s="151" t="s">
        <v>298</v>
      </c>
      <c r="H40" s="151" t="s">
        <v>299</v>
      </c>
      <c r="I40" s="151" t="s">
        <v>300</v>
      </c>
      <c r="J40" s="151" t="s">
        <v>301</v>
      </c>
    </row>
    <row r="41" spans="1:16">
      <c r="A41" s="1" t="s">
        <v>221</v>
      </c>
      <c r="B41" s="145">
        <v>20.66</v>
      </c>
      <c r="C41" s="98">
        <f>+ROUND('Spokane DF Calc'!$L$22,2)</f>
        <v>0.14000000000000001</v>
      </c>
      <c r="D41" s="251">
        <f t="shared" si="0"/>
        <v>20.8</v>
      </c>
      <c r="E41" s="248"/>
      <c r="F41" s="62">
        <f>ROUND(D41*References!$B$10,2)</f>
        <v>90.13</v>
      </c>
      <c r="G41" s="62">
        <f>ROUND($D41*References!$B$9,2)</f>
        <v>180.27</v>
      </c>
      <c r="H41" s="62">
        <f>ROUND($D41*References!$B$8,2)</f>
        <v>270.39999999999998</v>
      </c>
      <c r="I41" s="62">
        <f>ROUND($D41*References!$B$7,2)</f>
        <v>360.53</v>
      </c>
      <c r="J41" s="62">
        <f>ROUND($D41*References!$B$6,2)</f>
        <v>450.67</v>
      </c>
      <c r="M41" s="99"/>
      <c r="N41" s="99"/>
      <c r="O41" s="99"/>
      <c r="P41" s="99"/>
    </row>
    <row r="42" spans="1:16">
      <c r="A42" s="1" t="s">
        <v>222</v>
      </c>
      <c r="B42" s="145">
        <v>30.92</v>
      </c>
      <c r="C42" s="98">
        <f>+ROUND('Spokane DF Calc'!$L$24,2)</f>
        <v>0.2</v>
      </c>
      <c r="D42" s="251">
        <f t="shared" si="0"/>
        <v>31.12</v>
      </c>
      <c r="E42" s="248"/>
      <c r="F42" s="62">
        <f>ROUND(D42*References!$B$10,2)</f>
        <v>134.85</v>
      </c>
      <c r="G42" s="62">
        <f>ROUND($D42*References!$B$9,2)</f>
        <v>269.70999999999998</v>
      </c>
      <c r="H42" s="62">
        <f>ROUND($D42*References!$B$8,2)</f>
        <v>404.56</v>
      </c>
      <c r="I42" s="62">
        <f>ROUND($D42*References!$B$7,2)</f>
        <v>539.41</v>
      </c>
      <c r="J42" s="62">
        <f>ROUND($D42*References!$B$6,2)</f>
        <v>674.27</v>
      </c>
      <c r="M42" s="99"/>
      <c r="N42" s="99"/>
      <c r="O42" s="99"/>
      <c r="P42" s="99"/>
    </row>
    <row r="43" spans="1:16">
      <c r="A43" s="1" t="s">
        <v>223</v>
      </c>
      <c r="B43" s="145">
        <v>41.05</v>
      </c>
      <c r="C43" s="98">
        <f>+ROUND('Spokane DF Calc'!$L$27,2)</f>
        <v>0.26</v>
      </c>
      <c r="D43" s="251">
        <f t="shared" si="0"/>
        <v>41.309999999999995</v>
      </c>
      <c r="E43" s="248"/>
      <c r="F43" s="62">
        <f>ROUND(D43*References!$B$10,2)</f>
        <v>179.01</v>
      </c>
      <c r="G43" s="62">
        <f>ROUND($D43*References!$B$9,2)</f>
        <v>358.02</v>
      </c>
      <c r="H43" s="62">
        <f>ROUND($D43*References!$B$8,2)</f>
        <v>537.03</v>
      </c>
      <c r="I43" s="62">
        <f>ROUND($D43*References!$B$7,2)</f>
        <v>716.04</v>
      </c>
      <c r="J43" s="62">
        <f>ROUND($D43*References!$B$6,2)</f>
        <v>895.05</v>
      </c>
      <c r="M43" s="99"/>
      <c r="N43" s="99"/>
      <c r="O43" s="99"/>
      <c r="P43" s="99"/>
    </row>
    <row r="44" spans="1:16">
      <c r="A44" s="1" t="s">
        <v>224</v>
      </c>
      <c r="B44" s="145">
        <v>57.7</v>
      </c>
      <c r="C44" s="98">
        <f>+ROUND('Spokane DF Calc'!L28,2)</f>
        <v>0.38</v>
      </c>
      <c r="D44" s="251">
        <f t="shared" si="0"/>
        <v>58.080000000000005</v>
      </c>
      <c r="E44" s="248"/>
      <c r="F44" s="62">
        <f>ROUND(D44*References!$B$10,2)</f>
        <v>251.68</v>
      </c>
      <c r="G44" s="62">
        <f>ROUND($D44*References!$B$9,2)</f>
        <v>503.36</v>
      </c>
      <c r="H44" s="62">
        <f>ROUND($D44*References!$B$8,2)</f>
        <v>755.04</v>
      </c>
      <c r="I44" s="62">
        <f>ROUND($D44*References!$B$7,2)</f>
        <v>1006.72</v>
      </c>
      <c r="J44" s="62">
        <f>ROUND($D44*References!$B$6,2)</f>
        <v>1258.4000000000001</v>
      </c>
      <c r="M44" s="99"/>
      <c r="N44" s="99"/>
      <c r="O44" s="99"/>
      <c r="P44" s="99"/>
    </row>
    <row r="45" spans="1:16">
      <c r="A45" s="1" t="s">
        <v>225</v>
      </c>
      <c r="B45" s="145">
        <v>76.39</v>
      </c>
      <c r="C45" s="98">
        <f>+ROUND('Spokane DF Calc'!L30,2)</f>
        <v>0.49</v>
      </c>
      <c r="D45" s="251">
        <f t="shared" si="0"/>
        <v>76.88</v>
      </c>
      <c r="E45" s="248"/>
      <c r="F45" s="62">
        <f>ROUND(D45*References!$B$10,2)</f>
        <v>333.15</v>
      </c>
      <c r="G45" s="62">
        <f>ROUND($D45*References!$B$9,2)</f>
        <v>666.29</v>
      </c>
      <c r="H45" s="62">
        <f>ROUND($D45*References!$B$8,2)</f>
        <v>999.44</v>
      </c>
      <c r="I45" s="62">
        <f>ROUND($D45*References!$B$7,2)</f>
        <v>1332.59</v>
      </c>
      <c r="J45" s="62">
        <f>ROUND($D45*References!$B$6,2)</f>
        <v>1665.73</v>
      </c>
      <c r="M45" s="99"/>
      <c r="N45" s="99"/>
      <c r="O45" s="99"/>
      <c r="P45" s="99"/>
    </row>
    <row r="46" spans="1:16">
      <c r="A46" s="1" t="s">
        <v>226</v>
      </c>
      <c r="B46" s="145">
        <v>110.69</v>
      </c>
      <c r="C46" s="98">
        <f>+ROUND('Spokane DF Calc'!L32,2)</f>
        <v>0.67</v>
      </c>
      <c r="D46" s="251">
        <f t="shared" si="0"/>
        <v>111.36</v>
      </c>
      <c r="E46" s="248"/>
      <c r="F46" s="62">
        <f>ROUND(D46*References!$B$10,2)</f>
        <v>482.56</v>
      </c>
      <c r="G46" s="62">
        <f>ROUND($D46*References!$B$9,2)</f>
        <v>965.12</v>
      </c>
      <c r="H46" s="62">
        <f>ROUND($D46*References!$B$8,2)</f>
        <v>1447.68</v>
      </c>
      <c r="I46" s="62">
        <f>ROUND($D46*References!$B$7,2)</f>
        <v>1930.24</v>
      </c>
      <c r="J46" s="62">
        <f>ROUND($D46*References!$B$6,2)</f>
        <v>2412.8000000000002</v>
      </c>
      <c r="M46" s="99"/>
      <c r="N46" s="99"/>
      <c r="O46" s="99"/>
      <c r="P46" s="99"/>
    </row>
    <row r="47" spans="1:16">
      <c r="A47" s="270" t="s">
        <v>227</v>
      </c>
      <c r="B47" s="271">
        <v>144.80000000000001</v>
      </c>
      <c r="C47" s="271">
        <f>+ROUND('Spokane DF Calc'!L57,2)</f>
        <v>0.78</v>
      </c>
      <c r="D47" s="272">
        <f t="shared" si="0"/>
        <v>145.58000000000001</v>
      </c>
      <c r="E47" s="248"/>
      <c r="F47" s="62">
        <f>ROUND(D47*References!$B$10,2)</f>
        <v>630.85</v>
      </c>
      <c r="G47" s="62">
        <f>ROUND($D47*References!$B$9,2)</f>
        <v>1261.69</v>
      </c>
      <c r="H47" s="62">
        <f>ROUND($D47*References!$B$8,2)</f>
        <v>1892.54</v>
      </c>
      <c r="I47" s="62">
        <f>ROUND($D47*References!$B$7,2)</f>
        <v>2523.39</v>
      </c>
      <c r="J47" s="62">
        <f>ROUND($D47*References!$B$6,2)</f>
        <v>3154.23</v>
      </c>
      <c r="M47" s="99"/>
      <c r="N47" s="99"/>
      <c r="O47" s="99"/>
      <c r="P47" s="99"/>
    </row>
    <row r="48" spans="1:16">
      <c r="E48" s="248"/>
      <c r="M48" s="99"/>
      <c r="N48" s="99"/>
      <c r="O48" s="99"/>
      <c r="P48" s="99"/>
    </row>
    <row r="49" spans="1:16">
      <c r="A49" s="1" t="s">
        <v>228</v>
      </c>
      <c r="B49" s="145">
        <v>54.52</v>
      </c>
      <c r="C49" s="98">
        <f t="shared" ref="C49:C55" si="1">+ROUND(C41,2)</f>
        <v>0.14000000000000001</v>
      </c>
      <c r="D49" s="251">
        <f t="shared" si="0"/>
        <v>54.660000000000004</v>
      </c>
      <c r="E49" s="248"/>
      <c r="M49" s="99"/>
      <c r="N49" s="99"/>
      <c r="O49" s="99"/>
      <c r="P49" s="99"/>
    </row>
    <row r="50" spans="1:16">
      <c r="A50" s="1" t="s">
        <v>229</v>
      </c>
      <c r="B50" s="145">
        <v>77.48</v>
      </c>
      <c r="C50" s="98">
        <f t="shared" si="1"/>
        <v>0.2</v>
      </c>
      <c r="D50" s="251">
        <f t="shared" si="0"/>
        <v>77.680000000000007</v>
      </c>
      <c r="E50" s="248"/>
      <c r="M50" s="99"/>
      <c r="N50" s="99"/>
      <c r="O50" s="99"/>
      <c r="P50" s="99"/>
    </row>
    <row r="51" spans="1:16">
      <c r="A51" s="1" t="s">
        <v>230</v>
      </c>
      <c r="B51" s="145">
        <v>90.46</v>
      </c>
      <c r="C51" s="98">
        <f t="shared" si="1"/>
        <v>0.26</v>
      </c>
      <c r="D51" s="251">
        <f t="shared" si="0"/>
        <v>90.72</v>
      </c>
      <c r="E51" s="248"/>
      <c r="M51" s="99"/>
      <c r="N51" s="99"/>
      <c r="O51" s="99"/>
      <c r="P51" s="99"/>
    </row>
    <row r="52" spans="1:16">
      <c r="A52" s="1" t="s">
        <v>231</v>
      </c>
      <c r="B52" s="145">
        <v>119.31</v>
      </c>
      <c r="C52" s="98">
        <f t="shared" si="1"/>
        <v>0.38</v>
      </c>
      <c r="D52" s="251">
        <f t="shared" si="0"/>
        <v>119.69</v>
      </c>
      <c r="E52" s="248"/>
      <c r="M52" s="99"/>
      <c r="N52" s="99"/>
      <c r="O52" s="99"/>
      <c r="P52" s="99"/>
    </row>
    <row r="53" spans="1:16">
      <c r="A53" s="1" t="s">
        <v>232</v>
      </c>
      <c r="B53" s="145">
        <v>140.36000000000001</v>
      </c>
      <c r="C53" s="98">
        <f t="shared" si="1"/>
        <v>0.49</v>
      </c>
      <c r="D53" s="251">
        <f t="shared" si="0"/>
        <v>140.85000000000002</v>
      </c>
      <c r="E53" s="248"/>
      <c r="M53" s="99"/>
      <c r="N53" s="99"/>
      <c r="O53" s="99"/>
      <c r="P53" s="99"/>
    </row>
    <row r="54" spans="1:16">
      <c r="A54" s="112" t="s">
        <v>233</v>
      </c>
      <c r="B54" s="145">
        <v>188.63</v>
      </c>
      <c r="C54" s="145">
        <f t="shared" si="1"/>
        <v>0.67</v>
      </c>
      <c r="D54" s="253">
        <f t="shared" si="0"/>
        <v>189.29999999999998</v>
      </c>
      <c r="E54" s="248"/>
      <c r="M54" s="99"/>
      <c r="N54" s="99"/>
      <c r="O54" s="99"/>
      <c r="P54" s="99"/>
    </row>
    <row r="55" spans="1:16">
      <c r="A55" s="270" t="s">
        <v>234</v>
      </c>
      <c r="B55" s="271">
        <v>233.99</v>
      </c>
      <c r="C55" s="271">
        <f t="shared" si="1"/>
        <v>0.78</v>
      </c>
      <c r="D55" s="272">
        <f t="shared" si="0"/>
        <v>234.77</v>
      </c>
      <c r="E55" s="248"/>
      <c r="M55" s="99"/>
      <c r="N55" s="99"/>
      <c r="O55" s="99"/>
      <c r="P55" s="99"/>
    </row>
    <row r="56" spans="1:16">
      <c r="E56" s="248"/>
      <c r="F56" s="151" t="s">
        <v>297</v>
      </c>
      <c r="M56" s="99"/>
      <c r="N56" s="99"/>
      <c r="O56" s="99"/>
      <c r="P56" s="99"/>
    </row>
    <row r="57" spans="1:16">
      <c r="A57" s="1" t="s">
        <v>235</v>
      </c>
      <c r="B57" s="145">
        <v>25.17</v>
      </c>
      <c r="C57" s="98">
        <f t="shared" ref="C57:C63" si="2">+ROUND(C41,2)</f>
        <v>0.14000000000000001</v>
      </c>
      <c r="D57" s="251">
        <f t="shared" si="0"/>
        <v>25.310000000000002</v>
      </c>
      <c r="E57" s="248"/>
      <c r="F57" s="98">
        <f>ROUND(D57*References!$B$10,2)</f>
        <v>109.68</v>
      </c>
      <c r="M57" s="99"/>
      <c r="N57" s="99"/>
      <c r="O57" s="99"/>
      <c r="P57" s="99"/>
    </row>
    <row r="58" spans="1:16">
      <c r="A58" s="1" t="s">
        <v>236</v>
      </c>
      <c r="B58" s="145">
        <v>37.85</v>
      </c>
      <c r="C58" s="98">
        <f t="shared" si="2"/>
        <v>0.2</v>
      </c>
      <c r="D58" s="251">
        <f t="shared" si="0"/>
        <v>38.050000000000004</v>
      </c>
      <c r="E58" s="248"/>
      <c r="F58" s="98">
        <f>ROUND(D58*References!$B$10,2)</f>
        <v>164.88</v>
      </c>
      <c r="M58" s="99"/>
      <c r="N58" s="99"/>
      <c r="O58" s="99"/>
      <c r="P58" s="99"/>
    </row>
    <row r="59" spans="1:16">
      <c r="A59" s="1" t="s">
        <v>237</v>
      </c>
      <c r="B59" s="145">
        <v>48.5</v>
      </c>
      <c r="C59" s="98">
        <f t="shared" si="2"/>
        <v>0.26</v>
      </c>
      <c r="D59" s="251">
        <f t="shared" si="0"/>
        <v>48.76</v>
      </c>
      <c r="E59" s="248"/>
      <c r="F59" s="98">
        <f>ROUND(D59*References!$B$10,2)</f>
        <v>211.29</v>
      </c>
      <c r="M59" s="99"/>
      <c r="N59" s="99"/>
      <c r="O59" s="99"/>
      <c r="P59" s="99"/>
    </row>
    <row r="60" spans="1:16">
      <c r="A60" s="1" t="s">
        <v>238</v>
      </c>
      <c r="B60" s="145">
        <v>68.3</v>
      </c>
      <c r="C60" s="98">
        <f t="shared" si="2"/>
        <v>0.38</v>
      </c>
      <c r="D60" s="251">
        <f t="shared" si="0"/>
        <v>68.679999999999993</v>
      </c>
      <c r="E60" s="248"/>
      <c r="F60" s="98">
        <f>ROUND(D60*References!$B$10,2)</f>
        <v>297.61</v>
      </c>
      <c r="M60" s="99"/>
      <c r="N60" s="99"/>
      <c r="O60" s="99"/>
      <c r="P60" s="99"/>
    </row>
    <row r="61" spans="1:16">
      <c r="A61" s="1" t="s">
        <v>239</v>
      </c>
      <c r="B61" s="145">
        <v>91.1</v>
      </c>
      <c r="C61" s="98">
        <f t="shared" si="2"/>
        <v>0.49</v>
      </c>
      <c r="D61" s="251">
        <f t="shared" si="0"/>
        <v>91.589999999999989</v>
      </c>
      <c r="E61" s="248"/>
      <c r="F61" s="98">
        <f>ROUND(D61*References!$B$10,2)</f>
        <v>396.89</v>
      </c>
      <c r="M61" s="99"/>
      <c r="N61" s="99"/>
      <c r="O61" s="99"/>
      <c r="P61" s="99"/>
    </row>
    <row r="62" spans="1:16">
      <c r="A62" s="112" t="s">
        <v>240</v>
      </c>
      <c r="B62" s="145">
        <v>129.16999999999999</v>
      </c>
      <c r="C62" s="145">
        <f t="shared" si="2"/>
        <v>0.67</v>
      </c>
      <c r="D62" s="253">
        <f t="shared" si="0"/>
        <v>129.83999999999997</v>
      </c>
      <c r="E62" s="248"/>
      <c r="F62" s="98">
        <f>ROUND(D62*References!$B$10,2)</f>
        <v>562.64</v>
      </c>
      <c r="M62" s="99"/>
      <c r="N62" s="99"/>
      <c r="O62" s="99"/>
      <c r="P62" s="99"/>
    </row>
    <row r="63" spans="1:16">
      <c r="A63" s="270" t="s">
        <v>241</v>
      </c>
      <c r="B63" s="271">
        <v>173.64</v>
      </c>
      <c r="C63" s="271">
        <f t="shared" si="2"/>
        <v>0.78</v>
      </c>
      <c r="D63" s="272">
        <f t="shared" si="0"/>
        <v>174.42</v>
      </c>
      <c r="E63" s="248"/>
      <c r="F63" s="98">
        <f>ROUND(D63*References!$B$10,2)</f>
        <v>755.82</v>
      </c>
      <c r="M63" s="99"/>
      <c r="N63" s="99"/>
      <c r="O63" s="99"/>
      <c r="P63" s="99"/>
    </row>
    <row r="64" spans="1:16">
      <c r="E64" s="248"/>
      <c r="M64" s="99"/>
      <c r="N64" s="99"/>
      <c r="O64" s="99"/>
      <c r="P64" s="99"/>
    </row>
    <row r="65" spans="1:16">
      <c r="A65" s="7" t="s">
        <v>336</v>
      </c>
      <c r="E65" s="248"/>
      <c r="F65" s="151" t="s">
        <v>297</v>
      </c>
      <c r="G65" s="151" t="s">
        <v>298</v>
      </c>
      <c r="H65" s="151" t="s">
        <v>299</v>
      </c>
      <c r="I65" s="151" t="s">
        <v>300</v>
      </c>
      <c r="J65" s="151" t="s">
        <v>301</v>
      </c>
      <c r="M65" s="99"/>
      <c r="N65" s="99"/>
      <c r="O65" s="99"/>
      <c r="P65" s="99"/>
    </row>
    <row r="66" spans="1:16">
      <c r="A66" s="1" t="s">
        <v>356</v>
      </c>
      <c r="B66" s="145">
        <v>4.93</v>
      </c>
      <c r="C66" s="98">
        <f>+ROUND('Spokane DF Calc'!L33,2)</f>
        <v>0.02</v>
      </c>
      <c r="D66" s="251">
        <f t="shared" si="0"/>
        <v>4.9499999999999993</v>
      </c>
      <c r="E66" s="248"/>
      <c r="F66" s="98">
        <f>ROUND(D66*References!$B$10,2)</f>
        <v>21.45</v>
      </c>
      <c r="G66" s="98">
        <f>ROUND($D66*References!$B$9,2)</f>
        <v>42.9</v>
      </c>
      <c r="H66" s="98">
        <f>ROUND($D66*References!$B$8,2)</f>
        <v>64.349999999999994</v>
      </c>
      <c r="I66" s="98">
        <f>ROUND($D66*References!$B$7,2)</f>
        <v>85.8</v>
      </c>
      <c r="J66" s="98">
        <f>ROUND($D66*References!$B$6,2)</f>
        <v>107.25</v>
      </c>
      <c r="M66" s="99"/>
      <c r="N66" s="99"/>
      <c r="O66" s="99"/>
      <c r="P66" s="99"/>
    </row>
    <row r="67" spans="1:16" s="99" customFormat="1">
      <c r="A67" s="99" t="s">
        <v>357</v>
      </c>
      <c r="B67" s="145">
        <v>4.93</v>
      </c>
      <c r="C67" s="98">
        <f>+ROUND(C66,2)</f>
        <v>0.02</v>
      </c>
      <c r="D67" s="251">
        <f t="shared" si="0"/>
        <v>4.9499999999999993</v>
      </c>
      <c r="E67" s="248"/>
      <c r="F67" s="98"/>
      <c r="G67" s="98"/>
      <c r="H67" s="98"/>
      <c r="I67" s="98"/>
      <c r="J67" s="98"/>
    </row>
    <row r="68" spans="1:16" s="99" customFormat="1">
      <c r="A68" s="99" t="s">
        <v>358</v>
      </c>
      <c r="B68" s="145">
        <v>4.93</v>
      </c>
      <c r="C68" s="98">
        <f>+ROUND(C66,2)</f>
        <v>0.02</v>
      </c>
      <c r="D68" s="251">
        <f t="shared" si="0"/>
        <v>4.9499999999999993</v>
      </c>
      <c r="E68" s="248"/>
      <c r="F68" s="98"/>
      <c r="G68" s="98"/>
      <c r="H68" s="98"/>
      <c r="I68" s="98"/>
      <c r="J68" s="98"/>
    </row>
    <row r="69" spans="1:16" s="99" customFormat="1">
      <c r="A69" s="99" t="s">
        <v>359</v>
      </c>
      <c r="B69" s="145">
        <v>4.93</v>
      </c>
      <c r="C69" s="98">
        <f>+ROUND(+'Spokane DF Calc'!L46,2)</f>
        <v>0.02</v>
      </c>
      <c r="D69" s="251">
        <f t="shared" si="0"/>
        <v>4.9499999999999993</v>
      </c>
      <c r="E69" s="248"/>
      <c r="F69" s="98"/>
      <c r="G69" s="98"/>
      <c r="H69" s="98"/>
      <c r="I69" s="98"/>
      <c r="J69" s="98"/>
    </row>
    <row r="70" spans="1:16">
      <c r="A70" s="1" t="s">
        <v>294</v>
      </c>
      <c r="B70" s="145">
        <v>13.99</v>
      </c>
      <c r="C70" s="145">
        <f>+ROUND(C66,2)</f>
        <v>0.02</v>
      </c>
      <c r="D70" s="251">
        <f t="shared" si="0"/>
        <v>14.01</v>
      </c>
      <c r="E70" s="248"/>
      <c r="M70" s="99"/>
      <c r="N70" s="99"/>
      <c r="O70" s="99"/>
      <c r="P70" s="99"/>
    </row>
    <row r="71" spans="1:16">
      <c r="A71" s="1" t="s">
        <v>242</v>
      </c>
      <c r="B71" s="145">
        <v>22.26</v>
      </c>
      <c r="C71" s="145">
        <f>+C66*References!B10</f>
        <v>8.6666666666666656E-2</v>
      </c>
      <c r="D71" s="251">
        <f t="shared" si="0"/>
        <v>22.346666666666668</v>
      </c>
      <c r="E71" s="248"/>
      <c r="M71" s="99"/>
      <c r="N71" s="99"/>
      <c r="O71" s="99"/>
      <c r="P71" s="99"/>
    </row>
    <row r="72" spans="1:16">
      <c r="B72" s="145"/>
      <c r="C72" s="145"/>
      <c r="E72" s="248"/>
      <c r="M72" s="99"/>
      <c r="N72" s="99"/>
      <c r="O72" s="99"/>
      <c r="P72" s="99"/>
    </row>
    <row r="73" spans="1:16">
      <c r="A73" s="112" t="s">
        <v>243</v>
      </c>
      <c r="B73" s="145">
        <v>9.6199999999999992</v>
      </c>
      <c r="C73" s="145">
        <f>+ROUND('Spokane DF Calc'!L35,2)</f>
        <v>0.04</v>
      </c>
      <c r="D73" s="253">
        <f t="shared" si="0"/>
        <v>9.6599999999999984</v>
      </c>
      <c r="E73" s="248"/>
      <c r="F73" s="98">
        <f>ROUND(D73*References!$B$10,2)</f>
        <v>41.86</v>
      </c>
      <c r="G73" s="98">
        <f>ROUND($D73*References!$B$9,2)</f>
        <v>83.72</v>
      </c>
      <c r="H73" s="98">
        <f>ROUND($D73*References!$B$8,2)</f>
        <v>125.58</v>
      </c>
      <c r="I73" s="98">
        <f>ROUND($D73*References!$B$7,2)</f>
        <v>167.44</v>
      </c>
      <c r="J73" s="98">
        <f>ROUND($D73*References!$B$6,2)</f>
        <v>209.3</v>
      </c>
      <c r="M73" s="99"/>
      <c r="N73" s="99"/>
      <c r="O73" s="99"/>
      <c r="P73" s="99"/>
    </row>
    <row r="74" spans="1:16">
      <c r="A74" s="112" t="s">
        <v>293</v>
      </c>
      <c r="B74" s="145">
        <v>19.059999999999999</v>
      </c>
      <c r="C74" s="145">
        <f>+ROUND(C73,2)</f>
        <v>0.04</v>
      </c>
      <c r="D74" s="253">
        <f t="shared" si="0"/>
        <v>19.099999999999998</v>
      </c>
      <c r="E74" s="248"/>
      <c r="M74" s="99"/>
      <c r="N74" s="99"/>
      <c r="O74" s="99"/>
      <c r="P74" s="99"/>
    </row>
    <row r="75" spans="1:16">
      <c r="A75" s="112" t="s">
        <v>242</v>
      </c>
      <c r="B75" s="145">
        <v>41.62</v>
      </c>
      <c r="C75" s="145">
        <f>+C73*References!B10</f>
        <v>0.17333333333333331</v>
      </c>
      <c r="D75" s="253">
        <f t="shared" si="0"/>
        <v>41.793333333333329</v>
      </c>
      <c r="E75" s="98"/>
      <c r="M75" s="99"/>
      <c r="N75" s="99"/>
      <c r="O75" s="99"/>
      <c r="P75" s="99"/>
    </row>
    <row r="76" spans="1:16">
      <c r="A76" s="112"/>
      <c r="B76" s="145"/>
      <c r="C76" s="145"/>
      <c r="D76" s="253"/>
      <c r="E76" s="248"/>
      <c r="M76" s="99"/>
      <c r="N76" s="99"/>
      <c r="O76" s="99"/>
      <c r="P76" s="99"/>
    </row>
    <row r="77" spans="1:16">
      <c r="A77" s="112" t="s">
        <v>244</v>
      </c>
      <c r="B77" s="145">
        <v>11.84</v>
      </c>
      <c r="C77" s="145">
        <f>+ROUND('Spokane DF Calc'!L36,2)</f>
        <v>0.05</v>
      </c>
      <c r="D77" s="253">
        <f t="shared" ref="D77:D97" si="3">SUM(B77:C77)</f>
        <v>11.89</v>
      </c>
      <c r="E77" s="248"/>
      <c r="F77" s="98">
        <f>ROUND(D77*References!$B$10,2)</f>
        <v>51.52</v>
      </c>
      <c r="G77" s="98">
        <f>ROUND($D77*References!$B$9,2)</f>
        <v>103.05</v>
      </c>
      <c r="H77" s="98">
        <f>ROUND($D77*References!$B$8,2)</f>
        <v>154.57</v>
      </c>
      <c r="I77" s="98">
        <f>ROUND($D77*References!$B$7,2)</f>
        <v>206.09</v>
      </c>
      <c r="J77" s="98">
        <f>ROUND($D77*References!$B$6,2)</f>
        <v>257.62</v>
      </c>
      <c r="M77" s="99"/>
      <c r="N77" s="99"/>
      <c r="O77" s="99"/>
      <c r="P77" s="99"/>
    </row>
    <row r="78" spans="1:16">
      <c r="A78" s="112" t="s">
        <v>292</v>
      </c>
      <c r="B78" s="145">
        <v>23.43</v>
      </c>
      <c r="C78" s="145">
        <f>+ROUND(C77,2)</f>
        <v>0.05</v>
      </c>
      <c r="D78" s="253">
        <f t="shared" si="3"/>
        <v>23.48</v>
      </c>
      <c r="E78" s="248"/>
      <c r="M78" s="99"/>
      <c r="N78" s="99"/>
      <c r="O78" s="99"/>
      <c r="P78" s="99"/>
    </row>
    <row r="79" spans="1:16">
      <c r="A79" s="1" t="s">
        <v>242</v>
      </c>
      <c r="B79" s="145">
        <v>51.31</v>
      </c>
      <c r="C79" s="145">
        <f>+C77*References!B10</f>
        <v>0.21666666666666667</v>
      </c>
      <c r="D79" s="253">
        <f t="shared" si="3"/>
        <v>51.526666666666671</v>
      </c>
      <c r="E79" s="98"/>
      <c r="M79" s="99"/>
      <c r="N79" s="99"/>
      <c r="O79" s="99"/>
      <c r="P79" s="99"/>
    </row>
    <row r="80" spans="1:16">
      <c r="C80" s="145"/>
      <c r="E80" s="248"/>
      <c r="M80" s="99"/>
      <c r="N80" s="99"/>
      <c r="O80" s="99"/>
      <c r="P80" s="99"/>
    </row>
    <row r="81" spans="1:16">
      <c r="A81" s="7" t="s">
        <v>337</v>
      </c>
      <c r="E81" s="248"/>
      <c r="F81" s="151"/>
      <c r="G81" s="151"/>
      <c r="H81" s="151"/>
      <c r="I81" s="151"/>
      <c r="J81" s="151"/>
      <c r="M81" s="99"/>
      <c r="N81" s="99"/>
      <c r="O81" s="99"/>
      <c r="P81" s="99"/>
    </row>
    <row r="82" spans="1:16" s="99" customFormat="1">
      <c r="A82" s="182" t="s">
        <v>355</v>
      </c>
      <c r="B82" s="98"/>
      <c r="C82" s="98"/>
      <c r="D82" s="251"/>
      <c r="E82" s="248"/>
      <c r="F82" s="151" t="s">
        <v>297</v>
      </c>
      <c r="G82" s="151" t="s">
        <v>298</v>
      </c>
      <c r="H82" s="151" t="s">
        <v>299</v>
      </c>
      <c r="I82" s="151" t="s">
        <v>300</v>
      </c>
      <c r="J82" s="151" t="s">
        <v>301</v>
      </c>
    </row>
    <row r="83" spans="1:16">
      <c r="A83" s="270" t="s">
        <v>245</v>
      </c>
      <c r="B83" s="271">
        <v>70.69</v>
      </c>
      <c r="C83" s="271">
        <f t="shared" ref="C83:C89" si="4">+ROUND(C41,2)</f>
        <v>0.14000000000000001</v>
      </c>
      <c r="D83" s="272">
        <f t="shared" si="3"/>
        <v>70.83</v>
      </c>
      <c r="E83" s="248"/>
      <c r="F83" s="98">
        <f>ROUND(D83*References!$B$10,2)</f>
        <v>306.93</v>
      </c>
      <c r="G83" s="98">
        <f>ROUND($D83*References!$B$9,2)</f>
        <v>613.86</v>
      </c>
      <c r="H83" s="98">
        <f>ROUND($D83*References!$B$8,2)</f>
        <v>920.79</v>
      </c>
      <c r="I83" s="98">
        <f>ROUND($D83*References!$B$7,2)</f>
        <v>1227.72</v>
      </c>
      <c r="J83" s="98">
        <f>ROUND($D83*References!$B$6,2)</f>
        <v>1534.65</v>
      </c>
      <c r="K83" s="6"/>
      <c r="M83" s="99"/>
      <c r="N83" s="99"/>
      <c r="O83" s="99"/>
      <c r="P83" s="99"/>
    </row>
    <row r="84" spans="1:16">
      <c r="A84" s="270" t="s">
        <v>246</v>
      </c>
      <c r="B84" s="271">
        <v>90.66</v>
      </c>
      <c r="C84" s="271">
        <f t="shared" si="4"/>
        <v>0.2</v>
      </c>
      <c r="D84" s="272">
        <f t="shared" si="3"/>
        <v>90.86</v>
      </c>
      <c r="E84" s="248"/>
      <c r="F84" s="98">
        <f>ROUND(D84*References!$B$10,2)</f>
        <v>393.73</v>
      </c>
      <c r="G84" s="98">
        <f>ROUND($D84*References!$B$9,2)</f>
        <v>787.45</v>
      </c>
      <c r="H84" s="98">
        <f>ROUND($D84*References!$B$8,2)</f>
        <v>1181.18</v>
      </c>
      <c r="I84" s="98">
        <f>ROUND($D84*References!$B$7,2)</f>
        <v>1574.91</v>
      </c>
      <c r="J84" s="98">
        <f>ROUND($D84*References!$B$6,2)</f>
        <v>1968.63</v>
      </c>
      <c r="K84" s="6"/>
      <c r="M84" s="99"/>
      <c r="N84" s="99"/>
      <c r="O84" s="99"/>
      <c r="P84" s="99"/>
    </row>
    <row r="85" spans="1:16">
      <c r="A85" s="270" t="s">
        <v>223</v>
      </c>
      <c r="B85" s="271">
        <v>120.56</v>
      </c>
      <c r="C85" s="271">
        <f t="shared" si="4"/>
        <v>0.26</v>
      </c>
      <c r="D85" s="272">
        <f t="shared" si="3"/>
        <v>120.82000000000001</v>
      </c>
      <c r="E85" s="248"/>
      <c r="F85" s="98">
        <f>ROUND(D85*References!$B$10,2)</f>
        <v>523.54999999999995</v>
      </c>
      <c r="G85" s="98">
        <f>ROUND($D85*References!$B$9,2)</f>
        <v>1047.1099999999999</v>
      </c>
      <c r="H85" s="98">
        <f>ROUND($D85*References!$B$8,2)</f>
        <v>1570.66</v>
      </c>
      <c r="I85" s="98">
        <f>ROUND($D85*References!$B$7,2)</f>
        <v>2094.21</v>
      </c>
      <c r="J85" s="98">
        <f>ROUND($D85*References!$B$6,2)</f>
        <v>2617.77</v>
      </c>
      <c r="M85" s="99"/>
      <c r="N85" s="99"/>
      <c r="O85" s="99"/>
      <c r="P85" s="99"/>
    </row>
    <row r="86" spans="1:16">
      <c r="A86" s="270" t="s">
        <v>224</v>
      </c>
      <c r="B86" s="271">
        <v>169.35</v>
      </c>
      <c r="C86" s="271">
        <f t="shared" si="4"/>
        <v>0.38</v>
      </c>
      <c r="D86" s="272">
        <f t="shared" si="3"/>
        <v>169.73</v>
      </c>
      <c r="E86" s="248"/>
      <c r="F86" s="98">
        <f>ROUND(D86*References!$B$10,2)</f>
        <v>735.5</v>
      </c>
      <c r="G86" s="98">
        <f>ROUND($D86*References!$B$9,2)</f>
        <v>1470.99</v>
      </c>
      <c r="H86" s="98">
        <f>ROUND($D86*References!$B$8,2)</f>
        <v>2206.4899999999998</v>
      </c>
      <c r="I86" s="98">
        <f>ROUND($D86*References!$B$7,2)</f>
        <v>2941.99</v>
      </c>
      <c r="J86" s="98">
        <f>ROUND($D86*References!$B$6,2)</f>
        <v>3677.48</v>
      </c>
      <c r="M86" s="99"/>
      <c r="N86" s="99"/>
      <c r="O86" s="99"/>
      <c r="P86" s="99"/>
    </row>
    <row r="87" spans="1:16">
      <c r="A87" s="270" t="s">
        <v>225</v>
      </c>
      <c r="B87" s="271">
        <v>224.34</v>
      </c>
      <c r="C87" s="271">
        <f t="shared" si="4"/>
        <v>0.49</v>
      </c>
      <c r="D87" s="272">
        <f t="shared" si="3"/>
        <v>224.83</v>
      </c>
      <c r="E87" s="248"/>
      <c r="F87" s="98">
        <f>ROUND(D87*References!$B$10,2)</f>
        <v>974.26</v>
      </c>
      <c r="G87" s="98">
        <f>ROUND($D87*References!$B$9,2)</f>
        <v>1948.53</v>
      </c>
      <c r="H87" s="98">
        <f>ROUND($D87*References!$B$8,2)</f>
        <v>2922.79</v>
      </c>
      <c r="I87" s="98">
        <f>ROUND($D87*References!$B$7,2)</f>
        <v>3897.05</v>
      </c>
      <c r="J87" s="98">
        <f>ROUND($D87*References!$B$6,2)</f>
        <v>4871.32</v>
      </c>
      <c r="M87" s="99"/>
      <c r="N87" s="99"/>
      <c r="O87" s="99"/>
      <c r="P87" s="99"/>
    </row>
    <row r="88" spans="1:16">
      <c r="A88" s="270" t="s">
        <v>247</v>
      </c>
      <c r="B88" s="271">
        <v>325.35000000000002</v>
      </c>
      <c r="C88" s="271">
        <f t="shared" si="4"/>
        <v>0.67</v>
      </c>
      <c r="D88" s="272">
        <f t="shared" si="3"/>
        <v>326.02000000000004</v>
      </c>
      <c r="E88" s="248"/>
      <c r="F88" s="98">
        <f>ROUND(D88*References!$B$10,2)</f>
        <v>1412.75</v>
      </c>
      <c r="G88" s="98">
        <f>ROUND($D88*References!$B$9,2)</f>
        <v>2825.51</v>
      </c>
      <c r="H88" s="98">
        <f>ROUND($D88*References!$B$8,2)</f>
        <v>4238.26</v>
      </c>
      <c r="I88" s="98">
        <f>ROUND($D88*References!$B$7,2)</f>
        <v>5651.01</v>
      </c>
      <c r="J88" s="98">
        <f>ROUND($D88*References!$B$6,2)</f>
        <v>7063.77</v>
      </c>
      <c r="M88" s="99"/>
      <c r="N88" s="99"/>
      <c r="O88" s="99"/>
      <c r="P88" s="99"/>
    </row>
    <row r="89" spans="1:16">
      <c r="A89" s="270" t="s">
        <v>248</v>
      </c>
      <c r="B89" s="271">
        <v>356.08</v>
      </c>
      <c r="C89" s="271">
        <f t="shared" si="4"/>
        <v>0.78</v>
      </c>
      <c r="D89" s="272">
        <f t="shared" si="3"/>
        <v>356.85999999999996</v>
      </c>
      <c r="E89" s="248"/>
      <c r="F89" s="98">
        <f>ROUND(D89*References!$B$10,2)</f>
        <v>1546.39</v>
      </c>
      <c r="G89" s="98">
        <f>ROUND($D89*References!$B$9,2)</f>
        <v>3092.79</v>
      </c>
      <c r="H89" s="98">
        <f>ROUND($D89*References!$B$8,2)</f>
        <v>4639.18</v>
      </c>
      <c r="I89" s="98">
        <f>ROUND($D89*References!$B$7,2)</f>
        <v>6185.57</v>
      </c>
      <c r="J89" s="98">
        <f>ROUND($D89*References!$B$6,2)</f>
        <v>7731.97</v>
      </c>
      <c r="M89" s="99"/>
      <c r="N89" s="99"/>
      <c r="O89" s="99"/>
      <c r="P89" s="99"/>
    </row>
    <row r="90" spans="1:16">
      <c r="E90" s="248"/>
      <c r="M90" s="99"/>
      <c r="N90" s="99"/>
      <c r="O90" s="99"/>
      <c r="P90" s="99"/>
    </row>
    <row r="91" spans="1:16">
      <c r="A91" s="270" t="s">
        <v>249</v>
      </c>
      <c r="B91" s="271">
        <v>125.91</v>
      </c>
      <c r="C91" s="271">
        <f t="shared" ref="C91:C97" si="5">+ROUND(C41,2)</f>
        <v>0.14000000000000001</v>
      </c>
      <c r="D91" s="272">
        <f t="shared" si="3"/>
        <v>126.05</v>
      </c>
      <c r="E91" s="248"/>
      <c r="M91" s="99"/>
      <c r="N91" s="99"/>
      <c r="O91" s="99"/>
      <c r="P91" s="99"/>
    </row>
    <row r="92" spans="1:16">
      <c r="A92" s="270" t="s">
        <v>250</v>
      </c>
      <c r="B92" s="271">
        <v>173.31</v>
      </c>
      <c r="C92" s="271">
        <f t="shared" si="5"/>
        <v>0.2</v>
      </c>
      <c r="D92" s="272">
        <f t="shared" si="3"/>
        <v>173.51</v>
      </c>
      <c r="E92" s="248"/>
      <c r="M92" s="99"/>
      <c r="N92" s="99"/>
      <c r="O92" s="99"/>
      <c r="P92" s="99"/>
    </row>
    <row r="93" spans="1:16">
      <c r="A93" s="270" t="s">
        <v>230</v>
      </c>
      <c r="B93" s="271">
        <v>229.74</v>
      </c>
      <c r="C93" s="271">
        <f t="shared" si="5"/>
        <v>0.26</v>
      </c>
      <c r="D93" s="272">
        <f t="shared" si="3"/>
        <v>230</v>
      </c>
      <c r="E93" s="248"/>
      <c r="M93" s="99"/>
      <c r="N93" s="99"/>
      <c r="O93" s="99"/>
      <c r="P93" s="99"/>
    </row>
    <row r="94" spans="1:16">
      <c r="A94" s="270" t="s">
        <v>231</v>
      </c>
      <c r="B94" s="271">
        <v>343.55</v>
      </c>
      <c r="C94" s="271">
        <f t="shared" si="5"/>
        <v>0.38</v>
      </c>
      <c r="D94" s="272">
        <f t="shared" si="3"/>
        <v>343.93</v>
      </c>
      <c r="E94" s="248"/>
      <c r="M94" s="99"/>
      <c r="N94" s="99"/>
      <c r="O94" s="99"/>
      <c r="P94" s="99"/>
    </row>
    <row r="95" spans="1:16">
      <c r="A95" s="270" t="s">
        <v>232</v>
      </c>
      <c r="B95" s="271">
        <v>454.54</v>
      </c>
      <c r="C95" s="271">
        <f t="shared" si="5"/>
        <v>0.49</v>
      </c>
      <c r="D95" s="272">
        <f t="shared" si="3"/>
        <v>455.03000000000003</v>
      </c>
      <c r="E95" s="248"/>
      <c r="M95" s="99"/>
      <c r="N95" s="99"/>
      <c r="O95" s="99"/>
      <c r="P95" s="99"/>
    </row>
    <row r="96" spans="1:16">
      <c r="A96" s="270" t="s">
        <v>251</v>
      </c>
      <c r="B96" s="271">
        <v>578.38</v>
      </c>
      <c r="C96" s="271">
        <f t="shared" si="5"/>
        <v>0.67</v>
      </c>
      <c r="D96" s="272">
        <f t="shared" si="3"/>
        <v>579.04999999999995</v>
      </c>
      <c r="E96" s="248"/>
      <c r="M96" s="99"/>
      <c r="N96" s="99"/>
      <c r="O96" s="99"/>
      <c r="P96" s="99"/>
    </row>
    <row r="97" spans="1:16">
      <c r="A97" s="270" t="s">
        <v>252</v>
      </c>
      <c r="B97" s="271">
        <v>674.85</v>
      </c>
      <c r="C97" s="271">
        <f t="shared" si="5"/>
        <v>0.78</v>
      </c>
      <c r="D97" s="272">
        <f t="shared" si="3"/>
        <v>675.63</v>
      </c>
      <c r="E97" s="248"/>
      <c r="M97" s="99"/>
      <c r="N97" s="99"/>
      <c r="O97" s="99"/>
      <c r="P97" s="99"/>
    </row>
    <row r="98" spans="1:16">
      <c r="M98" s="99"/>
      <c r="N98" s="99"/>
      <c r="O98" s="99"/>
      <c r="P98" s="99"/>
    </row>
  </sheetData>
  <pageMargins left="0.7" right="0.7" top="0.75" bottom="0.75" header="0.3" footer="0.3"/>
  <pageSetup fitToHeight="0" orientation="portrait" r:id="rId1"/>
  <headerFooter>
    <oddFooter>&amp;L&amp;F - &amp;A&amp;R&amp;P of &amp;N</oddFooter>
  </headerFooter>
  <rowBreaks count="2" manualBreakCount="2">
    <brk id="38" max="4" man="1"/>
    <brk id="7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1678"/>
  <sheetViews>
    <sheetView view="pageBreakPreview" zoomScale="85" zoomScaleNormal="85" zoomScaleSheetLayoutView="85" workbookViewId="0">
      <selection activeCell="L25" sqref="L25"/>
    </sheetView>
  </sheetViews>
  <sheetFormatPr defaultRowHeight="15"/>
  <cols>
    <col min="1" max="1" width="16.42578125" style="117" customWidth="1"/>
    <col min="2" max="2" width="15.42578125" style="117" customWidth="1"/>
    <col min="3" max="3" width="11.5703125" style="117" bestFit="1" customWidth="1"/>
    <col min="4" max="4" width="10.5703125" style="117" bestFit="1" customWidth="1"/>
    <col min="5" max="5" width="11.5703125" style="117" bestFit="1" customWidth="1"/>
    <col min="6" max="6" width="13.28515625" style="117" bestFit="1" customWidth="1"/>
    <col min="7" max="7" width="10.5703125" style="117" bestFit="1" customWidth="1"/>
    <col min="8" max="8" width="1.5703125" style="117" customWidth="1"/>
    <col min="9" max="10" width="11.5703125" style="99" bestFit="1" customWidth="1"/>
    <col min="11" max="11" width="10.5703125" style="99" bestFit="1" customWidth="1"/>
    <col min="12" max="12" width="9.140625" style="99"/>
    <col min="13" max="13" width="15.28515625" style="99" bestFit="1" customWidth="1"/>
    <col min="14" max="14" width="12.5703125" style="99" bestFit="1" customWidth="1"/>
    <col min="15" max="15" width="2.7109375" style="99" customWidth="1"/>
    <col min="16" max="16" width="9.5703125" style="99" bestFit="1" customWidth="1"/>
    <col min="17" max="17" width="12.5703125" style="99" bestFit="1" customWidth="1"/>
    <col min="18" max="16384" width="9.140625" style="99"/>
  </cols>
  <sheetData>
    <row r="1" spans="1:18">
      <c r="A1" s="115" t="s">
        <v>273</v>
      </c>
      <c r="B1" s="93"/>
      <c r="C1" s="91"/>
      <c r="D1" s="93"/>
      <c r="E1" s="91"/>
      <c r="F1" s="92"/>
      <c r="G1" s="91"/>
      <c r="H1" s="93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>
      <c r="A2" s="89" t="s">
        <v>319</v>
      </c>
      <c r="B2" s="93"/>
      <c r="C2" s="91"/>
      <c r="D2" s="93"/>
      <c r="E2" s="91"/>
      <c r="F2" s="92"/>
      <c r="G2" s="91"/>
      <c r="H2" s="93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>
      <c r="A3" s="89" t="s">
        <v>411</v>
      </c>
      <c r="B3" s="93"/>
      <c r="C3" s="91"/>
      <c r="D3" s="93"/>
      <c r="E3" s="91"/>
      <c r="F3" s="92"/>
      <c r="G3" s="91"/>
      <c r="H3" s="93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31.5" customHeight="1">
      <c r="A4" s="285" t="s">
        <v>409</v>
      </c>
      <c r="B4" s="285"/>
      <c r="C4" s="285"/>
      <c r="D4" s="285"/>
      <c r="E4" s="285"/>
      <c r="F4" s="285"/>
      <c r="G4" s="285"/>
      <c r="H4" s="285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18">
      <c r="A5" s="92"/>
      <c r="B5" s="93"/>
      <c r="C5" s="91"/>
      <c r="D5" s="93"/>
      <c r="E5" s="91"/>
      <c r="F5" s="92"/>
      <c r="G5" s="91"/>
      <c r="H5" s="93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8">
      <c r="A6" s="161" t="s">
        <v>309</v>
      </c>
      <c r="B6" s="93"/>
      <c r="C6" s="91"/>
      <c r="D6" s="91"/>
      <c r="E6" s="162"/>
      <c r="F6" s="163"/>
      <c r="G6" s="91"/>
      <c r="H6" s="164"/>
      <c r="I6" s="93"/>
      <c r="J6" s="162"/>
      <c r="K6" s="163"/>
      <c r="L6" s="93"/>
      <c r="M6" s="91"/>
      <c r="N6" s="91"/>
      <c r="O6" s="164"/>
      <c r="P6" s="91"/>
      <c r="Q6" s="91"/>
      <c r="R6" s="117"/>
    </row>
    <row r="7" spans="1:18">
      <c r="A7" s="161" t="s">
        <v>310</v>
      </c>
      <c r="B7" s="93"/>
      <c r="C7" s="91"/>
      <c r="D7" s="91"/>
      <c r="E7" s="165"/>
      <c r="F7" s="163"/>
      <c r="G7" s="91"/>
      <c r="H7" s="164"/>
      <c r="I7" s="93"/>
      <c r="J7" s="165"/>
      <c r="K7" s="163"/>
      <c r="L7" s="93"/>
      <c r="M7" s="91" t="s">
        <v>311</v>
      </c>
      <c r="N7" s="91" t="s">
        <v>312</v>
      </c>
      <c r="O7" s="164"/>
      <c r="P7" s="91"/>
      <c r="Q7" s="91"/>
      <c r="R7" s="117"/>
    </row>
    <row r="8" spans="1:18">
      <c r="A8" s="164"/>
      <c r="B8" s="93"/>
      <c r="C8" s="91"/>
      <c r="D8" s="91"/>
      <c r="E8" s="93"/>
      <c r="F8" s="91" t="s">
        <v>313</v>
      </c>
      <c r="G8" s="91" t="s">
        <v>314</v>
      </c>
      <c r="H8" s="164"/>
      <c r="I8" s="93"/>
      <c r="J8" s="91"/>
      <c r="K8" s="91"/>
      <c r="L8" s="93"/>
      <c r="M8" s="91" t="s">
        <v>315</v>
      </c>
      <c r="N8" s="91" t="s">
        <v>316</v>
      </c>
      <c r="O8" s="164"/>
      <c r="P8" s="91"/>
      <c r="Q8" s="91"/>
      <c r="R8" s="117"/>
    </row>
    <row r="9" spans="1:18">
      <c r="A9" s="164"/>
      <c r="B9" s="286" t="s">
        <v>265</v>
      </c>
      <c r="C9" s="287"/>
      <c r="D9" s="287"/>
      <c r="E9" s="287"/>
      <c r="F9" s="288"/>
      <c r="G9" s="166"/>
      <c r="H9" s="164"/>
      <c r="I9" s="286" t="s">
        <v>317</v>
      </c>
      <c r="J9" s="287"/>
      <c r="K9" s="287"/>
      <c r="L9" s="287"/>
      <c r="M9" s="288"/>
      <c r="N9" s="166"/>
      <c r="O9" s="164"/>
      <c r="P9" s="289" t="s">
        <v>0</v>
      </c>
      <c r="Q9" s="290"/>
      <c r="R9" s="117"/>
    </row>
    <row r="10" spans="1:18">
      <c r="A10" s="164"/>
      <c r="B10" s="291" t="s">
        <v>266</v>
      </c>
      <c r="C10" s="291"/>
      <c r="D10" s="130" t="s">
        <v>3</v>
      </c>
      <c r="E10" s="291" t="s">
        <v>267</v>
      </c>
      <c r="F10" s="291"/>
      <c r="G10" s="130" t="s">
        <v>3</v>
      </c>
      <c r="H10" s="93"/>
      <c r="I10" s="291" t="s">
        <v>266</v>
      </c>
      <c r="J10" s="291"/>
      <c r="K10" s="130" t="s">
        <v>3</v>
      </c>
      <c r="L10" s="291" t="s">
        <v>267</v>
      </c>
      <c r="M10" s="291"/>
      <c r="N10" s="130" t="s">
        <v>3</v>
      </c>
      <c r="O10" s="93"/>
      <c r="P10" s="164"/>
      <c r="Q10" s="164"/>
      <c r="R10" s="117"/>
    </row>
    <row r="11" spans="1:18">
      <c r="A11" s="164"/>
      <c r="B11" s="167" t="s">
        <v>199</v>
      </c>
      <c r="C11" s="168" t="s">
        <v>268</v>
      </c>
      <c r="D11" s="168"/>
      <c r="E11" s="167" t="s">
        <v>199</v>
      </c>
      <c r="F11" s="168" t="s">
        <v>268</v>
      </c>
      <c r="G11" s="169"/>
      <c r="H11" s="93"/>
      <c r="I11" s="167" t="s">
        <v>199</v>
      </c>
      <c r="J11" s="168" t="s">
        <v>268</v>
      </c>
      <c r="K11" s="168"/>
      <c r="L11" s="167" t="s">
        <v>199</v>
      </c>
      <c r="M11" s="168" t="s">
        <v>268</v>
      </c>
      <c r="N11" s="168"/>
      <c r="O11" s="93"/>
      <c r="P11" s="167" t="s">
        <v>199</v>
      </c>
      <c r="Q11" s="168" t="s">
        <v>268</v>
      </c>
      <c r="R11" s="117"/>
    </row>
    <row r="12" spans="1:18">
      <c r="A12" s="170">
        <v>42748</v>
      </c>
      <c r="B12" s="171">
        <v>0</v>
      </c>
      <c r="C12" s="91">
        <v>0</v>
      </c>
      <c r="D12" s="91">
        <v>0</v>
      </c>
      <c r="E12" s="171">
        <v>105.05</v>
      </c>
      <c r="F12" s="91">
        <v>10610.05</v>
      </c>
      <c r="G12" s="91">
        <v>101</v>
      </c>
      <c r="H12" s="93"/>
      <c r="I12" s="171">
        <v>11.24</v>
      </c>
      <c r="J12" s="91">
        <v>1218.53</v>
      </c>
      <c r="K12" s="91">
        <v>108.41014234875445</v>
      </c>
      <c r="L12" s="171">
        <v>41.47</v>
      </c>
      <c r="M12" s="91">
        <v>4495.7700000000004</v>
      </c>
      <c r="N12" s="91">
        <v>108.4101760308657</v>
      </c>
      <c r="O12" s="93"/>
      <c r="P12" s="172">
        <f t="shared" ref="P12:Q23" si="0">B12+E12+I12+L12</f>
        <v>157.76</v>
      </c>
      <c r="Q12" s="173">
        <f t="shared" si="0"/>
        <v>16324.35</v>
      </c>
      <c r="R12" s="117"/>
    </row>
    <row r="13" spans="1:18">
      <c r="A13" s="170">
        <v>42779</v>
      </c>
      <c r="B13" s="171">
        <v>5.39</v>
      </c>
      <c r="C13" s="91">
        <v>544.39</v>
      </c>
      <c r="D13" s="91">
        <v>101</v>
      </c>
      <c r="E13" s="171">
        <v>95.88</v>
      </c>
      <c r="F13" s="91">
        <v>9683.8799999999992</v>
      </c>
      <c r="G13" s="91">
        <v>101</v>
      </c>
      <c r="H13" s="93"/>
      <c r="I13" s="171">
        <v>0</v>
      </c>
      <c r="J13" s="91">
        <v>0</v>
      </c>
      <c r="K13" s="91">
        <v>0</v>
      </c>
      <c r="L13" s="171">
        <v>37.18</v>
      </c>
      <c r="M13" s="91">
        <v>4030.68</v>
      </c>
      <c r="N13" s="91">
        <v>108.40989779451317</v>
      </c>
      <c r="O13" s="93"/>
      <c r="P13" s="172">
        <f t="shared" si="0"/>
        <v>138.44999999999999</v>
      </c>
      <c r="Q13" s="173">
        <f t="shared" si="0"/>
        <v>14258.949999999999</v>
      </c>
      <c r="R13" s="117"/>
    </row>
    <row r="14" spans="1:18">
      <c r="A14" s="170">
        <v>42807</v>
      </c>
      <c r="B14" s="171">
        <v>13.63</v>
      </c>
      <c r="C14" s="91">
        <v>1376.63</v>
      </c>
      <c r="D14" s="91">
        <v>101</v>
      </c>
      <c r="E14" s="171">
        <v>115.42</v>
      </c>
      <c r="F14" s="91">
        <v>11657.42</v>
      </c>
      <c r="G14" s="91">
        <v>101</v>
      </c>
      <c r="H14" s="93"/>
      <c r="I14" s="171">
        <v>4.1399999999999997</v>
      </c>
      <c r="J14" s="91">
        <v>448.82</v>
      </c>
      <c r="K14" s="91">
        <v>108.41062801932368</v>
      </c>
      <c r="L14" s="171">
        <v>45.27</v>
      </c>
      <c r="M14" s="91">
        <v>4907.71</v>
      </c>
      <c r="N14" s="91">
        <v>108.40976364037994</v>
      </c>
      <c r="O14" s="93"/>
      <c r="P14" s="172">
        <f t="shared" si="0"/>
        <v>178.46</v>
      </c>
      <c r="Q14" s="173">
        <f t="shared" si="0"/>
        <v>18390.579999999998</v>
      </c>
      <c r="R14" s="117"/>
    </row>
    <row r="15" spans="1:18">
      <c r="A15" s="170">
        <v>42838</v>
      </c>
      <c r="B15" s="171">
        <v>28.22</v>
      </c>
      <c r="C15" s="91">
        <v>2948.99</v>
      </c>
      <c r="D15" s="91">
        <v>104.5</v>
      </c>
      <c r="E15" s="171">
        <v>107.11</v>
      </c>
      <c r="F15" s="91">
        <v>11192.99</v>
      </c>
      <c r="G15" s="91">
        <v>104.49995331901783</v>
      </c>
      <c r="H15" s="93"/>
      <c r="I15" s="171">
        <v>14.86</v>
      </c>
      <c r="J15" s="91">
        <v>1610.97</v>
      </c>
      <c r="K15" s="91">
        <v>108.40982503364738</v>
      </c>
      <c r="L15" s="171">
        <v>40</v>
      </c>
      <c r="M15" s="91">
        <v>4336.3999999999996</v>
      </c>
      <c r="N15" s="91">
        <v>108.41</v>
      </c>
      <c r="O15" s="93"/>
      <c r="P15" s="172">
        <f t="shared" si="0"/>
        <v>190.19</v>
      </c>
      <c r="Q15" s="173">
        <f t="shared" si="0"/>
        <v>20089.349999999999</v>
      </c>
      <c r="R15" s="117"/>
    </row>
    <row r="16" spans="1:18">
      <c r="A16" s="170">
        <v>42868</v>
      </c>
      <c r="B16" s="171">
        <v>6.21</v>
      </c>
      <c r="C16" s="91">
        <v>648.95000000000005</v>
      </c>
      <c r="D16" s="91">
        <v>104.50080515297907</v>
      </c>
      <c r="E16" s="171">
        <v>117.05</v>
      </c>
      <c r="F16" s="91">
        <v>12231.74</v>
      </c>
      <c r="G16" s="91">
        <v>104.5001281503631</v>
      </c>
      <c r="H16" s="93"/>
      <c r="I16" s="171">
        <v>16.559999999999999</v>
      </c>
      <c r="J16" s="91">
        <v>1795.27</v>
      </c>
      <c r="K16" s="91">
        <v>108.41002415458938</v>
      </c>
      <c r="L16" s="171">
        <v>59.67</v>
      </c>
      <c r="M16" s="91">
        <v>6468.82</v>
      </c>
      <c r="N16" s="91">
        <v>108.40992123345063</v>
      </c>
      <c r="O16" s="93"/>
      <c r="P16" s="172">
        <f t="shared" si="0"/>
        <v>199.49</v>
      </c>
      <c r="Q16" s="173">
        <f t="shared" si="0"/>
        <v>21144.78</v>
      </c>
      <c r="R16" s="117"/>
    </row>
    <row r="17" spans="1:18">
      <c r="A17" s="170">
        <v>42899</v>
      </c>
      <c r="B17" s="171">
        <v>3.69</v>
      </c>
      <c r="C17" s="91">
        <v>385.61</v>
      </c>
      <c r="D17" s="91">
        <v>104.50135501355014</v>
      </c>
      <c r="E17" s="171">
        <v>127.14</v>
      </c>
      <c r="F17" s="91">
        <v>13286.14</v>
      </c>
      <c r="G17" s="91">
        <v>104.50007865345289</v>
      </c>
      <c r="H17" s="93"/>
      <c r="I17" s="171">
        <v>3.45</v>
      </c>
      <c r="J17" s="91">
        <v>374.01</v>
      </c>
      <c r="K17" s="91">
        <v>108.4086956521739</v>
      </c>
      <c r="L17" s="171">
        <v>34.21</v>
      </c>
      <c r="M17" s="91">
        <v>3708.71</v>
      </c>
      <c r="N17" s="91">
        <v>108.41011400175387</v>
      </c>
      <c r="O17" s="93"/>
      <c r="P17" s="172">
        <f t="shared" si="0"/>
        <v>168.49</v>
      </c>
      <c r="Q17" s="173">
        <f t="shared" si="0"/>
        <v>17754.47</v>
      </c>
      <c r="R17" s="117"/>
    </row>
    <row r="18" spans="1:18">
      <c r="A18" s="170">
        <v>42929</v>
      </c>
      <c r="B18" s="171">
        <v>18.3</v>
      </c>
      <c r="C18" s="91">
        <v>1912.36</v>
      </c>
      <c r="D18" s="91">
        <v>104.50054644808742</v>
      </c>
      <c r="E18" s="171">
        <v>90.56</v>
      </c>
      <c r="F18" s="91">
        <v>9463.5300000000007</v>
      </c>
      <c r="G18" s="91">
        <v>104.50011042402828</v>
      </c>
      <c r="H18" s="93"/>
      <c r="I18" s="171">
        <v>13.07</v>
      </c>
      <c r="J18" s="91">
        <v>1416.92</v>
      </c>
      <c r="K18" s="91">
        <v>108.41009946442234</v>
      </c>
      <c r="L18" s="171">
        <v>41.1</v>
      </c>
      <c r="M18" s="91">
        <v>4445.8900000000003</v>
      </c>
      <c r="N18" s="91">
        <v>108.17250608272506</v>
      </c>
      <c r="O18" s="93"/>
      <c r="P18" s="172">
        <f t="shared" si="0"/>
        <v>163.03</v>
      </c>
      <c r="Q18" s="173">
        <f t="shared" si="0"/>
        <v>17238.7</v>
      </c>
      <c r="R18" s="117"/>
    </row>
    <row r="19" spans="1:18">
      <c r="A19" s="170">
        <v>42960</v>
      </c>
      <c r="B19" s="171">
        <v>8.4700000000000006</v>
      </c>
      <c r="C19" s="91">
        <v>885.11</v>
      </c>
      <c r="D19" s="91">
        <v>104.49940968122786</v>
      </c>
      <c r="E19" s="171">
        <v>120.34</v>
      </c>
      <c r="F19" s="91">
        <v>12575.55</v>
      </c>
      <c r="G19" s="91">
        <v>104.50016619577862</v>
      </c>
      <c r="H19" s="93"/>
      <c r="I19" s="171">
        <v>0</v>
      </c>
      <c r="J19" s="91">
        <v>0</v>
      </c>
      <c r="K19" s="91">
        <v>0</v>
      </c>
      <c r="L19" s="171">
        <v>41.73</v>
      </c>
      <c r="M19" s="91">
        <v>4523.95</v>
      </c>
      <c r="N19" s="91">
        <v>108.41001677450276</v>
      </c>
      <c r="O19" s="93"/>
      <c r="P19" s="172">
        <f t="shared" si="0"/>
        <v>170.54</v>
      </c>
      <c r="Q19" s="173">
        <f t="shared" si="0"/>
        <v>17984.61</v>
      </c>
      <c r="R19" s="117"/>
    </row>
    <row r="20" spans="1:18">
      <c r="A20" s="170">
        <v>42991</v>
      </c>
      <c r="B20" s="171">
        <v>12.48</v>
      </c>
      <c r="C20" s="91">
        <v>1304.1500000000001</v>
      </c>
      <c r="D20" s="91">
        <v>104.49919871794872</v>
      </c>
      <c r="E20" s="171">
        <v>96.25</v>
      </c>
      <c r="F20" s="91">
        <v>10058.129999999999</v>
      </c>
      <c r="G20" s="91">
        <v>104.50005194805193</v>
      </c>
      <c r="H20" s="93"/>
      <c r="I20" s="171">
        <v>19.38</v>
      </c>
      <c r="J20" s="91">
        <v>2100.98</v>
      </c>
      <c r="K20" s="91">
        <v>108.40970072239423</v>
      </c>
      <c r="L20" s="171">
        <v>42.8</v>
      </c>
      <c r="M20" s="91">
        <v>4639.95</v>
      </c>
      <c r="N20" s="91">
        <v>108.41004672897196</v>
      </c>
      <c r="O20" s="93"/>
      <c r="P20" s="172">
        <f t="shared" si="0"/>
        <v>170.91000000000003</v>
      </c>
      <c r="Q20" s="173">
        <f t="shared" si="0"/>
        <v>18103.21</v>
      </c>
      <c r="R20" s="117"/>
    </row>
    <row r="21" spans="1:18">
      <c r="A21" s="170">
        <v>43021</v>
      </c>
      <c r="B21" s="171">
        <v>4.25</v>
      </c>
      <c r="C21" s="91">
        <v>444.12</v>
      </c>
      <c r="D21" s="91">
        <v>104.49882352941177</v>
      </c>
      <c r="E21" s="171">
        <v>115.95</v>
      </c>
      <c r="F21" s="91">
        <v>12116.76</v>
      </c>
      <c r="G21" s="91">
        <v>104.49987063389392</v>
      </c>
      <c r="H21" s="93"/>
      <c r="I21" s="171">
        <v>24.07</v>
      </c>
      <c r="J21" s="91">
        <v>2609.4299999999998</v>
      </c>
      <c r="K21" s="91">
        <v>108.41005400914</v>
      </c>
      <c r="L21" s="171">
        <v>54.84</v>
      </c>
      <c r="M21" s="91">
        <v>5945.2</v>
      </c>
      <c r="N21" s="91">
        <v>108.40991976659372</v>
      </c>
      <c r="O21" s="93"/>
      <c r="P21" s="172">
        <f t="shared" si="0"/>
        <v>199.11</v>
      </c>
      <c r="Q21" s="173">
        <f t="shared" si="0"/>
        <v>21115.510000000002</v>
      </c>
      <c r="R21" s="117"/>
    </row>
    <row r="22" spans="1:18">
      <c r="A22" s="170">
        <v>43052</v>
      </c>
      <c r="B22" s="171">
        <v>14.97</v>
      </c>
      <c r="C22" s="91">
        <v>1564.36</v>
      </c>
      <c r="D22" s="91">
        <v>104.49966599866399</v>
      </c>
      <c r="E22" s="171">
        <v>115.13</v>
      </c>
      <c r="F22" s="91">
        <v>12031.1</v>
      </c>
      <c r="G22" s="91">
        <v>104.50013028750109</v>
      </c>
      <c r="H22" s="93"/>
      <c r="I22" s="171">
        <v>11.46</v>
      </c>
      <c r="J22" s="91">
        <v>1242.3800000000001</v>
      </c>
      <c r="K22" s="91">
        <v>108.41012216404887</v>
      </c>
      <c r="L22" s="171">
        <v>45.38</v>
      </c>
      <c r="M22" s="91">
        <v>4919.6499999999996</v>
      </c>
      <c r="N22" s="91">
        <v>108.41009255178491</v>
      </c>
      <c r="O22" s="93"/>
      <c r="P22" s="172">
        <f t="shared" si="0"/>
        <v>186.94</v>
      </c>
      <c r="Q22" s="173">
        <f t="shared" si="0"/>
        <v>19757.489999999998</v>
      </c>
      <c r="R22" s="117"/>
    </row>
    <row r="23" spans="1:18">
      <c r="A23" s="170">
        <v>43082</v>
      </c>
      <c r="B23" s="171">
        <v>4.6100000000000003</v>
      </c>
      <c r="C23" s="91">
        <v>481.74</v>
      </c>
      <c r="D23" s="91">
        <v>104.49891540130152</v>
      </c>
      <c r="E23" s="171">
        <v>103.89</v>
      </c>
      <c r="F23" s="91">
        <v>10856.5</v>
      </c>
      <c r="G23" s="91">
        <v>104.49995187217249</v>
      </c>
      <c r="H23" s="93"/>
      <c r="I23" s="171">
        <v>17.37</v>
      </c>
      <c r="J23" s="91">
        <v>1883.08</v>
      </c>
      <c r="K23" s="91">
        <v>108.40990213010937</v>
      </c>
      <c r="L23" s="171">
        <v>28.66</v>
      </c>
      <c r="M23" s="91">
        <v>3107.04</v>
      </c>
      <c r="N23" s="91">
        <v>108.41032798325192</v>
      </c>
      <c r="O23" s="93"/>
      <c r="P23" s="172">
        <f t="shared" si="0"/>
        <v>154.53</v>
      </c>
      <c r="Q23" s="173">
        <f t="shared" si="0"/>
        <v>16328.36</v>
      </c>
      <c r="R23" s="117"/>
    </row>
    <row r="24" spans="1:18" ht="17.25">
      <c r="A24" s="170"/>
      <c r="B24" s="174"/>
      <c r="C24" s="175"/>
      <c r="D24" s="175"/>
      <c r="E24" s="176"/>
      <c r="F24" s="175"/>
      <c r="G24" s="175"/>
      <c r="H24" s="177"/>
      <c r="I24" s="174"/>
      <c r="J24" s="175"/>
      <c r="K24" s="175"/>
      <c r="L24" s="176"/>
      <c r="M24" s="175"/>
      <c r="N24" s="175"/>
      <c r="O24" s="177"/>
      <c r="P24" s="172"/>
      <c r="Q24" s="173"/>
      <c r="R24" s="117"/>
    </row>
    <row r="25" spans="1:18" ht="15.75" thickBot="1">
      <c r="A25" s="164"/>
      <c r="B25" s="178">
        <f>SUM(B12:B23)</f>
        <v>120.22</v>
      </c>
      <c r="C25" s="179">
        <f t="shared" ref="C25:Q25" si="1">SUM(C12:C23)</f>
        <v>12496.41</v>
      </c>
      <c r="D25" s="179">
        <f t="shared" si="1"/>
        <v>1142.4987199431703</v>
      </c>
      <c r="E25" s="178">
        <f t="shared" si="1"/>
        <v>1309.7700000000002</v>
      </c>
      <c r="F25" s="179">
        <f t="shared" si="1"/>
        <v>135763.79</v>
      </c>
      <c r="G25" s="179">
        <f t="shared" si="1"/>
        <v>1243.5004414842601</v>
      </c>
      <c r="H25" s="178"/>
      <c r="I25" s="178">
        <f t="shared" si="1"/>
        <v>135.60000000000002</v>
      </c>
      <c r="J25" s="179">
        <f t="shared" si="1"/>
        <v>14700.390000000001</v>
      </c>
      <c r="K25" s="179">
        <f t="shared" si="1"/>
        <v>1084.0991936986038</v>
      </c>
      <c r="L25" s="178">
        <f t="shared" si="1"/>
        <v>512.31000000000006</v>
      </c>
      <c r="M25" s="179">
        <f t="shared" si="1"/>
        <v>55529.76999999999</v>
      </c>
      <c r="N25" s="179">
        <f t="shared" si="1"/>
        <v>1300.6827825887933</v>
      </c>
      <c r="O25" s="178"/>
      <c r="P25" s="178">
        <f t="shared" si="1"/>
        <v>2077.9</v>
      </c>
      <c r="Q25" s="179">
        <f t="shared" si="1"/>
        <v>218490.36</v>
      </c>
      <c r="R25" s="117"/>
    </row>
    <row r="26" spans="1:18" ht="15.75" thickTop="1">
      <c r="A26" s="164"/>
      <c r="B26" s="93"/>
      <c r="C26" s="91"/>
      <c r="D26" s="91"/>
      <c r="E26" s="93"/>
      <c r="F26" s="91"/>
      <c r="G26" s="91"/>
      <c r="H26" s="93"/>
      <c r="I26" s="93"/>
      <c r="J26" s="91"/>
      <c r="K26" s="91"/>
      <c r="L26" s="93"/>
      <c r="M26" s="91"/>
      <c r="N26" s="91"/>
      <c r="O26" s="93"/>
      <c r="P26" s="164"/>
      <c r="Q26" s="91"/>
      <c r="R26" s="117"/>
    </row>
    <row r="27" spans="1:18" ht="15.75" thickBot="1">
      <c r="A27" s="116"/>
      <c r="B27" s="88"/>
      <c r="C27" s="95"/>
      <c r="D27" s="116"/>
      <c r="E27" s="183"/>
      <c r="F27" s="184"/>
      <c r="I27" s="117"/>
      <c r="J27" s="117"/>
      <c r="K27" s="117"/>
      <c r="L27" s="117"/>
      <c r="M27" s="117"/>
      <c r="N27" s="117"/>
      <c r="O27" s="117"/>
      <c r="P27" s="117"/>
      <c r="Q27" s="117"/>
      <c r="R27" s="117"/>
    </row>
    <row r="28" spans="1:18">
      <c r="A28" s="152"/>
      <c r="B28" s="153"/>
      <c r="C28" s="153"/>
      <c r="D28" s="153"/>
      <c r="E28" s="154"/>
      <c r="I28" s="117"/>
      <c r="J28" s="117"/>
      <c r="K28" s="117"/>
      <c r="L28" s="117"/>
      <c r="M28" s="117"/>
      <c r="N28" s="117"/>
      <c r="O28" s="117"/>
      <c r="P28" s="117"/>
      <c r="Q28" s="117"/>
      <c r="R28" s="117"/>
    </row>
    <row r="29" spans="1:18">
      <c r="A29" s="131" t="s">
        <v>309</v>
      </c>
      <c r="B29" s="116"/>
      <c r="C29" s="116"/>
      <c r="D29" s="116"/>
      <c r="E29" s="155"/>
      <c r="I29" s="117"/>
      <c r="J29" s="117"/>
      <c r="K29" s="117"/>
      <c r="L29" s="117"/>
      <c r="M29" s="117"/>
      <c r="N29" s="117"/>
      <c r="O29" s="117"/>
      <c r="P29" s="117"/>
      <c r="Q29" s="117"/>
      <c r="R29" s="117"/>
    </row>
    <row r="30" spans="1:18">
      <c r="A30" s="131" t="s">
        <v>318</v>
      </c>
      <c r="B30" s="116"/>
      <c r="C30" s="116"/>
      <c r="D30" s="116"/>
      <c r="E30" s="155"/>
      <c r="I30" s="117"/>
      <c r="J30" s="117"/>
      <c r="K30" s="117"/>
      <c r="L30" s="117"/>
      <c r="M30" s="117"/>
      <c r="N30" s="117"/>
      <c r="O30" s="117"/>
      <c r="P30" s="117"/>
      <c r="Q30" s="117"/>
      <c r="R30" s="117"/>
    </row>
    <row r="31" spans="1:18">
      <c r="A31" s="156"/>
      <c r="B31" s="116"/>
      <c r="C31" s="116"/>
      <c r="D31" s="116"/>
      <c r="E31" s="155"/>
      <c r="I31" s="117"/>
      <c r="J31" s="117"/>
      <c r="K31" s="117"/>
      <c r="L31" s="117"/>
      <c r="M31" s="117"/>
      <c r="N31" s="117"/>
      <c r="O31" s="117"/>
      <c r="P31" s="117"/>
      <c r="Q31" s="117"/>
      <c r="R31" s="117"/>
    </row>
    <row r="32" spans="1:18">
      <c r="A32" s="132" t="s">
        <v>303</v>
      </c>
      <c r="B32" s="116"/>
      <c r="C32" s="116"/>
      <c r="D32" s="116"/>
      <c r="E32" s="155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>
      <c r="A33" s="156"/>
      <c r="B33" s="114" t="s">
        <v>269</v>
      </c>
      <c r="C33" s="114" t="s">
        <v>270</v>
      </c>
      <c r="D33" s="116"/>
      <c r="E33" s="155"/>
      <c r="I33" s="117"/>
      <c r="J33" s="117"/>
      <c r="K33" s="117"/>
      <c r="L33" s="117"/>
      <c r="M33" s="117"/>
      <c r="N33" s="117"/>
      <c r="O33" s="117"/>
      <c r="P33" s="117"/>
      <c r="Q33" s="117"/>
      <c r="R33" s="117"/>
    </row>
    <row r="34" spans="1:18">
      <c r="A34" s="156" t="s">
        <v>271</v>
      </c>
      <c r="B34" s="88">
        <v>4304304.1795195919</v>
      </c>
      <c r="C34" s="95">
        <f>B34/B36</f>
        <v>0.76820382096623685</v>
      </c>
      <c r="D34" s="116"/>
      <c r="E34" s="155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5" spans="1:18">
      <c r="A35" s="156" t="s">
        <v>272</v>
      </c>
      <c r="B35" s="157">
        <v>1298771.5434124987</v>
      </c>
      <c r="C35" s="95">
        <f>B35/B36</f>
        <v>0.23179617903376312</v>
      </c>
      <c r="D35" s="116"/>
      <c r="E35" s="155"/>
      <c r="F35" s="180"/>
      <c r="I35" s="117"/>
      <c r="J35" s="117"/>
      <c r="K35" s="117"/>
      <c r="L35" s="117"/>
      <c r="M35" s="117"/>
      <c r="N35" s="117"/>
      <c r="O35" s="117"/>
      <c r="P35" s="117"/>
      <c r="Q35" s="117"/>
      <c r="R35" s="117"/>
    </row>
    <row r="36" spans="1:18">
      <c r="A36" s="156"/>
      <c r="B36" s="88">
        <f>SUM(B34:B35)</f>
        <v>5603075.722932091</v>
      </c>
      <c r="C36" s="116"/>
      <c r="D36" s="116"/>
      <c r="E36" s="155"/>
      <c r="F36" s="249"/>
      <c r="I36" s="117"/>
      <c r="J36" s="117"/>
      <c r="K36" s="117"/>
      <c r="L36" s="117"/>
      <c r="M36" s="117"/>
      <c r="N36" s="117"/>
      <c r="O36" s="117"/>
      <c r="P36" s="117"/>
      <c r="Q36" s="117"/>
      <c r="R36" s="117"/>
    </row>
    <row r="37" spans="1:18">
      <c r="A37" s="156"/>
      <c r="B37" s="116"/>
      <c r="C37" s="116"/>
      <c r="D37" s="116"/>
      <c r="E37" s="155"/>
      <c r="F37" s="249"/>
      <c r="I37" s="249"/>
      <c r="J37" s="117"/>
      <c r="K37" s="117"/>
      <c r="L37" s="117"/>
      <c r="M37" s="117"/>
      <c r="N37" s="117"/>
      <c r="O37" s="117"/>
      <c r="P37" s="117"/>
      <c r="Q37" s="117"/>
      <c r="R37" s="117"/>
    </row>
    <row r="38" spans="1:18" s="112" customFormat="1">
      <c r="A38" s="133"/>
      <c r="B38" s="116"/>
      <c r="C38" s="116"/>
      <c r="D38" s="116"/>
      <c r="E38" s="155"/>
      <c r="F38" s="117"/>
      <c r="G38" s="117"/>
      <c r="H38" s="180"/>
      <c r="I38" s="250"/>
      <c r="J38" s="117"/>
      <c r="K38" s="117"/>
      <c r="L38" s="117"/>
      <c r="M38" s="117"/>
      <c r="N38" s="117"/>
      <c r="O38" s="117"/>
      <c r="P38" s="117"/>
      <c r="Q38" s="117"/>
      <c r="R38" s="117"/>
    </row>
    <row r="39" spans="1:18" s="112" customFormat="1">
      <c r="A39" s="156"/>
      <c r="B39" s="116"/>
      <c r="C39" s="116"/>
      <c r="D39" s="116"/>
      <c r="E39" s="155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  <row r="40" spans="1:18" s="112" customFormat="1" ht="15.75" thickBot="1">
      <c r="A40" s="158"/>
      <c r="B40" s="159"/>
      <c r="C40" s="159"/>
      <c r="D40" s="159"/>
      <c r="E40" s="160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</row>
    <row r="41" spans="1:18" s="112" customFormat="1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</row>
    <row r="42" spans="1:18" s="112" customFormat="1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</row>
    <row r="43" spans="1:18" s="112" customFormat="1"/>
    <row r="44" spans="1:18" s="112" customFormat="1"/>
    <row r="45" spans="1:18" s="112" customFormat="1"/>
    <row r="46" spans="1:18" s="112" customFormat="1"/>
    <row r="47" spans="1:18" s="112" customFormat="1"/>
    <row r="48" spans="1:18" s="112" customFormat="1"/>
    <row r="49" s="112" customFormat="1"/>
    <row r="50" s="112" customFormat="1"/>
    <row r="51" s="112" customFormat="1"/>
    <row r="52" s="112" customFormat="1"/>
    <row r="53" s="112" customFormat="1"/>
    <row r="54" s="112" customFormat="1"/>
    <row r="55" s="112" customFormat="1"/>
    <row r="56" s="112" customFormat="1"/>
    <row r="57" s="112" customFormat="1"/>
    <row r="58" s="112" customFormat="1"/>
    <row r="59" s="112" customFormat="1"/>
    <row r="60" s="112" customFormat="1"/>
    <row r="61" s="112" customFormat="1"/>
    <row r="62" s="112" customFormat="1"/>
    <row r="63" s="112" customFormat="1"/>
    <row r="64" s="112" customFormat="1"/>
    <row r="65" s="112" customFormat="1"/>
    <row r="66" s="112" customFormat="1"/>
    <row r="67" s="112" customFormat="1"/>
    <row r="68" s="112" customFormat="1"/>
    <row r="69" s="112" customFormat="1"/>
    <row r="70" s="112" customFormat="1"/>
    <row r="71" s="112" customFormat="1"/>
    <row r="72" s="112" customFormat="1"/>
    <row r="73" s="112" customFormat="1"/>
    <row r="74" s="112" customFormat="1"/>
    <row r="75" s="112" customFormat="1"/>
    <row r="76" s="112" customFormat="1"/>
    <row r="77" s="112" customFormat="1"/>
    <row r="78" s="112" customFormat="1"/>
    <row r="79" s="112" customFormat="1"/>
    <row r="80" s="112" customFormat="1"/>
    <row r="81" s="112" customFormat="1"/>
    <row r="82" s="112" customFormat="1"/>
    <row r="83" s="112" customFormat="1"/>
    <row r="84" s="112" customFormat="1"/>
    <row r="85" s="112" customFormat="1"/>
    <row r="86" s="112" customFormat="1"/>
    <row r="87" s="112" customFormat="1"/>
    <row r="88" s="112" customFormat="1"/>
    <row r="89" s="112" customFormat="1"/>
    <row r="90" s="112" customFormat="1"/>
    <row r="91" s="112" customFormat="1"/>
    <row r="92" s="112" customFormat="1"/>
    <row r="93" s="112" customFormat="1"/>
    <row r="94" s="112" customFormat="1"/>
    <row r="95" s="112" customFormat="1"/>
    <row r="96" s="112" customFormat="1"/>
    <row r="97" s="112" customFormat="1"/>
    <row r="98" s="112" customFormat="1"/>
    <row r="99" s="112" customFormat="1"/>
    <row r="100" s="112" customFormat="1"/>
    <row r="101" s="112" customFormat="1"/>
    <row r="102" s="112" customFormat="1"/>
    <row r="103" s="112" customFormat="1"/>
    <row r="104" s="112" customFormat="1"/>
    <row r="105" s="112" customFormat="1"/>
    <row r="106" s="112" customFormat="1"/>
    <row r="107" s="112" customFormat="1"/>
    <row r="108" s="112" customFormat="1"/>
    <row r="109" s="112" customFormat="1"/>
    <row r="110" s="112" customFormat="1"/>
    <row r="111" s="112" customFormat="1"/>
    <row r="112" s="112" customFormat="1"/>
    <row r="113" s="112" customFormat="1"/>
    <row r="114" s="112" customFormat="1"/>
    <row r="115" s="112" customFormat="1"/>
    <row r="116" s="112" customFormat="1"/>
    <row r="117" s="112" customFormat="1"/>
    <row r="118" s="112" customFormat="1"/>
    <row r="119" s="112" customFormat="1"/>
    <row r="120" s="112" customFormat="1"/>
    <row r="121" s="112" customFormat="1"/>
    <row r="122" s="112" customFormat="1"/>
    <row r="123" s="112" customFormat="1"/>
    <row r="124" s="112" customFormat="1"/>
    <row r="125" s="112" customFormat="1"/>
    <row r="126" s="112" customFormat="1"/>
    <row r="127" s="112" customFormat="1"/>
    <row r="128" s="112" customFormat="1"/>
    <row r="129" s="112" customFormat="1"/>
    <row r="130" s="112" customFormat="1"/>
    <row r="131" s="112" customFormat="1"/>
    <row r="132" s="112" customFormat="1"/>
    <row r="133" s="112" customFormat="1"/>
    <row r="134" s="112" customFormat="1"/>
    <row r="135" s="112" customFormat="1"/>
    <row r="136" s="112" customFormat="1"/>
    <row r="137" s="112" customFormat="1"/>
    <row r="138" s="112" customFormat="1"/>
    <row r="139" s="112" customFormat="1"/>
    <row r="140" s="112" customFormat="1"/>
    <row r="141" s="112" customFormat="1"/>
    <row r="142" s="112" customFormat="1"/>
    <row r="143" s="112" customFormat="1"/>
    <row r="144" s="112" customFormat="1"/>
    <row r="145" s="112" customFormat="1"/>
    <row r="146" s="112" customFormat="1"/>
    <row r="147" s="112" customFormat="1"/>
    <row r="148" s="112" customFormat="1"/>
    <row r="149" s="112" customFormat="1"/>
    <row r="150" s="112" customFormat="1"/>
    <row r="151" s="112" customFormat="1"/>
    <row r="152" s="112" customFormat="1"/>
    <row r="153" s="112" customFormat="1"/>
    <row r="154" s="112" customFormat="1"/>
    <row r="155" s="112" customFormat="1"/>
    <row r="156" s="112" customFormat="1"/>
    <row r="157" s="112" customFormat="1"/>
    <row r="158" s="112" customFormat="1"/>
    <row r="159" s="112" customFormat="1"/>
    <row r="160" s="112" customFormat="1"/>
    <row r="161" s="112" customFormat="1"/>
    <row r="162" s="112" customFormat="1"/>
    <row r="163" s="112" customFormat="1"/>
    <row r="164" s="112" customFormat="1"/>
    <row r="165" s="112" customFormat="1"/>
    <row r="166" s="112" customFormat="1"/>
    <row r="167" s="112" customFormat="1"/>
    <row r="168" s="112" customFormat="1"/>
    <row r="169" s="112" customFormat="1"/>
    <row r="170" s="112" customFormat="1"/>
    <row r="171" s="112" customFormat="1"/>
    <row r="172" s="112" customFormat="1"/>
    <row r="173" s="112" customFormat="1"/>
    <row r="174" s="112" customFormat="1"/>
    <row r="175" s="112" customFormat="1"/>
    <row r="176" s="112" customFormat="1"/>
    <row r="177" s="112" customFormat="1"/>
    <row r="178" s="112" customFormat="1"/>
    <row r="179" s="112" customFormat="1"/>
    <row r="180" s="112" customFormat="1"/>
    <row r="181" s="112" customFormat="1"/>
    <row r="182" s="112" customFormat="1"/>
    <row r="183" s="112" customFormat="1"/>
    <row r="184" s="112" customFormat="1"/>
    <row r="185" s="112" customFormat="1"/>
    <row r="186" s="112" customFormat="1"/>
    <row r="187" s="112" customFormat="1"/>
    <row r="188" s="112" customFormat="1"/>
    <row r="189" s="112" customFormat="1"/>
    <row r="190" s="112" customFormat="1"/>
    <row r="191" s="112" customFormat="1"/>
    <row r="192" s="112" customFormat="1"/>
    <row r="193" s="112" customFormat="1"/>
    <row r="194" s="112" customFormat="1"/>
    <row r="195" s="112" customFormat="1"/>
    <row r="196" s="112" customFormat="1"/>
    <row r="197" s="112" customFormat="1"/>
    <row r="198" s="112" customFormat="1"/>
    <row r="199" s="112" customFormat="1"/>
    <row r="200" s="112" customFormat="1"/>
    <row r="201" s="112" customFormat="1"/>
    <row r="202" s="112" customFormat="1"/>
    <row r="203" s="112" customFormat="1"/>
    <row r="204" s="112" customFormat="1"/>
    <row r="205" s="112" customFormat="1"/>
    <row r="206" s="112" customFormat="1"/>
    <row r="207" s="112" customFormat="1"/>
    <row r="208" s="112" customFormat="1"/>
    <row r="209" s="112" customFormat="1"/>
    <row r="210" s="112" customFormat="1"/>
    <row r="211" s="112" customFormat="1"/>
    <row r="212" s="112" customFormat="1"/>
    <row r="213" s="112" customFormat="1"/>
    <row r="214" s="112" customFormat="1"/>
    <row r="215" s="112" customFormat="1"/>
    <row r="216" s="112" customFormat="1"/>
    <row r="217" s="112" customFormat="1"/>
    <row r="218" s="112" customFormat="1"/>
    <row r="219" s="112" customFormat="1"/>
    <row r="220" s="112" customFormat="1"/>
    <row r="221" s="112" customFormat="1"/>
    <row r="222" s="112" customFormat="1"/>
    <row r="223" s="112" customFormat="1"/>
    <row r="224" s="112" customFormat="1"/>
    <row r="225" s="112" customFormat="1"/>
    <row r="226" s="112" customFormat="1"/>
    <row r="227" s="112" customFormat="1"/>
    <row r="228" s="112" customFormat="1"/>
    <row r="229" s="112" customFormat="1"/>
    <row r="230" s="112" customFormat="1"/>
    <row r="231" s="112" customFormat="1"/>
    <row r="232" s="112" customFormat="1"/>
    <row r="233" s="112" customFormat="1"/>
    <row r="234" s="112" customFormat="1"/>
    <row r="235" s="112" customFormat="1"/>
    <row r="236" s="112" customFormat="1"/>
    <row r="237" s="112" customFormat="1"/>
    <row r="238" s="112" customFormat="1"/>
    <row r="239" s="112" customFormat="1"/>
    <row r="240" s="112" customFormat="1"/>
    <row r="241" s="112" customFormat="1"/>
    <row r="242" s="112" customFormat="1"/>
    <row r="243" s="112" customFormat="1"/>
    <row r="244" s="112" customFormat="1"/>
    <row r="245" s="112" customFormat="1"/>
    <row r="246" s="112" customFormat="1"/>
    <row r="247" s="112" customFormat="1"/>
    <row r="248" s="112" customFormat="1"/>
    <row r="249" s="112" customFormat="1"/>
    <row r="250" s="112" customFormat="1"/>
    <row r="251" s="112" customFormat="1"/>
    <row r="252" s="112" customFormat="1"/>
    <row r="253" s="112" customFormat="1"/>
    <row r="254" s="112" customFormat="1"/>
    <row r="255" s="112" customFormat="1"/>
    <row r="256" s="112" customFormat="1"/>
    <row r="257" s="112" customFormat="1"/>
    <row r="258" s="112" customFormat="1"/>
    <row r="259" s="112" customFormat="1"/>
    <row r="260" s="112" customFormat="1"/>
    <row r="261" s="112" customFormat="1"/>
    <row r="262" s="112" customFormat="1"/>
    <row r="263" s="112" customFormat="1"/>
    <row r="264" s="112" customFormat="1"/>
    <row r="265" s="112" customFormat="1"/>
    <row r="266" s="112" customFormat="1"/>
    <row r="267" s="112" customFormat="1"/>
    <row r="268" s="112" customFormat="1"/>
    <row r="269" s="112" customFormat="1"/>
    <row r="270" s="112" customFormat="1"/>
    <row r="271" s="112" customFormat="1"/>
    <row r="272" s="112" customFormat="1"/>
    <row r="273" s="112" customFormat="1"/>
    <row r="274" s="112" customFormat="1"/>
    <row r="275" s="112" customFormat="1"/>
    <row r="276" s="112" customFormat="1"/>
    <row r="277" s="112" customFormat="1"/>
    <row r="278" s="112" customFormat="1"/>
    <row r="279" s="112" customFormat="1"/>
    <row r="280" s="112" customFormat="1"/>
    <row r="281" s="112" customFormat="1"/>
    <row r="282" s="112" customFormat="1"/>
    <row r="283" s="112" customFormat="1"/>
    <row r="284" s="112" customFormat="1"/>
    <row r="285" s="112" customFormat="1"/>
    <row r="286" s="112" customFormat="1"/>
    <row r="287" s="112" customFormat="1"/>
    <row r="288" s="112" customFormat="1"/>
    <row r="289" s="112" customFormat="1"/>
    <row r="290" s="112" customFormat="1"/>
    <row r="291" s="112" customFormat="1"/>
    <row r="292" s="112" customFormat="1"/>
    <row r="293" s="112" customFormat="1"/>
    <row r="294" s="112" customFormat="1"/>
    <row r="295" s="112" customFormat="1"/>
    <row r="296" s="112" customFormat="1"/>
    <row r="297" s="112" customFormat="1"/>
    <row r="298" s="112" customFormat="1"/>
    <row r="299" s="112" customFormat="1"/>
    <row r="300" s="112" customFormat="1"/>
    <row r="301" s="112" customFormat="1"/>
    <row r="302" s="112" customFormat="1"/>
    <row r="303" s="112" customFormat="1"/>
    <row r="304" s="112" customFormat="1"/>
    <row r="305" s="112" customFormat="1"/>
    <row r="306" s="112" customFormat="1"/>
    <row r="307" s="112" customFormat="1"/>
    <row r="308" s="112" customFormat="1"/>
    <row r="309" s="112" customFormat="1"/>
    <row r="310" s="112" customFormat="1"/>
    <row r="311" s="112" customFormat="1"/>
    <row r="312" s="112" customFormat="1"/>
    <row r="313" s="112" customFormat="1"/>
    <row r="314" s="112" customFormat="1"/>
    <row r="315" s="112" customFormat="1"/>
    <row r="316" s="112" customFormat="1"/>
    <row r="317" s="112" customFormat="1"/>
    <row r="318" s="112" customFormat="1"/>
    <row r="319" s="112" customFormat="1"/>
    <row r="320" s="112" customFormat="1"/>
    <row r="321" s="112" customFormat="1"/>
    <row r="322" s="112" customFormat="1"/>
    <row r="323" s="112" customFormat="1"/>
    <row r="324" s="112" customFormat="1"/>
    <row r="325" s="112" customFormat="1"/>
    <row r="326" s="112" customFormat="1"/>
    <row r="327" s="112" customFormat="1"/>
    <row r="328" s="112" customFormat="1"/>
    <row r="329" s="112" customFormat="1"/>
    <row r="330" s="112" customFormat="1"/>
    <row r="331" s="112" customFormat="1"/>
    <row r="332" s="112" customFormat="1"/>
    <row r="333" s="112" customFormat="1"/>
    <row r="334" s="112" customFormat="1"/>
    <row r="335" s="112" customFormat="1"/>
    <row r="336" s="112" customFormat="1"/>
    <row r="337" s="112" customFormat="1"/>
    <row r="338" s="112" customFormat="1"/>
    <row r="339" s="112" customFormat="1"/>
    <row r="340" s="112" customFormat="1"/>
    <row r="341" s="112" customFormat="1"/>
    <row r="342" s="112" customFormat="1"/>
    <row r="343" s="112" customFormat="1"/>
    <row r="344" s="112" customFormat="1"/>
    <row r="345" s="112" customFormat="1"/>
    <row r="346" s="112" customFormat="1"/>
    <row r="347" s="112" customFormat="1"/>
    <row r="348" s="112" customFormat="1"/>
    <row r="349" s="112" customFormat="1"/>
    <row r="350" s="112" customFormat="1"/>
    <row r="351" s="112" customFormat="1"/>
    <row r="352" s="112" customFormat="1"/>
    <row r="353" s="112" customFormat="1"/>
    <row r="354" s="112" customFormat="1"/>
    <row r="355" s="112" customFormat="1"/>
    <row r="356" s="112" customFormat="1"/>
    <row r="357" s="112" customFormat="1"/>
    <row r="358" s="112" customFormat="1"/>
    <row r="359" s="112" customFormat="1"/>
    <row r="360" s="112" customFormat="1"/>
    <row r="361" s="112" customFormat="1"/>
    <row r="362" s="112" customFormat="1"/>
    <row r="363" s="112" customFormat="1"/>
    <row r="364" s="112" customFormat="1"/>
    <row r="365" s="112" customFormat="1"/>
    <row r="366" s="112" customFormat="1"/>
    <row r="367" s="112" customFormat="1"/>
    <row r="368" s="112" customFormat="1"/>
    <row r="369" s="112" customFormat="1"/>
    <row r="370" s="112" customFormat="1"/>
    <row r="371" s="112" customFormat="1"/>
    <row r="372" s="112" customFormat="1"/>
    <row r="373" s="112" customFormat="1"/>
    <row r="374" s="112" customFormat="1"/>
    <row r="375" s="112" customFormat="1"/>
    <row r="376" s="112" customFormat="1"/>
    <row r="377" s="112" customFormat="1"/>
    <row r="378" s="112" customFormat="1"/>
    <row r="379" s="112" customFormat="1"/>
    <row r="380" s="112" customFormat="1"/>
    <row r="381" s="112" customFormat="1"/>
    <row r="382" s="112" customFormat="1"/>
    <row r="383" s="112" customFormat="1"/>
    <row r="384" s="112" customFormat="1"/>
    <row r="385" s="112" customFormat="1"/>
    <row r="386" s="112" customFormat="1"/>
    <row r="387" s="112" customFormat="1"/>
    <row r="388" s="112" customFormat="1"/>
    <row r="389" s="112" customFormat="1"/>
    <row r="390" s="112" customFormat="1"/>
    <row r="391" s="112" customFormat="1"/>
    <row r="392" s="112" customFormat="1"/>
    <row r="393" s="112" customFormat="1"/>
    <row r="394" s="112" customFormat="1"/>
    <row r="395" s="112" customFormat="1"/>
    <row r="396" s="112" customFormat="1"/>
    <row r="397" s="112" customFormat="1"/>
    <row r="398" s="112" customFormat="1"/>
    <row r="399" s="112" customFormat="1"/>
    <row r="400" s="112" customFormat="1"/>
    <row r="401" s="112" customFormat="1"/>
    <row r="402" s="112" customFormat="1"/>
    <row r="403" s="112" customFormat="1"/>
    <row r="404" s="112" customFormat="1"/>
    <row r="405" s="112" customFormat="1"/>
    <row r="406" s="112" customFormat="1"/>
    <row r="407" s="112" customFormat="1"/>
    <row r="408" s="112" customFormat="1"/>
    <row r="409" s="112" customFormat="1"/>
    <row r="410" s="112" customFormat="1"/>
    <row r="411" s="112" customFormat="1"/>
    <row r="412" s="112" customFormat="1"/>
    <row r="413" s="112" customFormat="1"/>
    <row r="414" s="112" customFormat="1"/>
    <row r="415" s="112" customFormat="1"/>
    <row r="416" s="112" customFormat="1"/>
    <row r="417" s="112" customFormat="1"/>
    <row r="418" s="112" customFormat="1"/>
    <row r="419" s="112" customFormat="1"/>
    <row r="420" s="112" customFormat="1"/>
    <row r="421" s="112" customFormat="1"/>
    <row r="422" s="112" customFormat="1"/>
    <row r="423" s="112" customFormat="1"/>
    <row r="424" s="112" customFormat="1"/>
    <row r="425" s="112" customFormat="1"/>
    <row r="426" s="112" customFormat="1"/>
    <row r="427" s="112" customFormat="1"/>
    <row r="428" s="112" customFormat="1"/>
    <row r="429" s="112" customFormat="1"/>
    <row r="430" s="112" customFormat="1"/>
    <row r="431" s="112" customFormat="1"/>
    <row r="432" s="112" customFormat="1"/>
    <row r="433" s="112" customFormat="1"/>
    <row r="434" s="112" customFormat="1"/>
    <row r="435" s="112" customFormat="1"/>
    <row r="436" s="112" customFormat="1"/>
    <row r="437" s="112" customFormat="1"/>
    <row r="438" s="112" customFormat="1"/>
    <row r="439" s="112" customFormat="1"/>
    <row r="440" s="112" customFormat="1"/>
    <row r="441" s="112" customFormat="1"/>
    <row r="442" s="112" customFormat="1"/>
    <row r="443" s="112" customFormat="1"/>
    <row r="444" s="112" customFormat="1"/>
    <row r="445" s="112" customFormat="1"/>
    <row r="446" s="112" customFormat="1"/>
    <row r="447" s="112" customFormat="1"/>
    <row r="448" s="112" customFormat="1"/>
    <row r="449" s="112" customFormat="1"/>
    <row r="450" s="112" customFormat="1"/>
    <row r="451" s="112" customFormat="1"/>
    <row r="452" s="112" customFormat="1"/>
    <row r="453" s="112" customFormat="1"/>
    <row r="454" s="112" customFormat="1"/>
    <row r="455" s="112" customFormat="1"/>
    <row r="456" s="112" customFormat="1"/>
    <row r="457" s="112" customFormat="1"/>
    <row r="458" s="112" customFormat="1"/>
    <row r="459" s="112" customFormat="1"/>
    <row r="460" s="112" customFormat="1"/>
    <row r="461" s="112" customFormat="1"/>
    <row r="462" s="112" customFormat="1"/>
    <row r="463" s="112" customFormat="1"/>
    <row r="464" s="112" customFormat="1"/>
    <row r="465" s="112" customFormat="1"/>
    <row r="466" s="112" customFormat="1"/>
    <row r="467" s="112" customFormat="1"/>
    <row r="468" s="112" customFormat="1"/>
    <row r="469" s="112" customFormat="1"/>
    <row r="470" s="112" customFormat="1"/>
    <row r="471" s="112" customFormat="1"/>
    <row r="472" s="112" customFormat="1"/>
    <row r="473" s="112" customFormat="1"/>
    <row r="474" s="112" customFormat="1"/>
    <row r="475" s="112" customFormat="1"/>
    <row r="476" s="112" customFormat="1"/>
    <row r="477" s="112" customFormat="1"/>
    <row r="478" s="112" customFormat="1"/>
    <row r="479" s="112" customFormat="1"/>
    <row r="480" s="112" customFormat="1"/>
    <row r="481" s="112" customFormat="1"/>
    <row r="482" s="112" customFormat="1"/>
    <row r="483" s="112" customFormat="1"/>
    <row r="484" s="112" customFormat="1"/>
    <row r="485" s="112" customFormat="1"/>
    <row r="486" s="112" customFormat="1"/>
    <row r="487" s="112" customFormat="1"/>
    <row r="488" s="112" customFormat="1"/>
    <row r="489" s="112" customFormat="1"/>
    <row r="490" s="112" customFormat="1"/>
    <row r="491" s="112" customFormat="1"/>
    <row r="492" s="112" customFormat="1"/>
    <row r="493" s="112" customFormat="1"/>
    <row r="494" s="112" customFormat="1"/>
    <row r="495" s="112" customFormat="1"/>
    <row r="496" s="112" customFormat="1"/>
    <row r="497" s="112" customFormat="1"/>
    <row r="498" s="112" customFormat="1"/>
    <row r="499" s="112" customFormat="1"/>
    <row r="500" s="112" customFormat="1"/>
    <row r="501" s="112" customFormat="1"/>
    <row r="502" s="112" customFormat="1"/>
    <row r="503" s="112" customFormat="1"/>
    <row r="504" s="112" customFormat="1"/>
    <row r="505" s="112" customFormat="1"/>
    <row r="506" s="112" customFormat="1"/>
    <row r="507" s="112" customFormat="1"/>
    <row r="508" s="112" customFormat="1"/>
    <row r="509" s="112" customFormat="1"/>
    <row r="510" s="112" customFormat="1"/>
    <row r="511" s="112" customFormat="1"/>
    <row r="512" s="112" customFormat="1"/>
    <row r="513" s="112" customFormat="1"/>
    <row r="514" s="112" customFormat="1"/>
    <row r="515" s="112" customFormat="1"/>
    <row r="516" s="112" customFormat="1"/>
    <row r="517" s="112" customFormat="1"/>
    <row r="518" s="112" customFormat="1"/>
    <row r="519" s="112" customFormat="1"/>
    <row r="520" s="112" customFormat="1"/>
    <row r="521" s="112" customFormat="1"/>
    <row r="522" s="112" customFormat="1"/>
    <row r="523" s="112" customFormat="1"/>
    <row r="524" s="112" customFormat="1"/>
    <row r="525" s="112" customFormat="1"/>
    <row r="526" s="112" customFormat="1"/>
    <row r="527" s="112" customFormat="1"/>
    <row r="528" s="112" customFormat="1"/>
    <row r="529" s="112" customFormat="1"/>
    <row r="530" s="112" customFormat="1"/>
    <row r="531" s="112" customFormat="1"/>
    <row r="532" s="112" customFormat="1"/>
    <row r="533" s="112" customFormat="1"/>
    <row r="534" s="112" customFormat="1"/>
    <row r="535" s="112" customFormat="1"/>
    <row r="536" s="112" customFormat="1"/>
    <row r="537" s="112" customFormat="1"/>
    <row r="538" s="112" customFormat="1"/>
    <row r="539" s="112" customFormat="1"/>
    <row r="540" s="112" customFormat="1"/>
    <row r="541" s="112" customFormat="1"/>
    <row r="542" s="112" customFormat="1"/>
    <row r="543" s="112" customFormat="1"/>
    <row r="544" s="112" customFormat="1"/>
    <row r="545" s="112" customFormat="1"/>
    <row r="546" s="112" customFormat="1"/>
    <row r="547" s="112" customFormat="1"/>
    <row r="548" s="112" customFormat="1"/>
    <row r="549" s="112" customFormat="1"/>
    <row r="550" s="112" customFormat="1"/>
    <row r="551" s="112" customFormat="1"/>
    <row r="552" s="112" customFormat="1"/>
    <row r="553" s="112" customFormat="1"/>
    <row r="554" s="112" customFormat="1"/>
    <row r="555" s="112" customFormat="1"/>
    <row r="556" s="112" customFormat="1"/>
    <row r="557" s="112" customFormat="1"/>
    <row r="558" s="112" customFormat="1"/>
    <row r="559" s="112" customFormat="1"/>
    <row r="560" s="112" customFormat="1"/>
    <row r="561" s="112" customFormat="1"/>
    <row r="562" s="112" customFormat="1"/>
    <row r="563" s="112" customFormat="1"/>
    <row r="564" s="112" customFormat="1"/>
    <row r="565" s="112" customFormat="1"/>
    <row r="566" s="112" customFormat="1"/>
    <row r="567" s="112" customFormat="1"/>
    <row r="568" s="112" customFormat="1"/>
    <row r="569" s="112" customFormat="1"/>
    <row r="570" s="112" customFormat="1"/>
    <row r="571" s="112" customFormat="1"/>
    <row r="572" s="112" customFormat="1"/>
    <row r="573" s="112" customFormat="1"/>
    <row r="574" s="112" customFormat="1"/>
    <row r="575" s="112" customFormat="1"/>
    <row r="576" s="112" customFormat="1"/>
    <row r="577" s="112" customFormat="1"/>
    <row r="578" s="112" customFormat="1"/>
    <row r="579" s="112" customFormat="1"/>
    <row r="580" s="112" customFormat="1"/>
    <row r="581" s="112" customFormat="1"/>
    <row r="582" s="112" customFormat="1"/>
    <row r="583" s="112" customFormat="1"/>
    <row r="584" s="112" customFormat="1"/>
    <row r="585" s="112" customFormat="1"/>
    <row r="586" s="112" customFormat="1"/>
    <row r="587" s="112" customFormat="1"/>
    <row r="588" s="112" customFormat="1"/>
    <row r="589" s="112" customFormat="1"/>
    <row r="590" s="112" customFormat="1"/>
    <row r="591" s="112" customFormat="1"/>
    <row r="592" s="112" customFormat="1"/>
    <row r="593" s="112" customFormat="1"/>
    <row r="594" s="112" customFormat="1"/>
    <row r="595" s="112" customFormat="1"/>
    <row r="596" s="112" customFormat="1"/>
    <row r="597" s="112" customFormat="1"/>
    <row r="598" s="112" customFormat="1"/>
    <row r="599" s="112" customFormat="1"/>
    <row r="600" s="112" customFormat="1"/>
    <row r="601" s="112" customFormat="1"/>
    <row r="602" s="112" customFormat="1"/>
    <row r="603" s="112" customFormat="1"/>
    <row r="604" s="112" customFormat="1"/>
    <row r="605" s="112" customFormat="1"/>
    <row r="606" s="112" customFormat="1"/>
    <row r="607" s="112" customFormat="1"/>
    <row r="608" s="112" customFormat="1"/>
    <row r="609" s="112" customFormat="1"/>
    <row r="610" s="112" customFormat="1"/>
    <row r="611" s="112" customFormat="1"/>
    <row r="612" s="112" customFormat="1"/>
    <row r="613" s="112" customFormat="1"/>
    <row r="614" s="112" customFormat="1"/>
    <row r="615" s="112" customFormat="1"/>
    <row r="616" s="112" customFormat="1"/>
    <row r="617" s="112" customFormat="1"/>
    <row r="618" s="112" customFormat="1"/>
    <row r="619" s="112" customFormat="1"/>
    <row r="620" s="112" customFormat="1"/>
    <row r="621" s="112" customFormat="1"/>
    <row r="622" s="112" customFormat="1"/>
    <row r="623" s="112" customFormat="1"/>
    <row r="624" s="112" customFormat="1"/>
    <row r="625" s="112" customFormat="1"/>
    <row r="626" s="112" customFormat="1"/>
    <row r="627" s="112" customFormat="1"/>
    <row r="628" s="112" customFormat="1"/>
    <row r="629" s="112" customFormat="1"/>
    <row r="630" s="112" customFormat="1"/>
    <row r="631" s="112" customFormat="1"/>
    <row r="632" s="112" customFormat="1"/>
    <row r="633" s="112" customFormat="1"/>
    <row r="634" s="112" customFormat="1"/>
    <row r="635" s="112" customFormat="1"/>
    <row r="636" s="112" customFormat="1"/>
    <row r="637" s="112" customFormat="1"/>
    <row r="638" s="112" customFormat="1"/>
    <row r="639" s="112" customFormat="1"/>
    <row r="640" s="112" customFormat="1"/>
    <row r="641" s="112" customFormat="1"/>
    <row r="642" s="112" customFormat="1"/>
    <row r="643" s="112" customFormat="1"/>
    <row r="644" s="112" customFormat="1"/>
    <row r="645" s="112" customFormat="1"/>
    <row r="646" s="112" customFormat="1"/>
    <row r="647" s="112" customFormat="1"/>
    <row r="648" s="112" customFormat="1"/>
    <row r="649" s="112" customFormat="1"/>
    <row r="650" s="112" customFormat="1"/>
    <row r="651" s="112" customFormat="1"/>
    <row r="652" s="112" customFormat="1"/>
    <row r="653" s="112" customFormat="1"/>
    <row r="654" s="112" customFormat="1"/>
    <row r="655" s="112" customFormat="1"/>
    <row r="656" s="112" customFormat="1"/>
    <row r="657" s="112" customFormat="1"/>
    <row r="658" s="112" customFormat="1"/>
    <row r="659" s="112" customFormat="1"/>
    <row r="660" s="112" customFormat="1"/>
    <row r="661" s="112" customFormat="1"/>
    <row r="662" s="112" customFormat="1"/>
    <row r="663" s="112" customFormat="1"/>
    <row r="664" s="112" customFormat="1"/>
    <row r="665" s="112" customFormat="1"/>
    <row r="666" s="112" customFormat="1"/>
    <row r="667" s="112" customFormat="1"/>
    <row r="668" s="112" customFormat="1"/>
    <row r="669" s="112" customFormat="1"/>
    <row r="670" s="112" customFormat="1"/>
    <row r="671" s="112" customFormat="1"/>
    <row r="672" s="112" customFormat="1"/>
    <row r="673" s="112" customFormat="1"/>
    <row r="674" s="112" customFormat="1"/>
    <row r="675" s="112" customFormat="1"/>
    <row r="676" s="112" customFormat="1"/>
    <row r="677" s="112" customFormat="1"/>
    <row r="678" s="112" customFormat="1"/>
    <row r="679" s="112" customFormat="1"/>
    <row r="680" s="112" customFormat="1"/>
    <row r="681" s="112" customFormat="1"/>
    <row r="682" s="112" customFormat="1"/>
    <row r="683" s="112" customFormat="1"/>
    <row r="684" s="112" customFormat="1"/>
    <row r="685" s="112" customFormat="1"/>
    <row r="686" s="112" customFormat="1"/>
    <row r="687" s="112" customFormat="1"/>
    <row r="688" s="112" customFormat="1"/>
    <row r="689" s="112" customFormat="1"/>
    <row r="690" s="112" customFormat="1"/>
    <row r="691" s="112" customFormat="1"/>
    <row r="692" s="112" customFormat="1"/>
    <row r="693" s="112" customFormat="1"/>
    <row r="694" s="112" customFormat="1"/>
    <row r="695" s="112" customFormat="1"/>
    <row r="696" s="112" customFormat="1"/>
    <row r="697" s="112" customFormat="1"/>
    <row r="698" s="112" customFormat="1"/>
    <row r="699" s="112" customFormat="1"/>
    <row r="700" s="112" customFormat="1"/>
    <row r="701" s="112" customFormat="1"/>
    <row r="702" s="112" customFormat="1"/>
    <row r="703" s="112" customFormat="1"/>
    <row r="704" s="112" customFormat="1"/>
    <row r="705" s="112" customFormat="1"/>
    <row r="706" s="112" customFormat="1"/>
    <row r="707" s="112" customFormat="1"/>
    <row r="708" s="112" customFormat="1"/>
    <row r="709" s="112" customFormat="1"/>
    <row r="710" s="112" customFormat="1"/>
    <row r="711" s="112" customFormat="1"/>
    <row r="712" s="112" customFormat="1"/>
    <row r="713" s="112" customFormat="1"/>
    <row r="714" s="112" customFormat="1"/>
    <row r="715" s="112" customFormat="1"/>
    <row r="716" s="112" customFormat="1"/>
    <row r="717" s="112" customFormat="1"/>
    <row r="718" s="112" customFormat="1"/>
    <row r="719" s="112" customFormat="1"/>
    <row r="720" s="112" customFormat="1"/>
    <row r="721" s="112" customFormat="1"/>
    <row r="722" s="112" customFormat="1"/>
    <row r="723" s="112" customFormat="1"/>
    <row r="724" s="112" customFormat="1"/>
    <row r="725" s="112" customFormat="1"/>
    <row r="726" s="112" customFormat="1"/>
    <row r="727" s="112" customFormat="1"/>
    <row r="728" s="112" customFormat="1"/>
    <row r="729" s="112" customFormat="1"/>
    <row r="730" s="112" customFormat="1"/>
    <row r="731" s="112" customFormat="1"/>
    <row r="732" s="112" customFormat="1"/>
    <row r="733" s="112" customFormat="1"/>
    <row r="734" s="112" customFormat="1"/>
    <row r="735" s="112" customFormat="1"/>
    <row r="736" s="112" customFormat="1"/>
    <row r="737" s="112" customFormat="1"/>
    <row r="738" s="112" customFormat="1"/>
    <row r="739" s="112" customFormat="1"/>
    <row r="740" s="112" customFormat="1"/>
    <row r="741" s="112" customFormat="1"/>
    <row r="742" s="112" customFormat="1"/>
    <row r="743" s="112" customFormat="1"/>
    <row r="744" s="112" customFormat="1"/>
    <row r="745" s="112" customFormat="1"/>
    <row r="746" s="112" customFormat="1"/>
    <row r="747" s="112" customFormat="1"/>
    <row r="748" s="112" customFormat="1"/>
    <row r="749" s="112" customFormat="1"/>
    <row r="750" s="112" customFormat="1"/>
    <row r="751" s="112" customFormat="1"/>
    <row r="752" s="112" customFormat="1"/>
    <row r="753" s="112" customFormat="1"/>
    <row r="754" s="112" customFormat="1"/>
    <row r="755" s="112" customFormat="1"/>
    <row r="756" s="112" customFormat="1"/>
    <row r="757" s="112" customFormat="1"/>
    <row r="758" s="112" customFormat="1"/>
    <row r="759" s="112" customFormat="1"/>
    <row r="760" s="112" customFormat="1"/>
    <row r="761" s="112" customFormat="1"/>
    <row r="762" s="112" customFormat="1"/>
    <row r="763" s="112" customFormat="1"/>
    <row r="764" s="112" customFormat="1"/>
    <row r="765" s="112" customFormat="1"/>
    <row r="766" s="112" customFormat="1"/>
    <row r="767" s="112" customFormat="1"/>
    <row r="768" s="112" customFormat="1"/>
    <row r="769" s="112" customFormat="1"/>
    <row r="770" s="112" customFormat="1"/>
    <row r="771" s="112" customFormat="1"/>
    <row r="772" s="112" customFormat="1"/>
    <row r="773" s="112" customFormat="1"/>
    <row r="774" s="112" customFormat="1"/>
    <row r="775" s="112" customFormat="1"/>
    <row r="776" s="112" customFormat="1"/>
    <row r="777" s="112" customFormat="1"/>
    <row r="778" s="112" customFormat="1"/>
    <row r="779" s="112" customFormat="1"/>
    <row r="780" s="112" customFormat="1"/>
    <row r="781" s="112" customFormat="1"/>
    <row r="782" s="112" customFormat="1"/>
    <row r="783" s="112" customFormat="1"/>
    <row r="784" s="112" customFormat="1"/>
    <row r="785" s="112" customFormat="1"/>
    <row r="786" s="112" customFormat="1"/>
    <row r="787" s="112" customFormat="1"/>
    <row r="788" s="112" customFormat="1"/>
    <row r="789" s="112" customFormat="1"/>
    <row r="790" s="112" customFormat="1"/>
    <row r="791" s="112" customFormat="1"/>
    <row r="792" s="112" customFormat="1"/>
    <row r="793" s="112" customFormat="1"/>
    <row r="794" s="112" customFormat="1"/>
    <row r="795" s="112" customFormat="1"/>
    <row r="796" s="112" customFormat="1"/>
    <row r="797" s="112" customFormat="1"/>
    <row r="798" s="112" customFormat="1"/>
    <row r="799" s="112" customFormat="1"/>
    <row r="800" s="112" customFormat="1"/>
    <row r="801" s="112" customFormat="1"/>
    <row r="802" s="112" customFormat="1"/>
    <row r="803" s="112" customFormat="1"/>
    <row r="804" s="112" customFormat="1"/>
    <row r="805" s="112" customFormat="1"/>
    <row r="806" s="112" customFormat="1"/>
    <row r="807" s="112" customFormat="1"/>
    <row r="808" s="112" customFormat="1"/>
    <row r="809" s="112" customFormat="1"/>
    <row r="810" s="112" customFormat="1"/>
    <row r="811" s="112" customFormat="1"/>
    <row r="812" s="112" customFormat="1"/>
    <row r="813" s="112" customFormat="1"/>
    <row r="814" s="112" customFormat="1"/>
    <row r="815" s="112" customFormat="1"/>
    <row r="816" s="112" customFormat="1"/>
    <row r="817" s="112" customFormat="1"/>
    <row r="818" s="112" customFormat="1"/>
    <row r="819" s="112" customFormat="1"/>
    <row r="820" s="112" customFormat="1"/>
    <row r="821" s="112" customFormat="1"/>
    <row r="822" s="112" customFormat="1"/>
    <row r="823" s="112" customFormat="1"/>
    <row r="824" s="112" customFormat="1"/>
    <row r="825" s="112" customFormat="1"/>
    <row r="826" s="112" customFormat="1"/>
    <row r="827" s="112" customFormat="1"/>
    <row r="828" s="112" customFormat="1"/>
    <row r="829" s="112" customFormat="1"/>
    <row r="830" s="112" customFormat="1"/>
    <row r="831" s="112" customFormat="1"/>
    <row r="832" s="112" customFormat="1"/>
    <row r="833" s="112" customFormat="1"/>
    <row r="834" s="112" customFormat="1"/>
    <row r="835" s="112" customFormat="1"/>
    <row r="836" s="112" customFormat="1"/>
    <row r="837" s="112" customFormat="1"/>
    <row r="838" s="112" customFormat="1"/>
    <row r="839" s="112" customFormat="1"/>
    <row r="840" s="112" customFormat="1"/>
    <row r="841" s="112" customFormat="1"/>
    <row r="842" s="112" customFormat="1"/>
    <row r="843" s="112" customFormat="1"/>
    <row r="844" s="112" customFormat="1"/>
    <row r="845" s="112" customFormat="1"/>
    <row r="846" s="112" customFormat="1"/>
    <row r="847" s="112" customFormat="1"/>
    <row r="848" s="112" customFormat="1"/>
    <row r="849" s="112" customFormat="1"/>
    <row r="850" s="112" customFormat="1"/>
    <row r="851" s="112" customFormat="1"/>
    <row r="852" s="112" customFormat="1"/>
    <row r="853" s="112" customFormat="1"/>
    <row r="854" s="112" customFormat="1"/>
    <row r="855" s="112" customFormat="1"/>
    <row r="856" s="112" customFormat="1"/>
    <row r="857" s="112" customFormat="1"/>
    <row r="858" s="112" customFormat="1"/>
    <row r="859" s="112" customFormat="1"/>
    <row r="860" s="112" customFormat="1"/>
    <row r="861" s="112" customFormat="1"/>
    <row r="862" s="112" customFormat="1"/>
    <row r="863" s="112" customFormat="1"/>
    <row r="864" s="112" customFormat="1"/>
    <row r="865" s="112" customFormat="1"/>
    <row r="866" s="112" customFormat="1"/>
    <row r="867" s="112" customFormat="1"/>
    <row r="868" s="112" customFormat="1"/>
    <row r="869" s="112" customFormat="1"/>
    <row r="870" s="112" customFormat="1"/>
    <row r="871" s="112" customFormat="1"/>
    <row r="872" s="112" customFormat="1"/>
    <row r="873" s="112" customFormat="1"/>
    <row r="874" s="112" customFormat="1"/>
    <row r="875" s="112" customFormat="1"/>
    <row r="876" s="112" customFormat="1"/>
    <row r="877" s="112" customFormat="1"/>
    <row r="878" s="112" customFormat="1"/>
    <row r="879" s="112" customFormat="1"/>
    <row r="880" s="112" customFormat="1"/>
    <row r="881" s="112" customFormat="1"/>
    <row r="882" s="112" customFormat="1"/>
    <row r="883" s="112" customFormat="1"/>
    <row r="884" s="112" customFormat="1"/>
    <row r="885" s="112" customFormat="1"/>
    <row r="886" s="112" customFormat="1"/>
    <row r="887" s="112" customFormat="1"/>
    <row r="888" s="112" customFormat="1"/>
    <row r="889" s="112" customFormat="1"/>
    <row r="890" s="112" customFormat="1"/>
    <row r="891" s="112" customFormat="1"/>
    <row r="892" s="112" customFormat="1"/>
    <row r="893" s="112" customFormat="1"/>
    <row r="894" s="112" customFormat="1"/>
    <row r="895" s="112" customFormat="1"/>
    <row r="896" s="112" customFormat="1"/>
    <row r="897" s="112" customFormat="1"/>
    <row r="898" s="112" customFormat="1"/>
    <row r="899" s="112" customFormat="1"/>
    <row r="900" s="112" customFormat="1"/>
    <row r="901" s="112" customFormat="1"/>
    <row r="902" s="112" customFormat="1"/>
    <row r="903" s="112" customFormat="1"/>
    <row r="904" s="112" customFormat="1"/>
    <row r="905" s="112" customFormat="1"/>
    <row r="906" s="112" customFormat="1"/>
    <row r="907" s="112" customFormat="1"/>
    <row r="908" s="112" customFormat="1"/>
    <row r="909" s="112" customFormat="1"/>
    <row r="910" s="112" customFormat="1"/>
    <row r="911" s="112" customFormat="1"/>
    <row r="912" s="112" customFormat="1"/>
    <row r="913" s="112" customFormat="1"/>
    <row r="914" s="112" customFormat="1"/>
    <row r="915" s="112" customFormat="1"/>
    <row r="916" s="112" customFormat="1"/>
    <row r="917" s="112" customFormat="1"/>
    <row r="918" s="112" customFormat="1"/>
    <row r="919" s="112" customFormat="1"/>
    <row r="920" s="112" customFormat="1"/>
    <row r="921" s="112" customFormat="1"/>
    <row r="922" s="112" customFormat="1"/>
    <row r="923" s="112" customFormat="1"/>
    <row r="924" s="112" customFormat="1"/>
    <row r="925" s="112" customFormat="1"/>
    <row r="926" s="112" customFormat="1"/>
    <row r="927" s="112" customFormat="1"/>
    <row r="928" s="112" customFormat="1"/>
    <row r="929" s="112" customFormat="1"/>
    <row r="930" s="112" customFormat="1"/>
    <row r="931" s="112" customFormat="1"/>
    <row r="932" s="112" customFormat="1"/>
    <row r="933" s="112" customFormat="1"/>
    <row r="934" s="112" customFormat="1"/>
    <row r="935" s="112" customFormat="1"/>
    <row r="936" s="112" customFormat="1"/>
    <row r="937" s="112" customFormat="1"/>
    <row r="938" s="112" customFormat="1"/>
    <row r="939" s="112" customFormat="1"/>
    <row r="940" s="112" customFormat="1"/>
    <row r="941" s="112" customFormat="1"/>
    <row r="942" s="112" customFormat="1"/>
    <row r="943" s="112" customFormat="1"/>
    <row r="944" s="112" customFormat="1"/>
    <row r="945" s="112" customFormat="1"/>
    <row r="946" s="112" customFormat="1"/>
    <row r="947" s="112" customFormat="1"/>
    <row r="948" s="112" customFormat="1"/>
    <row r="949" s="112" customFormat="1"/>
    <row r="950" s="112" customFormat="1"/>
    <row r="951" s="112" customFormat="1"/>
    <row r="952" s="112" customFormat="1"/>
    <row r="953" s="112" customFormat="1"/>
    <row r="954" s="112" customFormat="1"/>
    <row r="955" s="112" customFormat="1"/>
    <row r="956" s="112" customFormat="1"/>
    <row r="957" s="112" customFormat="1"/>
    <row r="958" s="112" customFormat="1"/>
    <row r="959" s="112" customFormat="1"/>
    <row r="960" s="112" customFormat="1"/>
    <row r="961" s="112" customFormat="1"/>
    <row r="962" s="112" customFormat="1"/>
    <row r="963" s="112" customFormat="1"/>
    <row r="964" s="112" customFormat="1"/>
    <row r="965" s="112" customFormat="1"/>
    <row r="966" s="112" customFormat="1"/>
    <row r="967" s="112" customFormat="1"/>
    <row r="968" s="112" customFormat="1"/>
    <row r="969" s="112" customFormat="1"/>
    <row r="970" s="112" customFormat="1"/>
    <row r="971" s="112" customFormat="1"/>
    <row r="972" s="112" customFormat="1"/>
    <row r="973" s="112" customFormat="1"/>
    <row r="974" s="112" customFormat="1"/>
    <row r="975" s="112" customFormat="1"/>
    <row r="976" s="112" customFormat="1"/>
    <row r="977" s="112" customFormat="1"/>
    <row r="978" s="112" customFormat="1"/>
    <row r="979" s="112" customFormat="1"/>
    <row r="980" s="112" customFormat="1"/>
    <row r="981" s="112" customFormat="1"/>
    <row r="982" s="112" customFormat="1"/>
    <row r="983" s="112" customFormat="1"/>
    <row r="984" s="112" customFormat="1"/>
    <row r="985" s="112" customFormat="1"/>
    <row r="986" s="112" customFormat="1"/>
    <row r="987" s="112" customFormat="1"/>
    <row r="988" s="112" customFormat="1"/>
    <row r="989" s="112" customFormat="1"/>
    <row r="990" s="112" customFormat="1"/>
    <row r="991" s="112" customFormat="1"/>
    <row r="992" s="112" customFormat="1"/>
    <row r="993" s="112" customFormat="1"/>
    <row r="994" s="112" customFormat="1"/>
    <row r="995" s="112" customFormat="1"/>
    <row r="996" s="112" customFormat="1"/>
    <row r="997" s="112" customFormat="1"/>
    <row r="998" s="112" customFormat="1"/>
    <row r="999" s="112" customFormat="1"/>
    <row r="1000" s="112" customFormat="1"/>
    <row r="1001" s="112" customFormat="1"/>
    <row r="1002" s="112" customFormat="1"/>
    <row r="1003" s="112" customFormat="1"/>
    <row r="1004" s="112" customFormat="1"/>
    <row r="1005" s="112" customFormat="1"/>
    <row r="1006" s="112" customFormat="1"/>
    <row r="1007" s="112" customFormat="1"/>
    <row r="1008" s="112" customFormat="1"/>
    <row r="1009" s="112" customFormat="1"/>
    <row r="1010" s="112" customFormat="1"/>
    <row r="1011" s="112" customFormat="1"/>
    <row r="1012" s="112" customFormat="1"/>
    <row r="1013" s="112" customFormat="1"/>
    <row r="1014" s="112" customFormat="1"/>
    <row r="1015" s="112" customFormat="1"/>
    <row r="1016" s="112" customFormat="1"/>
    <row r="1017" s="112" customFormat="1"/>
    <row r="1018" s="112" customFormat="1"/>
    <row r="1019" s="112" customFormat="1"/>
    <row r="1020" s="112" customFormat="1"/>
    <row r="1021" s="112" customFormat="1"/>
    <row r="1022" s="112" customFormat="1"/>
    <row r="1023" s="112" customFormat="1"/>
    <row r="1024" s="112" customFormat="1"/>
    <row r="1025" s="112" customFormat="1"/>
    <row r="1026" s="112" customFormat="1"/>
    <row r="1027" s="112" customFormat="1"/>
    <row r="1028" s="112" customFormat="1"/>
    <row r="1029" s="112" customFormat="1"/>
    <row r="1030" s="112" customFormat="1"/>
    <row r="1031" s="112" customFormat="1"/>
    <row r="1032" s="112" customFormat="1"/>
    <row r="1033" s="112" customFormat="1"/>
    <row r="1034" s="112" customFormat="1"/>
    <row r="1035" s="112" customFormat="1"/>
    <row r="1036" s="112" customFormat="1"/>
    <row r="1037" s="112" customFormat="1"/>
    <row r="1038" s="112" customFormat="1"/>
    <row r="1039" s="112" customFormat="1"/>
    <row r="1040" s="112" customFormat="1"/>
    <row r="1041" s="112" customFormat="1"/>
    <row r="1042" s="112" customFormat="1"/>
    <row r="1043" s="112" customFormat="1"/>
    <row r="1044" s="112" customFormat="1"/>
    <row r="1045" s="112" customFormat="1"/>
    <row r="1046" s="112" customFormat="1"/>
    <row r="1047" s="112" customFormat="1"/>
    <row r="1048" s="112" customFormat="1"/>
    <row r="1049" s="112" customFormat="1"/>
    <row r="1050" s="112" customFormat="1"/>
    <row r="1051" s="112" customFormat="1"/>
    <row r="1052" s="112" customFormat="1"/>
    <row r="1053" s="112" customFormat="1"/>
    <row r="1054" s="112" customFormat="1"/>
    <row r="1055" s="112" customFormat="1"/>
    <row r="1056" s="112" customFormat="1"/>
    <row r="1057" s="112" customFormat="1"/>
    <row r="1058" s="112" customFormat="1"/>
    <row r="1059" s="112" customFormat="1"/>
    <row r="1060" s="112" customFormat="1"/>
    <row r="1061" s="112" customFormat="1"/>
    <row r="1062" s="112" customFormat="1"/>
    <row r="1063" s="112" customFormat="1"/>
    <row r="1064" s="112" customFormat="1"/>
    <row r="1065" s="112" customFormat="1"/>
    <row r="1066" s="112" customFormat="1"/>
    <row r="1067" s="112" customFormat="1"/>
    <row r="1068" s="112" customFormat="1"/>
    <row r="1069" s="112" customFormat="1"/>
    <row r="1070" s="112" customFormat="1"/>
    <row r="1071" s="112" customFormat="1"/>
    <row r="1072" s="112" customFormat="1"/>
    <row r="1073" s="112" customFormat="1"/>
    <row r="1074" s="112" customFormat="1"/>
    <row r="1075" s="112" customFormat="1"/>
    <row r="1076" s="112" customFormat="1"/>
    <row r="1077" s="112" customFormat="1"/>
    <row r="1078" s="112" customFormat="1"/>
    <row r="1079" s="112" customFormat="1"/>
    <row r="1080" s="112" customFormat="1"/>
    <row r="1081" s="112" customFormat="1"/>
    <row r="1082" s="112" customFormat="1"/>
    <row r="1083" s="112" customFormat="1"/>
    <row r="1084" s="112" customFormat="1"/>
    <row r="1085" s="112" customFormat="1"/>
    <row r="1086" s="112" customFormat="1"/>
    <row r="1087" s="112" customFormat="1"/>
    <row r="1088" s="112" customFormat="1"/>
    <row r="1089" s="112" customFormat="1"/>
    <row r="1090" s="112" customFormat="1"/>
    <row r="1091" s="112" customFormat="1"/>
    <row r="1092" s="112" customFormat="1"/>
    <row r="1093" s="112" customFormat="1"/>
    <row r="1094" s="112" customFormat="1"/>
    <row r="1095" s="112" customFormat="1"/>
    <row r="1096" s="112" customFormat="1"/>
    <row r="1097" s="112" customFormat="1"/>
    <row r="1098" s="112" customFormat="1"/>
    <row r="1099" s="112" customFormat="1"/>
    <row r="1100" s="112" customFormat="1"/>
    <row r="1101" s="112" customFormat="1"/>
    <row r="1102" s="112" customFormat="1"/>
    <row r="1103" s="112" customFormat="1"/>
    <row r="1104" s="112" customFormat="1"/>
    <row r="1105" s="112" customFormat="1"/>
    <row r="1106" s="112" customFormat="1"/>
    <row r="1107" s="112" customFormat="1"/>
    <row r="1108" s="112" customFormat="1"/>
    <row r="1109" s="112" customFormat="1"/>
    <row r="1110" s="112" customFormat="1"/>
    <row r="1111" s="112" customFormat="1"/>
    <row r="1112" s="112" customFormat="1"/>
    <row r="1113" s="112" customFormat="1"/>
    <row r="1114" s="112" customFormat="1"/>
    <row r="1115" s="112" customFormat="1"/>
    <row r="1116" s="112" customFormat="1"/>
    <row r="1117" s="112" customFormat="1"/>
    <row r="1118" s="112" customFormat="1"/>
    <row r="1119" s="112" customFormat="1"/>
    <row r="1120" s="112" customFormat="1"/>
    <row r="1121" s="112" customFormat="1"/>
    <row r="1122" s="112" customFormat="1"/>
    <row r="1123" s="112" customFormat="1"/>
    <row r="1124" s="112" customFormat="1"/>
    <row r="1125" s="112" customFormat="1"/>
    <row r="1126" s="112" customFormat="1"/>
    <row r="1127" s="112" customFormat="1"/>
    <row r="1128" s="112" customFormat="1"/>
    <row r="1129" s="112" customFormat="1"/>
    <row r="1130" s="112" customFormat="1"/>
    <row r="1131" s="112" customFormat="1"/>
    <row r="1132" s="112" customFormat="1"/>
    <row r="1133" s="112" customFormat="1"/>
    <row r="1134" s="112" customFormat="1"/>
    <row r="1135" s="112" customFormat="1"/>
    <row r="1136" s="112" customFormat="1"/>
    <row r="1137" s="112" customFormat="1"/>
    <row r="1138" s="112" customFormat="1"/>
    <row r="1139" s="112" customFormat="1"/>
    <row r="1140" s="112" customFormat="1"/>
    <row r="1141" s="112" customFormat="1"/>
    <row r="1142" s="112" customFormat="1"/>
    <row r="1143" s="112" customFormat="1"/>
    <row r="1144" s="112" customFormat="1"/>
    <row r="1145" s="112" customFormat="1"/>
    <row r="1146" s="112" customFormat="1"/>
    <row r="1147" s="112" customFormat="1"/>
    <row r="1148" s="112" customFormat="1"/>
    <row r="1149" s="112" customFormat="1"/>
    <row r="1150" s="112" customFormat="1"/>
    <row r="1151" s="112" customFormat="1"/>
    <row r="1152" s="112" customFormat="1"/>
    <row r="1153" s="112" customFormat="1"/>
    <row r="1154" s="112" customFormat="1"/>
    <row r="1155" s="112" customFormat="1"/>
    <row r="1156" s="112" customFormat="1"/>
    <row r="1157" s="112" customFormat="1"/>
    <row r="1158" s="112" customFormat="1"/>
    <row r="1159" s="112" customFormat="1"/>
    <row r="1160" s="112" customFormat="1"/>
    <row r="1161" s="112" customFormat="1"/>
    <row r="1162" s="112" customFormat="1"/>
    <row r="1163" s="112" customFormat="1"/>
    <row r="1164" s="112" customFormat="1"/>
    <row r="1165" s="112" customFormat="1"/>
    <row r="1166" s="112" customFormat="1"/>
    <row r="1167" s="112" customFormat="1"/>
    <row r="1168" s="112" customFormat="1"/>
    <row r="1169" s="112" customFormat="1"/>
    <row r="1170" s="112" customFormat="1"/>
    <row r="1171" s="112" customFormat="1"/>
    <row r="1172" s="112" customFormat="1"/>
    <row r="1173" s="112" customFormat="1"/>
    <row r="1174" s="112" customFormat="1"/>
    <row r="1175" s="112" customFormat="1"/>
    <row r="1176" s="112" customFormat="1"/>
    <row r="1177" s="112" customFormat="1"/>
    <row r="1178" s="112" customFormat="1"/>
    <row r="1179" s="112" customFormat="1"/>
    <row r="1180" s="112" customFormat="1"/>
    <row r="1181" s="112" customFormat="1"/>
    <row r="1182" s="112" customFormat="1"/>
    <row r="1183" s="112" customFormat="1"/>
    <row r="1184" s="112" customFormat="1"/>
    <row r="1185" s="112" customFormat="1"/>
    <row r="1186" s="112" customFormat="1"/>
    <row r="1187" s="112" customFormat="1"/>
    <row r="1188" s="112" customFormat="1"/>
    <row r="1189" s="112" customFormat="1"/>
    <row r="1190" s="112" customFormat="1"/>
    <row r="1191" s="112" customFormat="1"/>
    <row r="1192" s="112" customFormat="1"/>
    <row r="1193" s="112" customFormat="1"/>
    <row r="1194" s="112" customFormat="1"/>
    <row r="1195" s="112" customFormat="1"/>
    <row r="1196" s="112" customFormat="1"/>
    <row r="1197" s="112" customFormat="1"/>
    <row r="1198" s="112" customFormat="1"/>
    <row r="1199" s="112" customFormat="1"/>
    <row r="1200" s="112" customFormat="1"/>
    <row r="1201" s="112" customFormat="1"/>
    <row r="1202" s="112" customFormat="1"/>
    <row r="1203" s="112" customFormat="1"/>
    <row r="1204" s="112" customFormat="1"/>
    <row r="1205" s="112" customFormat="1"/>
    <row r="1206" s="112" customFormat="1"/>
    <row r="1207" s="112" customFormat="1"/>
    <row r="1208" s="112" customFormat="1"/>
    <row r="1209" s="112" customFormat="1"/>
    <row r="1210" s="112" customFormat="1"/>
    <row r="1211" s="112" customFormat="1"/>
    <row r="1212" s="112" customFormat="1"/>
    <row r="1213" s="112" customFormat="1"/>
    <row r="1214" s="112" customFormat="1"/>
    <row r="1215" s="112" customFormat="1"/>
    <row r="1216" s="112" customFormat="1"/>
    <row r="1217" s="112" customFormat="1"/>
    <row r="1218" s="112" customFormat="1"/>
    <row r="1219" s="112" customFormat="1"/>
    <row r="1220" s="112" customFormat="1"/>
    <row r="1221" s="112" customFormat="1"/>
    <row r="1222" s="112" customFormat="1"/>
    <row r="1223" s="112" customFormat="1"/>
    <row r="1224" s="112" customFormat="1"/>
    <row r="1225" s="112" customFormat="1"/>
    <row r="1226" s="112" customFormat="1"/>
    <row r="1227" s="112" customFormat="1"/>
    <row r="1228" s="112" customFormat="1"/>
    <row r="1229" s="112" customFormat="1"/>
    <row r="1230" s="112" customFormat="1"/>
    <row r="1231" s="112" customFormat="1"/>
    <row r="1232" s="112" customFormat="1"/>
    <row r="1233" s="112" customFormat="1"/>
    <row r="1234" s="112" customFormat="1"/>
    <row r="1235" s="112" customFormat="1"/>
    <row r="1236" s="112" customFormat="1"/>
    <row r="1237" s="112" customFormat="1"/>
    <row r="1238" s="112" customFormat="1"/>
    <row r="1239" s="112" customFormat="1"/>
    <row r="1240" s="112" customFormat="1"/>
    <row r="1241" s="112" customFormat="1"/>
    <row r="1242" s="112" customFormat="1"/>
    <row r="1243" s="112" customFormat="1"/>
    <row r="1244" s="112" customFormat="1"/>
    <row r="1245" s="112" customFormat="1"/>
    <row r="1246" s="112" customFormat="1"/>
    <row r="1247" s="112" customFormat="1"/>
    <row r="1248" s="112" customFormat="1"/>
    <row r="1249" s="112" customFormat="1"/>
    <row r="1250" s="112" customFormat="1"/>
    <row r="1251" s="112" customFormat="1"/>
    <row r="1252" s="112" customFormat="1"/>
    <row r="1253" s="112" customFormat="1"/>
    <row r="1254" s="112" customFormat="1"/>
    <row r="1255" s="112" customFormat="1"/>
    <row r="1256" s="112" customFormat="1"/>
    <row r="1257" s="112" customFormat="1"/>
    <row r="1258" s="112" customFormat="1"/>
    <row r="1259" s="112" customFormat="1"/>
    <row r="1260" s="112" customFormat="1"/>
    <row r="1261" s="112" customFormat="1"/>
    <row r="1262" s="112" customFormat="1"/>
    <row r="1263" s="112" customFormat="1"/>
    <row r="1264" s="112" customFormat="1"/>
    <row r="1265" s="112" customFormat="1"/>
    <row r="1266" s="112" customFormat="1"/>
    <row r="1267" s="112" customFormat="1"/>
    <row r="1268" s="112" customFormat="1"/>
    <row r="1269" s="112" customFormat="1"/>
    <row r="1270" s="112" customFormat="1"/>
    <row r="1271" s="112" customFormat="1"/>
    <row r="1272" s="112" customFormat="1"/>
    <row r="1273" s="112" customFormat="1"/>
    <row r="1274" s="112" customFormat="1"/>
    <row r="1275" s="112" customFormat="1"/>
    <row r="1276" s="112" customFormat="1"/>
    <row r="1277" s="112" customFormat="1"/>
    <row r="1278" s="112" customFormat="1"/>
    <row r="1279" s="112" customFormat="1"/>
    <row r="1280" s="112" customFormat="1"/>
    <row r="1281" s="112" customFormat="1"/>
    <row r="1282" s="112" customFormat="1"/>
    <row r="1283" s="112" customFormat="1"/>
    <row r="1284" s="112" customFormat="1"/>
    <row r="1285" s="112" customFormat="1"/>
    <row r="1286" s="112" customFormat="1"/>
    <row r="1287" s="112" customFormat="1"/>
    <row r="1288" s="112" customFormat="1"/>
    <row r="1289" s="112" customFormat="1"/>
    <row r="1290" s="112" customFormat="1"/>
    <row r="1291" s="112" customFormat="1"/>
    <row r="1292" s="112" customFormat="1"/>
    <row r="1293" s="112" customFormat="1"/>
    <row r="1294" s="112" customFormat="1"/>
    <row r="1295" s="112" customFormat="1"/>
    <row r="1296" s="112" customFormat="1"/>
    <row r="1297" s="112" customFormat="1"/>
    <row r="1298" s="112" customFormat="1"/>
    <row r="1299" s="112" customFormat="1"/>
    <row r="1300" s="112" customFormat="1"/>
    <row r="1301" s="112" customFormat="1"/>
    <row r="1302" s="112" customFormat="1"/>
    <row r="1303" s="112" customFormat="1"/>
    <row r="1304" s="112" customFormat="1"/>
    <row r="1305" s="112" customFormat="1"/>
    <row r="1306" s="112" customFormat="1"/>
    <row r="1307" s="112" customFormat="1"/>
    <row r="1308" s="112" customFormat="1"/>
    <row r="1309" s="112" customFormat="1"/>
    <row r="1310" s="112" customFormat="1"/>
    <row r="1311" s="112" customFormat="1"/>
    <row r="1312" s="112" customFormat="1"/>
    <row r="1313" s="112" customFormat="1"/>
    <row r="1314" s="112" customFormat="1"/>
    <row r="1315" s="112" customFormat="1"/>
    <row r="1316" s="112" customFormat="1"/>
    <row r="1317" s="112" customFormat="1"/>
    <row r="1318" s="112" customFormat="1"/>
    <row r="1319" s="112" customFormat="1"/>
    <row r="1320" s="112" customFormat="1"/>
    <row r="1321" s="112" customFormat="1"/>
    <row r="1322" s="112" customFormat="1"/>
    <row r="1323" s="112" customFormat="1"/>
    <row r="1324" s="112" customFormat="1"/>
    <row r="1325" s="112" customFormat="1"/>
    <row r="1326" s="112" customFormat="1"/>
    <row r="1327" s="112" customFormat="1"/>
    <row r="1328" s="112" customFormat="1"/>
    <row r="1329" s="112" customFormat="1"/>
    <row r="1330" s="112" customFormat="1"/>
    <row r="1331" s="112" customFormat="1"/>
    <row r="1332" s="112" customFormat="1"/>
    <row r="1333" s="112" customFormat="1"/>
    <row r="1334" s="112" customFormat="1"/>
    <row r="1335" s="112" customFormat="1"/>
    <row r="1336" s="112" customFormat="1"/>
    <row r="1337" s="112" customFormat="1"/>
    <row r="1338" s="112" customFormat="1"/>
    <row r="1339" s="112" customFormat="1"/>
    <row r="1340" s="112" customFormat="1"/>
    <row r="1341" s="112" customFormat="1"/>
    <row r="1342" s="112" customFormat="1"/>
    <row r="1343" s="112" customFormat="1"/>
    <row r="1344" s="112" customFormat="1"/>
    <row r="1345" s="112" customFormat="1"/>
    <row r="1346" s="112" customFormat="1"/>
    <row r="1347" s="112" customFormat="1"/>
    <row r="1348" s="112" customFormat="1"/>
    <row r="1349" s="112" customFormat="1"/>
    <row r="1350" s="112" customFormat="1"/>
    <row r="1351" s="112" customFormat="1"/>
    <row r="1352" s="112" customFormat="1"/>
    <row r="1353" s="112" customFormat="1"/>
    <row r="1354" s="112" customFormat="1"/>
    <row r="1355" s="112" customFormat="1"/>
    <row r="1356" s="112" customFormat="1"/>
    <row r="1357" s="112" customFormat="1"/>
    <row r="1358" s="112" customFormat="1"/>
    <row r="1359" s="112" customFormat="1"/>
    <row r="1360" s="112" customFormat="1"/>
    <row r="1361" s="112" customFormat="1"/>
    <row r="1362" s="112" customFormat="1"/>
    <row r="1363" s="112" customFormat="1"/>
    <row r="1364" s="112" customFormat="1"/>
    <row r="1365" s="112" customFormat="1"/>
    <row r="1366" s="112" customFormat="1"/>
    <row r="1367" s="112" customFormat="1"/>
    <row r="1368" s="112" customFormat="1"/>
    <row r="1369" s="112" customFormat="1"/>
    <row r="1370" s="112" customFormat="1"/>
    <row r="1371" s="112" customFormat="1"/>
    <row r="1372" s="112" customFormat="1"/>
    <row r="1373" s="112" customFormat="1"/>
    <row r="1374" s="112" customFormat="1"/>
    <row r="1375" s="112" customFormat="1"/>
    <row r="1376" s="112" customFormat="1"/>
    <row r="1377" s="112" customFormat="1"/>
    <row r="1378" s="112" customFormat="1"/>
    <row r="1379" s="112" customFormat="1"/>
    <row r="1380" s="112" customFormat="1"/>
    <row r="1381" s="112" customFormat="1"/>
    <row r="1382" s="112" customFormat="1"/>
    <row r="1383" s="112" customFormat="1"/>
    <row r="1384" s="112" customFormat="1"/>
    <row r="1385" s="112" customFormat="1"/>
    <row r="1386" s="112" customFormat="1"/>
    <row r="1387" s="112" customFormat="1"/>
    <row r="1388" s="112" customFormat="1"/>
    <row r="1389" s="112" customFormat="1"/>
    <row r="1390" s="112" customFormat="1"/>
    <row r="1391" s="112" customFormat="1"/>
    <row r="1392" s="112" customFormat="1"/>
    <row r="1393" s="112" customFormat="1"/>
    <row r="1394" s="112" customFormat="1"/>
    <row r="1395" s="112" customFormat="1"/>
    <row r="1396" s="112" customFormat="1"/>
    <row r="1397" s="112" customFormat="1"/>
    <row r="1398" s="112" customFormat="1"/>
    <row r="1399" s="112" customFormat="1"/>
    <row r="1400" s="112" customFormat="1"/>
    <row r="1401" s="112" customFormat="1"/>
    <row r="1402" s="112" customFormat="1"/>
    <row r="1403" s="112" customFormat="1"/>
    <row r="1404" s="112" customFormat="1"/>
    <row r="1405" s="112" customFormat="1"/>
    <row r="1406" s="112" customFormat="1"/>
    <row r="1407" s="112" customFormat="1"/>
    <row r="1408" s="112" customFormat="1"/>
    <row r="1409" s="112" customFormat="1"/>
    <row r="1410" s="112" customFormat="1"/>
    <row r="1411" s="112" customFormat="1"/>
    <row r="1412" s="112" customFormat="1"/>
    <row r="1413" s="112" customFormat="1"/>
    <row r="1414" s="112" customFormat="1"/>
    <row r="1415" s="112" customFormat="1"/>
    <row r="1416" s="112" customFormat="1"/>
    <row r="1417" s="112" customFormat="1"/>
    <row r="1418" s="112" customFormat="1"/>
    <row r="1419" s="112" customFormat="1"/>
    <row r="1420" s="112" customFormat="1"/>
    <row r="1421" s="112" customFormat="1"/>
    <row r="1422" s="112" customFormat="1"/>
    <row r="1423" s="112" customFormat="1"/>
    <row r="1424" s="112" customFormat="1"/>
    <row r="1425" s="112" customFormat="1"/>
    <row r="1426" s="112" customFormat="1"/>
    <row r="1427" s="112" customFormat="1"/>
    <row r="1428" s="112" customFormat="1"/>
    <row r="1429" s="112" customFormat="1"/>
    <row r="1430" s="112" customFormat="1"/>
    <row r="1431" s="112" customFormat="1"/>
    <row r="1432" s="112" customFormat="1"/>
    <row r="1433" s="112" customFormat="1"/>
    <row r="1434" s="112" customFormat="1"/>
    <row r="1435" s="112" customFormat="1"/>
    <row r="1436" s="112" customFormat="1"/>
    <row r="1437" s="112" customFormat="1"/>
    <row r="1438" s="112" customFormat="1"/>
    <row r="1439" s="112" customFormat="1"/>
    <row r="1440" s="112" customFormat="1"/>
    <row r="1441" s="112" customFormat="1"/>
    <row r="1442" s="112" customFormat="1"/>
    <row r="1443" s="112" customFormat="1"/>
    <row r="1444" s="112" customFormat="1"/>
    <row r="1445" s="112" customFormat="1"/>
    <row r="1446" s="112" customFormat="1"/>
    <row r="1447" s="112" customFormat="1"/>
    <row r="1448" s="112" customFormat="1"/>
    <row r="1449" s="112" customFormat="1"/>
    <row r="1450" s="112" customFormat="1"/>
    <row r="1451" s="112" customFormat="1"/>
    <row r="1452" s="112" customFormat="1"/>
    <row r="1453" s="112" customFormat="1"/>
    <row r="1454" s="112" customFormat="1"/>
    <row r="1455" s="112" customFormat="1"/>
    <row r="1456" s="112" customFormat="1"/>
    <row r="1457" s="112" customFormat="1"/>
    <row r="1458" s="112" customFormat="1"/>
    <row r="1459" s="112" customFormat="1"/>
    <row r="1460" s="112" customFormat="1"/>
    <row r="1461" s="112" customFormat="1"/>
    <row r="1462" s="112" customFormat="1"/>
    <row r="1463" s="112" customFormat="1"/>
    <row r="1464" s="112" customFormat="1"/>
    <row r="1465" s="112" customFormat="1"/>
    <row r="1466" s="112" customFormat="1"/>
    <row r="1467" s="112" customFormat="1"/>
    <row r="1468" s="112" customFormat="1"/>
    <row r="1469" s="112" customFormat="1"/>
    <row r="1470" s="112" customFormat="1"/>
    <row r="1471" s="112" customFormat="1"/>
    <row r="1472" s="112" customFormat="1"/>
    <row r="1473" s="112" customFormat="1"/>
    <row r="1474" s="112" customFormat="1"/>
    <row r="1475" s="112" customFormat="1"/>
    <row r="1476" s="112" customFormat="1"/>
    <row r="1477" s="112" customFormat="1"/>
    <row r="1478" s="112" customFormat="1"/>
    <row r="1479" s="112" customFormat="1"/>
    <row r="1480" s="112" customFormat="1"/>
    <row r="1481" s="112" customFormat="1"/>
    <row r="1482" s="112" customFormat="1"/>
    <row r="1483" s="112" customFormat="1"/>
    <row r="1484" s="112" customFormat="1"/>
    <row r="1485" s="112" customFormat="1"/>
    <row r="1486" s="112" customFormat="1"/>
    <row r="1487" s="112" customFormat="1"/>
    <row r="1488" s="112" customFormat="1"/>
    <row r="1489" s="112" customFormat="1"/>
    <row r="1490" s="112" customFormat="1"/>
    <row r="1491" s="112" customFormat="1"/>
    <row r="1492" s="112" customFormat="1"/>
    <row r="1493" s="112" customFormat="1"/>
    <row r="1494" s="112" customFormat="1"/>
    <row r="1495" s="112" customFormat="1"/>
    <row r="1496" s="112" customFormat="1"/>
    <row r="1497" s="112" customFormat="1"/>
    <row r="1498" s="112" customFormat="1"/>
    <row r="1499" s="112" customFormat="1"/>
    <row r="1500" s="112" customFormat="1"/>
    <row r="1501" s="112" customFormat="1"/>
    <row r="1502" s="112" customFormat="1"/>
    <row r="1503" s="112" customFormat="1"/>
    <row r="1504" s="112" customFormat="1"/>
    <row r="1505" s="112" customFormat="1"/>
    <row r="1506" s="112" customFormat="1"/>
    <row r="1507" s="112" customFormat="1"/>
    <row r="1508" s="112" customFormat="1"/>
    <row r="1509" s="112" customFormat="1"/>
    <row r="1510" s="112" customFormat="1"/>
    <row r="1511" s="112" customFormat="1"/>
    <row r="1512" s="112" customFormat="1"/>
    <row r="1513" s="112" customFormat="1"/>
    <row r="1514" s="112" customFormat="1"/>
    <row r="1515" s="112" customFormat="1"/>
    <row r="1516" s="112" customFormat="1"/>
    <row r="1517" s="112" customFormat="1"/>
    <row r="1518" s="112" customFormat="1"/>
    <row r="1519" s="112" customFormat="1"/>
    <row r="1520" s="112" customFormat="1"/>
    <row r="1521" s="112" customFormat="1"/>
    <row r="1522" s="112" customFormat="1"/>
    <row r="1523" s="112" customFormat="1"/>
    <row r="1524" s="112" customFormat="1"/>
    <row r="1525" s="112" customFormat="1"/>
    <row r="1526" s="112" customFormat="1"/>
    <row r="1527" s="112" customFormat="1"/>
    <row r="1528" s="112" customFormat="1"/>
    <row r="1529" s="112" customFormat="1"/>
    <row r="1530" s="112" customFormat="1"/>
    <row r="1531" s="112" customFormat="1"/>
    <row r="1532" s="112" customFormat="1"/>
    <row r="1533" s="112" customFormat="1"/>
    <row r="1534" s="112" customFormat="1"/>
    <row r="1535" s="112" customFormat="1"/>
    <row r="1536" s="112" customFormat="1"/>
    <row r="1537" s="112" customFormat="1"/>
    <row r="1538" s="112" customFormat="1"/>
    <row r="1539" s="112" customFormat="1"/>
    <row r="1540" s="112" customFormat="1"/>
    <row r="1541" s="112" customFormat="1"/>
    <row r="1542" s="112" customFormat="1"/>
    <row r="1543" s="112" customFormat="1"/>
    <row r="1544" s="112" customFormat="1"/>
    <row r="1545" s="112" customFormat="1"/>
    <row r="1546" s="112" customFormat="1"/>
    <row r="1547" s="112" customFormat="1"/>
    <row r="1548" s="112" customFormat="1"/>
    <row r="1549" s="112" customFormat="1"/>
    <row r="1550" s="112" customFormat="1"/>
    <row r="1551" s="112" customFormat="1"/>
    <row r="1552" s="112" customFormat="1"/>
    <row r="1553" s="112" customFormat="1"/>
    <row r="1554" s="112" customFormat="1"/>
    <row r="1555" s="112" customFormat="1"/>
    <row r="1556" s="112" customFormat="1"/>
    <row r="1557" s="112" customFormat="1"/>
    <row r="1558" s="112" customFormat="1"/>
    <row r="1559" s="112" customFormat="1"/>
    <row r="1560" s="112" customFormat="1"/>
    <row r="1561" s="112" customFormat="1"/>
    <row r="1562" s="112" customFormat="1"/>
    <row r="1563" s="112" customFormat="1"/>
    <row r="1564" s="112" customFormat="1"/>
    <row r="1565" s="112" customFormat="1"/>
    <row r="1566" s="112" customFormat="1"/>
    <row r="1567" s="112" customFormat="1"/>
    <row r="1568" s="112" customFormat="1"/>
    <row r="1569" s="112" customFormat="1"/>
    <row r="1570" s="112" customFormat="1"/>
    <row r="1571" s="112" customFormat="1"/>
    <row r="1572" s="112" customFormat="1"/>
    <row r="1573" s="112" customFormat="1"/>
    <row r="1574" s="112" customFormat="1"/>
    <row r="1575" s="112" customFormat="1"/>
    <row r="1576" s="112" customFormat="1"/>
    <row r="1577" s="112" customFormat="1"/>
    <row r="1578" s="112" customFormat="1"/>
    <row r="1579" s="112" customFormat="1"/>
    <row r="1580" s="112" customFormat="1"/>
    <row r="1581" s="112" customFormat="1"/>
    <row r="1582" s="112" customFormat="1"/>
    <row r="1583" s="112" customFormat="1"/>
    <row r="1584" s="112" customFormat="1"/>
    <row r="1585" s="112" customFormat="1"/>
    <row r="1586" s="112" customFormat="1"/>
    <row r="1587" s="112" customFormat="1"/>
    <row r="1588" s="112" customFormat="1"/>
    <row r="1589" s="112" customFormat="1"/>
    <row r="1590" s="112" customFormat="1"/>
    <row r="1591" s="112" customFormat="1"/>
    <row r="1592" s="112" customFormat="1"/>
    <row r="1593" s="112" customFormat="1"/>
    <row r="1594" s="112" customFormat="1"/>
    <row r="1595" s="112" customFormat="1"/>
    <row r="1596" s="112" customFormat="1"/>
    <row r="1597" s="112" customFormat="1"/>
    <row r="1598" s="112" customFormat="1"/>
    <row r="1599" s="112" customFormat="1"/>
    <row r="1600" s="112" customFormat="1"/>
    <row r="1601" s="112" customFormat="1"/>
    <row r="1602" s="112" customFormat="1"/>
    <row r="1603" s="112" customFormat="1"/>
    <row r="1604" s="112" customFormat="1"/>
    <row r="1605" s="112" customFormat="1"/>
    <row r="1606" s="112" customFormat="1"/>
    <row r="1607" s="112" customFormat="1"/>
    <row r="1608" s="112" customFormat="1"/>
    <row r="1609" s="112" customFormat="1"/>
    <row r="1610" s="112" customFormat="1"/>
    <row r="1611" s="112" customFormat="1"/>
    <row r="1612" s="112" customFormat="1"/>
    <row r="1613" s="112" customFormat="1"/>
    <row r="1614" s="112" customFormat="1"/>
    <row r="1615" s="112" customFormat="1"/>
    <row r="1616" s="112" customFormat="1"/>
    <row r="1617" s="112" customFormat="1"/>
    <row r="1618" s="112" customFormat="1"/>
    <row r="1619" s="112" customFormat="1"/>
    <row r="1620" s="112" customFormat="1"/>
    <row r="1621" s="112" customFormat="1"/>
    <row r="1622" s="112" customFormat="1"/>
    <row r="1623" s="112" customFormat="1"/>
    <row r="1624" s="112" customFormat="1"/>
    <row r="1625" s="112" customFormat="1"/>
    <row r="1626" s="112" customFormat="1"/>
    <row r="1627" s="112" customFormat="1"/>
    <row r="1628" s="112" customFormat="1"/>
    <row r="1629" s="112" customFormat="1"/>
    <row r="1630" s="112" customFormat="1"/>
    <row r="1631" s="112" customFormat="1"/>
    <row r="1632" s="112" customFormat="1"/>
    <row r="1633" s="112" customFormat="1"/>
    <row r="1634" s="112" customFormat="1"/>
    <row r="1635" s="112" customFormat="1"/>
    <row r="1636" s="112" customFormat="1"/>
    <row r="1637" s="112" customFormat="1"/>
    <row r="1638" s="112" customFormat="1"/>
    <row r="1639" s="112" customFormat="1"/>
    <row r="1640" s="112" customFormat="1"/>
    <row r="1641" s="112" customFormat="1"/>
    <row r="1642" s="112" customFormat="1"/>
    <row r="1643" s="112" customFormat="1"/>
    <row r="1644" s="112" customFormat="1"/>
    <row r="1645" s="112" customFormat="1"/>
    <row r="1646" s="112" customFormat="1"/>
    <row r="1647" s="112" customFormat="1"/>
    <row r="1648" s="112" customFormat="1"/>
    <row r="1649" s="112" customFormat="1"/>
    <row r="1650" s="112" customFormat="1"/>
    <row r="1651" s="112" customFormat="1"/>
    <row r="1652" s="112" customFormat="1"/>
    <row r="1653" s="112" customFormat="1"/>
    <row r="1654" s="112" customFormat="1"/>
    <row r="1655" s="112" customFormat="1"/>
    <row r="1656" s="112" customFormat="1"/>
    <row r="1657" s="112" customFormat="1"/>
    <row r="1658" s="112" customFormat="1"/>
    <row r="1659" s="112" customFormat="1"/>
    <row r="1660" s="112" customFormat="1"/>
    <row r="1661" s="112" customFormat="1"/>
    <row r="1662" s="112" customFormat="1"/>
    <row r="1663" s="112" customFormat="1"/>
    <row r="1664" s="112" customFormat="1"/>
    <row r="1665" s="112" customFormat="1"/>
    <row r="1666" s="112" customFormat="1"/>
    <row r="1667" s="112" customFormat="1"/>
    <row r="1668" s="112" customFormat="1"/>
    <row r="1669" s="112" customFormat="1"/>
    <row r="1670" s="112" customFormat="1"/>
    <row r="1671" s="112" customFormat="1"/>
    <row r="1672" s="112" customFormat="1"/>
    <row r="1673" s="112" customFormat="1"/>
    <row r="1674" s="112" customFormat="1"/>
    <row r="1675" s="112" customFormat="1"/>
    <row r="1676" s="112" customFormat="1"/>
    <row r="1677" s="112" customFormat="1"/>
    <row r="1678" s="112" customFormat="1"/>
  </sheetData>
  <mergeCells count="8">
    <mergeCell ref="A4:H4"/>
    <mergeCell ref="B9:F9"/>
    <mergeCell ref="I9:M9"/>
    <mergeCell ref="P9:Q9"/>
    <mergeCell ref="B10:C10"/>
    <mergeCell ref="E10:F10"/>
    <mergeCell ref="I10:J10"/>
    <mergeCell ref="L10:M10"/>
  </mergeCells>
  <printOptions horizontalCentered="1"/>
  <pageMargins left="0.7" right="0.7" top="0.75" bottom="0.75" header="0.3" footer="0.3"/>
  <pageSetup scale="63" orientation="landscape" r:id="rId1"/>
  <headerFooter>
    <oddFooter>&amp;L&amp;F - &amp;A&amp;R&amp;P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U115"/>
  <sheetViews>
    <sheetView showGridLines="0" tabSelected="1" view="pageBreakPreview" zoomScale="85" zoomScaleNormal="85" zoomScaleSheetLayoutView="85" workbookViewId="0">
      <pane xSplit="2" ySplit="6" topLeftCell="C52" activePane="bottomRight" state="frozen"/>
      <selection activeCell="A2" sqref="A2"/>
      <selection pane="topRight" activeCell="A2" sqref="A2"/>
      <selection pane="bottomLeft" activeCell="A2" sqref="A2"/>
      <selection pane="bottomRight" activeCell="K111" sqref="K111"/>
    </sheetView>
  </sheetViews>
  <sheetFormatPr defaultRowHeight="12.75"/>
  <cols>
    <col min="1" max="1" width="19" style="190" customWidth="1"/>
    <col min="2" max="2" width="22.42578125" style="190" customWidth="1"/>
    <col min="3" max="6" width="14.85546875" style="190" customWidth="1"/>
    <col min="7" max="7" width="13.5703125" style="190" customWidth="1"/>
    <col min="8" max="8" width="0.5703125" style="190" customWidth="1"/>
    <col min="9" max="9" width="14.140625" style="190" customWidth="1"/>
    <col min="10" max="10" width="14.42578125" style="190" customWidth="1"/>
    <col min="11" max="11" width="10.7109375" style="243" customWidth="1"/>
    <col min="12" max="12" width="17.42578125" style="243" hidden="1" customWidth="1"/>
    <col min="13" max="13" width="9.5703125" style="190" customWidth="1"/>
    <col min="14" max="14" width="0.5703125" style="190" customWidth="1"/>
    <col min="15" max="15" width="9.5703125" style="191" customWidth="1"/>
    <col min="16" max="16" width="0.5703125" style="190" customWidth="1"/>
    <col min="17" max="17" width="11.140625" style="190" customWidth="1"/>
    <col min="18" max="18" width="8.28515625" style="190" customWidth="1"/>
    <col min="19" max="19" width="12.5703125" style="190" customWidth="1"/>
    <col min="20" max="20" width="13.42578125" style="190" customWidth="1"/>
    <col min="21" max="16384" width="9.140625" style="190"/>
  </cols>
  <sheetData>
    <row r="1" spans="1:19" ht="10.5" customHeight="1">
      <c r="A1" s="186" t="s">
        <v>322</v>
      </c>
      <c r="B1" s="187"/>
      <c r="C1" s="188" t="s">
        <v>360</v>
      </c>
      <c r="D1" s="189"/>
      <c r="E1" s="187"/>
      <c r="F1" s="187"/>
      <c r="G1" s="187"/>
      <c r="H1" s="187"/>
      <c r="I1" s="187"/>
      <c r="J1" s="187"/>
      <c r="K1" s="190"/>
      <c r="L1" s="190"/>
    </row>
    <row r="2" spans="1:19" ht="10.5" customHeight="1">
      <c r="A2" s="186" t="s">
        <v>323</v>
      </c>
      <c r="B2" s="187"/>
      <c r="C2" s="189"/>
      <c r="D2" s="189"/>
      <c r="E2" s="192"/>
      <c r="F2" s="193"/>
      <c r="G2" s="187"/>
      <c r="H2" s="187"/>
      <c r="I2" s="187"/>
      <c r="J2" s="187"/>
      <c r="K2" s="190"/>
      <c r="L2" s="190"/>
      <c r="M2" s="187"/>
    </row>
    <row r="3" spans="1:19" ht="10.5" customHeight="1">
      <c r="A3" s="194">
        <v>2017</v>
      </c>
      <c r="B3" s="187"/>
      <c r="C3" s="185" t="s">
        <v>409</v>
      </c>
      <c r="D3" s="189"/>
      <c r="E3" s="195"/>
      <c r="F3" s="187"/>
      <c r="G3" s="187"/>
      <c r="H3" s="187"/>
      <c r="I3" s="187"/>
      <c r="J3" s="187"/>
      <c r="K3" s="190"/>
      <c r="L3" s="190"/>
    </row>
    <row r="4" spans="1:19" ht="12" customHeight="1">
      <c r="A4" s="187"/>
      <c r="B4" s="196"/>
      <c r="C4" s="197" t="s">
        <v>361</v>
      </c>
      <c r="D4" s="197" t="s">
        <v>362</v>
      </c>
      <c r="E4" s="198" t="s">
        <v>361</v>
      </c>
      <c r="F4" s="198" t="s">
        <v>362</v>
      </c>
      <c r="G4" s="199" t="s">
        <v>0</v>
      </c>
      <c r="H4" s="187"/>
      <c r="I4" s="198" t="s">
        <v>361</v>
      </c>
      <c r="J4" s="198" t="s">
        <v>362</v>
      </c>
      <c r="K4" s="200" t="s">
        <v>363</v>
      </c>
      <c r="L4" s="200"/>
      <c r="M4" s="201" t="s">
        <v>364</v>
      </c>
      <c r="N4" s="187"/>
      <c r="O4" s="292" t="s">
        <v>365</v>
      </c>
      <c r="P4" s="187"/>
      <c r="Q4" s="202" t="s">
        <v>366</v>
      </c>
      <c r="R4" s="293" t="s">
        <v>367</v>
      </c>
      <c r="S4" s="293"/>
    </row>
    <row r="5" spans="1:19" ht="12" customHeight="1">
      <c r="A5" s="203" t="s">
        <v>1</v>
      </c>
      <c r="B5" s="196" t="s">
        <v>2</v>
      </c>
      <c r="C5" s="204" t="s">
        <v>3</v>
      </c>
      <c r="D5" s="204" t="s">
        <v>3</v>
      </c>
      <c r="E5" s="196" t="s">
        <v>4</v>
      </c>
      <c r="F5" s="196" t="s">
        <v>4</v>
      </c>
      <c r="G5" s="196" t="s">
        <v>4</v>
      </c>
      <c r="H5" s="187"/>
      <c r="I5" s="196" t="s">
        <v>5</v>
      </c>
      <c r="J5" s="196" t="s">
        <v>5</v>
      </c>
      <c r="K5" s="196" t="s">
        <v>368</v>
      </c>
      <c r="L5" s="196"/>
      <c r="M5" s="205">
        <v>0.14180179125211698</v>
      </c>
      <c r="N5" s="196"/>
      <c r="O5" s="292"/>
      <c r="P5" s="196"/>
      <c r="Q5" s="204" t="s">
        <v>3</v>
      </c>
      <c r="R5" s="201" t="s">
        <v>369</v>
      </c>
      <c r="S5" s="201" t="s">
        <v>370</v>
      </c>
    </row>
    <row r="6" spans="1:19" ht="12" customHeight="1">
      <c r="K6" s="206"/>
      <c r="L6" s="207" t="s">
        <v>371</v>
      </c>
      <c r="M6" s="208">
        <v>4.8999999999999998E-3</v>
      </c>
    </row>
    <row r="7" spans="1:19" s="187" customFormat="1" ht="12" customHeight="1">
      <c r="C7" s="189"/>
      <c r="D7" s="189"/>
      <c r="K7" s="190"/>
      <c r="L7" s="190"/>
      <c r="O7" s="209"/>
    </row>
    <row r="8" spans="1:19" s="187" customFormat="1" ht="12" customHeight="1">
      <c r="C8" s="189"/>
      <c r="D8" s="189"/>
      <c r="K8" s="190"/>
      <c r="L8" s="190"/>
      <c r="O8" s="209"/>
    </row>
    <row r="9" spans="1:19" s="187" customFormat="1" ht="12" customHeight="1">
      <c r="A9" s="210" t="s">
        <v>6</v>
      </c>
      <c r="B9" s="210" t="s">
        <v>6</v>
      </c>
      <c r="C9" s="189"/>
      <c r="D9" s="189"/>
      <c r="K9" s="190"/>
      <c r="L9" s="190"/>
      <c r="O9" s="209"/>
    </row>
    <row r="10" spans="1:19" s="187" customFormat="1" ht="12" customHeight="1">
      <c r="A10" s="210"/>
      <c r="B10" s="210"/>
      <c r="C10" s="189"/>
      <c r="D10" s="189"/>
      <c r="K10" s="190"/>
      <c r="L10" s="190"/>
      <c r="O10" s="209"/>
    </row>
    <row r="11" spans="1:19" s="187" customFormat="1" ht="12" customHeight="1">
      <c r="A11" s="194" t="s">
        <v>7</v>
      </c>
      <c r="B11" s="194" t="s">
        <v>7</v>
      </c>
      <c r="C11" s="211"/>
      <c r="D11" s="211"/>
      <c r="E11" s="212"/>
      <c r="F11" s="212"/>
      <c r="G11" s="193"/>
      <c r="I11" s="212"/>
      <c r="J11" s="212"/>
      <c r="K11" s="190"/>
      <c r="L11" s="190"/>
      <c r="O11" s="209"/>
    </row>
    <row r="12" spans="1:19" s="187" customFormat="1" ht="12" customHeight="1">
      <c r="A12" s="190" t="s">
        <v>8</v>
      </c>
      <c r="B12" s="190" t="s">
        <v>9</v>
      </c>
      <c r="C12" s="211">
        <v>15.21</v>
      </c>
      <c r="D12" s="211">
        <v>15.34</v>
      </c>
      <c r="E12" s="212">
        <v>281.39</v>
      </c>
      <c r="F12" s="212">
        <v>655.41000000000008</v>
      </c>
      <c r="G12" s="193">
        <v>936.80000000000007</v>
      </c>
      <c r="I12" s="212">
        <v>18.500328731097959</v>
      </c>
      <c r="J12" s="212">
        <v>42.725554106910046</v>
      </c>
      <c r="K12" s="213">
        <v>5.1021569031673337</v>
      </c>
      <c r="L12" s="214" t="str">
        <f>VLOOKUP(B12,'Spokane DF Calc'!C:E,1,FALSE)</f>
        <v>RL 20 GL 1X WK 1</v>
      </c>
      <c r="M12" s="193">
        <v>2.1695674061573897</v>
      </c>
      <c r="O12" s="209">
        <v>132.83367981855326</v>
      </c>
      <c r="Q12" s="215">
        <v>15.3</v>
      </c>
      <c r="R12" s="193">
        <v>17.469567406157392</v>
      </c>
      <c r="S12" s="216">
        <v>1069.6336798185534</v>
      </c>
    </row>
    <row r="13" spans="1:19" s="187" customFormat="1" ht="12" customHeight="1">
      <c r="A13" s="190" t="s">
        <v>10</v>
      </c>
      <c r="B13" s="190" t="s">
        <v>11</v>
      </c>
      <c r="C13" s="211">
        <v>11.86</v>
      </c>
      <c r="D13" s="211">
        <v>11.91</v>
      </c>
      <c r="E13" s="212">
        <v>296.5</v>
      </c>
      <c r="F13" s="212">
        <v>1035.8699999999999</v>
      </c>
      <c r="G13" s="193">
        <v>1332.37</v>
      </c>
      <c r="I13" s="212">
        <v>25</v>
      </c>
      <c r="J13" s="212">
        <v>86.974811083123413</v>
      </c>
      <c r="K13" s="213">
        <v>9.3312342569269511</v>
      </c>
      <c r="L13" s="214" t="str">
        <f>VLOOKUP(B13,'Spokane DF Calc'!C:E,1,FALSE)</f>
        <v>RL 32 GL 1X MO 1</v>
      </c>
      <c r="M13" s="193">
        <v>1.686023297987671</v>
      </c>
      <c r="O13" s="209">
        <v>188.79214027391416</v>
      </c>
      <c r="Q13" s="215">
        <v>11.89</v>
      </c>
      <c r="R13" s="193">
        <v>13.576023297987671</v>
      </c>
      <c r="S13" s="216">
        <v>1521.162140273914</v>
      </c>
    </row>
    <row r="14" spans="1:19" s="187" customFormat="1" ht="12" customHeight="1">
      <c r="A14" s="190" t="s">
        <v>12</v>
      </c>
      <c r="B14" s="190" t="s">
        <v>13</v>
      </c>
      <c r="C14" s="211">
        <v>18.670000000000002</v>
      </c>
      <c r="D14" s="211">
        <v>18.89</v>
      </c>
      <c r="E14" s="212">
        <v>24791.43</v>
      </c>
      <c r="F14" s="212">
        <v>76170.959999999992</v>
      </c>
      <c r="G14" s="193">
        <v>100962.38999999998</v>
      </c>
      <c r="I14" s="212">
        <v>1327.8752008569897</v>
      </c>
      <c r="J14" s="212">
        <v>4032.3430386447849</v>
      </c>
      <c r="K14" s="213">
        <v>446.68485329181453</v>
      </c>
      <c r="L14" s="214" t="str">
        <f>VLOOKUP(B14,'Spokane DF Calc'!C:E,1,FALSE)</f>
        <v>RL 32 GL 1X WK 1</v>
      </c>
      <c r="M14" s="193">
        <v>2.6687097113648415</v>
      </c>
      <c r="O14" s="209">
        <v>14304.866470793339</v>
      </c>
      <c r="Q14" s="215">
        <v>18.82</v>
      </c>
      <c r="R14" s="193">
        <v>21.488709711364841</v>
      </c>
      <c r="S14" s="216">
        <v>115267.25647079332</v>
      </c>
    </row>
    <row r="15" spans="1:19" s="187" customFormat="1" ht="12" customHeight="1">
      <c r="A15" s="190" t="s">
        <v>14</v>
      </c>
      <c r="B15" s="190" t="s">
        <v>15</v>
      </c>
      <c r="C15" s="211">
        <v>26.36</v>
      </c>
      <c r="D15" s="211">
        <v>26.69</v>
      </c>
      <c r="E15" s="212">
        <v>10165.075000000001</v>
      </c>
      <c r="F15" s="212">
        <v>31622.990000000005</v>
      </c>
      <c r="G15" s="193">
        <v>41788.065000000002</v>
      </c>
      <c r="I15" s="212">
        <v>385.62500000000006</v>
      </c>
      <c r="J15" s="212">
        <v>1184.8254027725741</v>
      </c>
      <c r="K15" s="213">
        <v>130.87086689771451</v>
      </c>
      <c r="L15" s="214" t="str">
        <f>VLOOKUP(B15,'Spokane DF Calc'!C:E,1,FALSE)</f>
        <v>RL 32 GL 1X WK 2</v>
      </c>
      <c r="M15" s="193">
        <v>3.7690916114812691</v>
      </c>
      <c r="O15" s="209">
        <v>5919.1714393374896</v>
      </c>
      <c r="Q15" s="215">
        <v>26.58</v>
      </c>
      <c r="R15" s="193">
        <v>30.349091611481267</v>
      </c>
      <c r="S15" s="216">
        <v>47707.236439337488</v>
      </c>
    </row>
    <row r="16" spans="1:19" s="187" customFormat="1" ht="12" customHeight="1">
      <c r="A16" s="190" t="s">
        <v>16</v>
      </c>
      <c r="B16" s="190" t="s">
        <v>17</v>
      </c>
      <c r="C16" s="211">
        <v>37.61</v>
      </c>
      <c r="D16" s="211">
        <v>38.1</v>
      </c>
      <c r="E16" s="212">
        <v>112.83</v>
      </c>
      <c r="F16" s="212">
        <v>418.61</v>
      </c>
      <c r="G16" s="193">
        <v>531.44000000000005</v>
      </c>
      <c r="I16" s="212">
        <v>3</v>
      </c>
      <c r="J16" s="212">
        <v>10.987139107611549</v>
      </c>
      <c r="K16" s="213">
        <v>1.1655949256342957</v>
      </c>
      <c r="L16" s="214" t="str">
        <f>VLOOKUP(B16,'Spokane DF Calc'!C:E,1,FALSE)</f>
        <v>RL 32 GL 1X WK 3</v>
      </c>
      <c r="M16" s="193">
        <v>5.3799599601053174</v>
      </c>
      <c r="O16" s="209">
        <v>75.250248355373344</v>
      </c>
      <c r="Q16" s="215">
        <v>37.94</v>
      </c>
      <c r="R16" s="193">
        <v>43.319959960105315</v>
      </c>
      <c r="S16" s="216">
        <v>606.69024835537334</v>
      </c>
    </row>
    <row r="17" spans="1:19" s="187" customFormat="1" ht="12" customHeight="1">
      <c r="A17" s="190" t="s">
        <v>18</v>
      </c>
      <c r="B17" s="190" t="s">
        <v>19</v>
      </c>
      <c r="C17" s="211">
        <v>28.13</v>
      </c>
      <c r="D17" s="211">
        <v>28.43</v>
      </c>
      <c r="E17" s="212">
        <v>24227.340000000004</v>
      </c>
      <c r="F17" s="212">
        <v>73789.289999999994</v>
      </c>
      <c r="G17" s="193">
        <v>98016.63</v>
      </c>
      <c r="I17" s="212">
        <v>861.26341983647364</v>
      </c>
      <c r="J17" s="212">
        <v>2595.4727400633133</v>
      </c>
      <c r="K17" s="213">
        <v>288.06134665831559</v>
      </c>
      <c r="L17" s="214" t="str">
        <f>VLOOKUP(B17,'Spokane DF Calc'!C:E,1,FALSE)</f>
        <v>RL 65 GL 1X WK 1</v>
      </c>
      <c r="M17" s="193">
        <v>4.0172447461724738</v>
      </c>
      <c r="O17" s="209">
        <v>13886.555177261833</v>
      </c>
      <c r="Q17" s="215">
        <v>28.33</v>
      </c>
      <c r="R17" s="193">
        <v>32.347244746172471</v>
      </c>
      <c r="S17" s="216">
        <v>111903.18517726184</v>
      </c>
    </row>
    <row r="18" spans="1:19" s="187" customFormat="1" ht="12" customHeight="1">
      <c r="A18" s="190" t="s">
        <v>259</v>
      </c>
      <c r="B18" s="190" t="s">
        <v>260</v>
      </c>
      <c r="C18" s="211">
        <v>53.36</v>
      </c>
      <c r="D18" s="211">
        <v>56.86</v>
      </c>
      <c r="E18" s="212">
        <v>160.07999999999998</v>
      </c>
      <c r="F18" s="212">
        <v>511.74000000000007</v>
      </c>
      <c r="G18" s="193">
        <v>671.82</v>
      </c>
      <c r="I18" s="212">
        <v>2.9999999999999996</v>
      </c>
      <c r="J18" s="212">
        <v>9.0000000000000018</v>
      </c>
      <c r="K18" s="213">
        <v>1.0000000000000002</v>
      </c>
      <c r="L18" s="214" t="str">
        <f>VLOOKUP(B18,'Spokane DF Calc'!C:E,1,FALSE)</f>
        <v>RL 65 GL 1X WK 2</v>
      </c>
      <c r="M18" s="193">
        <v>8.0344894923449477</v>
      </c>
      <c r="O18" s="209">
        <v>96.413873908139394</v>
      </c>
      <c r="Q18" s="215">
        <v>56.66</v>
      </c>
      <c r="R18" s="193">
        <v>64.694489492344943</v>
      </c>
      <c r="S18" s="216">
        <v>768.23387390813946</v>
      </c>
    </row>
    <row r="19" spans="1:19" s="187" customFormat="1" ht="12" customHeight="1">
      <c r="A19" s="190" t="s">
        <v>20</v>
      </c>
      <c r="B19" s="190" t="s">
        <v>21</v>
      </c>
      <c r="C19" s="211">
        <v>35.130000000000003</v>
      </c>
      <c r="D19" s="211">
        <v>35.57</v>
      </c>
      <c r="E19" s="212">
        <v>30928.81</v>
      </c>
      <c r="F19" s="212">
        <v>104773.01500000001</v>
      </c>
      <c r="G19" s="193">
        <v>135701.82500000001</v>
      </c>
      <c r="I19" s="212">
        <v>880.41019072018219</v>
      </c>
      <c r="J19" s="212">
        <v>2945.5444194545971</v>
      </c>
      <c r="K19" s="213">
        <v>318.82955084789825</v>
      </c>
      <c r="L19" s="214" t="str">
        <f>VLOOKUP(B19,'Spokane DF Calc'!C:E,1,FALSE)</f>
        <v>RL 90 GL 1X WK 1</v>
      </c>
      <c r="M19" s="193">
        <v>5.0240374640625047</v>
      </c>
      <c r="O19" s="209">
        <v>19221.739297320746</v>
      </c>
      <c r="Q19" s="215">
        <v>35.43</v>
      </c>
      <c r="R19" s="193">
        <v>40.454037464062502</v>
      </c>
      <c r="S19" s="216">
        <v>154923.56429732076</v>
      </c>
    </row>
    <row r="20" spans="1:19" s="187" customFormat="1" ht="12" customHeight="1">
      <c r="A20" s="190" t="s">
        <v>22</v>
      </c>
      <c r="B20" s="190" t="s">
        <v>23</v>
      </c>
      <c r="C20" s="211">
        <v>70.260000000000005</v>
      </c>
      <c r="D20" s="211">
        <v>71.14</v>
      </c>
      <c r="E20" s="212">
        <v>474.255</v>
      </c>
      <c r="F20" s="212">
        <v>2274.0650000000001</v>
      </c>
      <c r="G20" s="193">
        <v>2748.32</v>
      </c>
      <c r="I20" s="212">
        <v>6.7499999999999991</v>
      </c>
      <c r="J20" s="212">
        <v>31.966052853528254</v>
      </c>
      <c r="K20" s="213">
        <v>3.226337737794021</v>
      </c>
      <c r="L20" s="214" t="str">
        <f>VLOOKUP(B20,'Spokane DF Calc'!C:E,1,FALSE)</f>
        <v>RL 90 GL 1X WK 2</v>
      </c>
      <c r="M20" s="193">
        <v>10.048074928125009</v>
      </c>
      <c r="O20" s="209">
        <v>389.0217999935</v>
      </c>
      <c r="Q20" s="215">
        <v>70.86</v>
      </c>
      <c r="R20" s="193">
        <v>80.908074928125004</v>
      </c>
      <c r="S20" s="216">
        <v>3137.3417999935</v>
      </c>
    </row>
    <row r="21" spans="1:19" s="187" customFormat="1" ht="12" customHeight="1">
      <c r="A21" s="190" t="s">
        <v>324</v>
      </c>
      <c r="B21" s="190" t="s">
        <v>325</v>
      </c>
      <c r="C21" s="211">
        <v>99.96</v>
      </c>
      <c r="D21" s="211">
        <v>106.71</v>
      </c>
      <c r="E21" s="212">
        <v>299.88</v>
      </c>
      <c r="F21" s="212">
        <v>953.6400000000001</v>
      </c>
      <c r="G21" s="193">
        <v>1253.52</v>
      </c>
      <c r="I21" s="212">
        <v>3</v>
      </c>
      <c r="J21" s="212">
        <v>8.9367444475681772</v>
      </c>
      <c r="K21" s="213">
        <v>0.9947287039640148</v>
      </c>
      <c r="L21" s="214" t="str">
        <f>VLOOKUP(B21,'Spokane DF Calc'!C:E,1,FALSE)</f>
        <v>RL 90 GL 1X WK 3</v>
      </c>
      <c r="M21" s="193">
        <v>15.072112392187512</v>
      </c>
      <c r="O21" s="209">
        <v>179.9119539105678</v>
      </c>
      <c r="Q21" s="215">
        <v>106.28999999999999</v>
      </c>
      <c r="R21" s="193">
        <v>121.3621123921875</v>
      </c>
      <c r="S21" s="216">
        <v>1433.4319539105677</v>
      </c>
    </row>
    <row r="22" spans="1:19" s="187" customFormat="1" ht="12" customHeight="1">
      <c r="A22" s="190" t="s">
        <v>24</v>
      </c>
      <c r="B22" s="190" t="s">
        <v>25</v>
      </c>
      <c r="C22" s="211">
        <v>13.01</v>
      </c>
      <c r="D22" s="211">
        <v>13.06</v>
      </c>
      <c r="E22" s="212">
        <v>0</v>
      </c>
      <c r="F22" s="212">
        <v>0</v>
      </c>
      <c r="G22" s="193">
        <v>0</v>
      </c>
      <c r="I22" s="212">
        <v>0</v>
      </c>
      <c r="J22" s="212">
        <v>0</v>
      </c>
      <c r="K22" s="213">
        <v>0</v>
      </c>
      <c r="L22" s="214" t="str">
        <f>VLOOKUP(B22,'Spokane DF Calc'!C:E,1,FALSE)</f>
        <v>1 RL 32 GL ON CALL-RES</v>
      </c>
      <c r="M22" s="193">
        <v>1.8490953579276053</v>
      </c>
      <c r="O22" s="209">
        <v>0</v>
      </c>
      <c r="Q22" s="215">
        <v>13.04</v>
      </c>
      <c r="R22" s="193">
        <v>14.889095357927605</v>
      </c>
      <c r="S22" s="216">
        <v>0</v>
      </c>
    </row>
    <row r="23" spans="1:19" s="187" customFormat="1" ht="12" customHeight="1">
      <c r="A23" s="190" t="s">
        <v>26</v>
      </c>
      <c r="B23" s="190" t="s">
        <v>27</v>
      </c>
      <c r="C23" s="211">
        <v>4.4400000000000004</v>
      </c>
      <c r="D23" s="211">
        <v>4.49</v>
      </c>
      <c r="E23" s="212">
        <v>848.96</v>
      </c>
      <c r="F23" s="212">
        <v>4598.93</v>
      </c>
      <c r="G23" s="193">
        <v>5447.89</v>
      </c>
      <c r="I23" s="212">
        <v>191.2072072072072</v>
      </c>
      <c r="J23" s="212">
        <v>1024.260579064588</v>
      </c>
      <c r="K23" s="213">
        <v>101.28898218931626</v>
      </c>
      <c r="L23" s="214" t="str">
        <f>VLOOKUP(B23,'Spokane DF Calc'!C:E,1,FALSE)</f>
        <v>EXTRA CAN, BAG, BOX-RES</v>
      </c>
      <c r="M23" s="193">
        <v>0.63385400689696281</v>
      </c>
      <c r="O23" s="209">
        <v>770.42912658255841</v>
      </c>
      <c r="Q23" s="215">
        <v>4.47</v>
      </c>
      <c r="R23" s="193">
        <v>5.1038540068969622</v>
      </c>
      <c r="S23" s="216">
        <v>6218.319126582559</v>
      </c>
    </row>
    <row r="24" spans="1:19" s="187" customFormat="1" ht="12" customHeight="1">
      <c r="A24" s="190" t="s">
        <v>28</v>
      </c>
      <c r="B24" s="190" t="s">
        <v>29</v>
      </c>
      <c r="C24" s="211">
        <v>22.61</v>
      </c>
      <c r="D24" s="211">
        <v>22.8</v>
      </c>
      <c r="E24" s="212">
        <v>22.61</v>
      </c>
      <c r="F24" s="212">
        <v>45.6</v>
      </c>
      <c r="G24" s="193">
        <v>68.210000000000008</v>
      </c>
      <c r="I24" s="212">
        <v>1</v>
      </c>
      <c r="J24" s="212">
        <v>2</v>
      </c>
      <c r="K24" s="213">
        <v>0.25</v>
      </c>
      <c r="L24" s="214" t="str">
        <f>VLOOKUP(B24,'Spokane DF Calc'!C:E,1,FALSE)</f>
        <v>EXTRA YARDAGE - RES</v>
      </c>
      <c r="M24" s="193">
        <v>3.2245727330731397</v>
      </c>
      <c r="O24" s="209">
        <v>9.6737181992194188</v>
      </c>
      <c r="Q24" s="215">
        <v>22.74</v>
      </c>
      <c r="R24" s="193">
        <v>25.964572733073137</v>
      </c>
      <c r="S24" s="216">
        <v>77.88371819921943</v>
      </c>
    </row>
    <row r="25" spans="1:19" s="187" customFormat="1" ht="12" customHeight="1">
      <c r="A25" s="190" t="s">
        <v>34</v>
      </c>
      <c r="B25" s="190" t="s">
        <v>35</v>
      </c>
      <c r="C25" s="211">
        <v>22.61</v>
      </c>
      <c r="D25" s="211">
        <v>22.8</v>
      </c>
      <c r="E25" s="212">
        <v>0</v>
      </c>
      <c r="F25" s="212">
        <v>182.4</v>
      </c>
      <c r="G25" s="193">
        <v>182.4</v>
      </c>
      <c r="I25" s="212">
        <v>0</v>
      </c>
      <c r="J25" s="212">
        <v>8</v>
      </c>
      <c r="K25" s="213">
        <v>0.66666666666666663</v>
      </c>
      <c r="L25" s="214" t="str">
        <f>VLOOKUP(B25,'Spokane DF Calc'!C:E,1,FALSE)</f>
        <v>BULKY ITEM PICK UP-RES</v>
      </c>
      <c r="M25" s="193">
        <v>3.2245727330731397</v>
      </c>
      <c r="O25" s="209">
        <v>25.796581864585114</v>
      </c>
      <c r="Q25" s="215">
        <v>22.74</v>
      </c>
      <c r="R25" s="193">
        <v>25.964572733073137</v>
      </c>
      <c r="S25" s="216">
        <v>208.19658186458511</v>
      </c>
    </row>
    <row r="26" spans="1:19" s="187" customFormat="1" ht="12" customHeight="1">
      <c r="A26" s="190" t="s">
        <v>30</v>
      </c>
      <c r="B26" s="190" t="s">
        <v>31</v>
      </c>
      <c r="C26" s="211">
        <v>4.4400000000000004</v>
      </c>
      <c r="D26" s="211">
        <v>4.49</v>
      </c>
      <c r="E26" s="212">
        <v>4.4400000000000004</v>
      </c>
      <c r="F26" s="212">
        <v>89.47</v>
      </c>
      <c r="G26" s="193">
        <v>93.91</v>
      </c>
      <c r="I26" s="212">
        <v>1</v>
      </c>
      <c r="J26" s="212">
        <v>19.926503340757236</v>
      </c>
      <c r="K26" s="213">
        <v>1.7438752783964364</v>
      </c>
      <c r="L26" s="214" t="str">
        <f>VLOOKUP(B26,'Spokane DF Calc'!C:E,1,FALSE)</f>
        <v>OVERSIZE CAN - RES</v>
      </c>
      <c r="M26" s="193">
        <v>0.63385400689696281</v>
      </c>
      <c r="O26" s="209">
        <v>13.264347992881653</v>
      </c>
      <c r="Q26" s="215">
        <v>4.47</v>
      </c>
      <c r="R26" s="193">
        <v>5.1038540068969622</v>
      </c>
      <c r="S26" s="216">
        <v>107.17434799288165</v>
      </c>
    </row>
    <row r="27" spans="1:19" s="187" customFormat="1" ht="12" customHeight="1">
      <c r="A27" s="190" t="s">
        <v>32</v>
      </c>
      <c r="B27" s="190" t="s">
        <v>33</v>
      </c>
      <c r="C27" s="211">
        <v>4.4400000000000004</v>
      </c>
      <c r="D27" s="211">
        <v>4.49</v>
      </c>
      <c r="E27" s="212">
        <v>13.32</v>
      </c>
      <c r="F27" s="212">
        <v>35.920000000000009</v>
      </c>
      <c r="G27" s="193">
        <v>49.240000000000009</v>
      </c>
      <c r="I27" s="212">
        <v>3</v>
      </c>
      <c r="J27" s="212">
        <v>8.0000000000000018</v>
      </c>
      <c r="K27" s="213">
        <v>0.91666666666666685</v>
      </c>
      <c r="L27" s="214" t="str">
        <f>VLOOKUP(B27,'Spokane DF Calc'!C:E,1,FALSE)</f>
        <v>OVERFILL/WEIGHT CAN-RES</v>
      </c>
      <c r="M27" s="193">
        <v>0.63385400689696281</v>
      </c>
      <c r="O27" s="209">
        <v>6.9723940758665917</v>
      </c>
      <c r="Q27" s="215">
        <v>4.47</v>
      </c>
      <c r="R27" s="193">
        <v>5.1038540068969622</v>
      </c>
      <c r="S27" s="216">
        <v>56.212394075866598</v>
      </c>
    </row>
    <row r="28" spans="1:19" s="187" customFormat="1" ht="12" customHeight="1">
      <c r="A28" s="190" t="s">
        <v>261</v>
      </c>
      <c r="B28" s="190" t="s">
        <v>262</v>
      </c>
      <c r="C28" s="211">
        <v>6.97</v>
      </c>
      <c r="D28" s="211">
        <v>6.97</v>
      </c>
      <c r="E28" s="212">
        <v>864.28</v>
      </c>
      <c r="F28" s="212">
        <v>2143.27</v>
      </c>
      <c r="G28" s="193">
        <v>3007.55</v>
      </c>
      <c r="I28" s="212">
        <v>124</v>
      </c>
      <c r="J28" s="212">
        <v>307.49928263988522</v>
      </c>
      <c r="K28" s="214">
        <v>35.958273553323771</v>
      </c>
      <c r="L28" s="214" t="e">
        <f>VLOOKUP(B28,'Spokane DF Calc'!C:E,1,FALSE)</f>
        <v>#N/A</v>
      </c>
      <c r="M28" s="193">
        <v>0.98854282735588317</v>
      </c>
      <c r="O28" s="209">
        <v>426.55552086286752</v>
      </c>
      <c r="Q28" s="195">
        <v>6.9713000000000003</v>
      </c>
      <c r="R28" s="193">
        <v>7.9598428273558834</v>
      </c>
      <c r="S28" s="216">
        <v>3434.1055208628677</v>
      </c>
    </row>
    <row r="29" spans="1:19" s="187" customFormat="1" ht="12" customHeight="1">
      <c r="A29" s="190" t="s">
        <v>326</v>
      </c>
      <c r="B29" s="190" t="s">
        <v>327</v>
      </c>
      <c r="C29" s="211">
        <v>8.4700000000000006</v>
      </c>
      <c r="D29" s="211">
        <v>8.4700000000000006</v>
      </c>
      <c r="E29" s="212">
        <v>0</v>
      </c>
      <c r="F29" s="212">
        <v>0</v>
      </c>
      <c r="G29" s="193">
        <v>0</v>
      </c>
      <c r="I29" s="212">
        <v>0</v>
      </c>
      <c r="J29" s="212">
        <v>0</v>
      </c>
      <c r="K29" s="214">
        <v>0</v>
      </c>
      <c r="L29" s="214" t="e">
        <f>VLOOKUP(B29,'Spokane DF Calc'!C:E,1,FALSE)</f>
        <v>#N/A</v>
      </c>
      <c r="M29" s="193">
        <v>1.2010611719054309</v>
      </c>
      <c r="O29" s="209">
        <v>0</v>
      </c>
      <c r="Q29" s="215">
        <v>8.4700000000000006</v>
      </c>
      <c r="R29" s="193">
        <v>9.671061171905432</v>
      </c>
      <c r="S29" s="216">
        <v>0</v>
      </c>
    </row>
    <row r="30" spans="1:19" s="187" customFormat="1" ht="12" customHeight="1">
      <c r="A30" s="190" t="s">
        <v>36</v>
      </c>
      <c r="B30" s="190" t="s">
        <v>37</v>
      </c>
      <c r="C30" s="211">
        <v>23.04</v>
      </c>
      <c r="D30" s="211">
        <v>23.04</v>
      </c>
      <c r="E30" s="212">
        <v>23.04</v>
      </c>
      <c r="F30" s="212">
        <v>46.08</v>
      </c>
      <c r="G30" s="193">
        <v>69.12</v>
      </c>
      <c r="I30" s="212">
        <v>1</v>
      </c>
      <c r="J30" s="212">
        <v>2</v>
      </c>
      <c r="K30" s="214">
        <v>0.25</v>
      </c>
      <c r="L30" s="214" t="e">
        <f>VLOOKUP(B30,'Spokane DF Calc'!C:E,1,FALSE)</f>
        <v>#N/A</v>
      </c>
      <c r="M30" s="193">
        <v>3.2671132704487751</v>
      </c>
      <c r="O30" s="209">
        <v>9.8013398113463257</v>
      </c>
      <c r="Q30" s="215">
        <v>23.04</v>
      </c>
      <c r="R30" s="193">
        <v>26.307113270448774</v>
      </c>
      <c r="S30" s="216">
        <v>78.921339811346328</v>
      </c>
    </row>
    <row r="31" spans="1:19" s="187" customFormat="1" ht="12" customHeight="1">
      <c r="A31" s="190" t="s">
        <v>38</v>
      </c>
      <c r="B31" s="190" t="s">
        <v>39</v>
      </c>
      <c r="C31" s="211">
        <v>13.83</v>
      </c>
      <c r="D31" s="211">
        <v>13.83</v>
      </c>
      <c r="E31" s="212">
        <v>41.49</v>
      </c>
      <c r="F31" s="212">
        <v>207.45000000000002</v>
      </c>
      <c r="G31" s="193">
        <v>248.94000000000003</v>
      </c>
      <c r="I31" s="212">
        <v>3</v>
      </c>
      <c r="J31" s="212">
        <v>15.000000000000002</v>
      </c>
      <c r="K31" s="214">
        <v>1.5</v>
      </c>
      <c r="L31" s="214" t="e">
        <f>VLOOKUP(B31,'Spokane DF Calc'!C:E,1,FALSE)</f>
        <v>#N/A</v>
      </c>
      <c r="M31" s="193">
        <v>1.9611187730167778</v>
      </c>
      <c r="O31" s="209">
        <v>35.300137914301999</v>
      </c>
      <c r="Q31" s="215">
        <v>13.83</v>
      </c>
      <c r="R31" s="193">
        <v>15.791118773016779</v>
      </c>
      <c r="S31" s="216">
        <v>284.24013791430201</v>
      </c>
    </row>
    <row r="32" spans="1:19" s="187" customFormat="1" ht="12" customHeight="1" thickBot="1">
      <c r="A32" s="217"/>
      <c r="B32" s="217"/>
      <c r="C32" s="211"/>
      <c r="D32" s="211"/>
      <c r="E32" s="212"/>
      <c r="F32" s="212"/>
      <c r="G32" s="193"/>
      <c r="I32" s="212"/>
      <c r="J32" s="212"/>
      <c r="K32" s="214"/>
      <c r="L32" s="214"/>
      <c r="O32" s="209"/>
    </row>
    <row r="33" spans="1:19" s="187" customFormat="1" ht="12" customHeight="1" thickBot="1">
      <c r="A33" s="218"/>
      <c r="B33" s="219" t="s">
        <v>40</v>
      </c>
      <c r="C33" s="211"/>
      <c r="D33" s="211"/>
      <c r="E33" s="220">
        <v>93555.73000000004</v>
      </c>
      <c r="F33" s="220">
        <v>299554.71000000002</v>
      </c>
      <c r="G33" s="220">
        <v>393110.44000000006</v>
      </c>
      <c r="I33" s="212"/>
      <c r="J33" s="212"/>
      <c r="K33" s="221">
        <v>1205.2666702232293</v>
      </c>
      <c r="L33" s="222"/>
      <c r="O33" s="223">
        <v>55692.349248277074</v>
      </c>
      <c r="R33" s="224"/>
      <c r="S33" s="225">
        <v>448802.78924827708</v>
      </c>
    </row>
    <row r="34" spans="1:19" s="187" customFormat="1" ht="12" customHeight="1">
      <c r="C34" s="211"/>
      <c r="D34" s="211"/>
      <c r="G34" s="193"/>
      <c r="I34" s="212"/>
      <c r="J34" s="212"/>
      <c r="K34" s="214"/>
      <c r="L34" s="214"/>
      <c r="O34" s="209"/>
    </row>
    <row r="35" spans="1:19" ht="12" customHeight="1">
      <c r="A35" s="210" t="s">
        <v>41</v>
      </c>
      <c r="B35" s="210" t="s">
        <v>41</v>
      </c>
      <c r="I35" s="214"/>
      <c r="J35" s="214"/>
      <c r="K35" s="214"/>
      <c r="L35" s="214"/>
    </row>
    <row r="36" spans="1:19" ht="12" customHeight="1">
      <c r="A36" s="210"/>
      <c r="B36" s="210"/>
      <c r="I36" s="214"/>
      <c r="J36" s="214"/>
      <c r="K36" s="214"/>
      <c r="L36" s="214"/>
    </row>
    <row r="37" spans="1:19" s="187" customFormat="1">
      <c r="A37" s="194" t="s">
        <v>42</v>
      </c>
      <c r="B37" s="194" t="s">
        <v>42</v>
      </c>
      <c r="C37" s="211"/>
      <c r="D37" s="211"/>
      <c r="G37" s="193"/>
      <c r="I37" s="212"/>
      <c r="J37" s="212"/>
      <c r="K37" s="214"/>
      <c r="L37" s="214"/>
      <c r="O37" s="209"/>
    </row>
    <row r="38" spans="1:19" s="187" customFormat="1" ht="12" customHeight="1">
      <c r="A38" s="190" t="s">
        <v>43</v>
      </c>
      <c r="B38" s="190" t="s">
        <v>44</v>
      </c>
      <c r="C38" s="211">
        <v>76.08</v>
      </c>
      <c r="D38" s="211">
        <v>77.2</v>
      </c>
      <c r="E38" s="212">
        <v>6048.36</v>
      </c>
      <c r="F38" s="212">
        <v>18354.300000000003</v>
      </c>
      <c r="G38" s="193">
        <v>24402.660000000003</v>
      </c>
      <c r="I38" s="212">
        <v>79.5</v>
      </c>
      <c r="J38" s="212">
        <v>237.75000000000003</v>
      </c>
      <c r="K38" s="214">
        <v>26.4375</v>
      </c>
      <c r="L38" s="214" t="str">
        <f>VLOOKUP(B38,'Spokane DF Calc'!C:E,1,FALSE)</f>
        <v>RL 1 YD 1X WK 1</v>
      </c>
      <c r="M38" s="193">
        <v>10.898531171159581</v>
      </c>
      <c r="O38" s="209">
        <v>3457.5590140503773</v>
      </c>
      <c r="Q38" s="215">
        <v>76.857500000000002</v>
      </c>
      <c r="R38" s="216">
        <v>87.756031171159577</v>
      </c>
      <c r="S38" s="216">
        <v>27860.219014050381</v>
      </c>
    </row>
    <row r="39" spans="1:19" s="187" customFormat="1" ht="12" customHeight="1">
      <c r="A39" s="190" t="s">
        <v>372</v>
      </c>
      <c r="B39" s="190" t="s">
        <v>373</v>
      </c>
      <c r="C39" s="211">
        <v>17.57</v>
      </c>
      <c r="D39" s="211">
        <v>17.829999999999998</v>
      </c>
      <c r="E39" s="212">
        <v>52.71</v>
      </c>
      <c r="F39" s="212">
        <v>53.489999999999995</v>
      </c>
      <c r="G39" s="193">
        <v>106.19999999999999</v>
      </c>
      <c r="I39" s="212">
        <v>3</v>
      </c>
      <c r="J39" s="212">
        <v>3</v>
      </c>
      <c r="K39" s="214">
        <v>0.5</v>
      </c>
      <c r="L39" s="214" t="str">
        <f>VLOOKUP(B39,'Spokane DF Calc'!C:E,1,FALSE)</f>
        <v>RL 1 YD 1X MO 1</v>
      </c>
      <c r="M39" s="193">
        <v>2.5169817947250763</v>
      </c>
      <c r="O39" s="209">
        <v>15.101890768350458</v>
      </c>
      <c r="Q39" s="215">
        <v>17.75</v>
      </c>
      <c r="R39" s="216">
        <v>20.266981794725076</v>
      </c>
      <c r="S39" s="216">
        <v>121.30189076835045</v>
      </c>
    </row>
    <row r="40" spans="1:19" s="187" customFormat="1" ht="12" customHeight="1">
      <c r="A40" s="190" t="s">
        <v>45</v>
      </c>
      <c r="B40" s="190" t="s">
        <v>46</v>
      </c>
      <c r="C40" s="211">
        <v>114.01</v>
      </c>
      <c r="D40" s="211">
        <v>115.61</v>
      </c>
      <c r="E40" s="212">
        <v>3534.3099999999995</v>
      </c>
      <c r="F40" s="212">
        <v>12919.41</v>
      </c>
      <c r="G40" s="193">
        <v>16453.72</v>
      </c>
      <c r="I40" s="212">
        <v>30.999999999999993</v>
      </c>
      <c r="J40" s="212">
        <v>111.74993512671914</v>
      </c>
      <c r="K40" s="214">
        <v>11.895827927226593</v>
      </c>
      <c r="L40" s="214" t="str">
        <f>VLOOKUP(B40,'Spokane DF Calc'!C:E,1,FALSE)</f>
        <v>RL 1.5 YD 1X WK 1</v>
      </c>
      <c r="M40" s="193">
        <v>16.320166677713896</v>
      </c>
      <c r="O40" s="209">
        <v>2329.7027345009019</v>
      </c>
      <c r="Q40" s="193">
        <v>115.09139999999999</v>
      </c>
      <c r="R40" s="216">
        <v>131.41156667771389</v>
      </c>
      <c r="S40" s="216">
        <v>18783.422734500902</v>
      </c>
    </row>
    <row r="41" spans="1:19" s="187" customFormat="1" ht="12" customHeight="1">
      <c r="A41" s="190" t="s">
        <v>47</v>
      </c>
      <c r="B41" s="190" t="s">
        <v>48</v>
      </c>
      <c r="C41" s="211">
        <v>228.02</v>
      </c>
      <c r="D41" s="211">
        <v>231.22</v>
      </c>
      <c r="E41" s="212">
        <v>0</v>
      </c>
      <c r="F41" s="212">
        <v>867.07999999999993</v>
      </c>
      <c r="G41" s="193">
        <v>867.07999999999993</v>
      </c>
      <c r="I41" s="212">
        <v>0</v>
      </c>
      <c r="J41" s="212">
        <v>3.7500216244269522</v>
      </c>
      <c r="K41" s="214">
        <v>0.31250180203557937</v>
      </c>
      <c r="L41" s="214" t="str">
        <f>VLOOKUP(B41,'Spokane DF Calc'!C:E,1,FALSE)</f>
        <v>RL 1.5 YD 1X WK 2</v>
      </c>
      <c r="M41" s="193">
        <v>32.640333355427792</v>
      </c>
      <c r="O41" s="209">
        <v>122.40195591135856</v>
      </c>
      <c r="Q41" s="193">
        <v>230.18279999999999</v>
      </c>
      <c r="R41" s="216">
        <v>262.82313335542779</v>
      </c>
      <c r="S41" s="216">
        <v>989.48195591135845</v>
      </c>
    </row>
    <row r="42" spans="1:19" s="187" customFormat="1" ht="12" customHeight="1">
      <c r="A42" s="190" t="s">
        <v>49</v>
      </c>
      <c r="B42" s="190" t="s">
        <v>50</v>
      </c>
      <c r="C42" s="211">
        <v>342.03</v>
      </c>
      <c r="D42" s="211">
        <v>346.83</v>
      </c>
      <c r="E42" s="212">
        <v>85.51</v>
      </c>
      <c r="F42" s="212">
        <v>1127.2</v>
      </c>
      <c r="G42" s="193">
        <v>1212.71</v>
      </c>
      <c r="I42" s="212">
        <v>0.25000730930035381</v>
      </c>
      <c r="J42" s="212">
        <v>3.2500072081423177</v>
      </c>
      <c r="K42" s="214">
        <v>0.29166787645355596</v>
      </c>
      <c r="L42" s="214" t="str">
        <f>VLOOKUP(B42,'Spokane DF Calc'!C:E,1,FALSE)</f>
        <v>RL 1.5 YD 1X WK 3</v>
      </c>
      <c r="M42" s="193">
        <v>48.960500033141692</v>
      </c>
      <c r="O42" s="209">
        <v>171.36246089724833</v>
      </c>
      <c r="Q42" s="193">
        <v>345.27420000000001</v>
      </c>
      <c r="R42" s="216">
        <v>394.23470003314168</v>
      </c>
      <c r="S42" s="216">
        <v>1384.0724608972484</v>
      </c>
    </row>
    <row r="43" spans="1:19" s="187" customFormat="1" ht="12" customHeight="1">
      <c r="A43" s="190" t="s">
        <v>51</v>
      </c>
      <c r="B43" s="190" t="s">
        <v>52</v>
      </c>
      <c r="C43" s="211">
        <v>151.59</v>
      </c>
      <c r="D43" s="211">
        <v>153.66999999999999</v>
      </c>
      <c r="E43" s="212">
        <v>4547.7</v>
      </c>
      <c r="F43" s="212">
        <v>12370.44</v>
      </c>
      <c r="G43" s="193">
        <v>16918.14</v>
      </c>
      <c r="I43" s="212">
        <v>29.999999999999996</v>
      </c>
      <c r="J43" s="212">
        <v>80.500032537255166</v>
      </c>
      <c r="K43" s="214">
        <v>9.2083360447712632</v>
      </c>
      <c r="L43" s="214" t="str">
        <f>VLOOKUP(B43,'Spokane DF Calc'!C:E,1,FALSE)</f>
        <v>RL 2 YD 1X WK 1</v>
      </c>
      <c r="M43" s="193">
        <v>21.692682043778476</v>
      </c>
      <c r="O43" s="209">
        <v>2397.0420716578524</v>
      </c>
      <c r="Q43" s="215">
        <v>152.97889999999998</v>
      </c>
      <c r="R43" s="216">
        <v>174.67158204377847</v>
      </c>
      <c r="S43" s="216">
        <v>19315.182071657851</v>
      </c>
    </row>
    <row r="44" spans="1:19" s="187" customFormat="1" ht="12" customHeight="1">
      <c r="A44" s="190" t="s">
        <v>53</v>
      </c>
      <c r="B44" s="190" t="s">
        <v>54</v>
      </c>
      <c r="C44" s="211">
        <v>212.86</v>
      </c>
      <c r="D44" s="211">
        <v>215.89</v>
      </c>
      <c r="E44" s="212">
        <v>1915.7400000000002</v>
      </c>
      <c r="F44" s="212">
        <v>6692.5899999999983</v>
      </c>
      <c r="G44" s="193">
        <v>8608.3299999999981</v>
      </c>
      <c r="I44" s="212">
        <v>9</v>
      </c>
      <c r="J44" s="212">
        <v>30.999999999999993</v>
      </c>
      <c r="K44" s="214">
        <v>3.3333333333333326</v>
      </c>
      <c r="L44" s="214" t="str">
        <f>VLOOKUP(B44,'Spokane DF Calc'!C:E,1,FALSE)</f>
        <v>RL 3 YD 1X WK 1</v>
      </c>
      <c r="M44" s="193">
        <v>30.47290715631831</v>
      </c>
      <c r="O44" s="209">
        <v>1218.9162862527321</v>
      </c>
      <c r="Q44" s="193">
        <v>214.89790000000002</v>
      </c>
      <c r="R44" s="216">
        <v>245.37080715631834</v>
      </c>
      <c r="S44" s="216">
        <v>9827.24628625273</v>
      </c>
    </row>
    <row r="45" spans="1:19" s="187" customFormat="1" ht="12" customHeight="1">
      <c r="A45" s="190" t="s">
        <v>55</v>
      </c>
      <c r="B45" s="190" t="s">
        <v>56</v>
      </c>
      <c r="C45" s="211">
        <v>425.72</v>
      </c>
      <c r="D45" s="211">
        <v>431.78</v>
      </c>
      <c r="E45" s="212">
        <v>1809.3100000000002</v>
      </c>
      <c r="F45" s="212">
        <v>3886.0199999999986</v>
      </c>
      <c r="G45" s="193">
        <v>5695.329999999999</v>
      </c>
      <c r="I45" s="212">
        <v>4.25</v>
      </c>
      <c r="J45" s="212">
        <v>8.9999999999999982</v>
      </c>
      <c r="K45" s="214">
        <v>1.1041666666666665</v>
      </c>
      <c r="L45" s="214" t="str">
        <f>VLOOKUP(B45,'Spokane DF Calc'!C:E,1,FALSE)</f>
        <v>RL 3 YD 1X WK 2</v>
      </c>
      <c r="M45" s="193">
        <v>60.945814312636621</v>
      </c>
      <c r="O45" s="209">
        <v>807.53203964243505</v>
      </c>
      <c r="Q45" s="193">
        <v>429.79580000000004</v>
      </c>
      <c r="R45" s="216">
        <v>490.74161431263667</v>
      </c>
      <c r="S45" s="216">
        <v>6502.862039642434</v>
      </c>
    </row>
    <row r="46" spans="1:19" s="187" customFormat="1" ht="12" customHeight="1">
      <c r="A46" s="190" t="s">
        <v>57</v>
      </c>
      <c r="B46" s="190" t="s">
        <v>58</v>
      </c>
      <c r="C46" s="211">
        <v>281.93</v>
      </c>
      <c r="D46" s="211">
        <v>285.87</v>
      </c>
      <c r="E46" s="212">
        <v>4228.9500000000007</v>
      </c>
      <c r="F46" s="212">
        <v>14507.9</v>
      </c>
      <c r="G46" s="193">
        <v>18736.849999999999</v>
      </c>
      <c r="I46" s="212">
        <v>15.000000000000002</v>
      </c>
      <c r="J46" s="212">
        <v>50.749991254766151</v>
      </c>
      <c r="K46" s="214">
        <v>5.4791659378971795</v>
      </c>
      <c r="L46" s="214" t="str">
        <f>VLOOKUP(B46,'Spokane DF Calc'!C:E,1,FALSE)</f>
        <v>RL 4 YD 1X WK 1</v>
      </c>
      <c r="M46" s="193">
        <v>74.766993842935335</v>
      </c>
      <c r="O46" s="209">
        <v>4915.9291913181532</v>
      </c>
      <c r="Q46" s="193">
        <v>527.26409999999998</v>
      </c>
      <c r="R46" s="216">
        <v>602.03109384293532</v>
      </c>
      <c r="S46" s="216">
        <v>23652.77919131815</v>
      </c>
    </row>
    <row r="47" spans="1:19" s="187" customFormat="1" ht="12" customHeight="1">
      <c r="A47" s="190" t="s">
        <v>59</v>
      </c>
      <c r="B47" s="190" t="s">
        <v>60</v>
      </c>
      <c r="C47" s="211">
        <v>563.86</v>
      </c>
      <c r="D47" s="211">
        <v>571.74</v>
      </c>
      <c r="E47" s="212">
        <v>2678.34</v>
      </c>
      <c r="F47" s="212">
        <v>10291.319999999998</v>
      </c>
      <c r="G47" s="193">
        <v>12969.659999999998</v>
      </c>
      <c r="I47" s="212">
        <v>4.7500088674493668</v>
      </c>
      <c r="J47" s="212">
        <v>17.999999999999996</v>
      </c>
      <c r="K47" s="214">
        <v>1.8958340722874469</v>
      </c>
      <c r="L47" s="214" t="str">
        <f>VLOOKUP(B47,'Spokane DF Calc'!C:E,1,FALSE)</f>
        <v>RL 4 YD 1X WK 2</v>
      </c>
      <c r="M47" s="193">
        <v>80.716670859754288</v>
      </c>
      <c r="O47" s="209">
        <v>1836.3049778104014</v>
      </c>
      <c r="Q47" s="193">
        <v>569.22180000000003</v>
      </c>
      <c r="R47" s="216">
        <v>649.93847085975426</v>
      </c>
      <c r="S47" s="216">
        <v>14805.964977810399</v>
      </c>
    </row>
    <row r="48" spans="1:19" s="187" customFormat="1" ht="12" customHeight="1">
      <c r="A48" s="190" t="s">
        <v>61</v>
      </c>
      <c r="B48" s="190" t="s">
        <v>62</v>
      </c>
      <c r="C48" s="211">
        <v>818.2</v>
      </c>
      <c r="D48" s="211">
        <v>829.02</v>
      </c>
      <c r="E48" s="212">
        <v>2454.6000000000004</v>
      </c>
      <c r="F48" s="212">
        <v>7461.1800000000021</v>
      </c>
      <c r="G48" s="193">
        <v>9915.7800000000025</v>
      </c>
      <c r="I48" s="212">
        <v>3.0000000000000004</v>
      </c>
      <c r="J48" s="212">
        <v>9.0000000000000036</v>
      </c>
      <c r="K48" s="214">
        <v>1.0000000000000002</v>
      </c>
      <c r="L48" s="214" t="str">
        <f>VLOOKUP(B48,'Spokane DF Calc'!C:E,1,FALSE)</f>
        <v>RL 6 YD 1X WK 2</v>
      </c>
      <c r="M48" s="193">
        <v>117.06557482215695</v>
      </c>
      <c r="O48" s="209">
        <v>1404.7868978658837</v>
      </c>
      <c r="Q48" s="193">
        <v>825.55780000000004</v>
      </c>
      <c r="R48" s="216">
        <v>942.62337482215696</v>
      </c>
      <c r="S48" s="216">
        <v>11320.566897865887</v>
      </c>
    </row>
    <row r="49" spans="1:19" s="187" customFormat="1" ht="12" customHeight="1">
      <c r="A49" s="190" t="s">
        <v>83</v>
      </c>
      <c r="B49" s="190" t="s">
        <v>84</v>
      </c>
      <c r="C49" s="211">
        <v>21.53</v>
      </c>
      <c r="D49" s="211">
        <v>21.79</v>
      </c>
      <c r="E49" s="212">
        <v>0</v>
      </c>
      <c r="F49" s="212">
        <v>0</v>
      </c>
      <c r="G49" s="193">
        <v>0</v>
      </c>
      <c r="I49" s="212">
        <v>0</v>
      </c>
      <c r="J49" s="212">
        <v>0</v>
      </c>
      <c r="K49" s="214">
        <v>0</v>
      </c>
      <c r="L49" s="214" t="str">
        <f>VLOOKUP(B49,'Spokane DF Calc'!C:E,1,FALSE)</f>
        <v>RL TEMPORARY 1 YD-COMM</v>
      </c>
      <c r="M49" s="193">
        <v>3.0785168880834597</v>
      </c>
      <c r="O49" s="209">
        <v>0</v>
      </c>
      <c r="Q49" s="215">
        <v>21.71</v>
      </c>
      <c r="R49" s="216">
        <v>24.788516888083461</v>
      </c>
      <c r="S49" s="216">
        <v>0</v>
      </c>
    </row>
    <row r="50" spans="1:19" s="187" customFormat="1" ht="12" customHeight="1">
      <c r="A50" s="190" t="s">
        <v>81</v>
      </c>
      <c r="B50" s="190" t="s">
        <v>82</v>
      </c>
      <c r="C50" s="211">
        <v>32.409999999999997</v>
      </c>
      <c r="D50" s="211">
        <v>32.78</v>
      </c>
      <c r="E50" s="212">
        <v>0</v>
      </c>
      <c r="F50" s="212">
        <v>32.78</v>
      </c>
      <c r="G50" s="193">
        <v>32.78</v>
      </c>
      <c r="I50" s="212">
        <v>0</v>
      </c>
      <c r="J50" s="212">
        <v>1</v>
      </c>
      <c r="K50" s="214">
        <v>8.3333333333333329E-2</v>
      </c>
      <c r="L50" s="214" t="str">
        <f>VLOOKUP(B50,'Spokane DF Calc'!C:E,1,FALSE)</f>
        <v>RL TEMPORARY 1.5 YD-COMM</v>
      </c>
      <c r="M50" s="193">
        <v>4.6312465022941396</v>
      </c>
      <c r="O50" s="209">
        <v>4.6312465022941396</v>
      </c>
      <c r="Q50" s="215">
        <v>32.659999999999997</v>
      </c>
      <c r="R50" s="216">
        <v>37.291246502294136</v>
      </c>
      <c r="S50" s="216">
        <v>37.411246502294141</v>
      </c>
    </row>
    <row r="51" spans="1:19" s="187" customFormat="1" ht="12" customHeight="1">
      <c r="A51" s="190" t="s">
        <v>85</v>
      </c>
      <c r="B51" s="190" t="s">
        <v>86</v>
      </c>
      <c r="C51" s="211">
        <v>41.53</v>
      </c>
      <c r="D51" s="211">
        <v>42.01</v>
      </c>
      <c r="E51" s="212">
        <v>41.53</v>
      </c>
      <c r="F51" s="212">
        <v>42.01</v>
      </c>
      <c r="G51" s="193">
        <v>83.539999999999992</v>
      </c>
      <c r="I51" s="212">
        <v>1</v>
      </c>
      <c r="J51" s="212">
        <v>1</v>
      </c>
      <c r="K51" s="214">
        <v>0.16666666666666666</v>
      </c>
      <c r="L51" s="214" t="str">
        <f>VLOOKUP(B51,'Spokane DF Calc'!C:E,1,FALSE)</f>
        <v>RL TEMPORARY 2 YD-COMM</v>
      </c>
      <c r="M51" s="193">
        <v>5.9344049639010956</v>
      </c>
      <c r="O51" s="209">
        <v>11.868809927802191</v>
      </c>
      <c r="Q51" s="215">
        <v>41.85</v>
      </c>
      <c r="R51" s="216">
        <v>47.784404963901096</v>
      </c>
      <c r="S51" s="216">
        <v>95.408809927802182</v>
      </c>
    </row>
    <row r="52" spans="1:19" s="187" customFormat="1" ht="12" customHeight="1">
      <c r="A52" s="190" t="s">
        <v>87</v>
      </c>
      <c r="B52" s="190" t="s">
        <v>88</v>
      </c>
      <c r="C52" s="211">
        <v>58.44</v>
      </c>
      <c r="D52" s="211">
        <v>59.14</v>
      </c>
      <c r="E52" s="212">
        <v>0</v>
      </c>
      <c r="F52" s="212">
        <v>118.28</v>
      </c>
      <c r="G52" s="193">
        <v>118.28</v>
      </c>
      <c r="I52" s="212">
        <v>0</v>
      </c>
      <c r="J52" s="212">
        <v>2</v>
      </c>
      <c r="K52" s="214">
        <v>0.16666666666666666</v>
      </c>
      <c r="L52" s="214" t="str">
        <f>VLOOKUP(B52,'Spokane DF Calc'!C:E,1,FALSE)</f>
        <v>RL TEMPORARY 3 YD - COMM</v>
      </c>
      <c r="M52" s="193">
        <v>8.3535435226622106</v>
      </c>
      <c r="O52" s="209">
        <v>16.707087045324421</v>
      </c>
      <c r="Q52" s="215">
        <v>58.91</v>
      </c>
      <c r="R52" s="216">
        <v>67.263543522662204</v>
      </c>
      <c r="S52" s="216">
        <v>134.98708704532442</v>
      </c>
    </row>
    <row r="53" spans="1:19" s="187" customFormat="1" ht="12" customHeight="1">
      <c r="A53" s="190" t="s">
        <v>89</v>
      </c>
      <c r="B53" s="190" t="s">
        <v>90</v>
      </c>
      <c r="C53" s="211">
        <v>78</v>
      </c>
      <c r="D53" s="211">
        <v>78.91</v>
      </c>
      <c r="E53" s="212">
        <v>156</v>
      </c>
      <c r="F53" s="212">
        <v>1183.6499999999999</v>
      </c>
      <c r="G53" s="193">
        <v>1339.6499999999999</v>
      </c>
      <c r="I53" s="212">
        <v>2</v>
      </c>
      <c r="J53" s="212">
        <v>14.999999999999998</v>
      </c>
      <c r="K53" s="214">
        <v>1.4166666666666667</v>
      </c>
      <c r="L53" s="214" t="str">
        <f>VLOOKUP(B53,'Spokane DF Calc'!C:E,1,FALSE)</f>
        <v>RL TEMPORARY 4 YD-COMM</v>
      </c>
      <c r="M53" s="193">
        <v>11.148456828241438</v>
      </c>
      <c r="O53" s="209">
        <v>189.52376608010445</v>
      </c>
      <c r="Q53" s="215">
        <v>78.62</v>
      </c>
      <c r="R53" s="216">
        <v>89.76845682824144</v>
      </c>
      <c r="S53" s="216">
        <v>1529.1737660801043</v>
      </c>
    </row>
    <row r="54" spans="1:19" s="187" customFormat="1" ht="12" customHeight="1">
      <c r="A54" s="190" t="s">
        <v>63</v>
      </c>
      <c r="B54" s="190" t="s">
        <v>64</v>
      </c>
      <c r="C54" s="211">
        <v>19.12</v>
      </c>
      <c r="D54" s="211">
        <v>19.309999999999999</v>
      </c>
      <c r="E54" s="212">
        <v>573.6</v>
      </c>
      <c r="F54" s="212">
        <v>1716.0899999999997</v>
      </c>
      <c r="G54" s="193">
        <v>2289.6899999999996</v>
      </c>
      <c r="I54" s="212">
        <v>30</v>
      </c>
      <c r="J54" s="212">
        <v>88.870533402382179</v>
      </c>
      <c r="K54" s="214">
        <v>9.9058777835318477</v>
      </c>
      <c r="L54" s="214" t="str">
        <f>VLOOKUP(B54,'Spokane DF Calc'!C:E,1,FALSE)</f>
        <v>RL 32 GL 1X WK COMM 1</v>
      </c>
      <c r="M54" s="193">
        <v>2.732520517428294</v>
      </c>
      <c r="O54" s="209">
        <v>324.81617143965462</v>
      </c>
      <c r="Q54" s="215">
        <v>19.27</v>
      </c>
      <c r="R54" s="216">
        <v>22.002520517428295</v>
      </c>
      <c r="S54" s="216">
        <v>2614.5061714396543</v>
      </c>
    </row>
    <row r="55" spans="1:19" s="187" customFormat="1" ht="12" customHeight="1">
      <c r="A55" s="190" t="s">
        <v>65</v>
      </c>
      <c r="B55" s="190" t="s">
        <v>66</v>
      </c>
      <c r="C55" s="211">
        <v>36.72</v>
      </c>
      <c r="D55" s="211">
        <v>37.06</v>
      </c>
      <c r="E55" s="212">
        <v>55.08</v>
      </c>
      <c r="F55" s="212">
        <v>333.54</v>
      </c>
      <c r="G55" s="193">
        <v>388.62</v>
      </c>
      <c r="I55" s="212">
        <v>1.5</v>
      </c>
      <c r="J55" s="212">
        <v>9</v>
      </c>
      <c r="K55" s="214">
        <v>0.875</v>
      </c>
      <c r="L55" s="214" t="str">
        <f>VLOOKUP(B55,'Spokane DF Calc'!C:E,1,FALSE)</f>
        <v>RL 32 GL 1X WK COMM 2</v>
      </c>
      <c r="M55" s="193">
        <v>5.2435749972790315</v>
      </c>
      <c r="O55" s="209">
        <v>55.057537471429825</v>
      </c>
      <c r="Q55" s="215">
        <v>36.978199999999994</v>
      </c>
      <c r="R55" s="216">
        <v>42.221774997279027</v>
      </c>
      <c r="S55" s="216">
        <v>443.67753747142984</v>
      </c>
    </row>
    <row r="56" spans="1:19" s="187" customFormat="1" ht="12" customHeight="1">
      <c r="A56" s="190" t="s">
        <v>67</v>
      </c>
      <c r="B56" s="190" t="s">
        <v>68</v>
      </c>
      <c r="C56" s="211">
        <v>35.9</v>
      </c>
      <c r="D56" s="211">
        <v>36.200000000000003</v>
      </c>
      <c r="E56" s="212">
        <v>457.73</v>
      </c>
      <c r="F56" s="212">
        <v>1303.1999999999998</v>
      </c>
      <c r="G56" s="193">
        <v>1760.9299999999998</v>
      </c>
      <c r="I56" s="212">
        <v>12.750139275766017</v>
      </c>
      <c r="J56" s="212">
        <v>35.999999999999993</v>
      </c>
      <c r="K56" s="214">
        <v>4.0625116063138345</v>
      </c>
      <c r="L56" s="214" t="str">
        <f>VLOOKUP(B56,'Spokane DF Calc'!C:E,1,FALSE)</f>
        <v>RL 65 GL 1X WK COMM 1</v>
      </c>
      <c r="M56" s="193">
        <v>5.1162086283763806</v>
      </c>
      <c r="O56" s="209">
        <v>249.41588319722439</v>
      </c>
      <c r="Q56" s="215">
        <v>36.08</v>
      </c>
      <c r="R56" s="216">
        <v>41.196208628376382</v>
      </c>
      <c r="S56" s="216">
        <v>2010.3458831972243</v>
      </c>
    </row>
    <row r="57" spans="1:19" s="187" customFormat="1" ht="12" customHeight="1">
      <c r="A57" s="190" t="s">
        <v>69</v>
      </c>
      <c r="B57" s="190" t="s">
        <v>70</v>
      </c>
      <c r="C57" s="211">
        <v>44.06</v>
      </c>
      <c r="D57" s="211">
        <v>44.5</v>
      </c>
      <c r="E57" s="212">
        <v>782.07</v>
      </c>
      <c r="F57" s="212">
        <v>2403</v>
      </c>
      <c r="G57" s="193">
        <v>3185.07</v>
      </c>
      <c r="I57" s="212">
        <v>17.75011348161598</v>
      </c>
      <c r="J57" s="212">
        <v>54</v>
      </c>
      <c r="K57" s="214">
        <v>5.9791761234679983</v>
      </c>
      <c r="L57" s="214" t="str">
        <f>VLOOKUP(B57,'Spokane DF Calc'!C:E,1,FALSE)</f>
        <v>RL 90 GL 1X WK COMM 1</v>
      </c>
      <c r="M57" s="193">
        <v>6.2917454778564297</v>
      </c>
      <c r="O57" s="209">
        <v>451.43345203364299</v>
      </c>
      <c r="Q57" s="215">
        <v>44.37</v>
      </c>
      <c r="R57" s="216">
        <v>50.661745477856428</v>
      </c>
      <c r="S57" s="216">
        <v>3636.503452033643</v>
      </c>
    </row>
    <row r="58" spans="1:19" s="187" customFormat="1" ht="12" customHeight="1">
      <c r="A58" s="190" t="s">
        <v>71</v>
      </c>
      <c r="B58" s="190" t="s">
        <v>72</v>
      </c>
      <c r="C58" s="211">
        <v>88.08</v>
      </c>
      <c r="D58" s="211">
        <v>88.94</v>
      </c>
      <c r="E58" s="212">
        <v>264.24</v>
      </c>
      <c r="F58" s="212">
        <v>800.46</v>
      </c>
      <c r="G58" s="193">
        <v>1064.7</v>
      </c>
      <c r="I58" s="212">
        <v>3</v>
      </c>
      <c r="J58" s="212">
        <v>9</v>
      </c>
      <c r="K58" s="214">
        <v>1</v>
      </c>
      <c r="L58" s="214" t="str">
        <f>VLOOKUP(B58,'Spokane DF Calc'!C:E,1,FALSE)</f>
        <v>RL 90 GL 1X WK COMM 2</v>
      </c>
      <c r="M58" s="193">
        <v>12.574755965371729</v>
      </c>
      <c r="O58" s="209">
        <v>150.89707158446075</v>
      </c>
      <c r="Q58" s="193">
        <v>88.678399999999996</v>
      </c>
      <c r="R58" s="216">
        <v>101.25315596537172</v>
      </c>
      <c r="S58" s="216">
        <v>1215.5970715844608</v>
      </c>
    </row>
    <row r="59" spans="1:19" s="187" customFormat="1" ht="12" customHeight="1">
      <c r="A59" s="190" t="s">
        <v>73</v>
      </c>
      <c r="B59" s="190" t="s">
        <v>74</v>
      </c>
      <c r="C59" s="211">
        <v>13.01</v>
      </c>
      <c r="D59" s="211">
        <v>13.06</v>
      </c>
      <c r="E59" s="212">
        <v>0</v>
      </c>
      <c r="F59" s="212">
        <v>26.12</v>
      </c>
      <c r="G59" s="193">
        <v>26.12</v>
      </c>
      <c r="I59" s="212">
        <v>0</v>
      </c>
      <c r="J59" s="212">
        <v>2</v>
      </c>
      <c r="K59" s="214">
        <v>0.16666666666666666</v>
      </c>
      <c r="L59" s="214" t="str">
        <f>VLOOKUP(B59,'Spokane DF Calc'!C:E,1,FALSE)</f>
        <v>1 RL 32 GL ON CALL - COMM</v>
      </c>
      <c r="M59" s="193">
        <v>1.8490953579276053</v>
      </c>
      <c r="O59" s="209">
        <v>3.6981907158552101</v>
      </c>
      <c r="Q59" s="215">
        <v>13.04</v>
      </c>
      <c r="R59" s="216">
        <v>14.889095357927605</v>
      </c>
      <c r="S59" s="216">
        <v>29.818190715855209</v>
      </c>
    </row>
    <row r="60" spans="1:19" s="187" customFormat="1" ht="12" customHeight="1">
      <c r="A60" s="190" t="s">
        <v>77</v>
      </c>
      <c r="B60" s="190" t="s">
        <v>78</v>
      </c>
      <c r="C60" s="211">
        <v>47.24</v>
      </c>
      <c r="D60" s="211">
        <v>47.5</v>
      </c>
      <c r="E60" s="212">
        <v>0</v>
      </c>
      <c r="F60" s="212">
        <v>0</v>
      </c>
      <c r="G60" s="193">
        <v>0</v>
      </c>
      <c r="I60" s="212">
        <v>0</v>
      </c>
      <c r="J60" s="212">
        <v>0</v>
      </c>
      <c r="K60" s="214">
        <v>0</v>
      </c>
      <c r="L60" s="214" t="str">
        <f>VLOOKUP(B60,'Spokane DF Calc'!C:E,1,FALSE)</f>
        <v>1 RL 1 YD ON CALL-COMM</v>
      </c>
      <c r="M60" s="193">
        <v>6.7242409411753874</v>
      </c>
      <c r="O60" s="209">
        <v>0</v>
      </c>
      <c r="Q60" s="215">
        <v>47.42</v>
      </c>
      <c r="R60" s="216">
        <v>54.14424094117539</v>
      </c>
      <c r="S60" s="216">
        <v>0</v>
      </c>
    </row>
    <row r="61" spans="1:19" s="187" customFormat="1" ht="12" customHeight="1">
      <c r="A61" s="190" t="s">
        <v>79</v>
      </c>
      <c r="B61" s="190" t="s">
        <v>80</v>
      </c>
      <c r="C61" s="211">
        <v>67.13</v>
      </c>
      <c r="D61" s="211">
        <v>67.5</v>
      </c>
      <c r="E61" s="212">
        <v>268.52</v>
      </c>
      <c r="F61" s="212">
        <v>472.5</v>
      </c>
      <c r="G61" s="193">
        <v>741.02</v>
      </c>
      <c r="I61" s="212">
        <v>4</v>
      </c>
      <c r="J61" s="212">
        <v>7</v>
      </c>
      <c r="K61" s="214">
        <v>0.91666666666666663</v>
      </c>
      <c r="L61" s="214" t="str">
        <f>VLOOKUP(B61,'Spokane DF Calc'!C:E,1,FALSE)</f>
        <v>1 RL 1.5 YD ON CALL-COMM</v>
      </c>
      <c r="M61" s="193">
        <v>9.5546046945676419</v>
      </c>
      <c r="O61" s="209">
        <v>105.10065164024405</v>
      </c>
      <c r="Q61" s="215">
        <v>67.38</v>
      </c>
      <c r="R61" s="216">
        <v>76.934604694567639</v>
      </c>
      <c r="S61" s="216">
        <v>846.12065164024398</v>
      </c>
    </row>
    <row r="62" spans="1:19" s="187" customFormat="1" ht="12" customHeight="1">
      <c r="A62" s="190" t="s">
        <v>75</v>
      </c>
      <c r="B62" s="190" t="s">
        <v>76</v>
      </c>
      <c r="C62" s="211">
        <v>4.24</v>
      </c>
      <c r="D62" s="211">
        <v>4.49</v>
      </c>
      <c r="E62" s="212">
        <v>686.88</v>
      </c>
      <c r="F62" s="212">
        <v>2044.9700000000005</v>
      </c>
      <c r="G62" s="193">
        <v>2731.8500000000004</v>
      </c>
      <c r="I62" s="212">
        <v>162</v>
      </c>
      <c r="J62" s="212">
        <v>455.4498886414255</v>
      </c>
      <c r="K62" s="214">
        <v>51.454157386785461</v>
      </c>
      <c r="L62" s="214" t="str">
        <f>VLOOKUP(B62,'Spokane DF Calc'!C:E,1,FALSE)</f>
        <v>EXTRA CAN, BAG, BOX-COMM</v>
      </c>
      <c r="M62" s="193">
        <v>0.63385400689696281</v>
      </c>
      <c r="O62" s="209">
        <v>391.37308597345111</v>
      </c>
      <c r="Q62" s="215">
        <v>4.47</v>
      </c>
      <c r="R62" s="216">
        <v>5.1038540068969622</v>
      </c>
      <c r="S62" s="216">
        <v>3123.2230859734514</v>
      </c>
    </row>
    <row r="63" spans="1:19" s="187" customFormat="1" ht="12" customHeight="1">
      <c r="A63" s="190" t="s">
        <v>91</v>
      </c>
      <c r="B63" s="190" t="s">
        <v>92</v>
      </c>
      <c r="C63" s="211">
        <v>22.61</v>
      </c>
      <c r="D63" s="211">
        <v>22.8</v>
      </c>
      <c r="E63" s="212">
        <v>0</v>
      </c>
      <c r="F63" s="212">
        <v>182.40000000000003</v>
      </c>
      <c r="G63" s="193">
        <v>182.40000000000003</v>
      </c>
      <c r="I63" s="212">
        <v>0</v>
      </c>
      <c r="J63" s="212">
        <v>8.0000000000000018</v>
      </c>
      <c r="K63" s="214">
        <v>0.66666666666666685</v>
      </c>
      <c r="L63" s="214" t="str">
        <f>VLOOKUP(B63,'Spokane DF Calc'!C:E,1,FALSE)</f>
        <v>EXTRA YARDAGE - COMM</v>
      </c>
      <c r="M63" s="193">
        <v>3.2245727330731397</v>
      </c>
      <c r="O63" s="209">
        <v>25.796581864585129</v>
      </c>
      <c r="Q63" s="215">
        <v>22.74</v>
      </c>
      <c r="R63" s="216">
        <v>25.964572733073137</v>
      </c>
      <c r="S63" s="216">
        <v>208.19658186458517</v>
      </c>
    </row>
    <row r="64" spans="1:19" s="187" customFormat="1" ht="12" customHeight="1">
      <c r="A64" s="190" t="s">
        <v>93</v>
      </c>
      <c r="B64" s="190" t="s">
        <v>94</v>
      </c>
      <c r="C64" s="211">
        <v>12.81</v>
      </c>
      <c r="D64" s="211">
        <v>12.81</v>
      </c>
      <c r="E64" s="212">
        <v>406.71</v>
      </c>
      <c r="F64" s="212">
        <v>1652.2700000000002</v>
      </c>
      <c r="G64" s="193">
        <v>2058.98</v>
      </c>
      <c r="I64" s="212">
        <v>31.74941451990632</v>
      </c>
      <c r="J64" s="212">
        <v>128.98282591725217</v>
      </c>
      <c r="K64" s="214">
        <v>13.394353369763207</v>
      </c>
      <c r="L64" s="214" t="e">
        <f>VLOOKUP(B64,'Spokane DF Calc'!C:E,1,FALSE)</f>
        <v>#N/A</v>
      </c>
      <c r="M64" s="193">
        <v>1.8164809459396185</v>
      </c>
      <c r="O64" s="209">
        <v>291.96705215228383</v>
      </c>
      <c r="Q64" s="215">
        <v>12.81</v>
      </c>
      <c r="R64" s="216">
        <v>14.626480945939619</v>
      </c>
      <c r="S64" s="216">
        <v>2350.947052152284</v>
      </c>
    </row>
    <row r="65" spans="1:21" s="187" customFormat="1" ht="12" customHeight="1">
      <c r="A65" s="190" t="s">
        <v>95</v>
      </c>
      <c r="B65" s="190" t="s">
        <v>96</v>
      </c>
      <c r="C65" s="211">
        <v>25.86</v>
      </c>
      <c r="D65" s="211">
        <v>25.86</v>
      </c>
      <c r="E65" s="212">
        <v>0</v>
      </c>
      <c r="F65" s="212">
        <v>8.6199999999999992</v>
      </c>
      <c r="G65" s="193">
        <v>8.6199999999999992</v>
      </c>
      <c r="I65" s="212">
        <v>0</v>
      </c>
      <c r="J65" s="212">
        <v>0.33333333333333331</v>
      </c>
      <c r="K65" s="214">
        <v>2.7777777777777776E-2</v>
      </c>
      <c r="L65" s="214" t="e">
        <f>VLOOKUP(B65,'Spokane DF Calc'!C:E,1,FALSE)</f>
        <v>#N/A</v>
      </c>
      <c r="M65" s="193">
        <v>3.6669943217797449</v>
      </c>
      <c r="O65" s="209">
        <v>1.2223314405932482</v>
      </c>
      <c r="Q65" s="215">
        <v>25.86</v>
      </c>
      <c r="R65" s="216">
        <v>29.526994321779746</v>
      </c>
      <c r="S65" s="216">
        <v>9.8423314405932469</v>
      </c>
    </row>
    <row r="66" spans="1:21" s="187" customFormat="1" ht="12" customHeight="1">
      <c r="A66" s="190" t="s">
        <v>97</v>
      </c>
      <c r="B66" s="190" t="s">
        <v>98</v>
      </c>
      <c r="C66" s="211">
        <v>10.66</v>
      </c>
      <c r="D66" s="211">
        <v>10.66</v>
      </c>
      <c r="E66" s="212">
        <v>850.1400000000001</v>
      </c>
      <c r="F66" s="212">
        <v>2534.4200000000005</v>
      </c>
      <c r="G66" s="193">
        <v>3384.5600000000004</v>
      </c>
      <c r="I66" s="212">
        <v>79.75046904315198</v>
      </c>
      <c r="J66" s="212">
        <v>237.75046904315201</v>
      </c>
      <c r="K66" s="214">
        <v>26.458411507192</v>
      </c>
      <c r="L66" s="214" t="e">
        <f>VLOOKUP(B66,'Spokane DF Calc'!C:E,1,FALSE)</f>
        <v>#N/A</v>
      </c>
      <c r="M66" s="193">
        <v>1.511607094747567</v>
      </c>
      <c r="O66" s="209">
        <v>479.93667060026519</v>
      </c>
      <c r="Q66" s="215">
        <v>10.66</v>
      </c>
      <c r="R66" s="216">
        <v>12.171607094747568</v>
      </c>
      <c r="S66" s="216">
        <v>3864.4966706002656</v>
      </c>
    </row>
    <row r="67" spans="1:21" s="187" customFormat="1" ht="12" customHeight="1">
      <c r="A67" s="190" t="s">
        <v>99</v>
      </c>
      <c r="B67" s="190" t="s">
        <v>100</v>
      </c>
      <c r="C67" s="211">
        <v>23.51</v>
      </c>
      <c r="D67" s="211">
        <v>23.51</v>
      </c>
      <c r="E67" s="212">
        <v>0</v>
      </c>
      <c r="F67" s="212">
        <v>0</v>
      </c>
      <c r="G67" s="193">
        <v>0</v>
      </c>
      <c r="I67" s="212">
        <v>0</v>
      </c>
      <c r="J67" s="212">
        <v>0</v>
      </c>
      <c r="K67" s="214">
        <v>0</v>
      </c>
      <c r="L67" s="214" t="e">
        <f>VLOOKUP(B67,'Spokane DF Calc'!C:E,1,FALSE)</f>
        <v>#N/A</v>
      </c>
      <c r="M67" s="193">
        <v>3.3337601123372704</v>
      </c>
      <c r="O67" s="209">
        <v>0</v>
      </c>
      <c r="Q67" s="215">
        <v>23.51</v>
      </c>
      <c r="R67" s="216">
        <v>26.843760112337272</v>
      </c>
      <c r="S67" s="216">
        <v>0</v>
      </c>
    </row>
    <row r="68" spans="1:21" s="187" customFormat="1" ht="12" customHeight="1">
      <c r="A68" s="190" t="s">
        <v>101</v>
      </c>
      <c r="B68" s="190" t="s">
        <v>102</v>
      </c>
      <c r="C68" s="211">
        <v>17.59</v>
      </c>
      <c r="D68" s="211">
        <v>17.59</v>
      </c>
      <c r="E68" s="212">
        <v>527.70000000000005</v>
      </c>
      <c r="F68" s="212">
        <v>1416</v>
      </c>
      <c r="G68" s="193">
        <v>1943.7</v>
      </c>
      <c r="I68" s="212">
        <v>30.000000000000004</v>
      </c>
      <c r="J68" s="212">
        <v>80.500284252416151</v>
      </c>
      <c r="K68" s="214">
        <v>9.2083570210346792</v>
      </c>
      <c r="L68" s="214"/>
      <c r="M68" s="193">
        <v>2.4942935081247377</v>
      </c>
      <c r="O68" s="209">
        <v>275.6201416567398</v>
      </c>
      <c r="Q68" s="215">
        <v>17.59</v>
      </c>
      <c r="R68" s="216">
        <v>20.084293508124738</v>
      </c>
      <c r="S68" s="216">
        <v>2219.3201416567399</v>
      </c>
    </row>
    <row r="69" spans="1:21" s="187" customFormat="1" ht="12" customHeight="1">
      <c r="A69" s="190" t="s">
        <v>103</v>
      </c>
      <c r="B69" s="190" t="s">
        <v>104</v>
      </c>
      <c r="C69" s="211">
        <v>35.26</v>
      </c>
      <c r="D69" s="211">
        <v>35.26</v>
      </c>
      <c r="E69" s="212">
        <v>11.75</v>
      </c>
      <c r="F69" s="212">
        <v>32.909999999999997</v>
      </c>
      <c r="G69" s="193">
        <v>44.66</v>
      </c>
      <c r="I69" s="212">
        <v>0.33323879750425411</v>
      </c>
      <c r="J69" s="212">
        <v>0.93335224049914911</v>
      </c>
      <c r="K69" s="214">
        <v>0.10554925316695025</v>
      </c>
      <c r="L69" s="214"/>
      <c r="M69" s="193">
        <v>4.9999311595496447</v>
      </c>
      <c r="O69" s="209">
        <v>6.3328679973195436</v>
      </c>
      <c r="Q69" s="215">
        <v>35.26</v>
      </c>
      <c r="R69" s="216">
        <v>40.259931159549645</v>
      </c>
      <c r="S69" s="216">
        <v>50.992867997319543</v>
      </c>
    </row>
    <row r="70" spans="1:21" s="187" customFormat="1" ht="12" customHeight="1">
      <c r="A70" s="190" t="s">
        <v>105</v>
      </c>
      <c r="B70" s="190" t="s">
        <v>106</v>
      </c>
      <c r="C70" s="211">
        <v>21.71</v>
      </c>
      <c r="D70" s="211">
        <v>21.71</v>
      </c>
      <c r="E70" s="212">
        <v>379.93</v>
      </c>
      <c r="F70" s="212">
        <v>1063.79</v>
      </c>
      <c r="G70" s="193">
        <v>1443.72</v>
      </c>
      <c r="I70" s="212">
        <v>17.500230308613542</v>
      </c>
      <c r="J70" s="212">
        <v>48.999999999999993</v>
      </c>
      <c r="K70" s="214">
        <v>5.5416858590511282</v>
      </c>
      <c r="L70" s="214"/>
      <c r="M70" s="193">
        <v>3.0785168880834597</v>
      </c>
      <c r="O70" s="209">
        <v>204.72208206650629</v>
      </c>
      <c r="Q70" s="215">
        <v>21.71</v>
      </c>
      <c r="R70" s="216">
        <v>24.788516888083461</v>
      </c>
      <c r="S70" s="216">
        <v>1648.4420820665064</v>
      </c>
    </row>
    <row r="71" spans="1:21" s="187" customFormat="1" ht="12" customHeight="1">
      <c r="A71" s="190" t="s">
        <v>107</v>
      </c>
      <c r="B71" s="190" t="s">
        <v>108</v>
      </c>
      <c r="C71" s="211">
        <v>42.3</v>
      </c>
      <c r="D71" s="211">
        <v>42.3</v>
      </c>
      <c r="E71" s="212">
        <v>0</v>
      </c>
      <c r="F71" s="212">
        <v>49.35</v>
      </c>
      <c r="G71" s="193">
        <v>49.35</v>
      </c>
      <c r="I71" s="212">
        <v>0</v>
      </c>
      <c r="J71" s="212">
        <v>1.1666666666666667</v>
      </c>
      <c r="K71" s="214">
        <v>9.7222222222222224E-2</v>
      </c>
      <c r="L71" s="214"/>
      <c r="M71" s="193">
        <v>5.9982157699645473</v>
      </c>
      <c r="O71" s="209">
        <v>6.9979183982919722</v>
      </c>
      <c r="Q71" s="215">
        <v>42.3</v>
      </c>
      <c r="R71" s="216">
        <v>48.298215769964543</v>
      </c>
      <c r="S71" s="216">
        <v>56.347918398291974</v>
      </c>
    </row>
    <row r="72" spans="1:21" s="187" customFormat="1" ht="12" customHeight="1">
      <c r="A72" s="190" t="s">
        <v>109</v>
      </c>
      <c r="B72" s="190" t="s">
        <v>110</v>
      </c>
      <c r="C72" s="211">
        <v>24.58</v>
      </c>
      <c r="D72" s="211">
        <v>24.58</v>
      </c>
      <c r="E72" s="212">
        <v>602.22</v>
      </c>
      <c r="F72" s="212">
        <v>2132.3200000000002</v>
      </c>
      <c r="G72" s="193">
        <v>2734.54</v>
      </c>
      <c r="I72" s="212">
        <v>24.500406834825064</v>
      </c>
      <c r="J72" s="212">
        <v>86.75020341741255</v>
      </c>
      <c r="K72" s="214">
        <v>9.2708841876864678</v>
      </c>
      <c r="L72" s="214"/>
      <c r="M72" s="193">
        <v>3.4854880289770351</v>
      </c>
      <c r="O72" s="209">
        <v>387.76267025056404</v>
      </c>
      <c r="Q72" s="215">
        <v>24.58</v>
      </c>
      <c r="R72" s="216">
        <v>28.065488028977033</v>
      </c>
      <c r="S72" s="216">
        <v>3122.302670250564</v>
      </c>
    </row>
    <row r="73" spans="1:21" s="187" customFormat="1" ht="12" customHeight="1">
      <c r="A73" s="190" t="s">
        <v>111</v>
      </c>
      <c r="B73" s="190" t="s">
        <v>112</v>
      </c>
      <c r="C73" s="211">
        <v>47.01</v>
      </c>
      <c r="D73" s="211">
        <v>47.01</v>
      </c>
      <c r="E73" s="212">
        <v>47.01</v>
      </c>
      <c r="F73" s="212">
        <v>488.9</v>
      </c>
      <c r="G73" s="193">
        <v>535.91</v>
      </c>
      <c r="I73" s="212">
        <v>1</v>
      </c>
      <c r="J73" s="212">
        <v>10.399914911720911</v>
      </c>
      <c r="K73" s="214">
        <v>0.94999290931007596</v>
      </c>
      <c r="L73" s="214"/>
      <c r="M73" s="193">
        <v>6.6661022067620186</v>
      </c>
      <c r="O73" s="209">
        <v>75.992997949922014</v>
      </c>
      <c r="Q73" s="215">
        <v>47.01</v>
      </c>
      <c r="R73" s="216">
        <v>53.676102206762017</v>
      </c>
      <c r="S73" s="216">
        <v>611.902997949922</v>
      </c>
    </row>
    <row r="74" spans="1:21" s="187" customFormat="1" ht="12" customHeight="1">
      <c r="A74" s="190" t="s">
        <v>113</v>
      </c>
      <c r="B74" s="190" t="s">
        <v>114</v>
      </c>
      <c r="C74" s="211">
        <v>32.56</v>
      </c>
      <c r="D74" s="211">
        <v>32.56</v>
      </c>
      <c r="E74" s="212">
        <v>195.36</v>
      </c>
      <c r="F74" s="212">
        <v>586.08000000000004</v>
      </c>
      <c r="G74" s="193">
        <v>781.44</v>
      </c>
      <c r="I74" s="212">
        <v>6</v>
      </c>
      <c r="J74" s="212">
        <v>18</v>
      </c>
      <c r="K74" s="214">
        <v>2</v>
      </c>
      <c r="L74" s="214"/>
      <c r="M74" s="193">
        <v>4.6170663231689293</v>
      </c>
      <c r="O74" s="209">
        <v>110.8095917560543</v>
      </c>
      <c r="Q74" s="215">
        <v>32.56</v>
      </c>
      <c r="R74" s="216">
        <v>37.17706632316893</v>
      </c>
      <c r="S74" s="216">
        <v>892.24959175605431</v>
      </c>
    </row>
    <row r="75" spans="1:21" s="187" customFormat="1" ht="12" customHeight="1">
      <c r="A75" s="190" t="s">
        <v>115</v>
      </c>
      <c r="B75" s="190" t="s">
        <v>116</v>
      </c>
      <c r="C75" s="211">
        <v>54.65</v>
      </c>
      <c r="D75" s="211">
        <v>54.65</v>
      </c>
      <c r="E75" s="212">
        <v>54.65</v>
      </c>
      <c r="F75" s="212">
        <v>437.2</v>
      </c>
      <c r="G75" s="193">
        <v>491.84999999999997</v>
      </c>
      <c r="I75" s="212">
        <v>1</v>
      </c>
      <c r="J75" s="212">
        <v>8</v>
      </c>
      <c r="K75" s="214">
        <v>0.75</v>
      </c>
      <c r="L75" s="214"/>
      <c r="M75" s="193">
        <v>7.7494678919281927</v>
      </c>
      <c r="O75" s="209">
        <v>69.745211027353747</v>
      </c>
      <c r="Q75" s="215">
        <v>54.65</v>
      </c>
      <c r="R75" s="216">
        <v>62.39946789192819</v>
      </c>
      <c r="S75" s="216">
        <v>561.59521102735368</v>
      </c>
    </row>
    <row r="76" spans="1:21" s="187" customFormat="1" ht="12" customHeight="1">
      <c r="A76" s="190" t="s">
        <v>328</v>
      </c>
      <c r="B76" s="190" t="s">
        <v>329</v>
      </c>
      <c r="C76" s="211">
        <v>3.64</v>
      </c>
      <c r="D76" s="211">
        <v>3.64</v>
      </c>
      <c r="E76" s="212">
        <v>10.92</v>
      </c>
      <c r="F76" s="212">
        <v>32.76</v>
      </c>
      <c r="G76" s="193">
        <v>43.68</v>
      </c>
      <c r="I76" s="212">
        <v>3</v>
      </c>
      <c r="J76" s="212">
        <v>9</v>
      </c>
      <c r="K76" s="214">
        <v>1</v>
      </c>
      <c r="L76" s="214"/>
      <c r="M76" s="193">
        <v>0.51576147514219983</v>
      </c>
      <c r="O76" s="209">
        <v>6.1891377017063984</v>
      </c>
      <c r="Q76" s="193">
        <v>3.6372</v>
      </c>
      <c r="R76" s="216">
        <v>4.1529614751421997</v>
      </c>
      <c r="S76" s="216">
        <v>49.8691377017064</v>
      </c>
    </row>
    <row r="77" spans="1:21" s="187" customFormat="1" ht="12" customHeight="1">
      <c r="A77" s="190" t="s">
        <v>263</v>
      </c>
      <c r="B77" s="190" t="s">
        <v>264</v>
      </c>
      <c r="C77" s="211">
        <v>6.97</v>
      </c>
      <c r="D77" s="211">
        <v>6.97</v>
      </c>
      <c r="E77" s="212">
        <v>20.91</v>
      </c>
      <c r="F77" s="212">
        <v>62.73</v>
      </c>
      <c r="G77" s="193">
        <v>83.64</v>
      </c>
      <c r="I77" s="212">
        <v>3</v>
      </c>
      <c r="J77" s="212">
        <v>9</v>
      </c>
      <c r="K77" s="214">
        <v>1</v>
      </c>
      <c r="L77" s="214"/>
      <c r="M77" s="193">
        <v>0.98854282735588317</v>
      </c>
      <c r="O77" s="209">
        <v>11.862513928270598</v>
      </c>
      <c r="Q77" s="193">
        <v>6.9713000000000003</v>
      </c>
      <c r="R77" s="216">
        <v>7.9598428273558834</v>
      </c>
      <c r="S77" s="216">
        <v>95.502513928270602</v>
      </c>
      <c r="U77" s="193"/>
    </row>
    <row r="78" spans="1:21" s="187" customFormat="1" ht="12" customHeight="1">
      <c r="A78" s="190" t="s">
        <v>117</v>
      </c>
      <c r="B78" s="190" t="s">
        <v>118</v>
      </c>
      <c r="C78" s="211">
        <v>13.83</v>
      </c>
      <c r="D78" s="211">
        <v>13.83</v>
      </c>
      <c r="E78" s="212">
        <v>0</v>
      </c>
      <c r="F78" s="212">
        <v>0</v>
      </c>
      <c r="G78" s="193">
        <v>0</v>
      </c>
      <c r="I78" s="212">
        <v>0</v>
      </c>
      <c r="J78" s="212">
        <v>0</v>
      </c>
      <c r="K78" s="214">
        <v>0</v>
      </c>
      <c r="L78" s="214"/>
      <c r="M78" s="193">
        <v>1.9611187730167778</v>
      </c>
      <c r="O78" s="209">
        <v>0</v>
      </c>
      <c r="Q78" s="215">
        <v>13.83</v>
      </c>
      <c r="R78" s="216">
        <v>15.791118773016779</v>
      </c>
      <c r="S78" s="216">
        <v>0</v>
      </c>
    </row>
    <row r="79" spans="1:21" s="187" customFormat="1" ht="12" customHeight="1" thickBot="1">
      <c r="A79" s="226"/>
      <c r="B79" s="226"/>
      <c r="C79" s="211"/>
      <c r="D79" s="211"/>
      <c r="E79" s="212"/>
      <c r="F79" s="212"/>
      <c r="G79" s="193"/>
      <c r="I79" s="212"/>
      <c r="J79" s="212"/>
      <c r="K79" s="214"/>
      <c r="L79" s="214"/>
      <c r="O79" s="209"/>
    </row>
    <row r="80" spans="1:21" s="187" customFormat="1" ht="12" customHeight="1" thickBot="1">
      <c r="A80" s="226"/>
      <c r="B80" s="227" t="s">
        <v>119</v>
      </c>
      <c r="C80" s="211"/>
      <c r="D80" s="211"/>
      <c r="E80" s="220">
        <v>33748.480000000003</v>
      </c>
      <c r="F80" s="220">
        <v>109687.27999999996</v>
      </c>
      <c r="G80" s="220">
        <v>143435.76</v>
      </c>
      <c r="I80" s="212"/>
      <c r="J80" s="212"/>
      <c r="K80" s="228">
        <v>85.114232507318619</v>
      </c>
      <c r="L80" s="229"/>
      <c r="O80" s="223">
        <v>22586.120243077632</v>
      </c>
      <c r="R80" s="224"/>
      <c r="S80" s="225">
        <v>166021.88024307767</v>
      </c>
    </row>
    <row r="81" spans="1:19" ht="12" customHeight="1">
      <c r="A81" s="187"/>
      <c r="B81" s="187"/>
      <c r="I81" s="214"/>
      <c r="J81" s="214"/>
      <c r="K81" s="214"/>
      <c r="L81" s="214"/>
    </row>
    <row r="82" spans="1:19" ht="12" customHeight="1">
      <c r="A82" s="210" t="s">
        <v>374</v>
      </c>
      <c r="B82" s="210" t="s">
        <v>374</v>
      </c>
      <c r="I82" s="214"/>
      <c r="J82" s="214"/>
      <c r="K82" s="214"/>
      <c r="L82" s="214"/>
    </row>
    <row r="83" spans="1:19" ht="12" customHeight="1">
      <c r="A83" s="230"/>
      <c r="B83" s="230"/>
      <c r="I83" s="214"/>
      <c r="J83" s="214"/>
      <c r="K83" s="214"/>
      <c r="L83" s="214"/>
    </row>
    <row r="84" spans="1:19" ht="12" customHeight="1">
      <c r="A84" s="231" t="s">
        <v>375</v>
      </c>
      <c r="B84" s="231" t="s">
        <v>375</v>
      </c>
      <c r="I84" s="214"/>
      <c r="J84" s="214"/>
      <c r="K84" s="214"/>
      <c r="L84" s="214"/>
    </row>
    <row r="85" spans="1:19" ht="12" customHeight="1">
      <c r="A85" s="190" t="s">
        <v>376</v>
      </c>
      <c r="B85" s="190" t="s">
        <v>377</v>
      </c>
      <c r="C85" s="211">
        <v>258.64</v>
      </c>
      <c r="D85" s="211">
        <v>258.64</v>
      </c>
      <c r="E85" s="212">
        <v>1753.4499999999998</v>
      </c>
      <c r="F85" s="212">
        <v>4857.1299999999992</v>
      </c>
      <c r="G85" s="193">
        <v>6610.579999999999</v>
      </c>
      <c r="H85" s="232"/>
      <c r="I85" s="212">
        <v>6.7795004639653573</v>
      </c>
      <c r="J85" s="212">
        <v>18.779500463965356</v>
      </c>
      <c r="K85" s="214">
        <v>2.1299167439942259</v>
      </c>
      <c r="L85" s="214"/>
      <c r="M85" s="193">
        <v>36.675615289447535</v>
      </c>
      <c r="O85" s="209">
        <v>937.39208521541946</v>
      </c>
      <c r="Q85" s="233">
        <v>258.64</v>
      </c>
      <c r="R85" s="216">
        <v>295.31561528944752</v>
      </c>
      <c r="S85" s="216">
        <v>7547.9720852154187</v>
      </c>
    </row>
    <row r="86" spans="1:19" ht="12" customHeight="1">
      <c r="A86" s="190" t="s">
        <v>378</v>
      </c>
      <c r="B86" s="190" t="s">
        <v>379</v>
      </c>
      <c r="C86" s="211">
        <v>240.22</v>
      </c>
      <c r="D86" s="211">
        <v>240.22</v>
      </c>
      <c r="E86" s="212">
        <v>1293.2</v>
      </c>
      <c r="F86" s="212">
        <v>6983.28</v>
      </c>
      <c r="G86" s="193">
        <v>8276.48</v>
      </c>
      <c r="I86" s="212">
        <v>5.3833985513279492</v>
      </c>
      <c r="J86" s="212">
        <v>29.070352177170925</v>
      </c>
      <c r="K86" s="214">
        <v>2.8711458940415731</v>
      </c>
      <c r="L86" s="214"/>
      <c r="M86" s="193">
        <v>31.691282326935625</v>
      </c>
      <c r="O86" s="209">
        <v>1091.8835415587218</v>
      </c>
      <c r="Q86" s="233">
        <v>223.49</v>
      </c>
      <c r="R86" s="216">
        <v>271.91128232693563</v>
      </c>
      <c r="S86" s="216">
        <v>9368.3635415587214</v>
      </c>
    </row>
    <row r="87" spans="1:19" ht="12" customHeight="1">
      <c r="A87" s="190" t="s">
        <v>380</v>
      </c>
      <c r="B87" s="190" t="s">
        <v>381</v>
      </c>
      <c r="C87" s="211">
        <v>356.68</v>
      </c>
      <c r="D87" s="211">
        <v>356.68</v>
      </c>
      <c r="E87" s="212">
        <v>713.36</v>
      </c>
      <c r="F87" s="212">
        <v>5706.88</v>
      </c>
      <c r="G87" s="193">
        <v>6420.24</v>
      </c>
      <c r="I87" s="212">
        <v>2</v>
      </c>
      <c r="J87" s="212">
        <v>16</v>
      </c>
      <c r="K87" s="214">
        <v>1.5</v>
      </c>
      <c r="L87" s="214"/>
      <c r="M87" s="193">
        <v>50.577862903805084</v>
      </c>
      <c r="O87" s="209">
        <v>910.40153226849156</v>
      </c>
      <c r="Q87" s="233">
        <v>356.68</v>
      </c>
      <c r="R87" s="216">
        <v>407.25786290380506</v>
      </c>
      <c r="S87" s="216">
        <v>7330.6415322684916</v>
      </c>
    </row>
    <row r="88" spans="1:19" ht="12" customHeight="1">
      <c r="A88" s="190" t="s">
        <v>382</v>
      </c>
      <c r="B88" s="190" t="s">
        <v>383</v>
      </c>
      <c r="C88" s="211">
        <v>223.51</v>
      </c>
      <c r="D88" s="211">
        <v>223.51</v>
      </c>
      <c r="E88" s="212">
        <v>223.51</v>
      </c>
      <c r="F88" s="212">
        <v>1341.06</v>
      </c>
      <c r="G88" s="193">
        <v>1564.57</v>
      </c>
      <c r="I88" s="212">
        <v>1</v>
      </c>
      <c r="J88" s="212">
        <v>6</v>
      </c>
      <c r="K88" s="214">
        <v>0.58333333333333337</v>
      </c>
      <c r="L88" s="214"/>
      <c r="M88" s="193">
        <v>31.694118362760666</v>
      </c>
      <c r="O88" s="209">
        <v>221.85882853932469</v>
      </c>
      <c r="Q88" s="233">
        <v>223.51</v>
      </c>
      <c r="R88" s="216">
        <v>255.20411836276065</v>
      </c>
      <c r="S88" s="216">
        <v>1786.4288285393245</v>
      </c>
    </row>
    <row r="89" spans="1:19" ht="12" customHeight="1">
      <c r="A89" s="190" t="s">
        <v>384</v>
      </c>
      <c r="B89" s="190" t="s">
        <v>385</v>
      </c>
      <c r="C89" s="211">
        <v>101.52</v>
      </c>
      <c r="D89" s="211">
        <v>101.52</v>
      </c>
      <c r="E89" s="212">
        <v>358.70000000000005</v>
      </c>
      <c r="F89" s="212">
        <v>1986.4</v>
      </c>
      <c r="G89" s="193">
        <v>2345.1000000000004</v>
      </c>
      <c r="I89" s="212">
        <v>3.5332939322301029</v>
      </c>
      <c r="J89" s="212">
        <v>19.566587864460207</v>
      </c>
      <c r="K89" s="214">
        <v>1.9249901497241924</v>
      </c>
      <c r="L89" s="214"/>
      <c r="M89" s="193">
        <v>14.395717847914915</v>
      </c>
      <c r="O89" s="209">
        <v>332.53938066533954</v>
      </c>
      <c r="Q89" s="233">
        <v>101.52</v>
      </c>
      <c r="R89" s="216">
        <v>115.91571784791491</v>
      </c>
      <c r="S89" s="216">
        <v>2677.63938066534</v>
      </c>
    </row>
    <row r="90" spans="1:19" ht="12" customHeight="1">
      <c r="A90" s="190" t="s">
        <v>386</v>
      </c>
      <c r="B90" s="190" t="s">
        <v>387</v>
      </c>
      <c r="C90" s="211">
        <v>126.82</v>
      </c>
      <c r="D90" s="211">
        <v>126.82</v>
      </c>
      <c r="E90" s="212">
        <v>71.87</v>
      </c>
      <c r="F90" s="212">
        <v>1077.99</v>
      </c>
      <c r="G90" s="193">
        <v>1149.8600000000001</v>
      </c>
      <c r="I90" s="212">
        <v>0.56670872102192094</v>
      </c>
      <c r="J90" s="212">
        <v>8.5001577038322029</v>
      </c>
      <c r="K90" s="214">
        <v>0.75557220207117703</v>
      </c>
      <c r="L90" s="214"/>
      <c r="M90" s="193">
        <v>17.983303166593473</v>
      </c>
      <c r="O90" s="209">
        <v>163.05220768915922</v>
      </c>
      <c r="Q90" s="233">
        <v>126.82</v>
      </c>
      <c r="R90" s="216">
        <v>144.80330316659348</v>
      </c>
      <c r="S90" s="216">
        <v>1312.9122076891595</v>
      </c>
    </row>
    <row r="91" spans="1:19" ht="12" customHeight="1">
      <c r="A91" s="190" t="s">
        <v>388</v>
      </c>
      <c r="B91" s="190" t="s">
        <v>389</v>
      </c>
      <c r="C91" s="211">
        <v>76.48</v>
      </c>
      <c r="D91" s="211">
        <v>76.48</v>
      </c>
      <c r="E91" s="212">
        <v>305.92</v>
      </c>
      <c r="F91" s="212">
        <v>1603.9700000000003</v>
      </c>
      <c r="G91" s="193">
        <v>1909.8900000000003</v>
      </c>
      <c r="I91" s="212">
        <v>4</v>
      </c>
      <c r="J91" s="212">
        <v>20.97241108786611</v>
      </c>
      <c r="K91" s="214">
        <v>2.0810342573221758</v>
      </c>
      <c r="L91" s="214"/>
      <c r="M91" s="193">
        <v>10.845000994961907</v>
      </c>
      <c r="O91" s="209">
        <v>270.82582309450572</v>
      </c>
      <c r="Q91" s="233">
        <v>76.48</v>
      </c>
      <c r="R91" s="216">
        <v>87.325000994961911</v>
      </c>
      <c r="S91" s="216">
        <v>2180.715823094506</v>
      </c>
    </row>
    <row r="92" spans="1:19" ht="12" customHeight="1">
      <c r="A92" s="190" t="s">
        <v>390</v>
      </c>
      <c r="B92" s="190" t="s">
        <v>391</v>
      </c>
      <c r="C92" s="211">
        <v>5.54</v>
      </c>
      <c r="D92" s="211">
        <v>5.54</v>
      </c>
      <c r="E92" s="212">
        <v>1069.22</v>
      </c>
      <c r="F92" s="212">
        <v>7013.64</v>
      </c>
      <c r="G92" s="193">
        <v>8082.8600000000006</v>
      </c>
      <c r="I92" s="212">
        <v>193</v>
      </c>
      <c r="J92" s="212">
        <v>1266</v>
      </c>
      <c r="K92" s="214">
        <v>121.58333333333333</v>
      </c>
      <c r="L92" s="214"/>
      <c r="M92" s="193">
        <v>0.78558192353672807</v>
      </c>
      <c r="O92" s="209">
        <v>1146.1640264400862</v>
      </c>
      <c r="Q92" s="233">
        <v>5.54</v>
      </c>
      <c r="R92" s="216">
        <v>6.3255819235367277</v>
      </c>
      <c r="S92" s="216">
        <v>9229.0240264400873</v>
      </c>
    </row>
    <row r="93" spans="1:19" ht="12" customHeight="1" thickBot="1">
      <c r="A93" s="218"/>
      <c r="B93" s="218"/>
      <c r="I93" s="214"/>
      <c r="J93" s="214"/>
      <c r="K93" s="214"/>
      <c r="L93" s="214"/>
    </row>
    <row r="94" spans="1:19" ht="12" customHeight="1" thickBot="1">
      <c r="A94" s="218"/>
      <c r="B94" s="219" t="s">
        <v>392</v>
      </c>
      <c r="E94" s="220">
        <v>5789.23</v>
      </c>
      <c r="F94" s="220">
        <v>30570.350000000006</v>
      </c>
      <c r="G94" s="220">
        <v>36359.579999999994</v>
      </c>
      <c r="I94" s="214"/>
      <c r="J94" s="214"/>
      <c r="K94" s="228">
        <v>7.0843959713691325</v>
      </c>
      <c r="L94" s="229"/>
      <c r="O94" s="234">
        <v>5074.1174254710486</v>
      </c>
      <c r="P94" s="235"/>
      <c r="Q94" s="235"/>
      <c r="R94" s="236"/>
      <c r="S94" s="237">
        <v>41433.697425471044</v>
      </c>
    </row>
    <row r="95" spans="1:19" ht="12" customHeight="1">
      <c r="A95" s="218"/>
      <c r="B95" s="219"/>
      <c r="E95" s="238"/>
      <c r="F95" s="238"/>
      <c r="G95" s="238"/>
      <c r="I95" s="214"/>
      <c r="J95" s="214"/>
      <c r="K95" s="214"/>
      <c r="L95" s="214"/>
      <c r="O95" s="239"/>
    </row>
    <row r="96" spans="1:19" s="187" customFormat="1" ht="12" customHeight="1">
      <c r="A96" s="240" t="s">
        <v>393</v>
      </c>
      <c r="B96" s="240" t="s">
        <v>394</v>
      </c>
      <c r="C96" s="189"/>
      <c r="D96" s="189"/>
      <c r="E96" s="212"/>
      <c r="F96" s="212"/>
      <c r="I96" s="212"/>
      <c r="J96" s="212"/>
      <c r="K96" s="212"/>
      <c r="L96" s="212"/>
      <c r="O96" s="224"/>
    </row>
    <row r="97" spans="1:19" s="187" customFormat="1" ht="12" customHeight="1">
      <c r="A97" s="235" t="s">
        <v>395</v>
      </c>
      <c r="B97" s="235" t="s">
        <v>396</v>
      </c>
      <c r="C97" s="211">
        <v>0</v>
      </c>
      <c r="D97" s="211">
        <v>0</v>
      </c>
      <c r="E97" s="212">
        <v>1100</v>
      </c>
      <c r="F97" s="212">
        <v>3075</v>
      </c>
      <c r="G97" s="193">
        <v>4175</v>
      </c>
      <c r="I97" s="212"/>
      <c r="J97" s="212"/>
      <c r="K97" s="214"/>
      <c r="L97" s="212"/>
      <c r="O97" s="209"/>
    </row>
    <row r="98" spans="1:19" s="187" customFormat="1" ht="12" customHeight="1">
      <c r="A98" s="190"/>
      <c r="B98" s="190"/>
      <c r="C98" s="211"/>
      <c r="D98" s="211"/>
      <c r="E98" s="212"/>
      <c r="F98" s="212"/>
      <c r="I98" s="212"/>
      <c r="J98" s="212"/>
      <c r="K98" s="212"/>
      <c r="L98" s="212"/>
      <c r="O98" s="209"/>
    </row>
    <row r="99" spans="1:19" s="187" customFormat="1" ht="12" customHeight="1">
      <c r="A99" s="190"/>
      <c r="B99" s="219" t="s">
        <v>397</v>
      </c>
      <c r="C99" s="211"/>
      <c r="D99" s="211"/>
      <c r="E99" s="220">
        <v>1100</v>
      </c>
      <c r="F99" s="220">
        <v>3075</v>
      </c>
      <c r="G99" s="220">
        <v>4175</v>
      </c>
      <c r="I99" s="212"/>
      <c r="J99" s="212"/>
      <c r="K99" s="212"/>
      <c r="L99" s="212"/>
      <c r="O99" s="209"/>
      <c r="S99" s="261">
        <f>+S94+S80+S33</f>
        <v>656258.36691682576</v>
      </c>
    </row>
    <row r="100" spans="1:19" ht="12" customHeight="1">
      <c r="A100" s="218"/>
      <c r="B100" s="218"/>
      <c r="I100" s="214"/>
      <c r="J100" s="214"/>
      <c r="K100" s="214"/>
      <c r="L100" s="214"/>
    </row>
    <row r="101" spans="1:19" ht="12" customHeight="1">
      <c r="A101" s="231" t="s">
        <v>398</v>
      </c>
      <c r="B101" s="231" t="s">
        <v>398</v>
      </c>
      <c r="I101" s="214"/>
      <c r="J101" s="214"/>
      <c r="K101" s="214"/>
      <c r="L101" s="214"/>
    </row>
    <row r="102" spans="1:19" ht="12" customHeight="1">
      <c r="A102" s="190" t="s">
        <v>399</v>
      </c>
      <c r="B102" s="190" t="s">
        <v>400</v>
      </c>
      <c r="C102" s="211">
        <v>0</v>
      </c>
      <c r="D102" s="211">
        <v>104.5</v>
      </c>
      <c r="E102" s="212">
        <v>7502.9500000000007</v>
      </c>
      <c r="F102" s="212">
        <v>28617.379999999997</v>
      </c>
      <c r="G102" s="193">
        <v>36120.33</v>
      </c>
      <c r="I102" s="214"/>
      <c r="J102" s="214"/>
      <c r="K102" s="214"/>
      <c r="L102" s="214"/>
    </row>
    <row r="103" spans="1:19" ht="12" customHeight="1">
      <c r="G103" s="241"/>
      <c r="I103" s="214"/>
      <c r="J103" s="214"/>
      <c r="K103" s="214"/>
      <c r="L103" s="214"/>
    </row>
    <row r="104" spans="1:19" ht="12" customHeight="1">
      <c r="A104" s="218"/>
      <c r="B104" s="219" t="s">
        <v>401</v>
      </c>
      <c r="E104" s="220">
        <v>7502.9500000000007</v>
      </c>
      <c r="F104" s="220">
        <v>28617.379999999997</v>
      </c>
      <c r="G104" s="220">
        <v>36120.33</v>
      </c>
      <c r="I104" s="214"/>
      <c r="J104" s="214"/>
      <c r="K104" s="214"/>
      <c r="L104" s="214"/>
    </row>
    <row r="105" spans="1:19" ht="12" customHeight="1">
      <c r="A105" s="218"/>
      <c r="B105" s="219"/>
      <c r="E105" s="238"/>
      <c r="F105" s="238"/>
      <c r="G105" s="238"/>
      <c r="I105" s="214"/>
      <c r="J105" s="214"/>
      <c r="K105" s="214"/>
      <c r="L105" s="214"/>
    </row>
    <row r="106" spans="1:19" s="187" customFormat="1" ht="12" customHeight="1">
      <c r="A106" s="230" t="s">
        <v>402</v>
      </c>
      <c r="B106" s="230" t="s">
        <v>402</v>
      </c>
      <c r="C106" s="211"/>
      <c r="D106" s="211"/>
      <c r="G106" s="193"/>
      <c r="I106" s="212"/>
      <c r="J106" s="212"/>
      <c r="K106" s="214"/>
      <c r="L106" s="214"/>
      <c r="O106" s="209"/>
    </row>
    <row r="107" spans="1:19" s="187" customFormat="1" ht="12" customHeight="1">
      <c r="A107" s="190" t="s">
        <v>403</v>
      </c>
      <c r="B107" s="190" t="s">
        <v>404</v>
      </c>
      <c r="C107" s="211">
        <v>0</v>
      </c>
      <c r="D107" s="211">
        <v>0</v>
      </c>
      <c r="E107" s="212">
        <v>179.14</v>
      </c>
      <c r="F107" s="212">
        <v>617.83999999999992</v>
      </c>
      <c r="G107" s="193">
        <v>796.9799999999999</v>
      </c>
      <c r="I107" s="212"/>
      <c r="J107" s="212"/>
      <c r="K107" s="214"/>
      <c r="L107" s="214"/>
      <c r="O107" s="209"/>
    </row>
    <row r="108" spans="1:19" s="187" customFormat="1" ht="12" customHeight="1">
      <c r="A108" s="190" t="s">
        <v>405</v>
      </c>
      <c r="B108" s="190" t="s">
        <v>406</v>
      </c>
      <c r="C108" s="211">
        <v>0</v>
      </c>
      <c r="D108" s="211">
        <v>19.010000000000002</v>
      </c>
      <c r="E108" s="212">
        <v>0</v>
      </c>
      <c r="F108" s="212">
        <v>19.010000000000002</v>
      </c>
      <c r="G108" s="193">
        <v>19.010000000000002</v>
      </c>
      <c r="I108" s="212"/>
      <c r="J108" s="212"/>
      <c r="K108" s="214"/>
      <c r="L108" s="214"/>
      <c r="O108" s="209"/>
    </row>
    <row r="109" spans="1:19" s="187" customFormat="1" ht="12" customHeight="1">
      <c r="A109" s="217"/>
      <c r="B109" s="217"/>
      <c r="C109" s="211"/>
      <c r="D109" s="211"/>
      <c r="G109" s="193"/>
      <c r="I109" s="212"/>
      <c r="J109" s="212"/>
      <c r="K109" s="214"/>
      <c r="L109" s="214"/>
      <c r="O109" s="209"/>
    </row>
    <row r="110" spans="1:19" s="187" customFormat="1" ht="12" customHeight="1">
      <c r="A110" s="218"/>
      <c r="B110" s="219" t="s">
        <v>407</v>
      </c>
      <c r="C110" s="211"/>
      <c r="D110" s="211"/>
      <c r="E110" s="220">
        <v>179.14</v>
      </c>
      <c r="F110" s="220">
        <v>636.84999999999991</v>
      </c>
      <c r="G110" s="220">
        <v>815.9899999999999</v>
      </c>
      <c r="I110" s="212"/>
      <c r="J110" s="212"/>
      <c r="K110" s="214"/>
      <c r="L110" s="214"/>
      <c r="O110" s="209"/>
    </row>
    <row r="111" spans="1:19" ht="12" customHeight="1">
      <c r="A111" s="218"/>
      <c r="B111" s="219"/>
      <c r="I111" s="214"/>
      <c r="J111" s="214"/>
      <c r="K111" s="214"/>
      <c r="L111" s="214"/>
    </row>
    <row r="112" spans="1:19" ht="12" customHeight="1">
      <c r="A112" s="242"/>
      <c r="B112" s="227" t="s">
        <v>408</v>
      </c>
      <c r="E112" s="220">
        <v>141875.53000000009</v>
      </c>
      <c r="F112" s="220">
        <v>472141.56999999995</v>
      </c>
      <c r="G112" s="220">
        <v>614017.1</v>
      </c>
    </row>
    <row r="113" spans="1:9">
      <c r="A113" s="242"/>
      <c r="B113" s="242"/>
    </row>
    <row r="114" spans="1:9">
      <c r="D114" s="244"/>
      <c r="E114" s="245"/>
      <c r="F114" s="245"/>
      <c r="G114" s="245"/>
    </row>
    <row r="115" spans="1:9">
      <c r="D115" s="244"/>
      <c r="E115" s="246"/>
      <c r="F115" s="246"/>
      <c r="G115" s="246"/>
      <c r="I115" s="247"/>
    </row>
  </sheetData>
  <mergeCells count="2">
    <mergeCell ref="O4:O5"/>
    <mergeCell ref="R4:S4"/>
  </mergeCells>
  <pageMargins left="0.25" right="0.25" top="0.75" bottom="0.75" header="0.3" footer="0.3"/>
  <pageSetup scale="65" orientation="landscape" r:id="rId1"/>
  <rowBreaks count="1" manualBreakCount="1">
    <brk id="58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2CAA59F5CC2FC4FB3B916A9266CF8D6" ma:contentTypeVersion="44" ma:contentTypeDescription="" ma:contentTypeScope="" ma:versionID="dd58f581c9de46e3ea4182395b14b32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2021-11-10T08:00:00+00:00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</CaseCompanyNames>
    <Nickname xmlns="http://schemas.microsoft.com/sharepoint/v3" xsi:nil="true"/>
    <DocketNumber xmlns="dc463f71-b30c-4ab2-9473-d307f9d35888">210870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0EB6A7-D3B8-4BED-96F0-B62DD92BA5C9}"/>
</file>

<file path=customXml/itemProps2.xml><?xml version="1.0" encoding="utf-8"?>
<ds:datastoreItem xmlns:ds="http://schemas.openxmlformats.org/officeDocument/2006/customXml" ds:itemID="{1D0E3F9A-C30C-4011-B6A6-5C8EB8ADBE81}"/>
</file>

<file path=customXml/itemProps3.xml><?xml version="1.0" encoding="utf-8"?>
<ds:datastoreItem xmlns:ds="http://schemas.openxmlformats.org/officeDocument/2006/customXml" ds:itemID="{D27BE217-4057-412D-9CB7-83EC0B98DE9A}"/>
</file>

<file path=customXml/itemProps4.xml><?xml version="1.0" encoding="utf-8"?>
<ds:datastoreItem xmlns:ds="http://schemas.openxmlformats.org/officeDocument/2006/customXml" ds:itemID="{DC1607F1-31DE-46A0-BA7F-84AAD127D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Spokane DF Calc</vt:lpstr>
      <vt:lpstr>Proposed Rates</vt:lpstr>
      <vt:lpstr>Disposal Schedule</vt:lpstr>
      <vt:lpstr>Spokane Reg - Price out</vt:lpstr>
      <vt:lpstr>'Proposed Rates'!Print_Area</vt:lpstr>
      <vt:lpstr>'Spokane DF Calc'!Print_Area</vt:lpstr>
      <vt:lpstr>'Spokane Reg - Price out'!Print_Area</vt:lpstr>
      <vt:lpstr>'Proposed Rates'!Print_Titles</vt:lpstr>
      <vt:lpstr>'Spokane DF Calc'!Print_Titles</vt:lpstr>
      <vt:lpstr>'Spokane Reg - Price out'!Print_Titles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Akasha Leffler</cp:lastModifiedBy>
  <cp:lastPrinted>2021-11-10T23:49:10Z</cp:lastPrinted>
  <dcterms:created xsi:type="dcterms:W3CDTF">2014-11-03T21:22:13Z</dcterms:created>
  <dcterms:modified xsi:type="dcterms:W3CDTF">2021-11-10T23:52:17Z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0x0101006E56B4D1795A2E4DB2F0B01679ED314A0032CAA59F5CC2FC4FB3B916A9266CF8D6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