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1 Nov Update\"/>
    </mc:Choice>
  </mc:AlternateContent>
  <bookViews>
    <workbookView xWindow="0" yWindow="0" windowWidth="23040" windowHeight="8100"/>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Calcs'!$B$4:$L$29</definedName>
    <definedName name="_xlnm.Print_Area" localSheetId="15">'Capacity Delivered'!$B$3:$S$28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Summary'!$B$2:$AB$9</definedName>
    <definedName name="_xlnm.Print_Area" localSheetId="12">'Solar Avoided Capacity Calcs'!$B$4:$L$30</definedName>
    <definedName name="_xlnm.Print_Area" localSheetId="11">'Wind Avoided Capacity Calcs'!$B$4:$L$30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D7" i="43" l="1"/>
  <c r="D7" i="44"/>
  <c r="A30" i="7" l="1"/>
  <c r="A30" i="43"/>
  <c r="A30" i="44"/>
  <c r="D6" i="43" l="1"/>
  <c r="D6" i="44"/>
  <c r="D6" i="7"/>
  <c r="D6" i="9"/>
  <c r="L7" i="23" l="1"/>
  <c r="L8" i="23"/>
  <c r="L9" i="23"/>
  <c r="L10" i="23"/>
  <c r="L11" i="23"/>
  <c r="L12" i="23"/>
  <c r="L13" i="23"/>
  <c r="L14" i="23"/>
  <c r="L15" i="23"/>
  <c r="L16" i="23"/>
  <c r="L17" i="23"/>
  <c r="L18" i="23"/>
  <c r="L19" i="23"/>
  <c r="L20" i="23"/>
  <c r="L21" i="23"/>
  <c r="L22" i="23"/>
  <c r="L23" i="23"/>
  <c r="L24" i="23"/>
  <c r="L25" i="23"/>
  <c r="L26" i="23"/>
  <c r="L27" i="23"/>
  <c r="L28" i="23"/>
  <c r="P28" i="22" l="1"/>
  <c r="N11" i="9" l="1"/>
  <c r="E6" i="44" l="1"/>
  <c r="E6" i="7"/>
  <c r="E6" i="43"/>
  <c r="P7" i="43" l="1"/>
  <c r="P7" i="44"/>
  <c r="P7" i="7"/>
  <c r="P8" i="7" s="1"/>
  <c r="P29" i="22" l="1"/>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23"/>
  <c r="I7" i="44" l="1"/>
  <c r="Q7" i="23"/>
  <c r="I7" i="43"/>
  <c r="K7" i="23"/>
  <c r="G7" i="7" l="1"/>
  <c r="G7" i="44" l="1"/>
  <c r="G7" i="43"/>
  <c r="G7" i="9"/>
  <c r="C8" i="23" l="1"/>
  <c r="E19" i="37"/>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G8" i="44"/>
  <c r="G9" i="44" s="1"/>
  <c r="G10" i="44" s="1"/>
  <c r="G11" i="44" s="1"/>
  <c r="G12" i="44" s="1"/>
  <c r="G13" i="44" s="1"/>
  <c r="G14" i="44" s="1"/>
  <c r="G15" i="44" s="1"/>
  <c r="G16" i="44" s="1"/>
  <c r="G17" i="44" s="1"/>
  <c r="G18" i="44" s="1"/>
  <c r="G19" i="44" s="1"/>
  <c r="G20" i="44" s="1"/>
  <c r="G21" i="44" s="1"/>
  <c r="G22" i="44" s="1"/>
  <c r="G23" i="44" s="1"/>
  <c r="G24" i="44" s="1"/>
  <c r="G25" i="44" s="1"/>
  <c r="G26" i="44" s="1"/>
  <c r="G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S7" i="23" s="1"/>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I7" i="7" l="1"/>
  <c r="C12" i="23"/>
  <c r="K11" i="23"/>
  <c r="C13" i="23" l="1"/>
  <c r="K12" i="2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G8" i="7"/>
  <c r="G9" i="7" l="1"/>
  <c r="G8" i="43"/>
  <c r="C14" i="23"/>
  <c r="K13" i="23"/>
  <c r="J7" i="9"/>
  <c r="H19" i="42"/>
  <c r="I19" i="9"/>
  <c r="J19" i="9" s="1"/>
  <c r="I13" i="23"/>
  <c r="I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G10" i="7" l="1"/>
  <c r="G9" i="43"/>
  <c r="C15" i="23"/>
  <c r="K14" i="23"/>
  <c r="S13" i="23"/>
  <c r="I19" i="42"/>
  <c r="J19" i="41"/>
  <c r="I19" i="40"/>
  <c r="H19" i="39"/>
  <c r="C16" i="23" l="1"/>
  <c r="K15" i="23"/>
  <c r="G11" i="7"/>
  <c r="G10" i="43"/>
  <c r="J19" i="42"/>
  <c r="K19" i="41"/>
  <c r="J19" i="40"/>
  <c r="I19" i="39"/>
  <c r="G12" i="7" l="1"/>
  <c r="G11" i="43"/>
  <c r="C17" i="23"/>
  <c r="K16" i="23"/>
  <c r="L19" i="41"/>
  <c r="K19" i="40"/>
  <c r="J19" i="39"/>
  <c r="G13" i="7" l="1"/>
  <c r="G12" i="43"/>
  <c r="C18" i="23"/>
  <c r="K17" i="23"/>
  <c r="M19" i="41"/>
  <c r="L19" i="40"/>
  <c r="K19" i="39"/>
  <c r="C19" i="23" l="1"/>
  <c r="K18" i="23"/>
  <c r="G14" i="7"/>
  <c r="G13" i="43"/>
  <c r="N19" i="41"/>
  <c r="M19" i="40"/>
  <c r="L19" i="39"/>
  <c r="G15" i="7" l="1"/>
  <c r="G14" i="43"/>
  <c r="C20" i="23"/>
  <c r="K19" i="23"/>
  <c r="O19" i="41"/>
  <c r="N19" i="40"/>
  <c r="M19" i="39"/>
  <c r="G16" i="7" l="1"/>
  <c r="G15" i="43"/>
  <c r="C21" i="23"/>
  <c r="K20" i="23"/>
  <c r="O19" i="40"/>
  <c r="N19" i="39"/>
  <c r="C22" i="23" l="1"/>
  <c r="K21" i="23"/>
  <c r="G17" i="7"/>
  <c r="G16" i="43"/>
  <c r="O19" i="39"/>
  <c r="C23" i="23" l="1"/>
  <c r="K22" i="23"/>
  <c r="G18" i="7"/>
  <c r="G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G19" i="7" l="1"/>
  <c r="G18" i="43"/>
  <c r="C24" i="23"/>
  <c r="K23" i="23"/>
  <c r="E18" i="37"/>
  <c r="F18" i="37" s="1"/>
  <c r="G20" i="7" l="1"/>
  <c r="G19" i="43"/>
  <c r="C25" i="23"/>
  <c r="K24" i="23"/>
  <c r="C26" i="23" l="1"/>
  <c r="K25" i="23"/>
  <c r="G21" i="7"/>
  <c r="G20" i="43"/>
  <c r="F19" i="37"/>
  <c r="F20" i="37" s="1"/>
  <c r="F15" i="37"/>
  <c r="F14" i="37"/>
  <c r="G22" i="7" l="1"/>
  <c r="G21" i="43"/>
  <c r="C27" i="23"/>
  <c r="K26" i="23"/>
  <c r="P9" i="7"/>
  <c r="P10" i="7" s="1"/>
  <c r="P11" i="7" s="1"/>
  <c r="P12" i="7" s="1"/>
  <c r="P13" i="7" s="1"/>
  <c r="P14" i="7" s="1"/>
  <c r="P15" i="7" s="1"/>
  <c r="P16" i="7" s="1"/>
  <c r="P17" i="7" s="1"/>
  <c r="P18" i="7" s="1"/>
  <c r="P19" i="7" s="1"/>
  <c r="P20" i="7" s="1"/>
  <c r="P21" i="7" s="1"/>
  <c r="P22" i="7" s="1"/>
  <c r="P23" i="7" s="1"/>
  <c r="P24" i="7" s="1"/>
  <c r="P25" i="7" s="1"/>
  <c r="P26" i="7" s="1"/>
  <c r="P27" i="7" s="1"/>
  <c r="P8" i="43"/>
  <c r="P9" i="43" s="1"/>
  <c r="P10" i="43" s="1"/>
  <c r="P11" i="43" s="1"/>
  <c r="P12" i="43" s="1"/>
  <c r="P13" i="43" s="1"/>
  <c r="P14" i="43" s="1"/>
  <c r="P15" i="43" s="1"/>
  <c r="P16" i="43" s="1"/>
  <c r="P17" i="43" s="1"/>
  <c r="P18" i="43" s="1"/>
  <c r="P19" i="43" s="1"/>
  <c r="P20" i="43" s="1"/>
  <c r="P21" i="43" s="1"/>
  <c r="P22" i="43" s="1"/>
  <c r="P23" i="43" s="1"/>
  <c r="P24" i="43" s="1"/>
  <c r="P25" i="43" s="1"/>
  <c r="P26" i="43" s="1"/>
  <c r="P8" i="44"/>
  <c r="P9" i="44" s="1"/>
  <c r="P10" i="44" s="1"/>
  <c r="P11" i="44" s="1"/>
  <c r="P12" i="44" s="1"/>
  <c r="F16" i="37"/>
  <c r="E8" i="43"/>
  <c r="E8" i="44"/>
  <c r="X19" i="40"/>
  <c r="Y19" i="40" s="1"/>
  <c r="X19" i="39"/>
  <c r="Y19" i="39" s="1"/>
  <c r="X19" i="41"/>
  <c r="Y19" i="41" s="1"/>
  <c r="X19" i="42"/>
  <c r="Y19" i="42" s="1"/>
  <c r="C28" i="23" l="1"/>
  <c r="K28" i="23" s="1"/>
  <c r="K27" i="23"/>
  <c r="G23" i="7"/>
  <c r="G22" i="43"/>
  <c r="P13" i="44"/>
  <c r="P14" i="44" s="1"/>
  <c r="P15" i="44" s="1"/>
  <c r="P16" i="44" s="1"/>
  <c r="P17" i="44" s="1"/>
  <c r="P18" i="44" s="1"/>
  <c r="P19" i="44" s="1"/>
  <c r="P20" i="44" s="1"/>
  <c r="P21" i="44" s="1"/>
  <c r="P22" i="44" s="1"/>
  <c r="P23" i="44" s="1"/>
  <c r="P24" i="44" s="1"/>
  <c r="P25" i="44" s="1"/>
  <c r="P26" i="44" s="1"/>
  <c r="P27" i="44" s="1"/>
  <c r="P27" i="43"/>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G12" i="23"/>
  <c r="I12" i="7" s="1"/>
  <c r="G24" i="7" l="1"/>
  <c r="G23" i="43"/>
  <c r="X20" i="41"/>
  <c r="Y20" i="41" s="1"/>
  <c r="O12" i="23"/>
  <c r="X20" i="39"/>
  <c r="Y20" i="39" s="1"/>
  <c r="X20" i="40"/>
  <c r="Y20" i="40" s="1"/>
  <c r="X20" i="42"/>
  <c r="Y20" i="42" s="1"/>
  <c r="G8" i="23"/>
  <c r="O8" i="23" s="1"/>
  <c r="G9" i="23"/>
  <c r="I9" i="7" s="1"/>
  <c r="G10" i="23"/>
  <c r="G11" i="23"/>
  <c r="I11" i="7" s="1"/>
  <c r="Q11" i="7" s="1"/>
  <c r="G13" i="23"/>
  <c r="I13" i="7" s="1"/>
  <c r="G14" i="23"/>
  <c r="I14" i="7" s="1"/>
  <c r="G15" i="23"/>
  <c r="I15" i="7" s="1"/>
  <c r="G16" i="23"/>
  <c r="I16" i="7" s="1"/>
  <c r="G17" i="23"/>
  <c r="I17" i="7" s="1"/>
  <c r="G18" i="23"/>
  <c r="G19" i="23"/>
  <c r="I19" i="7" s="1"/>
  <c r="G20" i="23"/>
  <c r="I20" i="7" s="1"/>
  <c r="G21" i="23"/>
  <c r="I21" i="7" s="1"/>
  <c r="G22" i="23"/>
  <c r="G23" i="23"/>
  <c r="I23" i="7" s="1"/>
  <c r="G24" i="23"/>
  <c r="I24" i="7" s="1"/>
  <c r="G25" i="23"/>
  <c r="I25" i="7" s="1"/>
  <c r="G26" i="23"/>
  <c r="G27" i="23"/>
  <c r="I27" i="7" s="1"/>
  <c r="I8" i="23"/>
  <c r="I9" i="23"/>
  <c r="I9" i="44" s="1"/>
  <c r="I10" i="23"/>
  <c r="I10" i="44" s="1"/>
  <c r="I11" i="23"/>
  <c r="I11" i="44" s="1"/>
  <c r="I12" i="23"/>
  <c r="I12" i="44" s="1"/>
  <c r="I14" i="23"/>
  <c r="I14" i="44" s="1"/>
  <c r="I15" i="23"/>
  <c r="I15" i="44" s="1"/>
  <c r="I16" i="23"/>
  <c r="I16" i="44" s="1"/>
  <c r="I17" i="23"/>
  <c r="I17" i="44" s="1"/>
  <c r="I18" i="23"/>
  <c r="I18" i="44" s="1"/>
  <c r="I19" i="23"/>
  <c r="I19" i="44" s="1"/>
  <c r="I20" i="23"/>
  <c r="I20" i="44" s="1"/>
  <c r="I21" i="23"/>
  <c r="I21" i="44" s="1"/>
  <c r="I22" i="23"/>
  <c r="I22" i="44" s="1"/>
  <c r="I23" i="23"/>
  <c r="I23" i="44" s="1"/>
  <c r="I24" i="23"/>
  <c r="I24" i="44" s="1"/>
  <c r="I25" i="23"/>
  <c r="I25" i="44" s="1"/>
  <c r="I26" i="23"/>
  <c r="I26" i="44" s="1"/>
  <c r="I27" i="23"/>
  <c r="I27" i="44" s="1"/>
  <c r="H9" i="23"/>
  <c r="I9" i="43" s="1"/>
  <c r="H10" i="23"/>
  <c r="I10" i="43" s="1"/>
  <c r="H11" i="23"/>
  <c r="I11" i="43" s="1"/>
  <c r="H12" i="23"/>
  <c r="I12" i="43" s="1"/>
  <c r="H13" i="23"/>
  <c r="I13" i="43" s="1"/>
  <c r="H14" i="23"/>
  <c r="I14" i="43" s="1"/>
  <c r="H15" i="23"/>
  <c r="I15" i="43" s="1"/>
  <c r="H16" i="23"/>
  <c r="I16" i="43" s="1"/>
  <c r="H17" i="23"/>
  <c r="I17" i="43" s="1"/>
  <c r="H18" i="23"/>
  <c r="I18" i="43" s="1"/>
  <c r="H19" i="23"/>
  <c r="I19" i="43" s="1"/>
  <c r="H20" i="23"/>
  <c r="I20" i="43" s="1"/>
  <c r="H21" i="23"/>
  <c r="I21" i="43" s="1"/>
  <c r="H22" i="23"/>
  <c r="I22" i="43" s="1"/>
  <c r="H23" i="23"/>
  <c r="I23" i="43" s="1"/>
  <c r="H24" i="23"/>
  <c r="I24" i="43" s="1"/>
  <c r="H25" i="23"/>
  <c r="I25" i="43" s="1"/>
  <c r="H26" i="23"/>
  <c r="I26" i="43" s="1"/>
  <c r="H27" i="23"/>
  <c r="I27" i="43" s="1"/>
  <c r="H8" i="23"/>
  <c r="I8" i="43" s="1"/>
  <c r="J12" i="44" l="1"/>
  <c r="Q12" i="44"/>
  <c r="R12" i="44" s="1"/>
  <c r="I8" i="44"/>
  <c r="Q8" i="44" s="1"/>
  <c r="R8" i="44" s="1"/>
  <c r="S8" i="23"/>
  <c r="Q7" i="7"/>
  <c r="I8" i="7"/>
  <c r="Q8" i="7" s="1"/>
  <c r="G25" i="7"/>
  <c r="G24" i="43"/>
  <c r="O18" i="23"/>
  <c r="I18" i="7"/>
  <c r="Q18" i="7" s="1"/>
  <c r="O10" i="23"/>
  <c r="I10" i="7"/>
  <c r="Q10" i="7" s="1"/>
  <c r="O22" i="23"/>
  <c r="I22" i="7"/>
  <c r="O26" i="23"/>
  <c r="I26" i="7"/>
  <c r="Q26" i="7" s="1"/>
  <c r="Q25" i="44"/>
  <c r="R25" i="44" s="1"/>
  <c r="J25" i="44"/>
  <c r="Q21" i="44"/>
  <c r="R21" i="44" s="1"/>
  <c r="J21" i="44"/>
  <c r="Q17" i="44"/>
  <c r="R17" i="44" s="1"/>
  <c r="J17" i="44"/>
  <c r="Q13" i="44"/>
  <c r="R13" i="44" s="1"/>
  <c r="J13" i="44"/>
  <c r="Q24" i="44"/>
  <c r="R24" i="44" s="1"/>
  <c r="J24" i="44"/>
  <c r="Q20" i="44"/>
  <c r="R20" i="44" s="1"/>
  <c r="J20" i="44"/>
  <c r="Q16" i="44"/>
  <c r="R16" i="44" s="1"/>
  <c r="J16" i="44"/>
  <c r="Q23" i="44"/>
  <c r="R23" i="44" s="1"/>
  <c r="J23" i="44"/>
  <c r="Q19" i="44"/>
  <c r="R19" i="44" s="1"/>
  <c r="J19" i="44"/>
  <c r="Q15" i="44"/>
  <c r="R15" i="44" s="1"/>
  <c r="J15" i="44"/>
  <c r="Q26" i="44"/>
  <c r="R26" i="44" s="1"/>
  <c r="J26" i="44"/>
  <c r="Q22" i="44"/>
  <c r="R22" i="44" s="1"/>
  <c r="J22" i="44"/>
  <c r="Q18" i="44"/>
  <c r="R18" i="44" s="1"/>
  <c r="J18" i="44"/>
  <c r="Q14" i="44"/>
  <c r="R14" i="44" s="1"/>
  <c r="J14" i="44"/>
  <c r="J24" i="43"/>
  <c r="Q24" i="43"/>
  <c r="R24" i="43" s="1"/>
  <c r="J23" i="43"/>
  <c r="Q23" i="43"/>
  <c r="R23" i="43" s="1"/>
  <c r="J19" i="43"/>
  <c r="Q19" i="43"/>
  <c r="R19" i="43" s="1"/>
  <c r="J15" i="43"/>
  <c r="Q15" i="43"/>
  <c r="R15" i="43" s="1"/>
  <c r="J16" i="43"/>
  <c r="Q16" i="43"/>
  <c r="R16" i="43" s="1"/>
  <c r="J22" i="43"/>
  <c r="Q22" i="43"/>
  <c r="R22" i="43" s="1"/>
  <c r="J14" i="43"/>
  <c r="Q14" i="43"/>
  <c r="R14" i="43" s="1"/>
  <c r="J20" i="43"/>
  <c r="Q20" i="43"/>
  <c r="R20" i="43" s="1"/>
  <c r="J26" i="43"/>
  <c r="Q26" i="43"/>
  <c r="R26" i="43" s="1"/>
  <c r="J18" i="43"/>
  <c r="Q18" i="43"/>
  <c r="R18" i="43" s="1"/>
  <c r="J25" i="43"/>
  <c r="Q25" i="43"/>
  <c r="R25" i="43" s="1"/>
  <c r="J21" i="43"/>
  <c r="Q21" i="43"/>
  <c r="R21" i="43" s="1"/>
  <c r="J17" i="43"/>
  <c r="Q17" i="43"/>
  <c r="R17" i="43" s="1"/>
  <c r="J13" i="43"/>
  <c r="Q13" i="43"/>
  <c r="R13" i="43" s="1"/>
  <c r="J12" i="43"/>
  <c r="Q12" i="43"/>
  <c r="R12" i="43" s="1"/>
  <c r="J11" i="43"/>
  <c r="Q11" i="43"/>
  <c r="R11" i="43" s="1"/>
  <c r="J11" i="44"/>
  <c r="Q11" i="44"/>
  <c r="R11" i="44" s="1"/>
  <c r="J10" i="44"/>
  <c r="Q10" i="44"/>
  <c r="R10" i="44" s="1"/>
  <c r="J10" i="43"/>
  <c r="Q10" i="43"/>
  <c r="R10" i="43" s="1"/>
  <c r="J9" i="44"/>
  <c r="Q9" i="44"/>
  <c r="R9" i="44" s="1"/>
  <c r="J9" i="43"/>
  <c r="Q9" i="43"/>
  <c r="R9" i="43" s="1"/>
  <c r="J8" i="43"/>
  <c r="Q8" i="43"/>
  <c r="R8" i="43" s="1"/>
  <c r="J8" i="44"/>
  <c r="J7" i="44"/>
  <c r="K7" i="44" s="1"/>
  <c r="Q7" i="44"/>
  <c r="R7" i="44" s="1"/>
  <c r="S7" i="44" s="1"/>
  <c r="T7" i="44" s="1"/>
  <c r="Q7" i="43"/>
  <c r="R7" i="43" s="1"/>
  <c r="S7" i="43" s="1"/>
  <c r="T7" i="43" s="1"/>
  <c r="J7" i="43"/>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Q16" i="7"/>
  <c r="Q24" i="7"/>
  <c r="Q14" i="7"/>
  <c r="Q9" i="7"/>
  <c r="Q25" i="7"/>
  <c r="Q15" i="7"/>
  <c r="I28" i="23"/>
  <c r="Q21" i="7"/>
  <c r="Q13" i="7"/>
  <c r="Q19" i="7"/>
  <c r="Q17" i="7"/>
  <c r="H28" i="23"/>
  <c r="Q23" i="7"/>
  <c r="Q22" i="7"/>
  <c r="Q20" i="7"/>
  <c r="Q12" i="7"/>
  <c r="E8" i="7"/>
  <c r="J7" i="7" s="1"/>
  <c r="E7" i="9"/>
  <c r="D5" i="5"/>
  <c r="L7" i="44" l="1"/>
  <c r="M7" i="44" s="1"/>
  <c r="G26" i="7"/>
  <c r="G25" i="43"/>
  <c r="J27" i="44"/>
  <c r="Q27" i="44"/>
  <c r="R27" i="44" s="1"/>
  <c r="J27" i="43"/>
  <c r="Q27" i="43"/>
  <c r="R27" i="43" s="1"/>
  <c r="U7" i="43"/>
  <c r="V7" i="43" s="1"/>
  <c r="S8" i="43"/>
  <c r="T8" i="43" s="1"/>
  <c r="U7" i="44"/>
  <c r="V7" i="44" s="1"/>
  <c r="S8" i="44"/>
  <c r="T8" i="44" s="1"/>
  <c r="M7" i="43"/>
  <c r="K8" i="43"/>
  <c r="L8" i="43" s="1"/>
  <c r="K8" i="44"/>
  <c r="L8" i="44" s="1"/>
  <c r="R8" i="7"/>
  <c r="R12" i="7"/>
  <c r="R16" i="7"/>
  <c r="R20" i="7"/>
  <c r="R24" i="7"/>
  <c r="R9" i="7"/>
  <c r="R13" i="7"/>
  <c r="R17" i="7"/>
  <c r="R21" i="7"/>
  <c r="R25" i="7"/>
  <c r="R10" i="7"/>
  <c r="R14" i="7"/>
  <c r="R18" i="7"/>
  <c r="R22" i="7"/>
  <c r="R26" i="7"/>
  <c r="R11" i="7"/>
  <c r="R15" i="7"/>
  <c r="R19" i="7"/>
  <c r="R23" i="7"/>
  <c r="R7" i="7"/>
  <c r="S7" i="7" s="1"/>
  <c r="T7" i="7" s="1"/>
  <c r="J8" i="7"/>
  <c r="J12" i="7"/>
  <c r="J16" i="7"/>
  <c r="J20" i="7"/>
  <c r="J24" i="7"/>
  <c r="J14" i="7"/>
  <c r="J26" i="7"/>
  <c r="J15" i="7"/>
  <c r="J19" i="7"/>
  <c r="J9" i="7"/>
  <c r="J13" i="7"/>
  <c r="J17" i="7"/>
  <c r="J21" i="7"/>
  <c r="J25" i="7"/>
  <c r="J10" i="7"/>
  <c r="J18" i="7"/>
  <c r="J22" i="7"/>
  <c r="J11" i="7"/>
  <c r="J23" i="7"/>
  <c r="Q28" i="23"/>
  <c r="S28" i="23"/>
  <c r="N7" i="9"/>
  <c r="Q27" i="7"/>
  <c r="R27" i="7" s="1"/>
  <c r="N26" i="9"/>
  <c r="N27" i="9"/>
  <c r="B2" i="5"/>
  <c r="B4" i="5"/>
  <c r="G27" i="7" l="1"/>
  <c r="G27" i="43" s="1"/>
  <c r="G26" i="43"/>
  <c r="N7" i="43"/>
  <c r="X7" i="43"/>
  <c r="Y7" i="43" s="1"/>
  <c r="K9" i="44"/>
  <c r="L9" i="44" s="1"/>
  <c r="M8" i="44"/>
  <c r="U8" i="44"/>
  <c r="V8" i="44" s="1"/>
  <c r="S9" i="44"/>
  <c r="T9" i="44" s="1"/>
  <c r="N7" i="44"/>
  <c r="X7" i="44"/>
  <c r="Y7" i="44" s="1"/>
  <c r="M8" i="43"/>
  <c r="K9" i="43"/>
  <c r="L9" i="43" s="1"/>
  <c r="U8" i="43"/>
  <c r="V8" i="43" s="1"/>
  <c r="S9" i="43"/>
  <c r="T9" i="43" s="1"/>
  <c r="S8" i="7"/>
  <c r="T8" i="7" s="1"/>
  <c r="J27" i="7"/>
  <c r="G19" i="27"/>
  <c r="G19" i="26"/>
  <c r="U9" i="43" l="1"/>
  <c r="V9" i="43" s="1"/>
  <c r="S10" i="43"/>
  <c r="T10" i="43" s="1"/>
  <c r="N8" i="44"/>
  <c r="X8" i="44"/>
  <c r="Y8" i="44" s="1"/>
  <c r="N8" i="43"/>
  <c r="X8" i="43"/>
  <c r="Y8" i="43" s="1"/>
  <c r="K10" i="44"/>
  <c r="L10" i="44" s="1"/>
  <c r="M9" i="44"/>
  <c r="K10" i="43"/>
  <c r="L10" i="43" s="1"/>
  <c r="M9" i="43"/>
  <c r="U9" i="44"/>
  <c r="V9" i="44" s="1"/>
  <c r="S10" i="44"/>
  <c r="T10" i="44" s="1"/>
  <c r="U7" i="7"/>
  <c r="V7" i="7" s="1"/>
  <c r="S9" i="7"/>
  <c r="T9" i="7" s="1"/>
  <c r="H19" i="26"/>
  <c r="H19" i="27"/>
  <c r="I19" i="26"/>
  <c r="M10" i="43" l="1"/>
  <c r="K11" i="43"/>
  <c r="L11" i="43" s="1"/>
  <c r="U10" i="44"/>
  <c r="V10" i="44" s="1"/>
  <c r="S11" i="44"/>
  <c r="T11" i="44" s="1"/>
  <c r="N9" i="44"/>
  <c r="X9" i="44"/>
  <c r="Y9" i="44" s="1"/>
  <c r="M10" i="44"/>
  <c r="K11" i="44"/>
  <c r="L11" i="44" s="1"/>
  <c r="N9" i="43"/>
  <c r="X9" i="43"/>
  <c r="Y9" i="43" s="1"/>
  <c r="U10" i="43"/>
  <c r="V10" i="43" s="1"/>
  <c r="S11" i="43"/>
  <c r="T11" i="43" s="1"/>
  <c r="U8" i="7"/>
  <c r="V8" i="7" s="1"/>
  <c r="S10" i="7"/>
  <c r="T10" i="7" s="1"/>
  <c r="I19" i="27"/>
  <c r="J19" i="26"/>
  <c r="U11" i="43" l="1"/>
  <c r="V11" i="43" s="1"/>
  <c r="S12" i="43"/>
  <c r="T12" i="43" s="1"/>
  <c r="M11" i="44"/>
  <c r="K12" i="44"/>
  <c r="L12" i="44" s="1"/>
  <c r="U11" i="44"/>
  <c r="V11" i="44" s="1"/>
  <c r="S12" i="44"/>
  <c r="T12" i="44" s="1"/>
  <c r="N10" i="44"/>
  <c r="X10" i="44"/>
  <c r="Y10" i="44" s="1"/>
  <c r="K12" i="43"/>
  <c r="L12" i="43" s="1"/>
  <c r="M11" i="43"/>
  <c r="N10" i="43"/>
  <c r="X10" i="43"/>
  <c r="Y10" i="43" s="1"/>
  <c r="U9" i="7"/>
  <c r="V9" i="7" s="1"/>
  <c r="S11" i="7"/>
  <c r="T11" i="7" s="1"/>
  <c r="J19" i="27"/>
  <c r="K19" i="26"/>
  <c r="M12" i="43" l="1"/>
  <c r="K13" i="43"/>
  <c r="L13" i="43" s="1"/>
  <c r="K13" i="44"/>
  <c r="L13" i="44" s="1"/>
  <c r="M12" i="44"/>
  <c r="N11" i="44"/>
  <c r="X11" i="44"/>
  <c r="Y11" i="44" s="1"/>
  <c r="X11" i="43"/>
  <c r="Y11" i="43" s="1"/>
  <c r="N11" i="43"/>
  <c r="U12" i="44"/>
  <c r="V12" i="44" s="1"/>
  <c r="S13" i="44"/>
  <c r="T13" i="44" s="1"/>
  <c r="U12" i="43"/>
  <c r="V12" i="43" s="1"/>
  <c r="S13" i="43"/>
  <c r="T13" i="43" s="1"/>
  <c r="U10" i="7"/>
  <c r="V10" i="7" s="1"/>
  <c r="S12" i="7"/>
  <c r="T12" i="7" s="1"/>
  <c r="L19" i="26"/>
  <c r="K19" i="27"/>
  <c r="N12" i="44" l="1"/>
  <c r="X12" i="44"/>
  <c r="Y12" i="44" s="1"/>
  <c r="M13" i="44"/>
  <c r="K14" i="44"/>
  <c r="L14" i="44" s="1"/>
  <c r="U13" i="43"/>
  <c r="V13" i="43" s="1"/>
  <c r="S14" i="43"/>
  <c r="T14" i="43" s="1"/>
  <c r="U13" i="44"/>
  <c r="V13" i="44" s="1"/>
  <c r="S14" i="44"/>
  <c r="T14" i="44" s="1"/>
  <c r="K14" i="43"/>
  <c r="L14" i="43" s="1"/>
  <c r="M13" i="43"/>
  <c r="X12" i="43"/>
  <c r="Y12" i="43" s="1"/>
  <c r="N12" i="43"/>
  <c r="U11" i="7"/>
  <c r="S13" i="7"/>
  <c r="T13" i="7" s="1"/>
  <c r="L19" i="27"/>
  <c r="M19" i="26"/>
  <c r="V11" i="7" l="1"/>
  <c r="U14" i="44"/>
  <c r="V14" i="44" s="1"/>
  <c r="S15" i="44"/>
  <c r="T15" i="44" s="1"/>
  <c r="K15" i="44"/>
  <c r="L15" i="44" s="1"/>
  <c r="M14" i="44"/>
  <c r="X13" i="44"/>
  <c r="Y13" i="44" s="1"/>
  <c r="N13" i="44"/>
  <c r="N13" i="43"/>
  <c r="X13" i="43"/>
  <c r="Y13" i="43" s="1"/>
  <c r="U14" i="43"/>
  <c r="V14" i="43" s="1"/>
  <c r="S15" i="43"/>
  <c r="T15" i="43" s="1"/>
  <c r="K15" i="43"/>
  <c r="L15" i="43" s="1"/>
  <c r="M14" i="43"/>
  <c r="U12" i="7"/>
  <c r="V12" i="7" s="1"/>
  <c r="S14" i="7"/>
  <c r="T14" i="7" s="1"/>
  <c r="M19" i="27"/>
  <c r="N19" i="26"/>
  <c r="X14" i="44" l="1"/>
  <c r="Y14" i="44" s="1"/>
  <c r="N14" i="44"/>
  <c r="M15" i="44"/>
  <c r="K16" i="44"/>
  <c r="L16" i="44" s="1"/>
  <c r="N14" i="43"/>
  <c r="X14" i="43"/>
  <c r="Y14" i="43" s="1"/>
  <c r="M15" i="43"/>
  <c r="K16" i="43"/>
  <c r="L16" i="43" s="1"/>
  <c r="U15" i="43"/>
  <c r="V15" i="43" s="1"/>
  <c r="S16" i="43"/>
  <c r="T16" i="43" s="1"/>
  <c r="U15" i="44"/>
  <c r="V15" i="44" s="1"/>
  <c r="S16" i="44"/>
  <c r="T16" i="44" s="1"/>
  <c r="U13" i="7"/>
  <c r="V13" i="7" s="1"/>
  <c r="S15" i="7"/>
  <c r="T15" i="7" s="1"/>
  <c r="N19" i="27"/>
  <c r="O19" i="26"/>
  <c r="U16" i="44" l="1"/>
  <c r="V16" i="44" s="1"/>
  <c r="S17" i="44"/>
  <c r="T17" i="44" s="1"/>
  <c r="M16" i="43"/>
  <c r="K17" i="43"/>
  <c r="L17" i="43" s="1"/>
  <c r="K17" i="44"/>
  <c r="L17" i="44" s="1"/>
  <c r="M16" i="44"/>
  <c r="N15" i="44"/>
  <c r="X15" i="44"/>
  <c r="Y15" i="44" s="1"/>
  <c r="N15" i="43"/>
  <c r="X15" i="43"/>
  <c r="Y15" i="43" s="1"/>
  <c r="U16" i="43"/>
  <c r="V16" i="43" s="1"/>
  <c r="S17" i="43"/>
  <c r="T17" i="43" s="1"/>
  <c r="U14" i="7"/>
  <c r="V14" i="7" s="1"/>
  <c r="S16" i="7"/>
  <c r="T16" i="7" s="1"/>
  <c r="O19" i="27"/>
  <c r="P19" i="26"/>
  <c r="U17" i="43" l="1"/>
  <c r="V17" i="43" s="1"/>
  <c r="S18" i="43"/>
  <c r="T18" i="43" s="1"/>
  <c r="M17" i="43"/>
  <c r="K18" i="43"/>
  <c r="L18" i="43" s="1"/>
  <c r="N16" i="43"/>
  <c r="X16" i="43"/>
  <c r="Y16" i="43" s="1"/>
  <c r="I5" i="40" s="1"/>
  <c r="X16" i="44"/>
  <c r="Y16" i="44" s="1"/>
  <c r="I5" i="41" s="1"/>
  <c r="N16" i="44"/>
  <c r="U17" i="44"/>
  <c r="V17" i="44" s="1"/>
  <c r="S18" i="44"/>
  <c r="T18" i="44" s="1"/>
  <c r="K18" i="44"/>
  <c r="L18" i="44" s="1"/>
  <c r="M17" i="44"/>
  <c r="U15" i="7"/>
  <c r="V15" i="7" s="1"/>
  <c r="S17" i="7"/>
  <c r="T17" i="7" s="1"/>
  <c r="P19" i="27"/>
  <c r="Q19" i="26"/>
  <c r="J25" i="9"/>
  <c r="K24" i="9"/>
  <c r="K25" i="9"/>
  <c r="N17" i="44" l="1"/>
  <c r="X17" i="44"/>
  <c r="Y17" i="44" s="1"/>
  <c r="K19" i="43"/>
  <c r="L19" i="43" s="1"/>
  <c r="M18" i="43"/>
  <c r="N17" i="43"/>
  <c r="X17" i="43"/>
  <c r="Y17" i="43" s="1"/>
  <c r="K19" i="44"/>
  <c r="L19" i="44" s="1"/>
  <c r="M18" i="44"/>
  <c r="U18" i="44"/>
  <c r="V18" i="44" s="1"/>
  <c r="S19" i="44"/>
  <c r="T19" i="44" s="1"/>
  <c r="U18" i="43"/>
  <c r="V18" i="43" s="1"/>
  <c r="S19" i="43"/>
  <c r="T19" i="43" s="1"/>
  <c r="U16" i="7"/>
  <c r="V16" i="7" s="1"/>
  <c r="S18" i="7"/>
  <c r="T18" i="7" s="1"/>
  <c r="Q19" i="27"/>
  <c r="R19" i="26"/>
  <c r="N25" i="9"/>
  <c r="J24" i="9"/>
  <c r="X18" i="43" l="1"/>
  <c r="Y18" i="43" s="1"/>
  <c r="N18" i="43"/>
  <c r="N18" i="44"/>
  <c r="X18" i="44"/>
  <c r="Y18" i="44" s="1"/>
  <c r="M19" i="43"/>
  <c r="K20" i="43"/>
  <c r="L20" i="43" s="1"/>
  <c r="U19" i="43"/>
  <c r="V19" i="43" s="1"/>
  <c r="S20" i="43"/>
  <c r="T20" i="43" s="1"/>
  <c r="U19" i="44"/>
  <c r="V19" i="44" s="1"/>
  <c r="S20" i="44"/>
  <c r="T20" i="44" s="1"/>
  <c r="M19" i="44"/>
  <c r="K20" i="44"/>
  <c r="L20" i="44" s="1"/>
  <c r="U17" i="7"/>
  <c r="V17" i="7" s="1"/>
  <c r="S19" i="7"/>
  <c r="T19" i="7" s="1"/>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K21" i="44" l="1"/>
  <c r="L21" i="44" s="1"/>
  <c r="M20" i="44"/>
  <c r="U20" i="43"/>
  <c r="V20" i="43" s="1"/>
  <c r="S21" i="43"/>
  <c r="T21" i="43" s="1"/>
  <c r="X19" i="44"/>
  <c r="Y19" i="44" s="1"/>
  <c r="N19" i="44"/>
  <c r="U20" i="44"/>
  <c r="V20" i="44" s="1"/>
  <c r="S21" i="44"/>
  <c r="T21" i="44" s="1"/>
  <c r="M20" i="43"/>
  <c r="K21" i="43"/>
  <c r="L21" i="43" s="1"/>
  <c r="N19" i="43"/>
  <c r="X19" i="43"/>
  <c r="Y19" i="43" s="1"/>
  <c r="U18" i="7"/>
  <c r="V18" i="7" s="1"/>
  <c r="S20" i="7"/>
  <c r="T20" i="7" s="1"/>
  <c r="N12" i="9"/>
  <c r="N14" i="9"/>
  <c r="N21" i="9"/>
  <c r="H19" i="13"/>
  <c r="I19" i="13" s="1"/>
  <c r="J19" i="13" s="1"/>
  <c r="K19" i="13" s="1"/>
  <c r="S19" i="27"/>
  <c r="T19" i="26"/>
  <c r="K7" i="7"/>
  <c r="L7" i="7" s="1"/>
  <c r="N17" i="9"/>
  <c r="N13" i="9"/>
  <c r="N19" i="9"/>
  <c r="N9" i="9"/>
  <c r="J10" i="9"/>
  <c r="J15" i="9"/>
  <c r="O7" i="9"/>
  <c r="P7" i="9" s="1"/>
  <c r="N23" i="9"/>
  <c r="N8" i="9"/>
  <c r="N20" i="9"/>
  <c r="N18" i="9"/>
  <c r="J22" i="9"/>
  <c r="N16" i="9"/>
  <c r="K22" i="44" l="1"/>
  <c r="L22" i="44" s="1"/>
  <c r="M21" i="44"/>
  <c r="U21" i="44"/>
  <c r="V21" i="44" s="1"/>
  <c r="S22" i="44"/>
  <c r="T22" i="44" s="1"/>
  <c r="U21" i="43"/>
  <c r="S22" i="43"/>
  <c r="T22" i="43" s="1"/>
  <c r="K22" i="43"/>
  <c r="L22" i="43" s="1"/>
  <c r="M21" i="43"/>
  <c r="N20" i="44"/>
  <c r="X20" i="44"/>
  <c r="Y20" i="44" s="1"/>
  <c r="X20" i="43"/>
  <c r="Y20" i="43" s="1"/>
  <c r="N20" i="43"/>
  <c r="U19" i="7"/>
  <c r="V19" i="7" s="1"/>
  <c r="S21" i="7"/>
  <c r="T21" i="7" s="1"/>
  <c r="C9" i="5"/>
  <c r="D9" i="5" s="1"/>
  <c r="X19" i="26"/>
  <c r="Y19" i="26" s="1"/>
  <c r="F20" i="26" s="1"/>
  <c r="T19" i="27"/>
  <c r="X19" i="27" s="1"/>
  <c r="Y19" i="27" s="1"/>
  <c r="F20" i="27" s="1"/>
  <c r="L19" i="13"/>
  <c r="K8" i="7"/>
  <c r="L8" i="7" s="1"/>
  <c r="N15" i="9"/>
  <c r="O8" i="9"/>
  <c r="P8" i="9" s="1"/>
  <c r="N10" i="9"/>
  <c r="N22" i="9"/>
  <c r="C10" i="5" l="1"/>
  <c r="D10" i="5" s="1"/>
  <c r="M8" i="7"/>
  <c r="V21" i="43"/>
  <c r="X21" i="43"/>
  <c r="Y21" i="43" s="1"/>
  <c r="I5" i="26" s="1"/>
  <c r="K23" i="44"/>
  <c r="L23" i="44" s="1"/>
  <c r="M22" i="44"/>
  <c r="N21" i="43"/>
  <c r="U22" i="44"/>
  <c r="V22" i="44" s="1"/>
  <c r="S23" i="44"/>
  <c r="T23" i="44" s="1"/>
  <c r="M22" i="43"/>
  <c r="K23" i="43"/>
  <c r="L23" i="43" s="1"/>
  <c r="U22" i="43"/>
  <c r="V22" i="43" s="1"/>
  <c r="S23" i="43"/>
  <c r="T23" i="43" s="1"/>
  <c r="N21" i="44"/>
  <c r="X21" i="44"/>
  <c r="Y21" i="44" s="1"/>
  <c r="I5" i="27" s="1"/>
  <c r="M7" i="7"/>
  <c r="U20" i="7"/>
  <c r="V20" i="7" s="1"/>
  <c r="S22" i="7"/>
  <c r="T22" i="7" s="1"/>
  <c r="G20" i="26"/>
  <c r="H20" i="26"/>
  <c r="I20" i="26"/>
  <c r="J20" i="26"/>
  <c r="K20" i="26"/>
  <c r="L20" i="26"/>
  <c r="M20" i="26"/>
  <c r="N20" i="26"/>
  <c r="O20" i="26"/>
  <c r="P20" i="26"/>
  <c r="Q20" i="26"/>
  <c r="R20" i="26"/>
  <c r="S20" i="26"/>
  <c r="T20" i="26"/>
  <c r="M19" i="13"/>
  <c r="K9" i="7"/>
  <c r="L9" i="7" s="1"/>
  <c r="O9" i="9"/>
  <c r="P9" i="9" s="1"/>
  <c r="O10" i="9" l="1"/>
  <c r="P10" i="9" s="1"/>
  <c r="X8" i="7"/>
  <c r="Y8" i="7" s="1"/>
  <c r="N8" i="7"/>
  <c r="M9" i="7"/>
  <c r="K24" i="44"/>
  <c r="L24" i="44" s="1"/>
  <c r="M23" i="44"/>
  <c r="K24" i="43"/>
  <c r="L24" i="43" s="1"/>
  <c r="M23" i="43"/>
  <c r="X22" i="43"/>
  <c r="Y22" i="43" s="1"/>
  <c r="N22" i="43"/>
  <c r="U23" i="43"/>
  <c r="V23" i="43" s="1"/>
  <c r="S24" i="43"/>
  <c r="T24" i="43" s="1"/>
  <c r="U23" i="44"/>
  <c r="V23" i="44" s="1"/>
  <c r="S24" i="44"/>
  <c r="T24" i="44" s="1"/>
  <c r="N22" i="44"/>
  <c r="X22" i="44"/>
  <c r="Y22" i="44" s="1"/>
  <c r="N7" i="7"/>
  <c r="X7" i="7"/>
  <c r="Y7" i="7" s="1"/>
  <c r="U21" i="7"/>
  <c r="V21" i="7" s="1"/>
  <c r="I6" i="40"/>
  <c r="S23" i="7"/>
  <c r="T23" i="7" s="1"/>
  <c r="I6" i="41"/>
  <c r="X20" i="26"/>
  <c r="Y20" i="26" s="1"/>
  <c r="K10" i="7"/>
  <c r="L10" i="7" s="1"/>
  <c r="G20" i="27"/>
  <c r="H20" i="27"/>
  <c r="I20" i="27"/>
  <c r="J20" i="27"/>
  <c r="K20" i="27"/>
  <c r="L20" i="27"/>
  <c r="M20" i="27"/>
  <c r="N20" i="27"/>
  <c r="O20" i="27"/>
  <c r="P20" i="27"/>
  <c r="Q20" i="27"/>
  <c r="R20" i="27"/>
  <c r="S20" i="27"/>
  <c r="T20" i="27"/>
  <c r="N19" i="13"/>
  <c r="O11" i="9" l="1"/>
  <c r="P11" i="9" s="1"/>
  <c r="X9" i="7"/>
  <c r="Y9" i="7" s="1"/>
  <c r="N9" i="7"/>
  <c r="M10" i="7"/>
  <c r="U24" i="43"/>
  <c r="V24" i="43" s="1"/>
  <c r="S25" i="43"/>
  <c r="T25" i="43" s="1"/>
  <c r="N23" i="43"/>
  <c r="X23" i="43"/>
  <c r="Y23" i="43" s="1"/>
  <c r="K25" i="43"/>
  <c r="L25" i="43" s="1"/>
  <c r="M24" i="43"/>
  <c r="U24" i="44"/>
  <c r="V24" i="44" s="1"/>
  <c r="S25" i="44"/>
  <c r="T25" i="44" s="1"/>
  <c r="N23" i="44"/>
  <c r="X23" i="44"/>
  <c r="Y23" i="44" s="1"/>
  <c r="K25" i="44"/>
  <c r="L25" i="44" s="1"/>
  <c r="M24" i="44"/>
  <c r="U22" i="7"/>
  <c r="V22" i="7" s="1"/>
  <c r="S24" i="7"/>
  <c r="T24" i="7" s="1"/>
  <c r="X20" i="27"/>
  <c r="Y20" i="27" s="1"/>
  <c r="C12" i="5"/>
  <c r="D12" i="5" s="1"/>
  <c r="C11" i="5"/>
  <c r="D11" i="5" s="1"/>
  <c r="K11" i="7"/>
  <c r="L11" i="7" s="1"/>
  <c r="O19" i="13"/>
  <c r="O12" i="9" l="1"/>
  <c r="P12" i="9" s="1"/>
  <c r="X10" i="7"/>
  <c r="Y10" i="7" s="1"/>
  <c r="N10" i="7"/>
  <c r="M11" i="7"/>
  <c r="X24" i="44"/>
  <c r="Y24" i="44" s="1"/>
  <c r="N24" i="44"/>
  <c r="U25" i="44"/>
  <c r="V25" i="44" s="1"/>
  <c r="S26" i="44"/>
  <c r="T26" i="44" s="1"/>
  <c r="M25" i="44"/>
  <c r="K26" i="44"/>
  <c r="L26" i="44" s="1"/>
  <c r="N24" i="43"/>
  <c r="X24" i="43"/>
  <c r="Y24" i="43" s="1"/>
  <c r="U25" i="43"/>
  <c r="V25" i="43" s="1"/>
  <c r="S26" i="43"/>
  <c r="T26" i="43" s="1"/>
  <c r="M25" i="43"/>
  <c r="K26" i="43"/>
  <c r="L26" i="43" s="1"/>
  <c r="U23" i="7"/>
  <c r="V23" i="7" s="1"/>
  <c r="S25" i="7"/>
  <c r="T25" i="7" s="1"/>
  <c r="C13" i="5"/>
  <c r="D13" i="5" s="1"/>
  <c r="H5" i="42" s="1"/>
  <c r="H6" i="42" s="1"/>
  <c r="K12" i="7"/>
  <c r="L12" i="7" s="1"/>
  <c r="P19" i="13"/>
  <c r="O13" i="9"/>
  <c r="P13" i="9" s="1"/>
  <c r="C15" i="5" l="1"/>
  <c r="N11" i="7"/>
  <c r="X11" i="7"/>
  <c r="Y11" i="7" s="1"/>
  <c r="I5" i="42" s="1"/>
  <c r="I6" i="42" s="1"/>
  <c r="M26" i="43"/>
  <c r="K27" i="43"/>
  <c r="L27" i="43" s="1"/>
  <c r="U26" i="44"/>
  <c r="V26" i="44" s="1"/>
  <c r="S27" i="44"/>
  <c r="T27" i="44" s="1"/>
  <c r="N25" i="43"/>
  <c r="X25" i="43"/>
  <c r="Y25" i="43" s="1"/>
  <c r="U26" i="43"/>
  <c r="V26" i="43" s="1"/>
  <c r="S27" i="43"/>
  <c r="T27" i="43" s="1"/>
  <c r="K27" i="44"/>
  <c r="L27" i="44" s="1"/>
  <c r="M26" i="44"/>
  <c r="X25" i="44"/>
  <c r="Y25" i="44" s="1"/>
  <c r="N25" i="44"/>
  <c r="U24" i="7"/>
  <c r="V24" i="7" s="1"/>
  <c r="S26" i="7"/>
  <c r="T26" i="7" s="1"/>
  <c r="I6" i="27"/>
  <c r="M12" i="7"/>
  <c r="X12" i="7" s="1"/>
  <c r="Y12" i="7" s="1"/>
  <c r="K13" i="7"/>
  <c r="L13" i="7" s="1"/>
  <c r="C14" i="5"/>
  <c r="D14" i="5" s="1"/>
  <c r="Q19" i="13"/>
  <c r="O14" i="9"/>
  <c r="P14" i="9" s="1"/>
  <c r="M27" i="44" l="1"/>
  <c r="U27" i="43"/>
  <c r="V27" i="43" s="1"/>
  <c r="M13" i="7"/>
  <c r="U27" i="44"/>
  <c r="V27" i="44" s="1"/>
  <c r="M27" i="43"/>
  <c r="N26" i="44"/>
  <c r="X26" i="44"/>
  <c r="Y26" i="44" s="1"/>
  <c r="N26" i="43"/>
  <c r="X26" i="43"/>
  <c r="Y26" i="43" s="1"/>
  <c r="U25" i="7"/>
  <c r="V25" i="7" s="1"/>
  <c r="S27" i="7"/>
  <c r="T27" i="7" s="1"/>
  <c r="N12" i="7"/>
  <c r="K14" i="7"/>
  <c r="L14" i="7" s="1"/>
  <c r="D15" i="5"/>
  <c r="R19" i="13"/>
  <c r="O15" i="9"/>
  <c r="P15" i="9" s="1"/>
  <c r="N27" i="43" l="1"/>
  <c r="X27" i="43"/>
  <c r="Y27" i="43" s="1"/>
  <c r="X13" i="7"/>
  <c r="Y13" i="7" s="1"/>
  <c r="N13" i="7"/>
  <c r="N27" i="44"/>
  <c r="X27" i="44"/>
  <c r="Y27" i="44" s="1"/>
  <c r="M14" i="7"/>
  <c r="U27" i="7"/>
  <c r="V27" i="7" s="1"/>
  <c r="U26" i="7"/>
  <c r="V26" i="7" s="1"/>
  <c r="I6" i="26"/>
  <c r="K15" i="7"/>
  <c r="L15" i="7" s="1"/>
  <c r="C16" i="5"/>
  <c r="D16" i="5" s="1"/>
  <c r="S19" i="13"/>
  <c r="O16" i="9"/>
  <c r="P16" i="9" s="1"/>
  <c r="X14" i="7" l="1"/>
  <c r="Y14" i="7" s="1"/>
  <c r="N14" i="7"/>
  <c r="M15" i="7"/>
  <c r="K16" i="7"/>
  <c r="L16" i="7" s="1"/>
  <c r="C17" i="5"/>
  <c r="D17" i="5" s="1"/>
  <c r="T19" i="13"/>
  <c r="X19" i="13" s="1"/>
  <c r="Y19" i="13" s="1"/>
  <c r="F20" i="13" s="1"/>
  <c r="O17" i="9"/>
  <c r="P17" i="9" s="1"/>
  <c r="X15" i="7" l="1"/>
  <c r="Y15" i="7" s="1"/>
  <c r="N15" i="7"/>
  <c r="M16" i="7"/>
  <c r="K17" i="7"/>
  <c r="L17" i="7" s="1"/>
  <c r="C18" i="5"/>
  <c r="D18" i="5" s="1"/>
  <c r="O18" i="9"/>
  <c r="P18" i="9" s="1"/>
  <c r="X16" i="7" l="1"/>
  <c r="Y16" i="7" s="1"/>
  <c r="I5" i="39" s="1"/>
  <c r="I6" i="39" s="1"/>
  <c r="N16" i="7"/>
  <c r="M17" i="7"/>
  <c r="K18" i="7"/>
  <c r="H5" i="41"/>
  <c r="H6" i="41" s="1"/>
  <c r="H5" i="39"/>
  <c r="H6" i="39" s="1"/>
  <c r="H5" i="40"/>
  <c r="H6" i="40" s="1"/>
  <c r="C19" i="5"/>
  <c r="D19" i="5" s="1"/>
  <c r="O19" i="9"/>
  <c r="P19" i="9" s="1"/>
  <c r="L18" i="7" l="1"/>
  <c r="M18" i="7" s="1"/>
  <c r="X17" i="7"/>
  <c r="Y17" i="7" s="1"/>
  <c r="N17" i="7"/>
  <c r="K19" i="7"/>
  <c r="J5" i="42"/>
  <c r="C20" i="5"/>
  <c r="D20" i="5" s="1"/>
  <c r="H20" i="13"/>
  <c r="I20" i="13"/>
  <c r="J20" i="13"/>
  <c r="G20" i="13"/>
  <c r="K20" i="13"/>
  <c r="L20" i="13"/>
  <c r="M20" i="13"/>
  <c r="N20" i="13"/>
  <c r="O20" i="13"/>
  <c r="P20" i="13"/>
  <c r="Q20" i="13"/>
  <c r="R20" i="13"/>
  <c r="S20" i="13"/>
  <c r="T20" i="13"/>
  <c r="C21" i="5"/>
  <c r="O20" i="9"/>
  <c r="P20" i="9" s="1"/>
  <c r="X18" i="7" l="1"/>
  <c r="Y18" i="7" s="1"/>
  <c r="N18" i="7"/>
  <c r="L19" i="7"/>
  <c r="M19" i="7" s="1"/>
  <c r="O21" i="9"/>
  <c r="P21" i="9" s="1"/>
  <c r="K5" i="42"/>
  <c r="L5" i="42" s="1"/>
  <c r="J6" i="42"/>
  <c r="K20" i="7"/>
  <c r="L20" i="7" s="1"/>
  <c r="X20" i="13"/>
  <c r="Y20" i="13" s="1"/>
  <c r="D21" i="5"/>
  <c r="X19" i="7" l="1"/>
  <c r="Y19" i="7" s="1"/>
  <c r="N19" i="7"/>
  <c r="C23" i="5"/>
  <c r="D23" i="5" s="1"/>
  <c r="K21" i="7"/>
  <c r="L21" i="7" s="1"/>
  <c r="M21" i="7" s="1"/>
  <c r="X21" i="7" s="1"/>
  <c r="Y21" i="7" s="1"/>
  <c r="M20" i="7"/>
  <c r="X20" i="7" s="1"/>
  <c r="Y20" i="7" s="1"/>
  <c r="L6" i="42"/>
  <c r="F9" i="42" s="1"/>
  <c r="K6" i="42"/>
  <c r="J5" i="40"/>
  <c r="J5" i="41"/>
  <c r="C22" i="5"/>
  <c r="D22" i="5" s="1"/>
  <c r="O22" i="9"/>
  <c r="P22" i="9" s="1"/>
  <c r="K22" i="7" l="1"/>
  <c r="L22" i="7" s="1"/>
  <c r="M22" i="7" s="1"/>
  <c r="X22" i="7" s="1"/>
  <c r="Y22" i="7" s="1"/>
  <c r="H5" i="27"/>
  <c r="H5" i="13"/>
  <c r="H6" i="13" s="1"/>
  <c r="H5" i="26"/>
  <c r="H6" i="26" s="1"/>
  <c r="F6" i="45"/>
  <c r="F13" i="42"/>
  <c r="F27" i="45" s="1"/>
  <c r="N20" i="7"/>
  <c r="I5" i="13"/>
  <c r="K5" i="41"/>
  <c r="J6" i="41"/>
  <c r="K5" i="40"/>
  <c r="J6" i="40"/>
  <c r="N21" i="7"/>
  <c r="G9" i="42"/>
  <c r="J5" i="39"/>
  <c r="O23" i="9"/>
  <c r="P23" i="9" s="1"/>
  <c r="K23" i="7" l="1"/>
  <c r="L23" i="7" s="1"/>
  <c r="O24" i="9"/>
  <c r="P24" i="9" s="1"/>
  <c r="H6" i="27"/>
  <c r="J5" i="27"/>
  <c r="J6" i="27" s="1"/>
  <c r="L5" i="40"/>
  <c r="K6" i="40"/>
  <c r="L5" i="41"/>
  <c r="L6" i="41" s="1"/>
  <c r="F9" i="41" s="1"/>
  <c r="F19" i="45" s="1"/>
  <c r="K6" i="41"/>
  <c r="H9" i="42"/>
  <c r="G13" i="42"/>
  <c r="G27" i="45" s="1"/>
  <c r="N22" i="7"/>
  <c r="K5" i="39"/>
  <c r="J6" i="39"/>
  <c r="J5" i="13"/>
  <c r="I6" i="13"/>
  <c r="J5" i="26"/>
  <c r="J6" i="26" s="1"/>
  <c r="C24" i="5"/>
  <c r="D24" i="5" s="1"/>
  <c r="M23" i="7"/>
  <c r="X23" i="7" s="1"/>
  <c r="Y23" i="7" s="1"/>
  <c r="K24" i="7"/>
  <c r="L24" i="7" s="1"/>
  <c r="C26" i="5"/>
  <c r="O25" i="9" l="1"/>
  <c r="P25" i="9" s="1"/>
  <c r="C27" i="5" s="1"/>
  <c r="L6" i="40"/>
  <c r="F9" i="40" s="1"/>
  <c r="G9" i="41"/>
  <c r="F13" i="41"/>
  <c r="F40" i="45" s="1"/>
  <c r="N23" i="7"/>
  <c r="K5" i="13"/>
  <c r="J6" i="13"/>
  <c r="L5" i="39"/>
  <c r="L6" i="39" s="1"/>
  <c r="F9" i="39" s="1"/>
  <c r="F7" i="45" s="1"/>
  <c r="K6" i="39"/>
  <c r="I9" i="42"/>
  <c r="H13" i="42"/>
  <c r="H27" i="45" s="1"/>
  <c r="O26" i="9"/>
  <c r="P26" i="9" s="1"/>
  <c r="C25" i="5"/>
  <c r="D25" i="5" s="1"/>
  <c r="K5" i="26"/>
  <c r="K5" i="27"/>
  <c r="K25" i="7"/>
  <c r="L25" i="7" s="1"/>
  <c r="M24" i="7"/>
  <c r="X24" i="7" s="1"/>
  <c r="Y24" i="7" s="1"/>
  <c r="D26" i="5"/>
  <c r="F13" i="45" l="1"/>
  <c r="F13" i="40"/>
  <c r="F34" i="45" s="1"/>
  <c r="G9" i="40"/>
  <c r="G13" i="40" s="1"/>
  <c r="G34" i="45" s="1"/>
  <c r="L5" i="26"/>
  <c r="L6" i="26" s="1"/>
  <c r="F9" i="26" s="1"/>
  <c r="F14" i="45" s="1"/>
  <c r="K6" i="26"/>
  <c r="L5" i="27"/>
  <c r="K6" i="27"/>
  <c r="H9" i="41"/>
  <c r="G13" i="41"/>
  <c r="G40" i="45" s="1"/>
  <c r="I13" i="42"/>
  <c r="I27" i="45" s="1"/>
  <c r="J9" i="42"/>
  <c r="J13" i="42" s="1"/>
  <c r="K6" i="13"/>
  <c r="L5" i="13"/>
  <c r="L6" i="13" s="1"/>
  <c r="F9" i="13" s="1"/>
  <c r="N24" i="7"/>
  <c r="F13" i="39"/>
  <c r="F28" i="45" s="1"/>
  <c r="G9" i="39"/>
  <c r="C28" i="5"/>
  <c r="D28" i="5" s="1"/>
  <c r="O27" i="9"/>
  <c r="P27" i="9" s="1"/>
  <c r="M25" i="7"/>
  <c r="X25" i="7" s="1"/>
  <c r="Y25" i="7" s="1"/>
  <c r="K26" i="7"/>
  <c r="L26" i="7" s="1"/>
  <c r="D27" i="5"/>
  <c r="H9" i="40" l="1"/>
  <c r="I9" i="40" s="1"/>
  <c r="C29" i="5"/>
  <c r="D29" i="5" s="1"/>
  <c r="L6" i="27"/>
  <c r="F9" i="27" s="1"/>
  <c r="F13" i="13"/>
  <c r="F29" i="45" s="1"/>
  <c r="F8" i="45"/>
  <c r="K13" i="42"/>
  <c r="J27" i="45"/>
  <c r="H13" i="41"/>
  <c r="H40" i="45" s="1"/>
  <c r="I9" i="41"/>
  <c r="G9" i="13"/>
  <c r="G13" i="13" s="1"/>
  <c r="G29" i="45" s="1"/>
  <c r="H9" i="39"/>
  <c r="G13" i="39"/>
  <c r="G28" i="45" s="1"/>
  <c r="N25" i="7"/>
  <c r="K27" i="7"/>
  <c r="L27" i="7" s="1"/>
  <c r="F13" i="26"/>
  <c r="F35" i="45" s="1"/>
  <c r="G9" i="26"/>
  <c r="G13" i="26" s="1"/>
  <c r="G35" i="45" s="1"/>
  <c r="M26" i="7"/>
  <c r="X26" i="7" s="1"/>
  <c r="Y26" i="7" s="1"/>
  <c r="H13" i="40" l="1"/>
  <c r="H34" i="45" s="1"/>
  <c r="F20" i="45"/>
  <c r="G9" i="27"/>
  <c r="H9" i="27" s="1"/>
  <c r="H13" i="27" s="1"/>
  <c r="H41" i="45" s="1"/>
  <c r="F13" i="27"/>
  <c r="F41" i="45" s="1"/>
  <c r="M27" i="7"/>
  <c r="L13" i="42"/>
  <c r="L27" i="45" s="1"/>
  <c r="K27" i="45"/>
  <c r="H9" i="13"/>
  <c r="H13" i="13" s="1"/>
  <c r="H29" i="45" s="1"/>
  <c r="I13" i="41"/>
  <c r="I40" i="45" s="1"/>
  <c r="J9" i="41"/>
  <c r="I13" i="40"/>
  <c r="I34" i="45" s="1"/>
  <c r="J9" i="40"/>
  <c r="N26" i="7"/>
  <c r="H13" i="39"/>
  <c r="H28" i="45" s="1"/>
  <c r="I9" i="39"/>
  <c r="H9" i="26"/>
  <c r="H13" i="26" s="1"/>
  <c r="H35" i="45" s="1"/>
  <c r="G13" i="27" l="1"/>
  <c r="G41" i="45" s="1"/>
  <c r="I9" i="13"/>
  <c r="I13" i="13" s="1"/>
  <c r="I29" i="45" s="1"/>
  <c r="X27" i="7"/>
  <c r="Y27" i="7" s="1"/>
  <c r="N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E6" authorId="0" shapeId="0">
      <text>
        <r>
          <rPr>
            <sz val="9"/>
            <color indexed="81"/>
            <rFont val="Tahoma"/>
            <family val="2"/>
          </rPr>
          <t xml:space="preserve">Inflated to 2021 dollars
</t>
        </r>
      </text>
    </comment>
  </commentList>
</comments>
</file>

<file path=xl/comments2.xml><?xml version="1.0" encoding="utf-8"?>
<comments xmlns="http://schemas.openxmlformats.org/spreadsheetml/2006/main">
  <authors>
    <author>Williams, Bob</author>
  </authors>
  <commentList>
    <comment ref="E6" authorId="0" shapeId="0">
      <text>
        <r>
          <rPr>
            <sz val="9"/>
            <color indexed="81"/>
            <rFont val="Tahoma"/>
            <family val="2"/>
          </rPr>
          <t xml:space="preserve">Inflated to 2021 dollars
</t>
        </r>
      </text>
    </comment>
  </commentList>
</comments>
</file>

<file path=xl/comments3.xml><?xml version="1.0" encoding="utf-8"?>
<comments xmlns="http://schemas.openxmlformats.org/spreadsheetml/2006/main">
  <authors>
    <author>Williams, Bob</author>
  </authors>
  <commentList>
    <comment ref="E6" authorId="0"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<sst xmlns="http://schemas.openxmlformats.org/spreadsheetml/2006/main" count="520" uniqueCount="135">
  <si>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</si>
  <si>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</si>
  <si>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</si>
  <si>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</si>
  <si>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</si>
  <si>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</si>
  <si>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</si>
  <si>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</si>
  <si>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</si>
  <si>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</si>
  <si>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</si>
  <si>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</si>
  <si>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</si>
  <si>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</si>
  <si>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</si>
  <si>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</si>
  <si>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</si>
  <si>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</si>
  <si>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</si>
  <si>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</si>
  <si>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</si>
  <si>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[1]</t>
  </si>
  <si>
    <t>[2]</t>
  </si>
  <si>
    <t>[3]</t>
  </si>
  <si>
    <t>[4]</t>
  </si>
  <si>
    <t>[5]</t>
  </si>
  <si>
    <t>[7]</t>
  </si>
  <si>
    <t>[8]</t>
  </si>
  <si>
    <t>Annual Weighted Average of Hourly Price</t>
  </si>
  <si>
    <t>Levelized Cost Effectiveness Standard-Energy</t>
  </si>
  <si>
    <t>[6]</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</si>
  <si>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</si>
  <si>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</si>
  <si>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</si>
  <si>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</si>
  <si>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</si>
  <si>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</si>
  <si>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</si>
  <si>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</si>
  <si>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</si>
  <si>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</si>
  <si>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</si>
  <si>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</si>
  <si>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</si>
  <si>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</si>
  <si>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</si>
  <si>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</si>
  <si>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</si>
  <si>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</si>
  <si>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</si>
  <si>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</si>
  <si>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</si>
  <si>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</si>
  <si>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</si>
  <si>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</si>
  <si>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</si>
  <si>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</si>
  <si>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</si>
  <si>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</si>
  <si>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</si>
  <si>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</si>
  <si>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</si>
  <si>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</si>
  <si>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</si>
  <si>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</si>
  <si>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</si>
  <si>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</si>
  <si>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</si>
  <si>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</si>
  <si>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</si>
  <si>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</si>
  <si>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</si>
  <si>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</si>
  <si>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</si>
  <si>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</si>
  <si>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</si>
  <si>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</si>
  <si>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</si>
  <si>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</si>
  <si>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</si>
  <si>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</si>
  <si>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</si>
  <si>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</si>
  <si>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</si>
  <si>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</si>
  <si>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</si>
  <si>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</si>
  <si>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</si>
  <si>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</si>
  <si>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</si>
  <si>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</si>
  <si>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</si>
  <si>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</si>
  <si>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</si>
  <si>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</si>
  <si>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</si>
  <si>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</si>
  <si>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</si>
  <si>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</si>
  <si>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</si>
  <si>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</si>
  <si>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</si>
  <si>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</si>
  <si>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Power prices have been updated to be consistent with PSE's 2021 IRP using the Mid-C prices for the “Base” scenario, and includes the 2020 power price forecast from Aurora.</t>
  </si>
  <si>
    <t>As Used in UE-190529 and UG-190530</t>
  </si>
  <si>
    <t>PRO FORMA COST OF CAPITAL APPROVED IN UE-190529/UG-190530</t>
  </si>
  <si>
    <t>FOR THE TWELVE MONTHS ENDED DECEMBER 31, 2018</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</si>
  <si>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</si>
  <si>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</si>
  <si>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</si>
  <si>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</si>
  <si>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</si>
  <si>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(j)=(c)*(i)
Wind 
Resource</t>
  </si>
  <si>
    <t>(l)=(d)*(k)
Wind 
Resource</t>
  </si>
  <si>
    <t>This Schedule 91 standard rate model is based upon the cost effectiveness standard model that has been used for evaluating individual measures of PSE's Energy Efficiency Services program.</t>
  </si>
  <si>
    <r>
      <t xml:space="preserve">(k)=(f)*0.242
</t>
    </r>
    <r>
      <rPr>
        <u/>
        <sz val="10"/>
        <color theme="1"/>
        <rFont val="Arial"/>
        <family val="2"/>
      </rPr>
      <t>Solar 
Resource</t>
    </r>
    <r>
      <rPr>
        <sz val="10"/>
        <color theme="1"/>
        <rFont val="Arial"/>
        <family val="2"/>
      </rPr>
      <t xml:space="preserve">
NCF=24.2%</t>
    </r>
  </si>
  <si>
    <t>Power prices have been updated to be consistent with PSE's 2021 IRP using the Mid-C prices for the “Base” scenario, and includes the power price forecast from Aurora.</t>
  </si>
  <si>
    <r>
      <t xml:space="preserve">(c)=(a)*0.178        
</t>
    </r>
    <r>
      <rPr>
        <u/>
        <sz val="10"/>
        <color theme="1"/>
        <rFont val="Arial"/>
        <family val="2"/>
      </rPr>
      <t>Wind Resource</t>
    </r>
    <r>
      <rPr>
        <sz val="10"/>
        <rFont val="Arial"/>
        <family val="2"/>
      </rPr>
      <t xml:space="preserve"> ELCC=17.8%</t>
    </r>
  </si>
  <si>
    <r>
      <t xml:space="preserve">(d)=(a)*0.040      
</t>
    </r>
    <r>
      <rPr>
        <u/>
        <sz val="10"/>
        <color theme="1"/>
        <rFont val="Arial"/>
        <family val="2"/>
      </rPr>
      <t>Solar Resource</t>
    </r>
    <r>
      <rPr>
        <sz val="10"/>
        <rFont val="Arial"/>
        <family val="2"/>
      </rPr>
      <t xml:space="preserve"> ELCC=4.0%</t>
    </r>
  </si>
  <si>
    <t xml:space="preserve">There are separate calculations for Baseload, Wind and Solar resources which have different capacity values, net capacity factors  and Effective Load Carrying Capability (ELCC) as provided in the 2021 IRP. </t>
  </si>
  <si>
    <t>http://www.oasis.oati.com/woa/docs/PSEI/PSEIdocs/PSE_Tariff_-_10-6-20_final.pdf</t>
  </si>
  <si>
    <t xml:space="preserve">Transmission losses updated as per section 15.7 Real Power Losses, PSE Current Effective OATT
 </t>
  </si>
  <si>
    <t>Deferred T&amp;D Cost Credit ($/kW-yr)</t>
  </si>
  <si>
    <t>NW Power Act Regional Credit</t>
  </si>
  <si>
    <t>($/kW-yr)</t>
  </si>
  <si>
    <t>- Basis for assumptions in this table is PSE's 2021 IRP</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</si>
  <si>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</si>
  <si>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</si>
  <si>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</si>
  <si>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</si>
  <si>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</si>
  <si>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Forecast Mid-C Power Prices (Nominal $/MWh) from PSE’s 2021 Integrated Resource Plan Base Scenario: Pursuant to WAC 480-106-040(a), the 2021-2041 Avoided Energy Costs are based on PSE’s most current forecast of market prices for the Mid-C Market used in PSE’s final 2021 IRP, which was filed with the UTC on 4/4/2021 under Dockets UE-200304 and UG-200305.  The 2022-2041 Avoided Energy Costs are as shown at Figure 34 of 2021 IRP Appendix G, page G-59.  The 2021 Avoided Energy Costs are from the same market price strip but it just wasn’t shown at Figure 34.</t>
  </si>
  <si>
    <r>
      <t xml:space="preserve">(i)=(f)*"0.367
</t>
    </r>
    <r>
      <rPr>
        <u/>
        <sz val="10"/>
        <color theme="1"/>
        <rFont val="Arial"/>
        <family val="2"/>
      </rPr>
      <t>Wind 
Resource</t>
    </r>
    <r>
      <rPr>
        <sz val="10"/>
        <color theme="1"/>
        <rFont val="Arial"/>
        <family val="2"/>
      </rPr>
      <t xml:space="preserve">
NCF=36.7%</t>
    </r>
  </si>
  <si>
    <t xml:space="preserve">The $12.93/kW-yr (or $12.61/kW-yr levelized 2020 dollar) value is PSE’s own estimated total T&amp;D capacity deferral costs.  The costs are determined based upon PSE’s T&amp;D upgrade projects from 2010 to 2020.  PSE submitted to the Northwest Power and Conservation Council for its development of the 2021 Northwest Power Plan the same capacity deferral costs: $5.219/kW-yr for transmission and $7.396/kW-yr for distribution.  As part of its preparation for the 2021 Power Plan, the Council released on 3/12/2019 its preliminary results of weighted average values of T&amp;D capacity deferral costs: transmission, $3.08/kW-yr; and distribution, $6.85/kW-yr (levelized 2016 dollar).  
For the prior updates of Schedule 91 standard fixed rates, PSE had used the values recommended by the Regional Technical Forum of the 7th Northwest Power Plan.  The total monetary values of avoided transmission and distribution capacity were $27.33/kW-yr (levelized 2012 dollar).  
</t>
  </si>
  <si>
    <t>Line Loss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</si>
</sst>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53">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44" fontId="4" fillId="0" borderId="0" xfId="31"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44" fontId="4" fillId="0" borderId="0" xfId="31" applyFont="1"/>
    <xf numFmtId="44" fontId="4" fillId="0" borderId="0" xfId="31" applyFont="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0" applyFont="1"/>
    <xf numFmtId="0" fontId="33" fillId="0" borderId="0" xfId="59" applyFont="1"/>
    <xf numFmtId="0" fontId="35" fillId="26" borderId="14" xfId="0" applyFont="1" applyFill="1" applyBorder="1" applyAlignment="1">
      <alignment vertical="center"/>
    </xf>
    <xf numFmtId="0" fontId="38" fillId="0" borderId="20" xfId="0" applyFont="1" applyBorder="1" applyAlignment="1">
      <alignment horizontal="right" vertical="center"/>
    </xf>
    <xf numFmtId="2" fontId="38" fillId="0" borderId="19" xfId="0" applyNumberFormat="1" applyFont="1" applyBorder="1" applyAlignment="1">
      <alignment horizontal="righ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3" fillId="0" borderId="0" xfId="59" applyFont="1" applyAlignment="1">
      <alignment horizontal="right"/>
    </xf>
    <xf numFmtId="8" fontId="33" fillId="0" borderId="31"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7" fillId="27" borderId="18" xfId="0" applyFont="1" applyFill="1" applyBorder="1" applyAlignment="1">
      <alignment horizontal="centerContinuous" vertical="center"/>
    </xf>
    <xf numFmtId="0" fontId="37" fillId="27" borderId="19" xfId="0" applyFont="1" applyFill="1" applyBorder="1" applyAlignment="1">
      <alignment horizontal="centerContinuous" vertical="center"/>
    </xf>
    <xf numFmtId="0" fontId="33" fillId="0" borderId="0" xfId="59" applyFont="1" applyAlignment="1">
      <alignment horizontal="right" indent="1"/>
    </xf>
    <xf numFmtId="0" fontId="33" fillId="0" borderId="0" xfId="59" applyFont="1" applyBorder="1" applyAlignment="1">
      <alignment horizontal="right" indent="1"/>
    </xf>
    <xf numFmtId="177" fontId="33" fillId="0" borderId="0" xfId="50" applyNumberFormat="1" applyFont="1" applyAlignment="1">
      <alignment horizontal="right"/>
    </xf>
    <xf numFmtId="0" fontId="1"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41" xfId="63" applyFont="1" applyBorder="1" applyAlignment="1">
      <alignment vertical="center"/>
    </xf>
    <xf numFmtId="0" fontId="40" fillId="0" borderId="0" xfId="63" applyFont="1"/>
    <xf numFmtId="0" fontId="39" fillId="0" borderId="42" xfId="63" applyFont="1" applyBorder="1" applyAlignment="1">
      <alignment horizontal="right" vertical="center"/>
    </xf>
    <xf numFmtId="0" fontId="40" fillId="0" borderId="41" xfId="63" applyFont="1" applyBorder="1" applyAlignment="1">
      <alignment vertical="center"/>
    </xf>
    <xf numFmtId="0" fontId="39" fillId="0" borderId="41" xfId="63" applyFont="1" applyBorder="1" applyAlignment="1">
      <alignment horizontal="center" vertical="center"/>
    </xf>
    <xf numFmtId="0" fontId="39" fillId="0" borderId="42" xfId="63" applyFont="1" applyBorder="1" applyAlignment="1">
      <alignment vertical="center"/>
    </xf>
    <xf numFmtId="0" fontId="40" fillId="0" borderId="42" xfId="63" applyFont="1" applyBorder="1" applyAlignment="1">
      <alignment vertical="center"/>
    </xf>
    <xf numFmtId="0" fontId="40" fillId="0" borderId="0" xfId="63" applyFont="1" applyAlignment="1">
      <alignment horizontal="center" vertical="center"/>
    </xf>
    <xf numFmtId="0" fontId="40" fillId="0" borderId="42" xfId="63" applyFont="1" applyBorder="1" applyAlignment="1">
      <alignment horizontal="center" vertical="center"/>
    </xf>
    <xf numFmtId="0" fontId="39" fillId="0" borderId="43" xfId="63" applyFont="1" applyBorder="1" applyAlignment="1">
      <alignment horizontal="center" vertical="center"/>
    </xf>
    <xf numFmtId="0" fontId="39" fillId="0" borderId="21" xfId="63" applyFont="1" applyBorder="1" applyAlignment="1">
      <alignment vertical="center"/>
    </xf>
    <xf numFmtId="0" fontId="40" fillId="0" borderId="21" xfId="63" applyFont="1" applyBorder="1" applyAlignment="1">
      <alignment horizontal="center" vertical="center"/>
    </xf>
    <xf numFmtId="0" fontId="40" fillId="0" borderId="44" xfId="63" applyFont="1" applyBorder="1" applyAlignment="1">
      <alignment horizontal="center" vertical="center"/>
    </xf>
    <xf numFmtId="0" fontId="40" fillId="0" borderId="41" xfId="63" applyFont="1" applyBorder="1" applyAlignment="1">
      <alignment horizontal="center" vertical="center"/>
    </xf>
    <xf numFmtId="0" fontId="40" fillId="0" borderId="0" xfId="63" applyFont="1" applyAlignment="1">
      <alignment vertical="center"/>
    </xf>
    <xf numFmtId="10" fontId="40" fillId="29" borderId="0" xfId="63" applyNumberFormat="1" applyFont="1" applyFill="1" applyAlignment="1">
      <alignment horizontal="right" vertical="center"/>
    </xf>
    <xf numFmtId="10" fontId="40" fillId="29" borderId="42" xfId="63" applyNumberFormat="1" applyFont="1" applyFill="1" applyBorder="1" applyAlignment="1">
      <alignment horizontal="right" vertical="center"/>
    </xf>
    <xf numFmtId="10" fontId="40" fillId="29" borderId="21" xfId="63" applyNumberFormat="1" applyFont="1" applyFill="1" applyBorder="1" applyAlignment="1">
      <alignment horizontal="right" vertical="center"/>
    </xf>
    <xf numFmtId="10" fontId="40" fillId="29" borderId="15" xfId="63" applyNumberFormat="1" applyFont="1" applyFill="1" applyBorder="1" applyAlignment="1">
      <alignment horizontal="right" vertical="center"/>
    </xf>
    <xf numFmtId="0" fontId="40" fillId="29" borderId="0" xfId="63" applyFont="1" applyFill="1"/>
    <xf numFmtId="10" fontId="40" fillId="0" borderId="0" xfId="63" applyNumberFormat="1" applyFont="1" applyAlignment="1">
      <alignment horizontal="right" vertical="center"/>
    </xf>
    <xf numFmtId="10" fontId="40" fillId="0" borderId="42" xfId="63" applyNumberFormat="1" applyFont="1" applyBorder="1" applyAlignment="1">
      <alignment horizontal="right" vertical="center"/>
    </xf>
    <xf numFmtId="0" fontId="42" fillId="0" borderId="0" xfId="63" applyFont="1"/>
    <xf numFmtId="10" fontId="40" fillId="0" borderId="21"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3" xfId="63" applyFont="1" applyBorder="1" applyAlignment="1">
      <alignment horizontal="center" vertical="center"/>
    </xf>
    <xf numFmtId="0" fontId="40" fillId="0" borderId="21" xfId="63" applyFont="1" applyBorder="1" applyAlignment="1">
      <alignment vertical="center"/>
    </xf>
    <xf numFmtId="0" fontId="40" fillId="0" borderId="44" xfId="63" applyFont="1" applyBorder="1" applyAlignment="1">
      <alignment vertical="center"/>
    </xf>
    <xf numFmtId="10" fontId="40" fillId="29" borderId="45"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3"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6" xfId="0" applyFont="1" applyFill="1" applyBorder="1"/>
    <xf numFmtId="44" fontId="4" fillId="0" borderId="36"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4" fillId="0" borderId="0" xfId="0" applyFont="1"/>
    <xf numFmtId="0" fontId="4" fillId="0" borderId="0" xfId="0" applyFont="1" applyFill="1"/>
    <xf numFmtId="2" fontId="4" fillId="0" borderId="0" xfId="0" applyNumberFormat="1" applyFont="1"/>
    <xf numFmtId="40" fontId="4" fillId="0" borderId="0" xfId="0" applyNumberFormat="1" applyFont="1"/>
    <xf numFmtId="17" fontId="45"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4" xfId="0" applyFont="1" applyFill="1" applyBorder="1"/>
    <xf numFmtId="2" fontId="4" fillId="0" borderId="36" xfId="0" applyNumberFormat="1" applyFont="1" applyFill="1" applyBorder="1"/>
    <xf numFmtId="2" fontId="4" fillId="0" borderId="0" xfId="0" applyNumberFormat="1" applyFont="1" applyBorder="1"/>
    <xf numFmtId="164" fontId="4" fillId="0" borderId="0" xfId="0" applyNumberFormat="1" applyFont="1" applyBorder="1"/>
    <xf numFmtId="0" fontId="4" fillId="0" borderId="33" xfId="0" applyFont="1" applyFill="1" applyBorder="1"/>
    <xf numFmtId="40" fontId="4" fillId="0" borderId="33"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6" xfId="28" applyNumberFormat="1" applyFont="1" applyFill="1" applyBorder="1"/>
    <xf numFmtId="173" fontId="4" fillId="0" borderId="36" xfId="28" applyNumberFormat="1" applyFont="1" applyFill="1" applyBorder="1"/>
    <xf numFmtId="1" fontId="4" fillId="0" borderId="36" xfId="0" applyNumberFormat="1" applyFont="1" applyFill="1" applyBorder="1" applyAlignment="1">
      <alignment horizontal="center"/>
    </xf>
    <xf numFmtId="0" fontId="4" fillId="0" borderId="36" xfId="0" applyFont="1" applyFill="1" applyBorder="1" applyAlignment="1">
      <alignment horizontal="center"/>
    </xf>
    <xf numFmtId="170" fontId="4" fillId="0" borderId="36" xfId="31" applyNumberFormat="1" applyFont="1" applyFill="1" applyBorder="1"/>
    <xf numFmtId="169" fontId="4" fillId="0" borderId="36" xfId="31" applyNumberFormat="1" applyFont="1" applyFill="1" applyBorder="1"/>
    <xf numFmtId="169" fontId="4" fillId="0" borderId="36" xfId="0" applyNumberFormat="1" applyFont="1" applyFill="1" applyBorder="1"/>
    <xf numFmtId="44" fontId="4" fillId="0" borderId="36" xfId="0" applyNumberFormat="1" applyFont="1" applyFill="1" applyBorder="1"/>
    <xf numFmtId="44" fontId="4" fillId="28" borderId="35" xfId="0" applyNumberFormat="1" applyFont="1" applyFill="1" applyBorder="1"/>
    <xf numFmtId="44" fontId="4" fillId="28" borderId="23" xfId="0" applyNumberFormat="1" applyFont="1" applyFill="1" applyBorder="1"/>
    <xf numFmtId="44" fontId="4" fillId="28" borderId="26" xfId="0" applyNumberFormat="1" applyFont="1" applyFill="1" applyBorder="1"/>
    <xf numFmtId="178" fontId="4" fillId="0" borderId="36" xfId="0" applyNumberFormat="1" applyFont="1" applyFill="1" applyBorder="1"/>
    <xf numFmtId="178" fontId="4" fillId="0" borderId="34" xfId="31" applyNumberFormat="1" applyFont="1" applyFill="1" applyBorder="1"/>
    <xf numFmtId="170" fontId="9" fillId="0" borderId="10" xfId="31" applyNumberFormat="1" applyFont="1" applyFill="1" applyBorder="1"/>
    <xf numFmtId="10" fontId="0" fillId="0" borderId="32" xfId="0" applyNumberFormat="1" applyFill="1" applyBorder="1"/>
    <xf numFmtId="10" fontId="0" fillId="0" borderId="37" xfId="50" applyNumberFormat="1" applyFont="1" applyFill="1" applyBorder="1"/>
    <xf numFmtId="0" fontId="8" fillId="0" borderId="33" xfId="46" applyFont="1" applyFill="1" applyBorder="1" applyAlignment="1">
      <alignment horizontal="center"/>
    </xf>
    <xf numFmtId="0" fontId="8" fillId="0" borderId="0" xfId="47" applyFont="1" applyFill="1" applyBorder="1" applyAlignment="1">
      <alignment horizontal="right"/>
    </xf>
    <xf numFmtId="0" fontId="43"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3"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6" fillId="0" borderId="0" xfId="47" applyFont="1"/>
    <xf numFmtId="0" fontId="5" fillId="0" borderId="0" xfId="0" applyFont="1"/>
    <xf numFmtId="44" fontId="5" fillId="0" borderId="0" xfId="0" applyNumberFormat="1" applyFont="1" applyFill="1"/>
    <xf numFmtId="8" fontId="46"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2" xfId="51" applyNumberFormat="1" applyFont="1" applyFill="1" applyBorder="1" applyAlignment="1">
      <alignment horizontal="right"/>
    </xf>
    <xf numFmtId="10" fontId="4" fillId="0" borderId="37"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0" fontId="30" fillId="0" borderId="0" xfId="47" applyFont="1" applyFill="1"/>
    <xf numFmtId="0" fontId="30" fillId="0" borderId="0" xfId="46" applyFont="1" applyFill="1"/>
    <xf numFmtId="0" fontId="47" fillId="0" borderId="0" xfId="46" applyFont="1" applyFill="1" applyAlignment="1">
      <alignment horizontal="right"/>
    </xf>
    <xf numFmtId="0" fontId="47"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6" xfId="31" applyNumberFormat="1" applyFont="1" applyFill="1" applyBorder="1"/>
    <xf numFmtId="8" fontId="43" fillId="0" borderId="0" xfId="0" applyNumberFormat="1" applyFont="1"/>
    <xf numFmtId="44" fontId="4" fillId="0" borderId="10" xfId="31" applyFont="1" applyFill="1" applyBorder="1" applyAlignment="1">
      <alignment horizontal="right"/>
    </xf>
    <xf numFmtId="8" fontId="4" fillId="0" borderId="10" xfId="0" applyNumberFormat="1" applyFont="1" applyFill="1" applyBorder="1"/>
    <xf numFmtId="0" fontId="4" fillId="0" borderId="0" xfId="0" applyFont="1" applyFill="1" applyBorder="1" applyAlignment="1">
      <alignment horizontal="center"/>
    </xf>
    <xf numFmtId="0" fontId="48" fillId="0" borderId="0" xfId="0" applyFont="1" applyAlignment="1">
      <alignment vertical="center"/>
    </xf>
    <xf numFmtId="0" fontId="4" fillId="0" borderId="0" xfId="31" applyNumberFormat="1" applyFont="1" applyBorder="1" applyAlignment="1">
      <alignment horizontal="center"/>
    </xf>
    <xf numFmtId="0" fontId="4" fillId="25" borderId="32" xfId="0" applyFont="1" applyFill="1" applyBorder="1" applyAlignment="1">
      <alignment vertical="center" wrapText="1"/>
    </xf>
    <xf numFmtId="0" fontId="4" fillId="25" borderId="32" xfId="0" applyFont="1" applyFill="1" applyBorder="1" applyAlignment="1">
      <alignment horizontal="left" vertical="center" wrapText="1"/>
    </xf>
    <xf numFmtId="0" fontId="33"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49" fillId="0" borderId="50" xfId="0" applyFont="1" applyBorder="1" applyAlignment="1">
      <alignment horizontal="center" vertical="center"/>
    </xf>
    <xf numFmtId="0" fontId="49" fillId="0" borderId="12"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50" xfId="0" applyNumberFormat="1" applyFont="1" applyBorder="1" applyAlignment="1">
      <alignment horizontal="center" vertical="center"/>
    </xf>
    <xf numFmtId="8" fontId="49" fillId="0" borderId="51" xfId="0" applyNumberFormat="1" applyFont="1" applyBorder="1" applyAlignment="1">
      <alignment horizontal="right" vertical="center"/>
    </xf>
    <xf numFmtId="1" fontId="49" fillId="0" borderId="25" xfId="0" applyNumberFormat="1" applyFont="1" applyBorder="1" applyAlignment="1">
      <alignment horizontal="center" vertical="center"/>
    </xf>
    <xf numFmtId="8" fontId="49" fillId="0" borderId="27" xfId="0" applyNumberFormat="1" applyFont="1" applyBorder="1" applyAlignment="1">
      <alignment horizontal="right" vertical="center"/>
    </xf>
    <xf numFmtId="0" fontId="49" fillId="0" borderId="0" xfId="59" applyFont="1"/>
    <xf numFmtId="0" fontId="5" fillId="0" borderId="0" xfId="0" applyFont="1" applyBorder="1"/>
    <xf numFmtId="0" fontId="5" fillId="0" borderId="0" xfId="0" applyFont="1" applyFill="1" applyBorder="1"/>
    <xf numFmtId="0" fontId="49" fillId="0" borderId="0" xfId="59" applyFont="1" applyBorder="1"/>
    <xf numFmtId="0" fontId="49" fillId="0" borderId="11" xfId="59" applyFont="1" applyBorder="1" applyAlignment="1">
      <alignment horizontal="center"/>
    </xf>
    <xf numFmtId="44" fontId="5" fillId="0" borderId="0" xfId="60" applyNumberFormat="1" applyFont="1"/>
    <xf numFmtId="0" fontId="49" fillId="0" borderId="22" xfId="59" applyFont="1" applyFill="1" applyBorder="1"/>
    <xf numFmtId="0" fontId="49" fillId="0" borderId="25" xfId="0" applyFont="1" applyBorder="1" applyAlignment="1">
      <alignment horizontal="center" vertical="center"/>
    </xf>
    <xf numFmtId="169" fontId="49" fillId="0" borderId="60" xfId="31" applyNumberFormat="1" applyFont="1" applyBorder="1"/>
    <xf numFmtId="169" fontId="49" fillId="0" borderId="59" xfId="31" applyNumberFormat="1" applyFont="1" applyBorder="1"/>
    <xf numFmtId="169" fontId="5" fillId="0" borderId="29" xfId="31" applyNumberFormat="1" applyFont="1" applyBorder="1"/>
    <xf numFmtId="169" fontId="5" fillId="0" borderId="62" xfId="31" applyNumberFormat="1" applyFont="1" applyBorder="1"/>
    <xf numFmtId="1" fontId="49" fillId="0" borderId="23" xfId="0" applyNumberFormat="1" applyFont="1" applyBorder="1" applyAlignment="1">
      <alignment horizontal="center" vertical="center"/>
    </xf>
    <xf numFmtId="1" fontId="49" fillId="0" borderId="46" xfId="0" applyNumberFormat="1" applyFont="1" applyBorder="1" applyAlignment="1">
      <alignment horizontal="center" vertical="center"/>
    </xf>
    <xf numFmtId="1" fontId="49" fillId="0" borderId="58" xfId="0" applyNumberFormat="1" applyFont="1" applyBorder="1" applyAlignment="1">
      <alignment horizontal="center" vertical="center"/>
    </xf>
    <xf numFmtId="0" fontId="49" fillId="0" borderId="0" xfId="59" quotePrefix="1" applyNumberFormat="1" applyFont="1" applyAlignment="1">
      <alignment vertical="top" wrapText="1"/>
    </xf>
    <xf numFmtId="9" fontId="4" fillId="0" borderId="32"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63" xfId="0" applyFont="1" applyBorder="1" applyAlignment="1">
      <alignment horizontal="center"/>
    </xf>
    <xf numFmtId="0" fontId="8" fillId="0" borderId="29" xfId="0" applyFont="1" applyBorder="1" applyAlignment="1">
      <alignment horizontal="center"/>
    </xf>
    <xf numFmtId="0" fontId="8" fillId="0" borderId="64" xfId="47" applyFont="1" applyFill="1" applyBorder="1" applyAlignment="1">
      <alignment horizontal="center"/>
    </xf>
    <xf numFmtId="0" fontId="8" fillId="0" borderId="65" xfId="47" applyFont="1" applyFill="1" applyBorder="1" applyAlignment="1">
      <alignment horizontal="center"/>
    </xf>
    <xf numFmtId="44" fontId="4" fillId="0" borderId="41" xfId="31" applyFont="1" applyBorder="1" applyAlignment="1">
      <alignment horizontal="center"/>
    </xf>
    <xf numFmtId="169" fontId="4" fillId="0" borderId="42" xfId="31" applyNumberFormat="1" applyFont="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8" fontId="4" fillId="0" borderId="0" xfId="47" applyNumberFormat="1" applyFont="1"/>
    <xf numFmtId="2" fontId="49" fillId="0" borderId="0" xfId="59" applyNumberFormat="1" applyFont="1"/>
    <xf numFmtId="8" fontId="5" fillId="0" borderId="0" xfId="0" applyNumberFormat="1" applyFont="1"/>
    <xf numFmtId="8" fontId="33" fillId="0" borderId="24" xfId="31" applyNumberFormat="1" applyFont="1" applyBorder="1"/>
    <xf numFmtId="0" fontId="49" fillId="0" borderId="18" xfId="59" applyFont="1" applyBorder="1" applyAlignment="1">
      <alignment horizontal="center"/>
    </xf>
    <xf numFmtId="169" fontId="49" fillId="0" borderId="54" xfId="31" applyNumberFormat="1" applyFont="1" applyBorder="1"/>
    <xf numFmtId="169" fontId="49" fillId="0" borderId="68" xfId="31" applyNumberFormat="1" applyFont="1" applyBorder="1"/>
    <xf numFmtId="169" fontId="5" fillId="0" borderId="47" xfId="31" applyNumberFormat="1" applyFont="1" applyBorder="1"/>
    <xf numFmtId="167" fontId="4" fillId="0" borderId="0" xfId="51" applyNumberFormat="1" applyFont="1" applyFill="1" applyAlignment="1">
      <alignment horizontal="right"/>
    </xf>
    <xf numFmtId="44" fontId="4" fillId="0" borderId="0" xfId="31" applyFont="1" applyFill="1"/>
    <xf numFmtId="44" fontId="4" fillId="0" borderId="0" xfId="31" applyFont="1" applyFill="1" applyAlignment="1">
      <alignment horizontal="center"/>
    </xf>
    <xf numFmtId="169" fontId="4" fillId="0" borderId="0" xfId="31" applyNumberFormat="1" applyFont="1" applyFill="1" applyAlignment="1">
      <alignment horizontal="center"/>
    </xf>
    <xf numFmtId="44" fontId="4" fillId="0" borderId="41" xfId="31" applyFont="1" applyFill="1" applyBorder="1" applyAlignment="1">
      <alignment horizontal="center"/>
    </xf>
    <xf numFmtId="169" fontId="4" fillId="0" borderId="42" xfId="31" applyNumberFormat="1" applyFont="1" applyFill="1" applyBorder="1" applyAlignment="1">
      <alignment horizontal="center"/>
    </xf>
    <xf numFmtId="0" fontId="4" fillId="0" borderId="0" xfId="47" applyFont="1" applyFill="1" applyAlignment="1">
      <alignment horizontal="right"/>
    </xf>
    <xf numFmtId="9" fontId="4" fillId="0" borderId="0" xfId="50" applyFont="1" applyFill="1" applyBorder="1"/>
    <xf numFmtId="44" fontId="4" fillId="0" borderId="0" xfId="31" applyFont="1" applyFill="1" applyBorder="1"/>
    <xf numFmtId="0" fontId="46" fillId="0" borderId="0" xfId="47" applyFont="1" applyFill="1" applyBorder="1"/>
    <xf numFmtId="0" fontId="46" fillId="0" borderId="0" xfId="47" applyFont="1" applyFill="1"/>
    <xf numFmtId="0" fontId="5" fillId="0" borderId="0" xfId="0" applyFont="1" applyFill="1"/>
    <xf numFmtId="0" fontId="4" fillId="0" borderId="0" xfId="47" applyFont="1" applyFill="1" applyBorder="1" applyAlignment="1">
      <alignment horizontal="center"/>
    </xf>
    <xf numFmtId="44" fontId="4" fillId="0" borderId="0" xfId="31" applyFont="1" applyFill="1" applyBorder="1" applyAlignment="1">
      <alignment horizontal="center"/>
    </xf>
    <xf numFmtId="169" fontId="4"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7" xfId="59" applyFont="1" applyBorder="1" applyAlignment="1">
      <alignment horizontal="center"/>
    </xf>
    <xf numFmtId="0" fontId="49" fillId="0" borderId="41" xfId="59" applyFont="1" applyFill="1" applyBorder="1" applyAlignment="1">
      <alignment horizontal="center" wrapText="1"/>
    </xf>
    <xf numFmtId="0" fontId="49" fillId="0" borderId="70" xfId="59" applyFont="1" applyFill="1" applyBorder="1" applyAlignment="1">
      <alignment horizontal="center" wrapText="1"/>
    </xf>
    <xf numFmtId="0" fontId="49" fillId="0" borderId="17" xfId="59" applyFont="1" applyFill="1" applyBorder="1" applyAlignment="1">
      <alignment horizontal="center" wrapText="1"/>
    </xf>
    <xf numFmtId="0" fontId="49" fillId="0" borderId="71" xfId="59" applyFont="1" applyFill="1" applyBorder="1" applyAlignment="1">
      <alignment horizontal="center" wrapText="1"/>
    </xf>
    <xf numFmtId="44" fontId="5" fillId="0" borderId="62" xfId="60" applyFont="1" applyBorder="1"/>
    <xf numFmtId="44" fontId="5" fillId="0" borderId="72" xfId="60" applyFont="1" applyBorder="1"/>
    <xf numFmtId="0" fontId="49" fillId="0" borderId="73" xfId="59" applyFont="1" applyFill="1" applyBorder="1"/>
    <xf numFmtId="44" fontId="5" fillId="0" borderId="47" xfId="60" applyFont="1" applyBorder="1"/>
    <xf numFmtId="0" fontId="49" fillId="0" borderId="69" xfId="59" applyFont="1" applyFill="1" applyBorder="1" applyAlignment="1">
      <alignment horizontal="center" vertical="top" wrapText="1"/>
    </xf>
    <xf numFmtId="0" fontId="49" fillId="30" borderId="40" xfId="59" applyFont="1" applyFill="1" applyBorder="1" applyAlignment="1">
      <alignment horizontal="center"/>
    </xf>
    <xf numFmtId="0" fontId="49" fillId="30" borderId="39" xfId="59" applyFont="1" applyFill="1" applyBorder="1" applyAlignment="1">
      <alignment horizontal="center"/>
    </xf>
    <xf numFmtId="0" fontId="49" fillId="30" borderId="30" xfId="59" applyFont="1" applyFill="1" applyBorder="1" applyAlignment="1">
      <alignment horizontal="center"/>
    </xf>
    <xf numFmtId="0" fontId="4"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4" fillId="0" borderId="36" xfId="0" applyNumberFormat="1" applyFont="1" applyFill="1" applyBorder="1" applyAlignment="1">
      <alignment horizontal="right"/>
    </xf>
    <xf numFmtId="0" fontId="49" fillId="0" borderId="0" xfId="59" applyFont="1" applyFill="1"/>
    <xf numFmtId="0" fontId="49" fillId="0" borderId="53" xfId="59" applyFont="1" applyFill="1" applyBorder="1" applyAlignment="1">
      <alignment horizontal="center" vertical="top" wrapText="1"/>
    </xf>
    <xf numFmtId="0" fontId="49" fillId="0" borderId="61" xfId="59" applyFont="1" applyFill="1" applyBorder="1" applyAlignment="1">
      <alignment horizontal="center" vertical="top" wrapText="1"/>
    </xf>
    <xf numFmtId="0" fontId="49" fillId="0" borderId="48" xfId="59" applyFont="1" applyFill="1" applyBorder="1" applyAlignment="1">
      <alignment horizontal="centerContinuous" vertical="top" wrapText="1"/>
    </xf>
    <xf numFmtId="0" fontId="49" fillId="0" borderId="28" xfId="59" applyFont="1" applyFill="1" applyBorder="1" applyAlignment="1">
      <alignment horizontal="centerContinuous" vertical="top" wrapText="1"/>
    </xf>
    <xf numFmtId="0" fontId="49" fillId="0" borderId="52"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7" xfId="59" applyFont="1" applyFill="1" applyBorder="1"/>
    <xf numFmtId="179" fontId="49" fillId="0" borderId="46" xfId="59" applyNumberFormat="1" applyFont="1" applyFill="1" applyBorder="1" applyAlignment="1">
      <alignment horizontal="center"/>
    </xf>
    <xf numFmtId="0" fontId="49" fillId="0" borderId="27" xfId="0" applyFont="1" applyFill="1" applyBorder="1" applyAlignment="1">
      <alignment horizontal="center" wrapText="1"/>
    </xf>
    <xf numFmtId="0" fontId="49" fillId="0" borderId="18" xfId="59" applyFont="1" applyFill="1" applyBorder="1"/>
    <xf numFmtId="0" fontId="49" fillId="0" borderId="54" xfId="59" applyFont="1" applyFill="1" applyBorder="1" applyAlignment="1">
      <alignment horizontal="centerContinuous"/>
    </xf>
    <xf numFmtId="0" fontId="49" fillId="0" borderId="47" xfId="59" applyFont="1" applyFill="1" applyBorder="1" applyAlignment="1">
      <alignment horizontal="centerContinuous"/>
    </xf>
    <xf numFmtId="0" fontId="49" fillId="0" borderId="50" xfId="59" applyFont="1" applyFill="1" applyBorder="1" applyAlignment="1">
      <alignment horizontal="center" wrapText="1"/>
    </xf>
    <xf numFmtId="0" fontId="49" fillId="0" borderId="51" xfId="59" applyFont="1" applyFill="1" applyBorder="1" applyAlignment="1">
      <alignment horizontal="center"/>
    </xf>
    <xf numFmtId="0" fontId="49" fillId="0" borderId="58" xfId="59" applyFont="1" applyFill="1" applyBorder="1" applyAlignment="1">
      <alignment horizontal="center" wrapText="1"/>
    </xf>
    <xf numFmtId="43" fontId="4" fillId="0" borderId="0" xfId="28" applyFont="1"/>
    <xf numFmtId="9" fontId="49" fillId="0" borderId="59" xfId="59" applyNumberFormat="1" applyFont="1" applyFill="1" applyBorder="1" applyAlignment="1">
      <alignment horizontal="center" wrapText="1"/>
    </xf>
    <xf numFmtId="167" fontId="49" fillId="0" borderId="59" xfId="59" applyNumberFormat="1" applyFont="1" applyFill="1" applyBorder="1" applyAlignment="1">
      <alignment horizontal="center" wrapText="1"/>
    </xf>
    <xf numFmtId="167" fontId="49" fillId="0" borderId="62" xfId="59" applyNumberFormat="1" applyFont="1" applyFill="1" applyBorder="1" applyAlignment="1">
      <alignment horizontal="center" wrapText="1"/>
    </xf>
    <xf numFmtId="8" fontId="31" fillId="0" borderId="0" xfId="31" applyNumberFormat="1" applyFont="1" applyFill="1" applyBorder="1"/>
    <xf numFmtId="44" fontId="5" fillId="0" borderId="66" xfId="60" applyFont="1" applyFill="1" applyBorder="1"/>
    <xf numFmtId="44" fontId="5" fillId="0" borderId="62" xfId="60" applyFont="1" applyFill="1" applyBorder="1"/>
    <xf numFmtId="0" fontId="0" fillId="0" borderId="49"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4" fillId="0" borderId="0" xfId="46" applyFont="1" applyFill="1" applyAlignment="1"/>
    <xf numFmtId="0" fontId="30" fillId="0" borderId="0" xfId="46" applyFont="1" applyFill="1" applyAlignment="1"/>
    <xf numFmtId="0" fontId="31" fillId="0" borderId="0" xfId="47" applyFont="1" applyFill="1" applyAlignment="1"/>
    <xf numFmtId="0" fontId="4" fillId="0" borderId="0" xfId="47" applyFont="1" applyFill="1" applyAlignment="1">
      <alignment vertical="center"/>
    </xf>
    <xf numFmtId="0" fontId="4" fillId="0" borderId="0" xfId="47" applyFont="1" applyAlignment="1">
      <alignment vertical="center"/>
    </xf>
    <xf numFmtId="179" fontId="49" fillId="0" borderId="0" xfId="59" applyNumberFormat="1" applyFont="1"/>
    <xf numFmtId="0" fontId="5" fillId="0" borderId="0" xfId="59" applyFont="1"/>
    <xf numFmtId="0" fontId="5" fillId="0" borderId="0" xfId="59" quotePrefix="1" applyNumberFormat="1" applyFont="1"/>
    <xf numFmtId="0" fontId="5" fillId="0" borderId="0" xfId="59" quotePrefix="1" applyFont="1" applyAlignment="1">
      <alignment horizontal="left" indent="1"/>
    </xf>
    <xf numFmtId="44" fontId="5" fillId="0" borderId="0" xfId="60" quotePrefix="1" applyNumberFormat="1" applyFont="1" applyAlignment="1"/>
    <xf numFmtId="0" fontId="5" fillId="0" borderId="0" xfId="59" quotePrefix="1" applyNumberFormat="1" applyFont="1" applyAlignment="1">
      <alignment vertical="top" wrapText="1"/>
    </xf>
    <xf numFmtId="0" fontId="5" fillId="0" borderId="0" xfId="59" quotePrefix="1" applyFont="1" applyAlignment="1"/>
    <xf numFmtId="0" fontId="4" fillId="0" borderId="0" xfId="0" applyFont="1" applyAlignment="1"/>
    <xf numFmtId="0" fontId="45" fillId="0" borderId="0" xfId="40" applyFont="1" applyAlignment="1" applyProtection="1"/>
    <xf numFmtId="0" fontId="49" fillId="0" borderId="48" xfId="59" quotePrefix="1" applyFont="1" applyFill="1" applyBorder="1" applyAlignment="1">
      <alignment horizontal="centerContinuous" vertical="top"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47" applyFont="1" applyAlignment="1">
      <alignment horizontal="left" vertical="top" wrapText="1"/>
    </xf>
    <xf numFmtId="0" fontId="4" fillId="0" borderId="0" xfId="0" applyFont="1" applyAlignment="1">
      <alignment wrapText="1"/>
    </xf>
    <xf numFmtId="0" fontId="5" fillId="0" borderId="0" xfId="59"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43"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49" fillId="0" borderId="56" xfId="59" applyFont="1" applyFill="1" applyBorder="1" applyAlignment="1">
      <alignment horizontal="center" vertical="top" wrapText="1"/>
    </xf>
    <xf numFmtId="0" fontId="49" fillId="0" borderId="57" xfId="59" applyFont="1" applyFill="1" applyBorder="1" applyAlignment="1">
      <alignment horizontal="center" vertical="top" wrapText="1"/>
    </xf>
    <xf numFmtId="0" fontId="50" fillId="0" borderId="21" xfId="59" applyFont="1" applyFill="1" applyBorder="1" applyAlignment="1">
      <alignment horizontal="center" wrapText="1"/>
    </xf>
    <xf numFmtId="0" fontId="49" fillId="0" borderId="0" xfId="59" quotePrefix="1" applyNumberFormat="1" applyFont="1" applyAlignment="1">
      <alignment horizontal="left" vertical="top" wrapText="1"/>
    </xf>
    <xf numFmtId="0" fontId="5" fillId="0" borderId="0" xfId="59" quotePrefix="1" applyNumberFormat="1" applyFont="1" applyAlignment="1">
      <alignment horizontal="left" vertical="top"/>
    </xf>
    <xf numFmtId="0" fontId="39" fillId="0" borderId="41" xfId="63" applyFont="1" applyBorder="1" applyAlignment="1">
      <alignment horizontal="center" vertical="center"/>
    </xf>
    <xf numFmtId="0" fontId="39" fillId="0" borderId="0" xfId="63" applyFont="1" applyBorder="1" applyAlignment="1">
      <alignment horizontal="center" vertical="center"/>
    </xf>
    <xf numFmtId="0" fontId="39" fillId="0" borderId="38" xfId="63" applyFont="1" applyBorder="1" applyAlignment="1">
      <alignment horizontal="center" vertical="center"/>
    </xf>
    <xf numFmtId="0" fontId="39" fillId="0" borderId="42"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535940</xdr:colOff>
          <xdr:row>2</xdr:row>
          <xdr:rowOff>6773</xdr:rowOff>
        </xdr:from>
        <xdr:to>
          <xdr:col>7</xdr:col>
          <xdr:colOff>734060</xdr:colOff>
          <xdr:row>3</xdr:row>
          <xdr:rowOff>9313</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6773</xdr:rowOff>
        </xdr:from>
        <xdr:to>
          <xdr:col>8</xdr:col>
          <xdr:colOff>55880</xdr:colOff>
          <xdr:row>3</xdr:row>
          <xdr:rowOff>9313</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6773</xdr:rowOff>
        </xdr:from>
        <xdr:to>
          <xdr:col>8</xdr:col>
          <xdr:colOff>55880</xdr:colOff>
          <xdr:row>3</xdr:row>
          <xdr:rowOff>9313</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6773</xdr:rowOff>
        </xdr:from>
        <xdr:to>
          <xdr:col>8</xdr:col>
          <xdr:colOff>78740</xdr:colOff>
          <xdr:row>3</xdr:row>
          <xdr:rowOff>85513</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7</xdr:col>
          <xdr:colOff>734060</xdr:colOff>
          <xdr:row>3</xdr:row>
          <xdr:rowOff>32173</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55880</xdr:colOff>
          <xdr:row>3</xdr:row>
          <xdr:rowOff>32173</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55880</xdr:colOff>
          <xdr:row>3</xdr:row>
          <xdr:rowOff>32173</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78740</xdr:colOff>
          <xdr:row>3</xdr:row>
          <xdr:rowOff>108373</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7</xdr:col>
          <xdr:colOff>734060</xdr:colOff>
          <xdr:row>3</xdr:row>
          <xdr:rowOff>32173</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55880</xdr:colOff>
          <xdr:row>3</xdr:row>
          <xdr:rowOff>32173</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55880</xdr:colOff>
          <xdr:row>3</xdr:row>
          <xdr:rowOff>32173</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535940</xdr:colOff>
          <xdr:row>2</xdr:row>
          <xdr:rowOff>29633</xdr:rowOff>
        </xdr:from>
        <xdr:to>
          <xdr:col>8</xdr:col>
          <xdr:colOff>78740</xdr:colOff>
          <xdr:row>3</xdr:row>
          <xdr:rowOff>108373</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1.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emf"/><Relationship Id="rId5" Type="http://schemas.openxmlformats.org/officeDocument/2006/relationships/image" Target="../media/image8.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0.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abSelected="1" topLeftCell="A16" workbookViewId="0">
      <selection activeCell="E35" sqref="E35"/>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8" width="12.33203125" style="53" customWidth="1"/>
    <col min="29" max="16384" width="9.109375" style="53"/>
  </cols>
  <sheetData>
    <row r="2" spans="2:29" ht="19.5" customHeight="1" x14ac:dyDescent="0.3">
      <c r="C2" s="210" t="s">
        <v>102</v>
      </c>
      <c r="D2" s="210"/>
      <c r="E2" s="210"/>
      <c r="F2" s="210"/>
      <c r="G2" s="210"/>
      <c r="H2" s="210"/>
      <c r="I2" s="210"/>
      <c r="J2" s="210"/>
      <c r="K2" s="210"/>
      <c r="L2" s="210"/>
    </row>
    <row r="3" spans="2:29" ht="15.6" x14ac:dyDescent="0.3">
      <c r="C3" s="42"/>
    </row>
    <row r="4" spans="2:29" ht="15.6" x14ac:dyDescent="0.3">
      <c r="C4" s="5" t="s">
        <v>100</v>
      </c>
      <c r="W4" s="40"/>
      <c r="X4" s="40"/>
      <c r="Y4" s="40"/>
      <c r="Z4" s="40"/>
    </row>
    <row r="5" spans="2:29" x14ac:dyDescent="0.25">
      <c r="B5" s="113"/>
      <c r="C5" s="113"/>
      <c r="D5" s="111"/>
      <c r="E5" s="113"/>
      <c r="F5" s="123" t="s">
        <v>98</v>
      </c>
      <c r="Y5" s="125"/>
      <c r="Z5" s="125"/>
      <c r="AC5" s="126"/>
    </row>
    <row r="6" spans="2:29" x14ac:dyDescent="0.25">
      <c r="B6" s="113"/>
      <c r="C6" s="206" t="s">
        <v>92</v>
      </c>
      <c r="D6" s="113"/>
      <c r="F6" s="155">
        <f>'Output - 5yr Baseload'!F9</f>
        <v>32.900604361625284</v>
      </c>
      <c r="H6" s="307"/>
      <c r="Y6" s="125"/>
      <c r="Z6" s="125"/>
      <c r="AC6" s="126"/>
    </row>
    <row r="7" spans="2:29" x14ac:dyDescent="0.25">
      <c r="B7" s="113"/>
      <c r="C7" s="206" t="s">
        <v>93</v>
      </c>
      <c r="D7" s="113"/>
      <c r="F7" s="155">
        <f>'Output - 10yr Baseload'!F9</f>
        <v>34.00813138170205</v>
      </c>
      <c r="H7" s="307"/>
      <c r="Y7" s="125"/>
      <c r="Z7" s="125"/>
      <c r="AC7" s="126"/>
    </row>
    <row r="8" spans="2:29" x14ac:dyDescent="0.25">
      <c r="C8" s="206" t="s">
        <v>91</v>
      </c>
      <c r="D8" s="113"/>
      <c r="F8" s="155">
        <f>'Output - 15yr Baseload'!F9</f>
        <v>35.038407335260189</v>
      </c>
      <c r="H8" s="307"/>
      <c r="Y8" s="119"/>
      <c r="Z8" s="119"/>
      <c r="AA8" s="118"/>
      <c r="AB8" s="113"/>
    </row>
    <row r="9" spans="2:29" x14ac:dyDescent="0.25">
      <c r="C9" s="124"/>
      <c r="E9" s="127"/>
      <c r="F9" s="125"/>
      <c r="H9" s="307"/>
      <c r="Y9" s="119"/>
      <c r="Z9" s="119"/>
      <c r="AA9" s="119"/>
    </row>
    <row r="10" spans="2:29" x14ac:dyDescent="0.25">
      <c r="C10" s="128"/>
      <c r="E10" s="127"/>
      <c r="F10" s="125"/>
      <c r="H10" s="307"/>
    </row>
    <row r="11" spans="2:29" x14ac:dyDescent="0.25">
      <c r="F11" s="205"/>
      <c r="H11" s="307"/>
    </row>
    <row r="12" spans="2:29" x14ac:dyDescent="0.25">
      <c r="C12" s="113"/>
      <c r="D12" s="111"/>
      <c r="E12" s="113"/>
      <c r="F12" s="123" t="s">
        <v>98</v>
      </c>
      <c r="H12" s="307"/>
    </row>
    <row r="13" spans="2:29" x14ac:dyDescent="0.25">
      <c r="C13" s="206" t="s">
        <v>94</v>
      </c>
      <c r="D13" s="113"/>
      <c r="F13" s="155">
        <f>'Output - 10yr Wind'!F9</f>
        <v>28.575383723906523</v>
      </c>
      <c r="H13" s="307"/>
    </row>
    <row r="14" spans="2:29" x14ac:dyDescent="0.25">
      <c r="C14" s="206" t="s">
        <v>95</v>
      </c>
      <c r="D14" s="113"/>
      <c r="F14" s="155">
        <f>'Output - 15yr Wind'!F9</f>
        <v>29.620503250300171</v>
      </c>
      <c r="H14" s="307"/>
    </row>
    <row r="15" spans="2:29" x14ac:dyDescent="0.25">
      <c r="H15" s="307"/>
    </row>
    <row r="16" spans="2:29" x14ac:dyDescent="0.25">
      <c r="H16" s="307"/>
    </row>
    <row r="17" spans="3:22" x14ac:dyDescent="0.25">
      <c r="F17" s="205"/>
      <c r="H17" s="307"/>
    </row>
    <row r="18" spans="3:22" x14ac:dyDescent="0.25">
      <c r="C18" s="113"/>
      <c r="D18" s="111"/>
      <c r="E18" s="113"/>
      <c r="F18" s="123" t="s">
        <v>98</v>
      </c>
      <c r="H18" s="307"/>
    </row>
    <row r="19" spans="3:22" x14ac:dyDescent="0.25">
      <c r="C19" s="206" t="s">
        <v>96</v>
      </c>
      <c r="D19" s="113"/>
      <c r="F19" s="155">
        <f>'Output - 10yr Solar'!F9</f>
        <v>25.202514282943611</v>
      </c>
      <c r="H19" s="307"/>
    </row>
    <row r="20" spans="3:22" x14ac:dyDescent="0.25">
      <c r="C20" s="206" t="s">
        <v>97</v>
      </c>
      <c r="D20" s="113"/>
      <c r="F20" s="155">
        <f>'Output - 15yr Solar'!F9</f>
        <v>26.256849299613116</v>
      </c>
      <c r="H20" s="307"/>
    </row>
    <row r="24" spans="3:22" ht="15.6" x14ac:dyDescent="0.3">
      <c r="C24" s="5" t="s">
        <v>99</v>
      </c>
    </row>
    <row r="25" spans="3:22" x14ac:dyDescent="0.25">
      <c r="F25" s="205">
        <v>1</v>
      </c>
      <c r="G25" s="205">
        <v>2</v>
      </c>
      <c r="H25" s="205">
        <v>3</v>
      </c>
      <c r="I25" s="205">
        <v>4</v>
      </c>
      <c r="J25" s="205">
        <v>5</v>
      </c>
      <c r="K25" s="205">
        <v>6</v>
      </c>
      <c r="L25" s="205">
        <v>7</v>
      </c>
      <c r="M25" s="205">
        <v>8</v>
      </c>
      <c r="N25" s="205">
        <v>9</v>
      </c>
      <c r="O25" s="205">
        <v>10</v>
      </c>
      <c r="P25" s="205">
        <v>11</v>
      </c>
      <c r="Q25" s="205">
        <v>12</v>
      </c>
      <c r="R25" s="205">
        <v>13</v>
      </c>
      <c r="S25" s="205">
        <v>14</v>
      </c>
      <c r="T25" s="205">
        <v>15</v>
      </c>
      <c r="U25" s="205">
        <v>16</v>
      </c>
      <c r="V25" s="205">
        <v>17</v>
      </c>
    </row>
    <row r="26" spans="3:22" x14ac:dyDescent="0.25">
      <c r="C26" s="113"/>
      <c r="D26" s="111"/>
      <c r="E26" s="113"/>
      <c r="F26" s="123">
        <f>'Energy Prices'!$C$6</f>
        <v>2021</v>
      </c>
      <c r="G26" s="123">
        <f>F26+1</f>
        <v>2022</v>
      </c>
      <c r="H26" s="123">
        <f>G26+1</f>
        <v>2023</v>
      </c>
      <c r="I26" s="123">
        <f t="shared" ref="I26:T26" si="0">H26+1</f>
        <v>2024</v>
      </c>
      <c r="J26" s="123">
        <f t="shared" si="0"/>
        <v>2025</v>
      </c>
      <c r="K26" s="123">
        <f t="shared" si="0"/>
        <v>2026</v>
      </c>
      <c r="L26" s="123">
        <f t="shared" si="0"/>
        <v>2027</v>
      </c>
      <c r="M26" s="123">
        <f t="shared" si="0"/>
        <v>2028</v>
      </c>
      <c r="N26" s="123">
        <f t="shared" si="0"/>
        <v>2029</v>
      </c>
      <c r="O26" s="123">
        <f t="shared" si="0"/>
        <v>2030</v>
      </c>
      <c r="P26" s="123">
        <f t="shared" si="0"/>
        <v>2031</v>
      </c>
      <c r="Q26" s="123">
        <f t="shared" si="0"/>
        <v>2032</v>
      </c>
      <c r="R26" s="123">
        <f t="shared" si="0"/>
        <v>2033</v>
      </c>
      <c r="S26" s="123">
        <f t="shared" si="0"/>
        <v>2034</v>
      </c>
      <c r="T26" s="123">
        <f t="shared" si="0"/>
        <v>2035</v>
      </c>
      <c r="U26" s="123">
        <f>T26+1</f>
        <v>2036</v>
      </c>
      <c r="V26" s="123">
        <f>U26+1</f>
        <v>2037</v>
      </c>
    </row>
    <row r="27" spans="3:22" x14ac:dyDescent="0.25">
      <c r="C27" s="206" t="s">
        <v>92</v>
      </c>
      <c r="D27" s="113"/>
      <c r="F27" s="155">
        <f>'Output - 5yr Baseload'!F13</f>
        <v>31.406426057816642</v>
      </c>
      <c r="G27" s="155">
        <f>'Output - 5yr Baseload'!G13</f>
        <v>32.191586709262054</v>
      </c>
      <c r="H27" s="155">
        <f>'Output - 5yr Baseload'!H13</f>
        <v>32.996376376993602</v>
      </c>
      <c r="I27" s="155">
        <f>'Output - 5yr Baseload'!I13</f>
        <v>33.821285786418436</v>
      </c>
      <c r="J27" s="155">
        <f>'Output - 5yr Baseload'!J13</f>
        <v>34.666817931078903</v>
      </c>
      <c r="K27" s="202">
        <f>'Output - 5yr Baseload'!K13</f>
        <v>35.533488379355873</v>
      </c>
      <c r="L27" s="202">
        <f>'Output - 5yr Baseload'!L13</f>
        <v>36.421825588839766</v>
      </c>
      <c r="M27" s="202"/>
      <c r="N27" s="202"/>
      <c r="O27" s="202"/>
      <c r="P27" s="202"/>
      <c r="Q27" s="202"/>
      <c r="R27" s="202"/>
      <c r="S27" s="202"/>
      <c r="T27" s="202"/>
      <c r="U27" s="202"/>
      <c r="V27" s="202"/>
    </row>
    <row r="28" spans="3:22" x14ac:dyDescent="0.25">
      <c r="C28" s="206" t="s">
        <v>93</v>
      </c>
      <c r="D28" s="113"/>
      <c r="F28" s="155">
        <f>'Output - 10yr Baseload'!F13</f>
        <v>30.797061708290375</v>
      </c>
      <c r="G28" s="155">
        <f>'Output - 10yr Baseload'!G13</f>
        <v>31.566988250997628</v>
      </c>
      <c r="H28" s="155">
        <f>'Output - 10yr Baseload'!H13</f>
        <v>32.356162957272559</v>
      </c>
      <c r="I28" s="155">
        <f>'Output - 10yr Baseload'!I13</f>
        <v>33.165067031204373</v>
      </c>
      <c r="J28" s="155">
        <f>'Output - 10yr Baseload'!J13</f>
        <v>33.994193706984483</v>
      </c>
      <c r="K28" s="155">
        <f>'Output - 10yr Baseload'!K13</f>
        <v>34.844048549659092</v>
      </c>
      <c r="L28" s="155">
        <f>'Output - 10yr Baseload'!L13</f>
        <v>35.715149763400568</v>
      </c>
      <c r="M28" s="155">
        <f>'Output - 10yr Baseload'!M13</f>
        <v>36.608028507485571</v>
      </c>
      <c r="N28" s="155">
        <f>'Output - 10yr Baseload'!N13</f>
        <v>37.523229220172709</v>
      </c>
      <c r="O28" s="155">
        <f>'Output - 10yr Baseload'!O13</f>
        <v>38.46130995067702</v>
      </c>
      <c r="P28" s="202">
        <f>'Output - 10yr Baseload'!P13</f>
        <v>39.42284269944394</v>
      </c>
      <c r="Q28" s="202">
        <f>'Output - 10yr Baseload'!Q13</f>
        <v>40.408413766930032</v>
      </c>
      <c r="R28" s="202"/>
      <c r="S28" s="202"/>
      <c r="T28" s="202"/>
      <c r="U28" s="202"/>
      <c r="V28" s="202"/>
    </row>
    <row r="29" spans="3:22" x14ac:dyDescent="0.25">
      <c r="C29" s="206" t="s">
        <v>91</v>
      </c>
      <c r="D29" s="113"/>
      <c r="F29" s="155">
        <f>'Output - 15yr Baseload'!F13</f>
        <v>30.277495036610134</v>
      </c>
      <c r="G29" s="156">
        <f>'Output - 15yr Baseload'!G13</f>
        <v>31.034432412525383</v>
      </c>
      <c r="H29" s="157">
        <f>'Output - 15yr Baseload'!H13</f>
        <v>31.810293222838514</v>
      </c>
      <c r="I29" s="157">
        <f>'Output - 15yr Baseload'!I13</f>
        <v>32.605550553409472</v>
      </c>
      <c r="J29" s="157">
        <f>'Output - 15yr Baseload'!J13</f>
        <v>33.420689317244708</v>
      </c>
      <c r="K29" s="157">
        <f>'Output - 15yr Baseload'!K13</f>
        <v>34.256206550175825</v>
      </c>
      <c r="L29" s="157">
        <f>'Output - 15yr Baseload'!L13</f>
        <v>35.112611713930214</v>
      </c>
      <c r="M29" s="157">
        <f>'Output - 15yr Baseload'!M13</f>
        <v>35.990427006778468</v>
      </c>
      <c r="N29" s="157">
        <f>'Output - 15yr Baseload'!N13</f>
        <v>36.890187681947928</v>
      </c>
      <c r="O29" s="157">
        <f>'Output - 15yr Baseload'!O13</f>
        <v>37.812442373996625</v>
      </c>
      <c r="P29" s="157">
        <f>'Output - 15yr Baseload'!P13</f>
        <v>38.757753433346537</v>
      </c>
      <c r="Q29" s="157">
        <f>'Output - 15yr Baseload'!Q13</f>
        <v>39.726697269180185</v>
      </c>
      <c r="R29" s="157">
        <f>'Output - 15yr Baseload'!R13</f>
        <v>40.719864700909689</v>
      </c>
      <c r="S29" s="157">
        <f>'Output - 15yr Baseload'!S13</f>
        <v>41.737861318432422</v>
      </c>
      <c r="T29" s="157">
        <f>'Output - 15yr Baseload'!T13</f>
        <v>42.78130785139323</v>
      </c>
      <c r="U29" s="202">
        <f>'Output - 15yr Baseload'!U13</f>
        <v>43.850840547678054</v>
      </c>
      <c r="V29" s="202">
        <f>'Output - 15yr Baseload'!V13</f>
        <v>44.947111561370001</v>
      </c>
    </row>
    <row r="30" spans="3:22" x14ac:dyDescent="0.25">
      <c r="C30" s="124"/>
      <c r="E30" s="127"/>
      <c r="F30" s="125"/>
      <c r="G30" s="125"/>
      <c r="H30" s="125"/>
      <c r="I30" s="125"/>
      <c r="J30" s="125"/>
      <c r="K30" s="125"/>
      <c r="L30" s="125"/>
      <c r="M30" s="125"/>
      <c r="N30" s="125"/>
      <c r="O30" s="125"/>
      <c r="P30" s="125"/>
      <c r="Q30" s="125"/>
      <c r="R30" s="125"/>
      <c r="S30" s="125"/>
      <c r="T30" s="125"/>
      <c r="U30" s="125"/>
      <c r="V30" s="125"/>
    </row>
    <row r="31" spans="3:22" x14ac:dyDescent="0.25">
      <c r="C31" s="128"/>
      <c r="E31" s="127"/>
      <c r="F31" s="125"/>
      <c r="G31" s="125"/>
      <c r="H31" s="125"/>
      <c r="I31" s="125"/>
      <c r="J31" s="125"/>
      <c r="K31" s="125"/>
      <c r="L31" s="125"/>
      <c r="M31" s="125"/>
      <c r="N31" s="125"/>
      <c r="O31" s="125"/>
      <c r="P31" s="125"/>
      <c r="Q31" s="125"/>
      <c r="R31" s="125"/>
      <c r="S31" s="125"/>
      <c r="T31" s="125"/>
      <c r="U31" s="125"/>
      <c r="V31" s="125"/>
    </row>
    <row r="32" spans="3:22" x14ac:dyDescent="0.25">
      <c r="F32" s="205">
        <v>1</v>
      </c>
      <c r="G32" s="205">
        <v>2</v>
      </c>
      <c r="H32" s="205">
        <v>3</v>
      </c>
      <c r="I32" s="205">
        <v>4</v>
      </c>
      <c r="J32" s="205">
        <v>5</v>
      </c>
      <c r="K32" s="205">
        <v>6</v>
      </c>
      <c r="L32" s="205">
        <v>7</v>
      </c>
      <c r="M32" s="205">
        <v>8</v>
      </c>
      <c r="N32" s="205">
        <v>9</v>
      </c>
      <c r="O32" s="205">
        <v>10</v>
      </c>
      <c r="P32" s="205">
        <v>11</v>
      </c>
      <c r="Q32" s="205">
        <v>12</v>
      </c>
      <c r="R32" s="205">
        <v>13</v>
      </c>
      <c r="S32" s="205">
        <v>14</v>
      </c>
      <c r="T32" s="205">
        <v>15</v>
      </c>
      <c r="U32" s="205">
        <v>16</v>
      </c>
      <c r="V32" s="205">
        <v>17</v>
      </c>
    </row>
    <row r="33" spans="3:22" x14ac:dyDescent="0.25">
      <c r="C33" s="113"/>
      <c r="D33" s="111"/>
      <c r="E33" s="113"/>
      <c r="F33" s="123">
        <f>'Energy Prices'!$C$6</f>
        <v>2021</v>
      </c>
      <c r="G33" s="123">
        <f>F33+1</f>
        <v>2022</v>
      </c>
      <c r="H33" s="123">
        <f>G33+1</f>
        <v>2023</v>
      </c>
      <c r="I33" s="123">
        <f t="shared" ref="I33" si="1">H33+1</f>
        <v>2024</v>
      </c>
      <c r="J33" s="123">
        <f t="shared" ref="J33" si="2">I33+1</f>
        <v>2025</v>
      </c>
      <c r="K33" s="123">
        <f t="shared" ref="K33" si="3">J33+1</f>
        <v>2026</v>
      </c>
      <c r="L33" s="123">
        <f t="shared" ref="L33" si="4">K33+1</f>
        <v>2027</v>
      </c>
      <c r="M33" s="123">
        <f t="shared" ref="M33" si="5">L33+1</f>
        <v>2028</v>
      </c>
      <c r="N33" s="123">
        <f t="shared" ref="N33" si="6">M33+1</f>
        <v>2029</v>
      </c>
      <c r="O33" s="123">
        <f t="shared" ref="O33" si="7">N33+1</f>
        <v>2030</v>
      </c>
      <c r="P33" s="123">
        <f t="shared" ref="P33" si="8">O33+1</f>
        <v>2031</v>
      </c>
      <c r="Q33" s="123">
        <f t="shared" ref="Q33" si="9">P33+1</f>
        <v>2032</v>
      </c>
      <c r="R33" s="123">
        <f t="shared" ref="R33" si="10">Q33+1</f>
        <v>2033</v>
      </c>
      <c r="S33" s="123">
        <f t="shared" ref="S33" si="11">R33+1</f>
        <v>2034</v>
      </c>
      <c r="T33" s="123">
        <f t="shared" ref="T33" si="12">S33+1</f>
        <v>2035</v>
      </c>
      <c r="U33" s="123">
        <f>T33+1</f>
        <v>2036</v>
      </c>
      <c r="V33" s="123">
        <f>U33+1</f>
        <v>2037</v>
      </c>
    </row>
    <row r="34" spans="3:22" x14ac:dyDescent="0.25">
      <c r="C34" s="206" t="s">
        <v>94</v>
      </c>
      <c r="D34" s="113"/>
      <c r="F34" s="155">
        <f>'Output - 10yr Wind'!F13</f>
        <v>25.877277584169963</v>
      </c>
      <c r="G34" s="155">
        <f>'Output - 10yr Wind'!G13</f>
        <v>26.524209523774207</v>
      </c>
      <c r="H34" s="155">
        <f>'Output - 10yr Wind'!H13</f>
        <v>27.18731476186856</v>
      </c>
      <c r="I34" s="155">
        <f>'Output - 10yr Wind'!I13</f>
        <v>27.866997630915272</v>
      </c>
      <c r="J34" s="155">
        <f>'Output - 10yr Wind'!J13</f>
        <v>28.563672571688151</v>
      </c>
      <c r="K34" s="155">
        <f>'Output - 10yr Wind'!K13</f>
        <v>29.277764385980355</v>
      </c>
      <c r="L34" s="155">
        <f>'Output - 10yr Wind'!L13</f>
        <v>30.009708495629862</v>
      </c>
      <c r="M34" s="155">
        <f>'Output - 10yr Wind'!M13</f>
        <v>30.759951208020599</v>
      </c>
      <c r="N34" s="155">
        <f>'Output - 10yr Wind'!N13</f>
        <v>31.528949988221115</v>
      </c>
      <c r="O34" s="155">
        <f>'Output - 10yr Wind'!O13</f>
        <v>32.317173737926638</v>
      </c>
      <c r="P34" s="202">
        <f>'Output - 10yr Wind'!P13</f>
        <v>33.125103081374803</v>
      </c>
      <c r="Q34" s="202">
        <f>'Output - 10yr Wind'!Q13</f>
        <v>33.953230658409169</v>
      </c>
      <c r="R34" s="202"/>
      <c r="S34" s="202"/>
      <c r="T34" s="202"/>
      <c r="U34" s="202"/>
      <c r="V34" s="202"/>
    </row>
    <row r="35" spans="3:22" x14ac:dyDescent="0.25">
      <c r="C35" s="206" t="s">
        <v>95</v>
      </c>
      <c r="D35" s="113"/>
      <c r="F35" s="155">
        <f>'Output - 15yr Wind'!F13</f>
        <v>25.595759292413568</v>
      </c>
      <c r="G35" s="156">
        <f>'Output - 15yr Wind'!G13</f>
        <v>26.235653274723905</v>
      </c>
      <c r="H35" s="157">
        <f>'Output - 15yr Wind'!H13</f>
        <v>26.891544606591999</v>
      </c>
      <c r="I35" s="157">
        <f>'Output - 15yr Wind'!I13</f>
        <v>27.563833221756799</v>
      </c>
      <c r="J35" s="157">
        <f>'Output - 15yr Wind'!J13</f>
        <v>28.252929052300718</v>
      </c>
      <c r="K35" s="157">
        <f>'Output - 15yr Wind'!K13</f>
        <v>28.959252278608233</v>
      </c>
      <c r="L35" s="157">
        <f>'Output - 15yr Wind'!L13</f>
        <v>29.683233585573433</v>
      </c>
      <c r="M35" s="157">
        <f>'Output - 15yr Wind'!M13</f>
        <v>30.425314425212768</v>
      </c>
      <c r="N35" s="157">
        <f>'Output - 15yr Wind'!N13</f>
        <v>31.185947285843085</v>
      </c>
      <c r="O35" s="157">
        <f>'Output - 15yr Wind'!O13</f>
        <v>31.965595967989159</v>
      </c>
      <c r="P35" s="157">
        <f>'Output - 15yr Wind'!P13</f>
        <v>32.764735867188882</v>
      </c>
      <c r="Q35" s="157">
        <f>'Output - 15yr Wind'!Q13</f>
        <v>33.583854263868595</v>
      </c>
      <c r="R35" s="157">
        <f>'Output - 15yr Wind'!R13</f>
        <v>34.42345062046531</v>
      </c>
      <c r="S35" s="157">
        <f>'Output - 15yr Wind'!S13</f>
        <v>35.284036885976938</v>
      </c>
      <c r="T35" s="157">
        <f>'Output - 15yr Wind'!T13</f>
        <v>36.166137808126358</v>
      </c>
      <c r="U35" s="202">
        <f>'Output - 15yr Wind'!U13</f>
        <v>37.070291253329515</v>
      </c>
      <c r="V35" s="202">
        <f>'Output - 15yr Wind'!V13</f>
        <v>37.997048534662753</v>
      </c>
    </row>
    <row r="38" spans="3:22" x14ac:dyDescent="0.25">
      <c r="F38" s="205">
        <v>1</v>
      </c>
      <c r="G38" s="205">
        <v>2</v>
      </c>
      <c r="H38" s="205">
        <v>3</v>
      </c>
      <c r="I38" s="205">
        <v>4</v>
      </c>
      <c r="J38" s="205">
        <v>5</v>
      </c>
      <c r="K38" s="205">
        <v>6</v>
      </c>
      <c r="L38" s="205">
        <v>7</v>
      </c>
      <c r="M38" s="205">
        <v>8</v>
      </c>
      <c r="N38" s="205">
        <v>9</v>
      </c>
      <c r="O38" s="205">
        <v>10</v>
      </c>
      <c r="P38" s="205">
        <v>11</v>
      </c>
      <c r="Q38" s="205">
        <v>12</v>
      </c>
      <c r="R38" s="205">
        <v>13</v>
      </c>
      <c r="S38" s="205">
        <v>14</v>
      </c>
      <c r="T38" s="205">
        <v>15</v>
      </c>
      <c r="U38" s="205">
        <v>16</v>
      </c>
      <c r="V38" s="205">
        <v>17</v>
      </c>
    </row>
    <row r="39" spans="3:22" x14ac:dyDescent="0.25">
      <c r="C39" s="113"/>
      <c r="D39" s="111"/>
      <c r="E39" s="113"/>
      <c r="F39" s="123">
        <f>'Energy Prices'!$C$6</f>
        <v>2021</v>
      </c>
      <c r="G39" s="123">
        <f>F39+1</f>
        <v>2022</v>
      </c>
      <c r="H39" s="123">
        <f>G39+1</f>
        <v>2023</v>
      </c>
      <c r="I39" s="123">
        <f t="shared" ref="I39" si="13">H39+1</f>
        <v>2024</v>
      </c>
      <c r="J39" s="123">
        <f t="shared" ref="J39" si="14">I39+1</f>
        <v>2025</v>
      </c>
      <c r="K39" s="123">
        <f t="shared" ref="K39" si="15">J39+1</f>
        <v>2026</v>
      </c>
      <c r="L39" s="123">
        <f t="shared" ref="L39" si="16">K39+1</f>
        <v>2027</v>
      </c>
      <c r="M39" s="123">
        <f t="shared" ref="M39" si="17">L39+1</f>
        <v>2028</v>
      </c>
      <c r="N39" s="123">
        <f t="shared" ref="N39" si="18">M39+1</f>
        <v>2029</v>
      </c>
      <c r="O39" s="123">
        <f t="shared" ref="O39" si="19">N39+1</f>
        <v>2030</v>
      </c>
      <c r="P39" s="123">
        <f t="shared" ref="P39" si="20">O39+1</f>
        <v>2031</v>
      </c>
      <c r="Q39" s="123">
        <f t="shared" ref="Q39" si="21">P39+1</f>
        <v>2032</v>
      </c>
      <c r="R39" s="123">
        <f t="shared" ref="R39" si="22">Q39+1</f>
        <v>2033</v>
      </c>
      <c r="S39" s="123">
        <f t="shared" ref="S39" si="23">R39+1</f>
        <v>2034</v>
      </c>
      <c r="T39" s="123">
        <f t="shared" ref="T39" si="24">S39+1</f>
        <v>2035</v>
      </c>
      <c r="U39" s="123">
        <f>T39+1</f>
        <v>2036</v>
      </c>
      <c r="V39" s="123">
        <f>U39+1</f>
        <v>2037</v>
      </c>
    </row>
    <row r="40" spans="3:22" x14ac:dyDescent="0.25">
      <c r="C40" s="206" t="s">
        <v>96</v>
      </c>
      <c r="D40" s="113"/>
      <c r="F40" s="155">
        <f>'Output - 10yr Solar'!F13</f>
        <v>22.822876648656319</v>
      </c>
      <c r="G40" s="155">
        <f>'Output - 10yr Solar'!G13</f>
        <v>23.393448564872724</v>
      </c>
      <c r="H40" s="155">
        <f>'Output - 10yr Solar'!H13</f>
        <v>23.978284778994539</v>
      </c>
      <c r="I40" s="155">
        <f>'Output - 10yr Solar'!I13</f>
        <v>24.577741898469402</v>
      </c>
      <c r="J40" s="155">
        <f>'Output - 10yr Solar'!J13</f>
        <v>25.192185445931134</v>
      </c>
      <c r="K40" s="155">
        <f>'Output - 10yr Solar'!K13</f>
        <v>25.821990082079409</v>
      </c>
      <c r="L40" s="155">
        <f>'Output - 10yr Solar'!L13</f>
        <v>26.467539834131394</v>
      </c>
      <c r="M40" s="155">
        <f>'Output - 10yr Solar'!M13</f>
        <v>27.12922832998467</v>
      </c>
      <c r="N40" s="155">
        <f>'Output - 10yr Solar'!N13</f>
        <v>27.807459038234288</v>
      </c>
      <c r="O40" s="155">
        <f>'Output - 10yr Solar'!O13</f>
        <v>28.502645514190142</v>
      </c>
      <c r="P40" s="202">
        <f>'Output - 10yr Solar'!P13</f>
        <v>29.215211652044893</v>
      </c>
      <c r="Q40" s="202">
        <f>'Output - 10yr Solar'!Q13</f>
        <v>29.945591943346013</v>
      </c>
      <c r="R40" s="202"/>
      <c r="S40" s="202"/>
      <c r="T40" s="202"/>
      <c r="U40" s="202"/>
      <c r="V40" s="202"/>
    </row>
    <row r="41" spans="3:22" x14ac:dyDescent="0.25">
      <c r="C41" s="206" t="s">
        <v>97</v>
      </c>
      <c r="D41" s="113"/>
      <c r="F41" s="155">
        <f>'Output - 15yr Solar'!F13</f>
        <v>22.689148417600382</v>
      </c>
      <c r="G41" s="156">
        <f>'Output - 15yr Solar'!G13</f>
        <v>23.256377128040391</v>
      </c>
      <c r="H41" s="157">
        <f>'Output - 15yr Solar'!H13</f>
        <v>23.837786556241397</v>
      </c>
      <c r="I41" s="157">
        <f>'Output - 15yr Solar'!I13</f>
        <v>24.433731220147429</v>
      </c>
      <c r="J41" s="157">
        <f>'Output - 15yr Solar'!J13</f>
        <v>25.044574500651116</v>
      </c>
      <c r="K41" s="157">
        <f>'Output - 15yr Solar'!K13</f>
        <v>25.670688863167388</v>
      </c>
      <c r="L41" s="157">
        <f>'Output - 15yr Solar'!L13</f>
        <v>26.312456084746572</v>
      </c>
      <c r="M41" s="157">
        <f>'Output - 15yr Solar'!M13</f>
        <v>26.970267486865236</v>
      </c>
      <c r="N41" s="157">
        <f>'Output - 15yr Solar'!N13</f>
        <v>27.64452417403686</v>
      </c>
      <c r="O41" s="157">
        <f>'Output - 15yr Solar'!O13</f>
        <v>28.335637278387782</v>
      </c>
      <c r="P41" s="157">
        <f>'Output - 15yr Solar'!P13</f>
        <v>29.044028210347474</v>
      </c>
      <c r="Q41" s="157">
        <f>'Output - 15yr Solar'!Q13</f>
        <v>29.770128915606151</v>
      </c>
      <c r="R41" s="157">
        <f>'Output - 15yr Solar'!R13</f>
        <v>30.514382138496305</v>
      </c>
      <c r="S41" s="157">
        <f>'Output - 15yr Solar'!S13</f>
        <v>31.277241691958707</v>
      </c>
      <c r="T41" s="157">
        <f>'Output - 15yr Solar'!T13</f>
        <v>32.059172734257672</v>
      </c>
      <c r="U41" s="202">
        <f>'Output - 15yr Solar'!U13</f>
        <v>32.860652052614114</v>
      </c>
      <c r="V41" s="202">
        <f>'Output - 15yr Solar'!V13</f>
        <v>33.682168353929463</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9" workbookViewId="0">
      <selection activeCell="J4" sqref="J4"/>
    </sheetView>
  </sheetViews>
  <sheetFormatPr defaultColWidth="14.44140625" defaultRowHeight="15" x14ac:dyDescent="0.25"/>
  <cols>
    <col min="1" max="1" width="2.6640625" style="197" customWidth="1"/>
    <col min="2" max="2" width="4" style="197" bestFit="1" customWidth="1"/>
    <col min="3" max="3" width="30.88671875" style="197" customWidth="1"/>
    <col min="4" max="4" width="3.77734375" style="197" customWidth="1"/>
    <col min="5" max="5" width="10.44140625" style="197" customWidth="1"/>
    <col min="6" max="6" width="2.6640625" style="197" customWidth="1"/>
    <col min="7" max="7" width="9.44140625" style="197" customWidth="1"/>
    <col min="8" max="8" width="12.5546875" style="197" customWidth="1"/>
    <col min="9" max="9" width="17.6640625" style="197" customWidth="1"/>
    <col min="10" max="10" width="14.44140625" style="197" customWidth="1"/>
    <col min="11" max="11" width="17" style="197" customWidth="1"/>
    <col min="12" max="12" width="14.44140625" style="197" customWidth="1"/>
    <col min="13" max="13" width="16.33203125" style="197" bestFit="1" customWidth="1"/>
    <col min="14" max="14" width="15.6640625" style="197" customWidth="1"/>
    <col min="15" max="16" width="16.109375" style="197" customWidth="1"/>
    <col min="17" max="16384" width="14.44140625" style="197"/>
  </cols>
  <sheetData>
    <row r="1" spans="2:21" s="191" customFormat="1" x14ac:dyDescent="0.25"/>
    <row r="2" spans="2:21" s="191" customFormat="1" ht="15.6" x14ac:dyDescent="0.3">
      <c r="B2" s="192"/>
      <c r="C2" s="192"/>
      <c r="D2" s="192"/>
      <c r="E2" s="192"/>
      <c r="F2" s="192"/>
      <c r="G2" s="192"/>
      <c r="H2" s="192"/>
      <c r="I2" s="192"/>
      <c r="J2" s="193"/>
      <c r="K2" s="192"/>
      <c r="L2" s="192"/>
      <c r="M2" s="194"/>
      <c r="N2" s="192"/>
      <c r="O2" s="192"/>
      <c r="P2" s="192"/>
      <c r="Q2" s="192"/>
      <c r="R2" s="192"/>
      <c r="S2" s="192"/>
      <c r="T2" s="192"/>
      <c r="U2" s="192"/>
    </row>
    <row r="3" spans="2:21" ht="15.6" x14ac:dyDescent="0.3">
      <c r="B3" s="195"/>
      <c r="C3" s="195"/>
      <c r="D3" s="195"/>
      <c r="E3" s="195"/>
      <c r="F3" s="195"/>
      <c r="G3" s="195"/>
      <c r="H3" s="195"/>
      <c r="I3" s="195"/>
      <c r="J3" s="22"/>
      <c r="K3" s="192"/>
      <c r="L3" s="192"/>
      <c r="M3" s="196"/>
      <c r="N3" s="195"/>
      <c r="O3" s="195"/>
      <c r="P3" s="195"/>
      <c r="Q3" s="195"/>
      <c r="R3" s="195"/>
      <c r="S3" s="195"/>
      <c r="T3" s="195"/>
      <c r="U3" s="195"/>
    </row>
    <row r="4" spans="2:21" ht="66" customHeight="1" x14ac:dyDescent="0.3">
      <c r="B4" s="195"/>
      <c r="C4" s="195"/>
      <c r="D4" s="195"/>
      <c r="E4" s="195"/>
      <c r="F4" s="195"/>
      <c r="G4" s="23" t="s">
        <v>15</v>
      </c>
      <c r="H4" s="24" t="s">
        <v>1</v>
      </c>
      <c r="I4" s="25" t="s">
        <v>28</v>
      </c>
      <c r="J4" s="24" t="s">
        <v>134</v>
      </c>
      <c r="K4" s="25" t="s">
        <v>47</v>
      </c>
      <c r="L4" s="25" t="s">
        <v>48</v>
      </c>
      <c r="M4" s="24" t="s">
        <v>49</v>
      </c>
      <c r="N4" s="24" t="s">
        <v>31</v>
      </c>
      <c r="O4" s="24" t="s">
        <v>32</v>
      </c>
      <c r="P4" s="24" t="s">
        <v>29</v>
      </c>
      <c r="Q4" s="24"/>
      <c r="R4" s="23"/>
      <c r="S4" s="24"/>
      <c r="T4" s="24"/>
      <c r="U4" s="24"/>
    </row>
    <row r="5" spans="2:21" ht="15.6" x14ac:dyDescent="0.3">
      <c r="B5" s="178"/>
      <c r="C5" s="178"/>
      <c r="D5" s="178"/>
      <c r="E5" s="178"/>
      <c r="F5" s="178"/>
      <c r="G5" s="26"/>
      <c r="H5" s="26" t="s">
        <v>20</v>
      </c>
      <c r="I5" s="26" t="s">
        <v>52</v>
      </c>
      <c r="J5" s="26" t="s">
        <v>52</v>
      </c>
      <c r="K5" s="26" t="s">
        <v>52</v>
      </c>
      <c r="L5" s="26" t="s">
        <v>52</v>
      </c>
      <c r="M5" s="26" t="s">
        <v>52</v>
      </c>
      <c r="N5" s="26" t="s">
        <v>52</v>
      </c>
      <c r="O5" s="26" t="s">
        <v>52</v>
      </c>
      <c r="P5" s="26" t="s">
        <v>52</v>
      </c>
      <c r="Q5" s="23"/>
      <c r="R5" s="23"/>
      <c r="S5" s="23"/>
      <c r="T5" s="23"/>
      <c r="U5" s="23"/>
    </row>
    <row r="6" spans="2:21" ht="15.6" x14ac:dyDescent="0.3">
      <c r="B6" s="178"/>
      <c r="C6" s="28" t="s">
        <v>134</v>
      </c>
      <c r="D6" s="28" t="str">
        <f>+J6</f>
        <v>[4]</v>
      </c>
      <c r="E6" s="179">
        <v>2.7E-2</v>
      </c>
      <c r="F6" s="51"/>
      <c r="G6" s="163" t="s">
        <v>21</v>
      </c>
      <c r="H6" s="163" t="s">
        <v>22</v>
      </c>
      <c r="I6" s="163" t="s">
        <v>23</v>
      </c>
      <c r="J6" s="163" t="s">
        <v>24</v>
      </c>
      <c r="K6" s="163" t="s">
        <v>25</v>
      </c>
      <c r="L6" s="163" t="s">
        <v>30</v>
      </c>
      <c r="M6" s="163" t="s">
        <v>26</v>
      </c>
      <c r="N6" s="163" t="s">
        <v>27</v>
      </c>
      <c r="O6" s="163" t="s">
        <v>35</v>
      </c>
      <c r="P6" s="163" t="s">
        <v>71</v>
      </c>
      <c r="Q6" s="27"/>
      <c r="R6" s="23"/>
      <c r="S6" s="195"/>
      <c r="T6" s="27"/>
      <c r="U6" s="23"/>
    </row>
    <row r="7" spans="2:21" ht="15.6" x14ac:dyDescent="0.3">
      <c r="B7" s="34"/>
      <c r="C7" s="28" t="s">
        <v>45</v>
      </c>
      <c r="D7" s="28"/>
      <c r="E7" s="180">
        <f>Rate_of_Return</f>
        <v>7.3899999999999993E-2</v>
      </c>
      <c r="F7" s="181"/>
      <c r="G7" s="171">
        <f>'Energy Prices'!C6</f>
        <v>2021</v>
      </c>
      <c r="H7" s="166">
        <v>1</v>
      </c>
      <c r="I7" s="182">
        <f>'Energy Prices'!P6</f>
        <v>22.85</v>
      </c>
      <c r="J7" s="182">
        <f>I7*$E$6</f>
        <v>0.61695</v>
      </c>
      <c r="K7" s="182">
        <v>0</v>
      </c>
      <c r="L7" s="182">
        <v>0</v>
      </c>
      <c r="M7" s="182">
        <v>0</v>
      </c>
      <c r="N7" s="182">
        <f>(I7+J7+K7+L7+M7)/((1+$E$7)^H7)</f>
        <v>21.852081199366793</v>
      </c>
      <c r="O7" s="182">
        <f>N7</f>
        <v>21.852081199366793</v>
      </c>
      <c r="P7" s="182">
        <f>(-PMT($E$7,H7,(O7)))</f>
        <v>23.466949999999997</v>
      </c>
      <c r="Q7" s="183"/>
      <c r="R7" s="184"/>
      <c r="S7" s="185"/>
      <c r="T7" s="186"/>
      <c r="U7" s="186"/>
    </row>
    <row r="8" spans="2:21" ht="15.6" x14ac:dyDescent="0.3">
      <c r="B8" s="178"/>
      <c r="C8" s="28" t="s">
        <v>46</v>
      </c>
      <c r="D8" s="28"/>
      <c r="E8" s="180">
        <v>2.5000000000000001E-2</v>
      </c>
      <c r="F8" s="181"/>
      <c r="G8" s="38">
        <f>G7+1</f>
        <v>2022</v>
      </c>
      <c r="H8" s="39">
        <v>2</v>
      </c>
      <c r="I8" s="187">
        <f>'Energy Prices'!P7</f>
        <v>21.19</v>
      </c>
      <c r="J8" s="187">
        <f t="shared" ref="J8:J25" si="0">I8*$E$6</f>
        <v>0.57213000000000003</v>
      </c>
      <c r="K8" s="187">
        <f>+$K$7</f>
        <v>0</v>
      </c>
      <c r="L8" s="187">
        <v>0</v>
      </c>
      <c r="M8" s="187">
        <v>0</v>
      </c>
      <c r="N8" s="187">
        <f t="shared" ref="N8:N25" si="1">(I8+J8+K8+L8+M8)/((1+$E$7)^H8)</f>
        <v>18.870078878314132</v>
      </c>
      <c r="O8" s="187">
        <f t="shared" ref="O8:O25" si="2">N8+O7</f>
        <v>40.722160077680925</v>
      </c>
      <c r="P8" s="182">
        <f t="shared" ref="P8:P27" si="3">(-PMT($E$7,H8,(O8)))</f>
        <v>22.644914221997201</v>
      </c>
      <c r="Q8" s="183"/>
      <c r="R8" s="184"/>
      <c r="S8" s="185"/>
      <c r="T8" s="186"/>
      <c r="U8" s="186"/>
    </row>
    <row r="9" spans="2:21" ht="15.6" x14ac:dyDescent="0.3">
      <c r="B9" s="178"/>
      <c r="C9" s="28"/>
      <c r="D9" s="28"/>
      <c r="E9" s="181"/>
      <c r="F9" s="188"/>
      <c r="G9" s="38">
        <f t="shared" ref="G9:G27" si="4">G8+1</f>
        <v>2023</v>
      </c>
      <c r="H9" s="39">
        <v>3</v>
      </c>
      <c r="I9" s="187">
        <f>'Energy Prices'!P8</f>
        <v>20.53</v>
      </c>
      <c r="J9" s="187">
        <f t="shared" si="0"/>
        <v>0.55430999999999997</v>
      </c>
      <c r="K9" s="187">
        <f t="shared" ref="K9:K27" si="5">+$K$7</f>
        <v>0</v>
      </c>
      <c r="L9" s="187">
        <v>0</v>
      </c>
      <c r="M9" s="187">
        <v>0</v>
      </c>
      <c r="N9" s="187">
        <f t="shared" si="1"/>
        <v>17.024245201364739</v>
      </c>
      <c r="O9" s="187">
        <f t="shared" si="2"/>
        <v>57.746405279045661</v>
      </c>
      <c r="P9" s="182">
        <f t="shared" si="3"/>
        <v>22.161330006507324</v>
      </c>
      <c r="Q9" s="183"/>
      <c r="R9" s="184"/>
      <c r="S9" s="185"/>
      <c r="T9" s="186"/>
      <c r="U9" s="186"/>
    </row>
    <row r="10" spans="2:21" x14ac:dyDescent="0.25">
      <c r="B10" s="178"/>
      <c r="C10" s="178"/>
      <c r="D10" s="178"/>
      <c r="E10" s="178"/>
      <c r="F10" s="181"/>
      <c r="G10" s="38">
        <f t="shared" si="4"/>
        <v>2024</v>
      </c>
      <c r="H10" s="39">
        <v>4</v>
      </c>
      <c r="I10" s="187">
        <f>'Energy Prices'!P9</f>
        <v>19.79</v>
      </c>
      <c r="J10" s="187">
        <f t="shared" si="0"/>
        <v>0.53432999999999997</v>
      </c>
      <c r="K10" s="187">
        <f t="shared" si="5"/>
        <v>0</v>
      </c>
      <c r="L10" s="187">
        <v>0</v>
      </c>
      <c r="M10" s="187">
        <v>0</v>
      </c>
      <c r="N10" s="187">
        <f t="shared" si="1"/>
        <v>15.28131993262482</v>
      </c>
      <c r="O10" s="187">
        <f t="shared" si="2"/>
        <v>73.027725211670486</v>
      </c>
      <c r="P10" s="182">
        <f t="shared" si="3"/>
        <v>21.749967572135283</v>
      </c>
      <c r="Q10" s="183"/>
      <c r="R10" s="184"/>
      <c r="S10" s="185"/>
      <c r="T10" s="186"/>
      <c r="U10" s="186"/>
    </row>
    <row r="11" spans="2:21" x14ac:dyDescent="0.25">
      <c r="B11" s="178"/>
      <c r="C11" s="178"/>
      <c r="D11" s="178"/>
      <c r="E11" s="178"/>
      <c r="F11" s="181"/>
      <c r="G11" s="38">
        <f t="shared" si="4"/>
        <v>2025</v>
      </c>
      <c r="H11" s="39">
        <v>5</v>
      </c>
      <c r="I11" s="187">
        <f>'Energy Prices'!P10</f>
        <v>19.75</v>
      </c>
      <c r="J11" s="187">
        <f t="shared" si="0"/>
        <v>0.53325</v>
      </c>
      <c r="K11" s="187">
        <f t="shared" si="5"/>
        <v>0</v>
      </c>
      <c r="L11" s="187">
        <v>0</v>
      </c>
      <c r="M11" s="187">
        <v>0</v>
      </c>
      <c r="N11" s="187">
        <f>(I11+J11+K11+L11+M11)/((1+$E$7)^H11)</f>
        <v>14.200980519372779</v>
      </c>
      <c r="O11" s="187">
        <f t="shared" si="2"/>
        <v>87.228705731043263</v>
      </c>
      <c r="P11" s="182">
        <f t="shared" si="3"/>
        <v>21.496895857758748</v>
      </c>
      <c r="Q11" s="183"/>
      <c r="R11" s="184"/>
      <c r="S11" s="185"/>
      <c r="T11" s="186"/>
      <c r="U11" s="186"/>
    </row>
    <row r="12" spans="2:21" x14ac:dyDescent="0.25">
      <c r="B12" s="195"/>
      <c r="C12" s="195"/>
      <c r="D12" s="195"/>
      <c r="E12" s="195"/>
      <c r="F12" s="178"/>
      <c r="G12" s="38">
        <f t="shared" si="4"/>
        <v>2026</v>
      </c>
      <c r="H12" s="39">
        <v>6</v>
      </c>
      <c r="I12" s="187">
        <f>'Energy Prices'!P11</f>
        <v>19.97</v>
      </c>
      <c r="J12" s="187">
        <f t="shared" si="0"/>
        <v>0.53918999999999995</v>
      </c>
      <c r="K12" s="187">
        <f t="shared" si="5"/>
        <v>0</v>
      </c>
      <c r="L12" s="187">
        <v>0</v>
      </c>
      <c r="M12" s="187">
        <v>0</v>
      </c>
      <c r="N12" s="187">
        <f>(I12+J12+K12+L12+M12)/((1+$E$7)^H12)</f>
        <v>13.37104819517997</v>
      </c>
      <c r="O12" s="187">
        <f t="shared" si="2"/>
        <v>100.59975392622323</v>
      </c>
      <c r="P12" s="182">
        <f t="shared" si="3"/>
        <v>21.360169466660984</v>
      </c>
      <c r="Q12" s="183"/>
      <c r="R12" s="184"/>
      <c r="S12" s="185"/>
      <c r="T12" s="186"/>
      <c r="U12" s="186"/>
    </row>
    <row r="13" spans="2:21" x14ac:dyDescent="0.25">
      <c r="B13" s="195"/>
      <c r="C13" s="195"/>
      <c r="D13" s="195"/>
      <c r="E13" s="195"/>
      <c r="F13" s="178"/>
      <c r="G13" s="38">
        <f t="shared" si="4"/>
        <v>2027</v>
      </c>
      <c r="H13" s="39">
        <v>7</v>
      </c>
      <c r="I13" s="187">
        <f>'Energy Prices'!P12</f>
        <v>23.19</v>
      </c>
      <c r="J13" s="187">
        <f t="shared" si="0"/>
        <v>0.62613000000000008</v>
      </c>
      <c r="K13" s="187">
        <f t="shared" si="5"/>
        <v>0</v>
      </c>
      <c r="L13" s="187">
        <v>0</v>
      </c>
      <c r="M13" s="187">
        <v>0</v>
      </c>
      <c r="N13" s="187">
        <f t="shared" si="1"/>
        <v>14.458535164989009</v>
      </c>
      <c r="O13" s="187">
        <f t="shared" si="2"/>
        <v>115.05828909121223</v>
      </c>
      <c r="P13" s="182">
        <f t="shared" si="3"/>
        <v>21.640600376044478</v>
      </c>
      <c r="Q13" s="183"/>
      <c r="R13" s="184"/>
      <c r="S13" s="185"/>
      <c r="T13" s="186"/>
      <c r="U13" s="186"/>
    </row>
    <row r="14" spans="2:21" x14ac:dyDescent="0.25">
      <c r="B14" s="195"/>
      <c r="C14" s="195"/>
      <c r="D14" s="195"/>
      <c r="E14" s="195"/>
      <c r="F14" s="181"/>
      <c r="G14" s="38">
        <f t="shared" si="4"/>
        <v>2028</v>
      </c>
      <c r="H14" s="39">
        <v>8</v>
      </c>
      <c r="I14" s="187">
        <f>'Energy Prices'!P13</f>
        <v>24.42</v>
      </c>
      <c r="J14" s="187">
        <f t="shared" si="0"/>
        <v>0.65934000000000004</v>
      </c>
      <c r="K14" s="187">
        <f t="shared" si="5"/>
        <v>0</v>
      </c>
      <c r="L14" s="187">
        <v>0</v>
      </c>
      <c r="M14" s="187">
        <v>0</v>
      </c>
      <c r="N14" s="187">
        <f>(I14+J14+K14+L14+M14)/((1+$E$7)^H14)</f>
        <v>14.177686345558749</v>
      </c>
      <c r="O14" s="187">
        <f t="shared" si="2"/>
        <v>129.23597543677099</v>
      </c>
      <c r="P14" s="182">
        <f t="shared" si="3"/>
        <v>21.971089152439877</v>
      </c>
      <c r="Q14" s="183"/>
      <c r="R14" s="184"/>
      <c r="S14" s="185"/>
      <c r="T14" s="186"/>
      <c r="U14" s="186"/>
    </row>
    <row r="15" spans="2:21" x14ac:dyDescent="0.25">
      <c r="B15" s="195"/>
      <c r="C15" s="195"/>
      <c r="D15" s="195"/>
      <c r="E15" s="195"/>
      <c r="F15" s="178"/>
      <c r="G15" s="38">
        <f t="shared" si="4"/>
        <v>2029</v>
      </c>
      <c r="H15" s="39">
        <v>9</v>
      </c>
      <c r="I15" s="187">
        <f>'Energy Prices'!P14</f>
        <v>25.44</v>
      </c>
      <c r="J15" s="187">
        <f t="shared" si="0"/>
        <v>0.68688000000000005</v>
      </c>
      <c r="K15" s="187">
        <f t="shared" si="5"/>
        <v>0</v>
      </c>
      <c r="L15" s="187">
        <v>0</v>
      </c>
      <c r="M15" s="187">
        <v>0</v>
      </c>
      <c r="N15" s="187">
        <f t="shared" si="1"/>
        <v>13.753491683317593</v>
      </c>
      <c r="O15" s="187">
        <f t="shared" si="2"/>
        <v>142.98946712008859</v>
      </c>
      <c r="P15" s="182">
        <f t="shared" si="3"/>
        <v>22.312456869027589</v>
      </c>
      <c r="Q15" s="183"/>
      <c r="R15" s="184"/>
      <c r="S15" s="185"/>
      <c r="T15" s="186"/>
      <c r="U15" s="186"/>
    </row>
    <row r="16" spans="2:21" x14ac:dyDescent="0.25">
      <c r="B16" s="195"/>
      <c r="C16" s="195"/>
      <c r="D16" s="195"/>
      <c r="E16" s="195"/>
      <c r="F16" s="189"/>
      <c r="G16" s="38">
        <f t="shared" si="4"/>
        <v>2030</v>
      </c>
      <c r="H16" s="39">
        <v>10</v>
      </c>
      <c r="I16" s="187">
        <f>'Energy Prices'!P15</f>
        <v>25.05</v>
      </c>
      <c r="J16" s="187">
        <f t="shared" si="0"/>
        <v>0.67635000000000001</v>
      </c>
      <c r="K16" s="187">
        <f t="shared" si="5"/>
        <v>0</v>
      </c>
      <c r="L16" s="187">
        <v>0</v>
      </c>
      <c r="M16" s="187">
        <v>0</v>
      </c>
      <c r="N16" s="187">
        <f t="shared" si="1"/>
        <v>12.610716138200861</v>
      </c>
      <c r="O16" s="187">
        <f t="shared" si="2"/>
        <v>155.60018325828946</v>
      </c>
      <c r="P16" s="182">
        <f t="shared" si="3"/>
        <v>22.555031190838232</v>
      </c>
      <c r="Q16" s="183"/>
      <c r="R16" s="184"/>
      <c r="S16" s="185"/>
      <c r="T16" s="186"/>
      <c r="U16" s="186"/>
    </row>
    <row r="17" spans="2:21" x14ac:dyDescent="0.25">
      <c r="B17" s="195"/>
      <c r="C17" s="195"/>
      <c r="D17" s="195"/>
      <c r="E17" s="195"/>
      <c r="F17" s="190"/>
      <c r="G17" s="38">
        <f t="shared" si="4"/>
        <v>2031</v>
      </c>
      <c r="H17" s="39">
        <v>11</v>
      </c>
      <c r="I17" s="187">
        <f>'Energy Prices'!P16</f>
        <v>24.78</v>
      </c>
      <c r="J17" s="187">
        <f t="shared" si="0"/>
        <v>0.66905999999999999</v>
      </c>
      <c r="K17" s="187">
        <f t="shared" si="5"/>
        <v>0</v>
      </c>
      <c r="L17" s="187">
        <v>0</v>
      </c>
      <c r="M17" s="187">
        <v>0</v>
      </c>
      <c r="N17" s="187">
        <f t="shared" si="1"/>
        <v>11.616344400485456</v>
      </c>
      <c r="O17" s="187">
        <f t="shared" si="2"/>
        <v>167.21652765877491</v>
      </c>
      <c r="P17" s="182">
        <f t="shared" si="3"/>
        <v>22.73463242637661</v>
      </c>
      <c r="Q17" s="183"/>
      <c r="R17" s="184"/>
      <c r="S17" s="185"/>
      <c r="T17" s="186"/>
      <c r="U17" s="186"/>
    </row>
    <row r="18" spans="2:21" x14ac:dyDescent="0.25">
      <c r="B18" s="195"/>
      <c r="C18" s="195"/>
      <c r="D18" s="195"/>
      <c r="E18" s="195"/>
      <c r="F18" s="190"/>
      <c r="G18" s="38">
        <f t="shared" si="4"/>
        <v>2032</v>
      </c>
      <c r="H18" s="39">
        <v>12</v>
      </c>
      <c r="I18" s="187">
        <f>'Energy Prices'!P17</f>
        <v>25.38</v>
      </c>
      <c r="J18" s="187">
        <f t="shared" si="0"/>
        <v>0.68525999999999998</v>
      </c>
      <c r="K18" s="187">
        <f t="shared" si="5"/>
        <v>0</v>
      </c>
      <c r="L18" s="187">
        <v>0</v>
      </c>
      <c r="M18" s="187">
        <v>0</v>
      </c>
      <c r="N18" s="187">
        <f t="shared" si="1"/>
        <v>11.078882409333648</v>
      </c>
      <c r="O18" s="187">
        <f t="shared" si="2"/>
        <v>178.29541006810857</v>
      </c>
      <c r="P18" s="182">
        <f t="shared" si="3"/>
        <v>22.916589856179158</v>
      </c>
      <c r="Q18" s="183"/>
      <c r="R18" s="184"/>
      <c r="S18" s="185"/>
      <c r="T18" s="186"/>
      <c r="U18" s="186"/>
    </row>
    <row r="19" spans="2:21" x14ac:dyDescent="0.25">
      <c r="B19" s="195"/>
      <c r="C19" s="195"/>
      <c r="D19" s="195"/>
      <c r="E19" s="195"/>
      <c r="F19" s="190"/>
      <c r="G19" s="38">
        <f t="shared" si="4"/>
        <v>2033</v>
      </c>
      <c r="H19" s="39">
        <v>13</v>
      </c>
      <c r="I19" s="187">
        <f>'Energy Prices'!P18</f>
        <v>26.69</v>
      </c>
      <c r="J19" s="187">
        <f>I19*$E$6</f>
        <v>0.72062999999999999</v>
      </c>
      <c r="K19" s="187">
        <f t="shared" si="5"/>
        <v>0</v>
      </c>
      <c r="L19" s="187">
        <v>0</v>
      </c>
      <c r="M19" s="187">
        <v>0</v>
      </c>
      <c r="N19" s="187">
        <f t="shared" si="1"/>
        <v>10.848983944100516</v>
      </c>
      <c r="O19" s="187">
        <f t="shared" si="2"/>
        <v>189.14439401220909</v>
      </c>
      <c r="P19" s="182">
        <f t="shared" si="3"/>
        <v>23.134143796401776</v>
      </c>
      <c r="Q19" s="183"/>
      <c r="R19" s="184"/>
      <c r="S19" s="185"/>
      <c r="T19" s="186"/>
      <c r="U19" s="186"/>
    </row>
    <row r="20" spans="2:21" x14ac:dyDescent="0.25">
      <c r="B20" s="195"/>
      <c r="C20" s="195"/>
      <c r="D20" s="195"/>
      <c r="E20" s="195"/>
      <c r="F20" s="190"/>
      <c r="G20" s="38">
        <f t="shared" si="4"/>
        <v>2034</v>
      </c>
      <c r="H20" s="39">
        <v>14</v>
      </c>
      <c r="I20" s="187">
        <f>'Energy Prices'!P19</f>
        <v>27.4</v>
      </c>
      <c r="J20" s="187">
        <f t="shared" si="0"/>
        <v>0.7397999999999999</v>
      </c>
      <c r="K20" s="187">
        <f t="shared" si="5"/>
        <v>0</v>
      </c>
      <c r="L20" s="187">
        <v>0</v>
      </c>
      <c r="M20" s="187">
        <v>0</v>
      </c>
      <c r="N20" s="187">
        <f t="shared" si="1"/>
        <v>10.371157105084295</v>
      </c>
      <c r="O20" s="187">
        <f t="shared" si="2"/>
        <v>199.5155511172934</v>
      </c>
      <c r="P20" s="182">
        <f t="shared" si="3"/>
        <v>23.350056606891251</v>
      </c>
      <c r="Q20" s="183"/>
      <c r="R20" s="184"/>
      <c r="S20" s="185"/>
      <c r="T20" s="186"/>
      <c r="U20" s="186"/>
    </row>
    <row r="21" spans="2:21" x14ac:dyDescent="0.25">
      <c r="B21" s="195"/>
      <c r="C21" s="195"/>
      <c r="D21" s="195"/>
      <c r="E21" s="195"/>
      <c r="F21" s="190"/>
      <c r="G21" s="37">
        <f t="shared" si="4"/>
        <v>2035</v>
      </c>
      <c r="H21" s="37">
        <v>15</v>
      </c>
      <c r="I21" s="187">
        <f>'Energy Prices'!P20</f>
        <v>28.25</v>
      </c>
      <c r="J21" s="187">
        <f t="shared" si="0"/>
        <v>0.76275000000000004</v>
      </c>
      <c r="K21" s="187">
        <f t="shared" si="5"/>
        <v>0</v>
      </c>
      <c r="L21" s="187">
        <v>0</v>
      </c>
      <c r="M21" s="187">
        <v>0</v>
      </c>
      <c r="N21" s="187">
        <f>(I21+J21+K21+L21+M21)/((1+$E$7)^H21)</f>
        <v>9.9570631166514083</v>
      </c>
      <c r="O21" s="187">
        <f>N21+O20</f>
        <v>209.4726142339448</v>
      </c>
      <c r="P21" s="182">
        <f t="shared" si="3"/>
        <v>23.56871902062823</v>
      </c>
      <c r="Q21" s="183"/>
      <c r="R21" s="184"/>
      <c r="S21" s="185"/>
      <c r="T21" s="186"/>
      <c r="U21" s="186"/>
    </row>
    <row r="22" spans="2:21" x14ac:dyDescent="0.25">
      <c r="B22" s="195"/>
      <c r="C22" s="195"/>
      <c r="D22" s="195"/>
      <c r="E22" s="195"/>
      <c r="F22" s="190"/>
      <c r="G22" s="38">
        <f t="shared" si="4"/>
        <v>2036</v>
      </c>
      <c r="H22" s="39">
        <v>16</v>
      </c>
      <c r="I22" s="187">
        <f>'Energy Prices'!P21</f>
        <v>29.71</v>
      </c>
      <c r="J22" s="187">
        <f t="shared" si="0"/>
        <v>0.80217000000000005</v>
      </c>
      <c r="K22" s="187">
        <f t="shared" si="5"/>
        <v>0</v>
      </c>
      <c r="L22" s="187">
        <v>0</v>
      </c>
      <c r="M22" s="187">
        <v>0</v>
      </c>
      <c r="N22" s="187">
        <f t="shared" si="1"/>
        <v>9.7510552537632922</v>
      </c>
      <c r="O22" s="187">
        <f t="shared" si="2"/>
        <v>219.22366948770809</v>
      </c>
      <c r="P22" s="182">
        <f t="shared" si="3"/>
        <v>23.809721083906837</v>
      </c>
      <c r="Q22" s="183"/>
      <c r="R22" s="184"/>
      <c r="S22" s="185"/>
      <c r="T22" s="186"/>
      <c r="U22" s="186"/>
    </row>
    <row r="23" spans="2:21" x14ac:dyDescent="0.25">
      <c r="B23" s="195"/>
      <c r="C23" s="195"/>
      <c r="D23" s="195"/>
      <c r="E23" s="195"/>
      <c r="F23" s="190"/>
      <c r="G23" s="38">
        <f t="shared" si="4"/>
        <v>2037</v>
      </c>
      <c r="H23" s="39">
        <v>17</v>
      </c>
      <c r="I23" s="187">
        <f>'Energy Prices'!P22</f>
        <v>29.43</v>
      </c>
      <c r="J23" s="187">
        <f t="shared" si="0"/>
        <v>0.79461000000000004</v>
      </c>
      <c r="K23" s="187">
        <f t="shared" si="5"/>
        <v>0</v>
      </c>
      <c r="L23" s="187">
        <v>0</v>
      </c>
      <c r="M23" s="187">
        <v>0</v>
      </c>
      <c r="N23" s="187">
        <f t="shared" si="1"/>
        <v>8.9944660168340409</v>
      </c>
      <c r="O23" s="187">
        <f t="shared" si="2"/>
        <v>228.21813550454215</v>
      </c>
      <c r="P23" s="182">
        <f t="shared" si="3"/>
        <v>24.010563771540284</v>
      </c>
      <c r="Q23" s="183"/>
      <c r="R23" s="184"/>
      <c r="S23" s="185"/>
      <c r="T23" s="186"/>
      <c r="U23" s="186"/>
    </row>
    <row r="24" spans="2:21" x14ac:dyDescent="0.25">
      <c r="B24" s="195"/>
      <c r="C24" s="195"/>
      <c r="D24" s="195"/>
      <c r="E24" s="195"/>
      <c r="F24" s="190"/>
      <c r="G24" s="38">
        <f t="shared" si="4"/>
        <v>2038</v>
      </c>
      <c r="H24" s="39">
        <v>18</v>
      </c>
      <c r="I24" s="187">
        <f>'Energy Prices'!P23</f>
        <v>29.33</v>
      </c>
      <c r="J24" s="187">
        <f t="shared" si="0"/>
        <v>0.79190999999999989</v>
      </c>
      <c r="K24" s="187">
        <f t="shared" si="5"/>
        <v>0</v>
      </c>
      <c r="L24" s="187">
        <v>0</v>
      </c>
      <c r="M24" s="187">
        <v>0</v>
      </c>
      <c r="N24" s="187">
        <f t="shared" si="1"/>
        <v>8.347056318989706</v>
      </c>
      <c r="O24" s="187">
        <f t="shared" si="2"/>
        <v>236.56519182353185</v>
      </c>
      <c r="P24" s="182">
        <f t="shared" si="3"/>
        <v>24.183688627646816</v>
      </c>
      <c r="Q24" s="183"/>
      <c r="R24" s="184"/>
      <c r="S24" s="185"/>
      <c r="T24" s="186"/>
      <c r="U24" s="186"/>
    </row>
    <row r="25" spans="2:21" x14ac:dyDescent="0.25">
      <c r="B25" s="195"/>
      <c r="C25" s="195"/>
      <c r="D25" s="195"/>
      <c r="E25" s="195"/>
      <c r="F25" s="190"/>
      <c r="G25" s="38">
        <f t="shared" si="4"/>
        <v>2039</v>
      </c>
      <c r="H25" s="39">
        <v>19</v>
      </c>
      <c r="I25" s="187">
        <f>'Energy Prices'!P24</f>
        <v>29.12</v>
      </c>
      <c r="J25" s="187">
        <f t="shared" si="0"/>
        <v>0.78624000000000005</v>
      </c>
      <c r="K25" s="187">
        <f t="shared" si="5"/>
        <v>0</v>
      </c>
      <c r="L25" s="187">
        <v>0</v>
      </c>
      <c r="M25" s="187">
        <v>0</v>
      </c>
      <c r="N25" s="187">
        <f t="shared" si="1"/>
        <v>7.7170054871037888</v>
      </c>
      <c r="O25" s="187">
        <f t="shared" si="2"/>
        <v>244.28219731063564</v>
      </c>
      <c r="P25" s="182">
        <f t="shared" si="3"/>
        <v>24.330764227180442</v>
      </c>
      <c r="Q25" s="183"/>
      <c r="R25" s="184"/>
      <c r="S25" s="185"/>
      <c r="T25" s="186"/>
      <c r="U25" s="186"/>
    </row>
    <row r="26" spans="2:21" x14ac:dyDescent="0.25">
      <c r="B26" s="195"/>
      <c r="C26" s="195"/>
      <c r="D26" s="195"/>
      <c r="E26" s="195"/>
      <c r="F26" s="190"/>
      <c r="G26" s="38">
        <f t="shared" si="4"/>
        <v>2040</v>
      </c>
      <c r="H26" s="39">
        <v>20</v>
      </c>
      <c r="I26" s="187">
        <f>'Energy Prices'!P25</f>
        <v>29.38</v>
      </c>
      <c r="J26" s="187">
        <f t="shared" ref="J26" si="6">I26*$E$6</f>
        <v>0.79325999999999997</v>
      </c>
      <c r="K26" s="187">
        <f t="shared" si="5"/>
        <v>0</v>
      </c>
      <c r="L26" s="187">
        <v>0</v>
      </c>
      <c r="M26" s="187">
        <v>0</v>
      </c>
      <c r="N26" s="187">
        <f t="shared" ref="N26" si="7">(I26+J26+K26+L26+M26)/((1+$E$7)^H26)</f>
        <v>7.25012321613751</v>
      </c>
      <c r="O26" s="187">
        <f t="shared" ref="O26" si="8">N26+O25</f>
        <v>251.53232052677316</v>
      </c>
      <c r="P26" s="182">
        <f t="shared" si="3"/>
        <v>24.467321296226054</v>
      </c>
      <c r="Q26" s="183"/>
      <c r="R26" s="184"/>
      <c r="S26" s="185"/>
      <c r="T26" s="186"/>
      <c r="U26" s="186"/>
    </row>
    <row r="27" spans="2:21" x14ac:dyDescent="0.25">
      <c r="C27" s="195"/>
      <c r="D27" s="195"/>
      <c r="E27" s="198"/>
      <c r="F27" s="195"/>
      <c r="G27" s="38">
        <f t="shared" si="4"/>
        <v>2041</v>
      </c>
      <c r="H27" s="37">
        <v>21</v>
      </c>
      <c r="I27" s="187">
        <f>'Energy Prices'!P26</f>
        <v>30.39487115211346</v>
      </c>
      <c r="J27" s="187">
        <f>I27*$E$6</f>
        <v>0.82066152110706336</v>
      </c>
      <c r="K27" s="187">
        <f t="shared" si="5"/>
        <v>0</v>
      </c>
      <c r="L27" s="187">
        <v>0</v>
      </c>
      <c r="M27" s="187">
        <v>0</v>
      </c>
      <c r="N27" s="187">
        <f>(I27+J27+K27+L27+M27)/((1+$E$7)^H27)</f>
        <v>6.9844153854979503</v>
      </c>
      <c r="O27" s="187">
        <f>N27+O26</f>
        <v>258.51673591227109</v>
      </c>
      <c r="P27" s="182">
        <f t="shared" si="3"/>
        <v>24.611065299797751</v>
      </c>
      <c r="Q27" s="183"/>
      <c r="R27" s="184"/>
      <c r="S27" s="185"/>
      <c r="T27" s="186"/>
      <c r="U27" s="186"/>
    </row>
    <row r="28" spans="2:21" x14ac:dyDescent="0.25">
      <c r="C28" s="195"/>
      <c r="D28" s="195"/>
      <c r="E28" s="198"/>
      <c r="F28" s="195"/>
      <c r="G28" s="38"/>
      <c r="H28" s="37"/>
      <c r="I28" s="195"/>
      <c r="J28" s="195"/>
      <c r="K28" s="195"/>
      <c r="L28" s="195"/>
      <c r="M28" s="195"/>
      <c r="N28" s="195"/>
      <c r="O28" s="195"/>
      <c r="P28" s="195"/>
      <c r="Q28" s="183"/>
      <c r="R28" s="184"/>
      <c r="S28" s="185"/>
      <c r="T28" s="186"/>
      <c r="U28" s="186"/>
    </row>
    <row r="29" spans="2:21" ht="15.6" x14ac:dyDescent="0.3">
      <c r="B29" s="28" t="s">
        <v>24</v>
      </c>
      <c r="C29" s="329" t="s">
        <v>121</v>
      </c>
      <c r="D29" s="317"/>
      <c r="E29" s="318"/>
      <c r="F29" s="317"/>
      <c r="G29" s="319"/>
      <c r="H29" s="317"/>
      <c r="I29" s="317"/>
      <c r="J29" s="195"/>
      <c r="K29" s="195"/>
      <c r="L29" s="195"/>
      <c r="M29" s="195"/>
      <c r="N29" s="195"/>
      <c r="O29" s="195"/>
      <c r="P29" s="195"/>
      <c r="Q29" s="183"/>
      <c r="R29" s="184"/>
      <c r="S29" s="185"/>
      <c r="T29" s="186"/>
      <c r="U29" s="186"/>
    </row>
    <row r="30" spans="2:21" ht="15.6" x14ac:dyDescent="0.3">
      <c r="B30" s="28"/>
      <c r="C30" s="330" t="s">
        <v>120</v>
      </c>
      <c r="D30" s="195"/>
      <c r="E30" s="198"/>
      <c r="F30" s="195"/>
      <c r="H30" s="195"/>
      <c r="I30" s="195"/>
      <c r="J30" s="195"/>
      <c r="K30" s="195"/>
      <c r="L30" s="195"/>
      <c r="M30" s="195"/>
      <c r="N30" s="195"/>
      <c r="O30" s="195"/>
      <c r="P30" s="195"/>
      <c r="Q30" s="183"/>
      <c r="R30" s="184"/>
      <c r="S30" s="185"/>
      <c r="T30" s="186"/>
      <c r="U30" s="186"/>
    </row>
    <row r="31" spans="2:21" ht="15.6" x14ac:dyDescent="0.3">
      <c r="B31" s="28"/>
      <c r="D31" s="53"/>
      <c r="F31" s="195"/>
      <c r="Q31" s="195"/>
      <c r="R31" s="195"/>
      <c r="S31" s="195"/>
      <c r="T31" s="195"/>
      <c r="U31" s="195"/>
    </row>
    <row r="32" spans="2:21" ht="15.6" x14ac:dyDescent="0.3">
      <c r="B32" s="22"/>
    </row>
    <row r="33" spans="2:2" ht="15.6" x14ac:dyDescent="0.3">
      <c r="B33" s="28"/>
    </row>
  </sheetData>
  <phoneticPr fontId="13" type="noConversion"/>
  <pageMargins left="0.75" right="0.5" top="0.76" bottom="0.79" header="0.5" footer="0.26"/>
  <pageSetup scale="63"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Y30"/>
  <sheetViews>
    <sheetView topLeftCell="B13" zoomScale="90" zoomScaleNormal="90" workbookViewId="0">
      <selection activeCell="B30" sqref="B30:N30"/>
    </sheetView>
  </sheetViews>
  <sheetFormatPr defaultColWidth="9.109375" defaultRowHeight="15" x14ac:dyDescent="0.25"/>
  <cols>
    <col min="1" max="1" width="3.7773437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9"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5"/>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9" t="s">
        <v>19</v>
      </c>
      <c r="Y4" s="240" t="s">
        <v>19</v>
      </c>
    </row>
    <row r="5" spans="1:25" ht="15.6" x14ac:dyDescent="0.3">
      <c r="B5" s="50"/>
      <c r="C5" s="50"/>
      <c r="D5" s="50"/>
      <c r="G5" s="18"/>
      <c r="H5" s="18" t="s">
        <v>20</v>
      </c>
      <c r="I5" s="19" t="s">
        <v>124</v>
      </c>
      <c r="J5" s="18" t="s">
        <v>124</v>
      </c>
      <c r="K5" s="18" t="s">
        <v>124</v>
      </c>
      <c r="L5" s="4" t="s">
        <v>124</v>
      </c>
      <c r="M5" s="4" t="s">
        <v>33</v>
      </c>
      <c r="N5" s="4" t="s">
        <v>34</v>
      </c>
      <c r="P5" s="19" t="s">
        <v>124</v>
      </c>
      <c r="Q5" s="19" t="s">
        <v>124</v>
      </c>
      <c r="R5" s="18" t="s">
        <v>124</v>
      </c>
      <c r="S5" s="18" t="s">
        <v>124</v>
      </c>
      <c r="T5" s="4" t="s">
        <v>124</v>
      </c>
      <c r="U5" s="4" t="s">
        <v>33</v>
      </c>
      <c r="V5" s="4" t="s">
        <v>34</v>
      </c>
      <c r="X5" s="241" t="s">
        <v>33</v>
      </c>
      <c r="Y5" s="242" t="s">
        <v>34</v>
      </c>
    </row>
    <row r="6" spans="1:25" ht="15.6" x14ac:dyDescent="0.3">
      <c r="A6" s="170"/>
      <c r="B6" s="170"/>
      <c r="C6" s="164" t="s">
        <v>122</v>
      </c>
      <c r="D6" s="164" t="str">
        <f>+P6</f>
        <v>[4]</v>
      </c>
      <c r="E6" s="201">
        <f>12.61*(1+E9)</f>
        <v>12.925249999999998</v>
      </c>
      <c r="F6" s="45"/>
      <c r="G6" s="168" t="s">
        <v>21</v>
      </c>
      <c r="H6" s="168" t="s">
        <v>22</v>
      </c>
      <c r="I6" s="168" t="s">
        <v>23</v>
      </c>
      <c r="J6" s="168" t="s">
        <v>30</v>
      </c>
      <c r="K6" s="168" t="s">
        <v>26</v>
      </c>
      <c r="L6" s="168" t="s">
        <v>27</v>
      </c>
      <c r="M6" s="168" t="s">
        <v>35</v>
      </c>
      <c r="N6" s="168" t="s">
        <v>71</v>
      </c>
      <c r="P6" s="168" t="s">
        <v>24</v>
      </c>
      <c r="Q6" s="168" t="s">
        <v>25</v>
      </c>
      <c r="R6" s="168" t="s">
        <v>30</v>
      </c>
      <c r="S6" s="168" t="s">
        <v>26</v>
      </c>
      <c r="T6" s="168" t="s">
        <v>27</v>
      </c>
      <c r="U6" s="168" t="s">
        <v>35</v>
      </c>
      <c r="V6" s="168" t="s">
        <v>71</v>
      </c>
      <c r="X6" s="243" t="s">
        <v>35</v>
      </c>
      <c r="Y6" s="244" t="s">
        <v>71</v>
      </c>
    </row>
    <row r="7" spans="1:25" ht="15.6" x14ac:dyDescent="0.3">
      <c r="A7" s="170"/>
      <c r="B7" s="50"/>
      <c r="C7" s="20" t="s">
        <v>123</v>
      </c>
      <c r="D7" s="20"/>
      <c r="E7" s="46">
        <v>0</v>
      </c>
      <c r="F7" s="47"/>
      <c r="G7" s="171">
        <f>'Capacity Delivered'!C7</f>
        <v>2021</v>
      </c>
      <c r="H7" s="166">
        <v>1</v>
      </c>
      <c r="I7" s="172">
        <f>'Capacity Delivered'!G7</f>
        <v>95.27</v>
      </c>
      <c r="J7" s="32">
        <f>SUM(I7)/((1+$E$8)^H7)</f>
        <v>88.71403296396312</v>
      </c>
      <c r="K7" s="167">
        <f>J7</f>
        <v>88.71403296396312</v>
      </c>
      <c r="L7" s="41">
        <f>(-PMT($E$8,H7,(K7)))</f>
        <v>95.27</v>
      </c>
      <c r="M7" s="167">
        <f>+L7/'Capacity Delivered'!N8*1000</f>
        <v>10.875570776255707</v>
      </c>
      <c r="N7" s="237">
        <f t="shared" ref="N7:N27" si="0">M7/1000</f>
        <v>1.0875570776255707E-2</v>
      </c>
      <c r="P7" s="177">
        <f>E6</f>
        <v>12.925249999999998</v>
      </c>
      <c r="Q7" s="177">
        <f t="shared" ref="Q7:Q27" si="1">(I7+P7)*$E$7</f>
        <v>0</v>
      </c>
      <c r="R7" s="177">
        <f t="shared" ref="R7:R27" si="2">SUM(P7:Q7)/((1+$E$8)^H7)</f>
        <v>12.035804078592045</v>
      </c>
      <c r="S7" s="177">
        <f>R7</f>
        <v>12.035804078592045</v>
      </c>
      <c r="T7" s="311">
        <f>(-PMT($E$8,H7,(S7)))</f>
        <v>12.925249999999997</v>
      </c>
      <c r="U7" s="167">
        <f>+T7/'Capacity Delivered'!L7*1000</f>
        <v>1.4754851598173513</v>
      </c>
      <c r="V7" s="237">
        <f t="shared" ref="V7:V20" si="3">U7/1000</f>
        <v>1.4754851598173513E-3</v>
      </c>
      <c r="X7" s="245">
        <f>M7+U7</f>
        <v>12.351055936073058</v>
      </c>
      <c r="Y7" s="246">
        <f t="shared" ref="Y7:Y20" si="4">X7/1000</f>
        <v>1.2351055936073057E-2</v>
      </c>
    </row>
    <row r="8" spans="1:25" ht="15.6" x14ac:dyDescent="0.3">
      <c r="A8" s="170"/>
      <c r="B8" s="50"/>
      <c r="C8" s="20" t="s">
        <v>45</v>
      </c>
      <c r="D8" s="20"/>
      <c r="E8" s="46">
        <f>Rate_of_Return</f>
        <v>7.3899999999999993E-2</v>
      </c>
      <c r="F8" s="47"/>
      <c r="G8" s="38">
        <f>G7+1</f>
        <v>2022</v>
      </c>
      <c r="H8" s="39">
        <v>2</v>
      </c>
      <c r="I8" s="172">
        <f>'Capacity Delivered'!G8</f>
        <v>95.27</v>
      </c>
      <c r="J8" s="40">
        <f t="shared" ref="J8:J27" si="5">SUM(I8)/((1+$E$8)^H8)</f>
        <v>82.609212183595403</v>
      </c>
      <c r="K8" s="41">
        <f t="shared" ref="K8:K26" si="6">K7+J8</f>
        <v>171.32324514755851</v>
      </c>
      <c r="L8" s="41">
        <f t="shared" ref="L8:L27" si="7">(-PMT($E$8,H8,(K8)))</f>
        <v>95.269999999999953</v>
      </c>
      <c r="M8" s="41">
        <f>+L8/'Capacity Delivered'!N9*1000</f>
        <v>10.875570776255703</v>
      </c>
      <c r="N8" s="238">
        <f t="shared" si="0"/>
        <v>1.0875570776255703E-2</v>
      </c>
      <c r="P8" s="172">
        <f>P7+(P7*$E$9)</f>
        <v>13.248381249999998</v>
      </c>
      <c r="Q8" s="172">
        <f t="shared" si="1"/>
        <v>0</v>
      </c>
      <c r="R8" s="172">
        <f t="shared" si="2"/>
        <v>11.487754148949479</v>
      </c>
      <c r="S8" s="172">
        <f t="shared" ref="S8:S12" si="8">S7+R8</f>
        <v>23.523558227541525</v>
      </c>
      <c r="T8" s="311">
        <f t="shared" ref="T8:T27" si="9">(-PMT($E$8,H8,(S8)))</f>
        <v>13.081058500892034</v>
      </c>
      <c r="U8" s="41">
        <f>+T8/'Capacity Delivered'!L8*1000</f>
        <v>1.4932715183666705</v>
      </c>
      <c r="V8" s="238">
        <f t="shared" si="3"/>
        <v>1.4932715183666706E-3</v>
      </c>
      <c r="X8" s="245">
        <f t="shared" ref="X8:X27" si="10">M8+U8</f>
        <v>12.368842294622374</v>
      </c>
      <c r="Y8" s="246">
        <f t="shared" si="4"/>
        <v>1.2368842294622373E-2</v>
      </c>
    </row>
    <row r="9" spans="1:25" ht="15.6" x14ac:dyDescent="0.3">
      <c r="A9" s="170"/>
      <c r="B9" s="50"/>
      <c r="C9" s="20" t="s">
        <v>46</v>
      </c>
      <c r="D9" s="20"/>
      <c r="E9" s="46">
        <v>2.5000000000000001E-2</v>
      </c>
      <c r="F9" s="49"/>
      <c r="G9" s="38">
        <f t="shared" ref="G9:G27" si="11">G8+1</f>
        <v>2023</v>
      </c>
      <c r="H9" s="39">
        <v>3</v>
      </c>
      <c r="I9" s="172">
        <f>'Capacity Delivered'!G9</f>
        <v>95.27</v>
      </c>
      <c r="J9" s="40">
        <f t="shared" si="5"/>
        <v>76.924492209326203</v>
      </c>
      <c r="K9" s="41">
        <f t="shared" si="6"/>
        <v>248.24773735688473</v>
      </c>
      <c r="L9" s="41">
        <f t="shared" si="7"/>
        <v>95.269999999999968</v>
      </c>
      <c r="M9" s="41">
        <f>+L9/'Capacity Delivered'!N10*1000</f>
        <v>10.845856102003639</v>
      </c>
      <c r="N9" s="238">
        <f t="shared" si="0"/>
        <v>1.0845856102003639E-2</v>
      </c>
      <c r="P9" s="172">
        <f t="shared" ref="P9:P27" si="12">P8+(P8*$E$9)</f>
        <v>13.579590781249998</v>
      </c>
      <c r="Q9" s="172">
        <f t="shared" si="1"/>
        <v>0</v>
      </c>
      <c r="R9" s="172">
        <f t="shared" si="2"/>
        <v>10.964659654225921</v>
      </c>
      <c r="S9" s="172">
        <f t="shared" si="8"/>
        <v>34.488217881767447</v>
      </c>
      <c r="T9" s="311">
        <f t="shared" si="9"/>
        <v>13.235538629995334</v>
      </c>
      <c r="U9" s="41">
        <f>+T9/'Capacity Delivered'!L9*1000</f>
        <v>1.5109062363008372</v>
      </c>
      <c r="V9" s="238">
        <f t="shared" si="3"/>
        <v>1.5109062363008372E-3</v>
      </c>
      <c r="X9" s="245">
        <f t="shared" si="10"/>
        <v>12.356762338304476</v>
      </c>
      <c r="Y9" s="246">
        <f t="shared" si="4"/>
        <v>1.2356762338304475E-2</v>
      </c>
    </row>
    <row r="10" spans="1:25" ht="15.6" x14ac:dyDescent="0.3">
      <c r="B10" s="50"/>
      <c r="C10" s="20"/>
      <c r="D10" s="20"/>
      <c r="E10" s="51"/>
      <c r="F10" s="47"/>
      <c r="G10" s="38">
        <f t="shared" si="11"/>
        <v>2024</v>
      </c>
      <c r="H10" s="39">
        <v>4</v>
      </c>
      <c r="I10" s="172">
        <f>'Capacity Delivered'!G10</f>
        <v>95.27</v>
      </c>
      <c r="J10" s="40">
        <f t="shared" si="5"/>
        <v>71.630963971809479</v>
      </c>
      <c r="K10" s="41">
        <f t="shared" si="6"/>
        <v>319.87870132869421</v>
      </c>
      <c r="L10" s="41">
        <f t="shared" si="7"/>
        <v>95.269999999999968</v>
      </c>
      <c r="M10" s="41">
        <f>+L10/'Capacity Delivered'!N11*1000</f>
        <v>10.875570776255705</v>
      </c>
      <c r="N10" s="238">
        <f t="shared" si="0"/>
        <v>1.0875570776255705E-2</v>
      </c>
      <c r="P10" s="172">
        <f t="shared" si="12"/>
        <v>13.919080550781247</v>
      </c>
      <c r="Q10" s="172">
        <f t="shared" si="1"/>
        <v>0</v>
      </c>
      <c r="R10" s="172">
        <f t="shared" si="2"/>
        <v>10.465384249540522</v>
      </c>
      <c r="S10" s="172">
        <f t="shared" si="8"/>
        <v>44.953602131307967</v>
      </c>
      <c r="T10" s="311">
        <f t="shared" si="9"/>
        <v>13.388605297134028</v>
      </c>
      <c r="U10" s="41">
        <f>+T10/'Capacity Delivered'!L10*1000</f>
        <v>1.5242036995826533</v>
      </c>
      <c r="V10" s="238">
        <f t="shared" si="3"/>
        <v>1.5242036995826533E-3</v>
      </c>
      <c r="X10" s="245">
        <f t="shared" si="10"/>
        <v>12.399774475838358</v>
      </c>
      <c r="Y10" s="246">
        <f t="shared" si="4"/>
        <v>1.2399774475838357E-2</v>
      </c>
    </row>
    <row r="11" spans="1:25" s="44" customFormat="1" ht="15.6" x14ac:dyDescent="0.3">
      <c r="B11" s="50"/>
      <c r="C11" s="20"/>
      <c r="D11" s="20"/>
      <c r="E11" s="51"/>
      <c r="F11" s="257"/>
      <c r="G11" s="37">
        <f t="shared" si="11"/>
        <v>2025</v>
      </c>
      <c r="H11" s="37">
        <v>5</v>
      </c>
      <c r="I11" s="172">
        <f>'Capacity Delivered'!G11</f>
        <v>95.27</v>
      </c>
      <c r="J11" s="258">
        <f t="shared" si="5"/>
        <v>66.701707767771182</v>
      </c>
      <c r="K11" s="259">
        <f t="shared" si="6"/>
        <v>386.58040909646536</v>
      </c>
      <c r="L11" s="259">
        <f t="shared" si="7"/>
        <v>95.269999999999968</v>
      </c>
      <c r="M11" s="259">
        <f>+L11/'Capacity Delivered'!N12*1000</f>
        <v>10.875570776255705</v>
      </c>
      <c r="N11" s="260">
        <f t="shared" si="0"/>
        <v>1.0875570776255705E-2</v>
      </c>
      <c r="O11" s="268"/>
      <c r="P11" s="172">
        <f t="shared" si="12"/>
        <v>14.267057564550779</v>
      </c>
      <c r="Q11" s="172">
        <f t="shared" si="1"/>
        <v>0</v>
      </c>
      <c r="R11" s="172">
        <f t="shared" si="2"/>
        <v>9.988843333437968</v>
      </c>
      <c r="S11" s="172">
        <f t="shared" si="8"/>
        <v>54.942445464745937</v>
      </c>
      <c r="T11" s="311">
        <f t="shared" si="9"/>
        <v>13.540176005453462</v>
      </c>
      <c r="U11" s="259">
        <f>+T11/'Capacity Delivered'!L11*1000</f>
        <v>1.5456821924033632</v>
      </c>
      <c r="V11" s="260">
        <f t="shared" si="3"/>
        <v>1.5456821924033633E-3</v>
      </c>
      <c r="W11" s="268"/>
      <c r="X11" s="261">
        <f>M11+U11</f>
        <v>12.421252968659068</v>
      </c>
      <c r="Y11" s="262">
        <f t="shared" si="4"/>
        <v>1.2421252968659069E-2</v>
      </c>
    </row>
    <row r="12" spans="1:25" s="44" customFormat="1" ht="15.6" x14ac:dyDescent="0.3">
      <c r="B12" s="50"/>
      <c r="C12" s="20"/>
      <c r="D12" s="20"/>
      <c r="E12" s="51"/>
      <c r="F12" s="257"/>
      <c r="G12" s="38">
        <f t="shared" si="11"/>
        <v>2026</v>
      </c>
      <c r="H12" s="37">
        <v>6</v>
      </c>
      <c r="I12" s="172">
        <f>'Capacity Delivered'!G12</f>
        <v>95.27</v>
      </c>
      <c r="J12" s="258">
        <f t="shared" si="5"/>
        <v>62.11165636257676</v>
      </c>
      <c r="K12" s="259">
        <f t="shared" si="6"/>
        <v>448.69206545904211</v>
      </c>
      <c r="L12" s="259">
        <f t="shared" si="7"/>
        <v>95.269999999999953</v>
      </c>
      <c r="M12" s="259">
        <f>+L12/'Capacity Delivered'!N13*1000</f>
        <v>10.875570776255703</v>
      </c>
      <c r="N12" s="260">
        <f t="shared" si="0"/>
        <v>1.0875570776255703E-2</v>
      </c>
      <c r="P12" s="172">
        <f t="shared" si="12"/>
        <v>14.623734003664548</v>
      </c>
      <c r="Q12" s="172">
        <f t="shared" si="1"/>
        <v>0</v>
      </c>
      <c r="R12" s="172">
        <f t="shared" si="2"/>
        <v>9.5340016917533461</v>
      </c>
      <c r="S12" s="172">
        <f t="shared" si="8"/>
        <v>64.47644715649929</v>
      </c>
      <c r="T12" s="311">
        <f t="shared" si="9"/>
        <v>13.690171040388959</v>
      </c>
      <c r="U12" s="259">
        <f>+T12/'Capacity Delivered'!L12*1000</f>
        <v>1.5628049132864108</v>
      </c>
      <c r="V12" s="260">
        <f t="shared" si="3"/>
        <v>1.5628049132864108E-3</v>
      </c>
      <c r="X12" s="261">
        <f t="shared" si="10"/>
        <v>12.438375689542113</v>
      </c>
      <c r="Y12" s="262">
        <f t="shared" si="4"/>
        <v>1.2438375689542112E-2</v>
      </c>
    </row>
    <row r="13" spans="1:25" s="44" customFormat="1" ht="15.6" x14ac:dyDescent="0.3">
      <c r="B13" s="50"/>
      <c r="C13" s="20"/>
      <c r="D13" s="20"/>
      <c r="E13" s="51"/>
      <c r="F13" s="257"/>
      <c r="G13" s="38">
        <f t="shared" si="11"/>
        <v>2027</v>
      </c>
      <c r="H13" s="37">
        <v>7</v>
      </c>
      <c r="I13" s="172">
        <f>'Capacity Delivered'!G13</f>
        <v>95.27</v>
      </c>
      <c r="J13" s="258">
        <f t="shared" si="5"/>
        <v>57.837467513340862</v>
      </c>
      <c r="K13" s="259">
        <f>K12+J13</f>
        <v>506.52953297238298</v>
      </c>
      <c r="L13" s="259">
        <f t="shared" si="7"/>
        <v>95.269999999999968</v>
      </c>
      <c r="M13" s="259">
        <f>+L13/'Capacity Delivered'!N14*1000</f>
        <v>10.845856102003639</v>
      </c>
      <c r="N13" s="260">
        <f t="shared" si="0"/>
        <v>1.0845856102003639E-2</v>
      </c>
      <c r="P13" s="172">
        <f>P12+(P12*$E$9)</f>
        <v>14.989327353756162</v>
      </c>
      <c r="Q13" s="172">
        <f t="shared" si="1"/>
        <v>0</v>
      </c>
      <c r="R13" s="172">
        <f t="shared" si="2"/>
        <v>9.0998712487635522</v>
      </c>
      <c r="S13" s="172">
        <f>S12+R13</f>
        <v>73.576318405262839</v>
      </c>
      <c r="T13" s="311">
        <f t="shared" si="9"/>
        <v>13.838513646649636</v>
      </c>
      <c r="U13" s="259">
        <f>+T13/'Capacity Delivered'!L13*1000</f>
        <v>1.5797390007590908</v>
      </c>
      <c r="V13" s="260">
        <f t="shared" si="3"/>
        <v>1.5797390007590909E-3</v>
      </c>
      <c r="X13" s="261">
        <f t="shared" si="10"/>
        <v>12.425595102762729</v>
      </c>
      <c r="Y13" s="262">
        <f t="shared" si="4"/>
        <v>1.242559510276273E-2</v>
      </c>
    </row>
    <row r="14" spans="1:25" s="44" customFormat="1" ht="15.6" x14ac:dyDescent="0.3">
      <c r="B14" s="50"/>
      <c r="C14" s="20"/>
      <c r="D14" s="20"/>
      <c r="E14" s="51"/>
      <c r="F14" s="257"/>
      <c r="G14" s="38">
        <f t="shared" si="11"/>
        <v>2028</v>
      </c>
      <c r="H14" s="37">
        <v>8</v>
      </c>
      <c r="I14" s="172">
        <f>'Capacity Delivered'!G14</f>
        <v>95.27</v>
      </c>
      <c r="J14" s="258">
        <f t="shared" si="5"/>
        <v>53.857405264308461</v>
      </c>
      <c r="K14" s="259">
        <f t="shared" si="6"/>
        <v>560.38693823669144</v>
      </c>
      <c r="L14" s="259">
        <f t="shared" si="7"/>
        <v>95.269999999999953</v>
      </c>
      <c r="M14" s="259">
        <f>+L14/'Capacity Delivered'!N15*1000</f>
        <v>10.875570776255703</v>
      </c>
      <c r="N14" s="260">
        <f t="shared" si="0"/>
        <v>1.0875570776255703E-2</v>
      </c>
      <c r="P14" s="172">
        <f t="shared" si="12"/>
        <v>15.364060537600066</v>
      </c>
      <c r="Q14" s="172">
        <f t="shared" si="1"/>
        <v>0</v>
      </c>
      <c r="R14" s="172">
        <f t="shared" si="2"/>
        <v>8.6855089207399576</v>
      </c>
      <c r="S14" s="172">
        <f t="shared" ref="S14:S20" si="13">S13+R14</f>
        <v>82.261827326002802</v>
      </c>
      <c r="T14" s="311">
        <f t="shared" si="9"/>
        <v>13.985130192378115</v>
      </c>
      <c r="U14" s="259">
        <f>+T14/'Capacity Delivered'!L14*1000</f>
        <v>1.5921140929392208</v>
      </c>
      <c r="V14" s="260">
        <f t="shared" si="3"/>
        <v>1.5921140929392207E-3</v>
      </c>
      <c r="X14" s="261">
        <f t="shared" si="10"/>
        <v>12.467684869194924</v>
      </c>
      <c r="Y14" s="262">
        <f t="shared" si="4"/>
        <v>1.2467684869194924E-2</v>
      </c>
    </row>
    <row r="15" spans="1:25" s="44" customFormat="1" ht="15.6" x14ac:dyDescent="0.3">
      <c r="B15" s="50"/>
      <c r="C15" s="20"/>
      <c r="D15" s="20"/>
      <c r="E15" s="51"/>
      <c r="F15" s="257"/>
      <c r="G15" s="38">
        <f t="shared" si="11"/>
        <v>2029</v>
      </c>
      <c r="H15" s="37">
        <v>9</v>
      </c>
      <c r="I15" s="172">
        <f>'Capacity Delivered'!G15</f>
        <v>95.27</v>
      </c>
      <c r="J15" s="258">
        <f t="shared" si="5"/>
        <v>50.151229410846874</v>
      </c>
      <c r="K15" s="259">
        <f t="shared" si="6"/>
        <v>610.53816764753833</v>
      </c>
      <c r="L15" s="259">
        <f t="shared" si="7"/>
        <v>95.269999999999968</v>
      </c>
      <c r="M15" s="259">
        <f>+L15/'Capacity Delivered'!N16*1000</f>
        <v>10.875570776255705</v>
      </c>
      <c r="N15" s="260">
        <f t="shared" si="0"/>
        <v>1.0875570776255705E-2</v>
      </c>
      <c r="P15" s="172">
        <f t="shared" si="12"/>
        <v>15.748162051040067</v>
      </c>
      <c r="Q15" s="172">
        <f t="shared" si="1"/>
        <v>0</v>
      </c>
      <c r="R15" s="172">
        <f t="shared" si="2"/>
        <v>8.2900145672394601</v>
      </c>
      <c r="S15" s="172">
        <f t="shared" si="13"/>
        <v>90.551841893242255</v>
      </c>
      <c r="T15" s="311">
        <f t="shared" si="9"/>
        <v>14.129950319747172</v>
      </c>
      <c r="U15" s="259">
        <f>+T15/'Capacity Delivered'!L15*1000</f>
        <v>1.6130080273683984</v>
      </c>
      <c r="V15" s="260">
        <f t="shared" si="3"/>
        <v>1.6130080273683985E-3</v>
      </c>
      <c r="X15" s="261">
        <f t="shared" si="10"/>
        <v>12.488578803624103</v>
      </c>
      <c r="Y15" s="262">
        <f t="shared" si="4"/>
        <v>1.2488578803624103E-2</v>
      </c>
    </row>
    <row r="16" spans="1:25" s="44" customFormat="1" ht="15.6" x14ac:dyDescent="0.3">
      <c r="B16" s="50"/>
      <c r="C16" s="20"/>
      <c r="D16" s="20"/>
      <c r="E16" s="51"/>
      <c r="F16" s="257"/>
      <c r="G16" s="37">
        <f t="shared" si="11"/>
        <v>2030</v>
      </c>
      <c r="H16" s="37">
        <v>10</v>
      </c>
      <c r="I16" s="172">
        <f>'Capacity Delivered'!G16</f>
        <v>95.27</v>
      </c>
      <c r="J16" s="258">
        <f t="shared" si="5"/>
        <v>46.700092569929119</v>
      </c>
      <c r="K16" s="259">
        <f t="shared" si="6"/>
        <v>657.23826021746743</v>
      </c>
      <c r="L16" s="259">
        <f t="shared" si="7"/>
        <v>95.269999999999953</v>
      </c>
      <c r="M16" s="259">
        <f>+L16/'Capacity Delivered'!N17*1000</f>
        <v>10.875570776255703</v>
      </c>
      <c r="N16" s="260">
        <f t="shared" si="0"/>
        <v>1.0875570776255703E-2</v>
      </c>
      <c r="O16" s="268"/>
      <c r="P16" s="172">
        <f t="shared" si="12"/>
        <v>16.141866102316069</v>
      </c>
      <c r="Q16" s="172">
        <f t="shared" si="1"/>
        <v>0</v>
      </c>
      <c r="R16" s="172">
        <f t="shared" si="2"/>
        <v>7.9125290356834403</v>
      </c>
      <c r="S16" s="172">
        <f t="shared" si="13"/>
        <v>98.464370928925689</v>
      </c>
      <c r="T16" s="311">
        <f t="shared" si="9"/>
        <v>14.272907081360197</v>
      </c>
      <c r="U16" s="259">
        <f>+T16/'Capacity Delivered'!L16*1000</f>
        <v>1.6293272923927165</v>
      </c>
      <c r="V16" s="260">
        <f t="shared" si="3"/>
        <v>1.6293272923927165E-3</v>
      </c>
      <c r="W16" s="268"/>
      <c r="X16" s="261">
        <f t="shared" si="10"/>
        <v>12.504898068648419</v>
      </c>
      <c r="Y16" s="262">
        <f t="shared" si="4"/>
        <v>1.2504898068648419E-2</v>
      </c>
    </row>
    <row r="17" spans="1:25" s="44" customFormat="1" ht="15.6" x14ac:dyDescent="0.3">
      <c r="B17" s="50"/>
      <c r="C17" s="20"/>
      <c r="D17" s="20"/>
      <c r="E17" s="51"/>
      <c r="F17" s="257"/>
      <c r="G17" s="38">
        <f t="shared" si="11"/>
        <v>2031</v>
      </c>
      <c r="H17" s="37">
        <v>11</v>
      </c>
      <c r="I17" s="172">
        <f>'Capacity Delivered'!G17</f>
        <v>95.27</v>
      </c>
      <c r="J17" s="258">
        <f t="shared" si="5"/>
        <v>43.486444333670839</v>
      </c>
      <c r="K17" s="259">
        <f t="shared" si="6"/>
        <v>700.7247045511383</v>
      </c>
      <c r="L17" s="259">
        <f t="shared" si="7"/>
        <v>95.269999999999968</v>
      </c>
      <c r="M17" s="259">
        <f>+L17/'Capacity Delivered'!N18*1000</f>
        <v>10.845856102003639</v>
      </c>
      <c r="N17" s="260">
        <f t="shared" si="0"/>
        <v>1.0845856102003639E-2</v>
      </c>
      <c r="P17" s="172">
        <f t="shared" si="12"/>
        <v>16.545412754873972</v>
      </c>
      <c r="Q17" s="172">
        <f t="shared" si="1"/>
        <v>0</v>
      </c>
      <c r="R17" s="172">
        <f t="shared" si="2"/>
        <v>7.5522322949767444</v>
      </c>
      <c r="S17" s="172">
        <f t="shared" si="13"/>
        <v>106.01660322390244</v>
      </c>
      <c r="T17" s="311">
        <f t="shared" si="9"/>
        <v>14.413937061932254</v>
      </c>
      <c r="U17" s="259">
        <f>+T17/'Capacity Delivered'!L17*1000</f>
        <v>1.6454266052434079</v>
      </c>
      <c r="V17" s="260">
        <f t="shared" si="3"/>
        <v>1.6454266052434079E-3</v>
      </c>
      <c r="X17" s="261">
        <f t="shared" si="10"/>
        <v>12.491282707247047</v>
      </c>
      <c r="Y17" s="262">
        <f t="shared" si="4"/>
        <v>1.2491282707247047E-2</v>
      </c>
    </row>
    <row r="18" spans="1:25" s="44" customFormat="1" x14ac:dyDescent="0.25">
      <c r="B18" s="267"/>
      <c r="C18" s="267"/>
      <c r="D18" s="267"/>
      <c r="E18" s="267"/>
      <c r="F18" s="257"/>
      <c r="G18" s="38">
        <f t="shared" si="11"/>
        <v>2032</v>
      </c>
      <c r="H18" s="37">
        <v>12</v>
      </c>
      <c r="I18" s="172">
        <f>'Capacity Delivered'!G18</f>
        <v>95.27</v>
      </c>
      <c r="J18" s="258">
        <f t="shared" si="5"/>
        <v>40.493942018503432</v>
      </c>
      <c r="K18" s="259">
        <f t="shared" si="6"/>
        <v>741.21864656964169</v>
      </c>
      <c r="L18" s="259">
        <f t="shared" si="7"/>
        <v>95.269999999999953</v>
      </c>
      <c r="M18" s="259">
        <f>+L18/'Capacity Delivered'!N19*1000</f>
        <v>10.875570776255703</v>
      </c>
      <c r="N18" s="260">
        <f t="shared" si="0"/>
        <v>1.0875570776255703E-2</v>
      </c>
      <c r="P18" s="172">
        <f t="shared" si="12"/>
        <v>16.959048073745823</v>
      </c>
      <c r="Q18" s="172">
        <f t="shared" si="1"/>
        <v>0</v>
      </c>
      <c r="R18" s="172">
        <f t="shared" si="2"/>
        <v>7.2083416541122673</v>
      </c>
      <c r="S18" s="172">
        <f t="shared" si="13"/>
        <v>113.2249448780147</v>
      </c>
      <c r="T18" s="311">
        <f t="shared" si="9"/>
        <v>14.552980484841271</v>
      </c>
      <c r="U18" s="259">
        <f>+T18/'Capacity Delivered'!L18*1000</f>
        <v>1.6567600734108914</v>
      </c>
      <c r="V18" s="260">
        <f t="shared" si="3"/>
        <v>1.6567600734108915E-3</v>
      </c>
      <c r="X18" s="261">
        <f t="shared" si="10"/>
        <v>12.532330849666595</v>
      </c>
      <c r="Y18" s="262">
        <f t="shared" si="4"/>
        <v>1.2532330849666595E-2</v>
      </c>
    </row>
    <row r="19" spans="1:25" s="44" customFormat="1" x14ac:dyDescent="0.25">
      <c r="B19" s="267"/>
      <c r="C19" s="267"/>
      <c r="D19" s="267"/>
      <c r="E19" s="267"/>
      <c r="F19" s="190"/>
      <c r="G19" s="38">
        <f t="shared" si="11"/>
        <v>2033</v>
      </c>
      <c r="H19" s="37">
        <v>13</v>
      </c>
      <c r="I19" s="172">
        <f>'Capacity Delivered'!G19</f>
        <v>95.27</v>
      </c>
      <c r="J19" s="258">
        <f t="shared" si="5"/>
        <v>37.707367556107108</v>
      </c>
      <c r="K19" s="259">
        <f t="shared" si="6"/>
        <v>778.92601412574879</v>
      </c>
      <c r="L19" s="259">
        <f t="shared" si="7"/>
        <v>95.269999999999953</v>
      </c>
      <c r="M19" s="259">
        <f>+L19/'Capacity Delivered'!N20*1000</f>
        <v>10.875570776255703</v>
      </c>
      <c r="N19" s="260">
        <f t="shared" si="0"/>
        <v>1.0875570776255703E-2</v>
      </c>
      <c r="P19" s="172">
        <f t="shared" si="12"/>
        <v>17.38302427558947</v>
      </c>
      <c r="Q19" s="172">
        <f t="shared" si="1"/>
        <v>0</v>
      </c>
      <c r="R19" s="172">
        <f t="shared" si="2"/>
        <v>6.8801100618913047</v>
      </c>
      <c r="S19" s="172">
        <f t="shared" si="13"/>
        <v>120.105054939906</v>
      </c>
      <c r="T19" s="311">
        <f t="shared" si="9"/>
        <v>14.689981303253267</v>
      </c>
      <c r="U19" s="259">
        <f>+T19/'Capacity Delivered'!L19*1000</f>
        <v>1.6769385049375876</v>
      </c>
      <c r="V19" s="260">
        <f t="shared" si="3"/>
        <v>1.6769385049375876E-3</v>
      </c>
      <c r="X19" s="261">
        <f t="shared" si="10"/>
        <v>12.552509281193291</v>
      </c>
      <c r="Y19" s="262">
        <f t="shared" si="4"/>
        <v>1.2552509281193291E-2</v>
      </c>
    </row>
    <row r="20" spans="1:25" s="44" customFormat="1" x14ac:dyDescent="0.25">
      <c r="B20" s="267"/>
      <c r="C20" s="267"/>
      <c r="D20" s="267"/>
      <c r="E20" s="267"/>
      <c r="F20" s="190"/>
      <c r="G20" s="38">
        <f t="shared" si="11"/>
        <v>2034</v>
      </c>
      <c r="H20" s="37">
        <v>14</v>
      </c>
      <c r="I20" s="172">
        <f>'Capacity Delivered'!G20</f>
        <v>95.27</v>
      </c>
      <c r="J20" s="258">
        <f t="shared" si="5"/>
        <v>35.112550103461317</v>
      </c>
      <c r="K20" s="259">
        <f t="shared" si="6"/>
        <v>814.03856422921012</v>
      </c>
      <c r="L20" s="259">
        <f t="shared" si="7"/>
        <v>95.269999999999953</v>
      </c>
      <c r="M20" s="259">
        <f>+L20/'Capacity Delivered'!N21*1000</f>
        <v>10.875570776255703</v>
      </c>
      <c r="N20" s="260">
        <f t="shared" si="0"/>
        <v>1.0875570776255703E-2</v>
      </c>
      <c r="P20" s="172">
        <f t="shared" si="12"/>
        <v>17.817599882479207</v>
      </c>
      <c r="Q20" s="172">
        <f t="shared" si="1"/>
        <v>0</v>
      </c>
      <c r="R20" s="172">
        <f t="shared" si="2"/>
        <v>6.5668244840661041</v>
      </c>
      <c r="S20" s="172">
        <f t="shared" si="13"/>
        <v>126.6718794239721</v>
      </c>
      <c r="T20" s="311">
        <f t="shared" si="9"/>
        <v>14.824887275639933</v>
      </c>
      <c r="U20" s="259">
        <f>+T20/'Capacity Delivered'!L20*1000</f>
        <v>1.6923387300958828</v>
      </c>
      <c r="V20" s="260">
        <f t="shared" si="3"/>
        <v>1.6923387300958827E-3</v>
      </c>
      <c r="X20" s="261">
        <f t="shared" si="10"/>
        <v>12.567909506351587</v>
      </c>
      <c r="Y20" s="262">
        <f t="shared" si="4"/>
        <v>1.2567909506351586E-2</v>
      </c>
    </row>
    <row r="21" spans="1:25" s="268" customFormat="1" x14ac:dyDescent="0.25">
      <c r="B21" s="267"/>
      <c r="C21" s="267"/>
      <c r="D21" s="267"/>
      <c r="E21" s="267"/>
      <c r="F21" s="190"/>
      <c r="G21" s="37">
        <f t="shared" si="11"/>
        <v>2035</v>
      </c>
      <c r="H21" s="37">
        <v>15</v>
      </c>
      <c r="I21" s="172">
        <f>'Capacity Delivered'!G21</f>
        <v>95.27</v>
      </c>
      <c r="J21" s="258">
        <f t="shared" si="5"/>
        <v>32.696293978453596</v>
      </c>
      <c r="K21" s="259">
        <f>K20+J21</f>
        <v>846.73485820766371</v>
      </c>
      <c r="L21" s="259">
        <f t="shared" si="7"/>
        <v>95.269999999999953</v>
      </c>
      <c r="M21" s="259">
        <f>+L21/'Capacity Delivered'!N22*1000</f>
        <v>10.845856102003637</v>
      </c>
      <c r="N21" s="260">
        <f>M21/1000</f>
        <v>1.0845856102003637E-2</v>
      </c>
      <c r="P21" s="172">
        <f t="shared" si="12"/>
        <v>18.263039879541189</v>
      </c>
      <c r="Q21" s="172">
        <f t="shared" si="1"/>
        <v>0</v>
      </c>
      <c r="R21" s="172">
        <f t="shared" si="2"/>
        <v>6.2678043543791384</v>
      </c>
      <c r="S21" s="172">
        <f>S20+R21</f>
        <v>132.93968377835125</v>
      </c>
      <c r="T21" s="311">
        <f t="shared" si="9"/>
        <v>14.957650025620365</v>
      </c>
      <c r="U21" s="259">
        <f>+T21/'Capacity Delivered'!L21*1000</f>
        <v>1.7074942951621424</v>
      </c>
      <c r="V21" s="260">
        <f>U21/1000</f>
        <v>1.7074942951621423E-3</v>
      </c>
      <c r="X21" s="261">
        <f t="shared" si="10"/>
        <v>12.553350397165779</v>
      </c>
      <c r="Y21" s="262">
        <f>X21/1000</f>
        <v>1.2553350397165779E-2</v>
      </c>
    </row>
    <row r="22" spans="1:25" s="44" customFormat="1" x14ac:dyDescent="0.25">
      <c r="B22" s="267"/>
      <c r="C22" s="267"/>
      <c r="D22" s="267"/>
      <c r="E22" s="267"/>
      <c r="F22" s="190"/>
      <c r="G22" s="38">
        <f t="shared" si="11"/>
        <v>2036</v>
      </c>
      <c r="H22" s="37">
        <v>16</v>
      </c>
      <c r="I22" s="172">
        <f>'Capacity Delivered'!G22</f>
        <v>95.27</v>
      </c>
      <c r="J22" s="258">
        <f t="shared" si="5"/>
        <v>30.446311554570809</v>
      </c>
      <c r="K22" s="259">
        <f t="shared" si="6"/>
        <v>877.1811697622345</v>
      </c>
      <c r="L22" s="259">
        <f t="shared" si="7"/>
        <v>95.269999999999939</v>
      </c>
      <c r="M22" s="259">
        <f>+L22/'Capacity Delivered'!N23*1000</f>
        <v>10.875570776255701</v>
      </c>
      <c r="N22" s="260">
        <f t="shared" si="0"/>
        <v>1.0875570776255701E-2</v>
      </c>
      <c r="P22" s="172">
        <f t="shared" si="12"/>
        <v>18.719615876529719</v>
      </c>
      <c r="Q22" s="172">
        <f t="shared" si="1"/>
        <v>0</v>
      </c>
      <c r="R22" s="172">
        <f t="shared" si="2"/>
        <v>5.9824000961342918</v>
      </c>
      <c r="S22" s="172">
        <f t="shared" ref="S22:S27" si="14">S21+R22</f>
        <v>138.92208387448554</v>
      </c>
      <c r="T22" s="311">
        <f t="shared" si="9"/>
        <v>15.0882250861697</v>
      </c>
      <c r="U22" s="259">
        <f>+T22/'Capacity Delivered'!L22*1000</f>
        <v>1.7176941127242373</v>
      </c>
      <c r="V22" s="260">
        <f t="shared" ref="V22:V27" si="15">U22/1000</f>
        <v>1.7176941127242374E-3</v>
      </c>
      <c r="X22" s="261">
        <f t="shared" si="10"/>
        <v>12.593264888979938</v>
      </c>
      <c r="Y22" s="262">
        <f t="shared" ref="Y22:Y27" si="16">X22/1000</f>
        <v>1.2593264888979938E-2</v>
      </c>
    </row>
    <row r="23" spans="1:25" s="44" customFormat="1" x14ac:dyDescent="0.25">
      <c r="B23" s="267"/>
      <c r="C23" s="267"/>
      <c r="D23" s="267"/>
      <c r="E23" s="267"/>
      <c r="F23" s="190"/>
      <c r="G23" s="38">
        <f t="shared" si="11"/>
        <v>2037</v>
      </c>
      <c r="H23" s="37">
        <v>17</v>
      </c>
      <c r="I23" s="172">
        <f>'Capacity Delivered'!G23</f>
        <v>95.27</v>
      </c>
      <c r="J23" s="258">
        <f t="shared" si="5"/>
        <v>28.351160773415408</v>
      </c>
      <c r="K23" s="259">
        <f t="shared" si="6"/>
        <v>905.53233053564986</v>
      </c>
      <c r="L23" s="259">
        <f t="shared" si="7"/>
        <v>95.269999999999939</v>
      </c>
      <c r="M23" s="259">
        <f>+L23/'Capacity Delivered'!N24*1000</f>
        <v>10.875570776255701</v>
      </c>
      <c r="N23" s="260">
        <f t="shared" si="0"/>
        <v>1.0875570776255701E-2</v>
      </c>
      <c r="P23" s="172">
        <f t="shared" si="12"/>
        <v>19.187606273442963</v>
      </c>
      <c r="Q23" s="172">
        <f t="shared" si="1"/>
        <v>0</v>
      </c>
      <c r="R23" s="172">
        <f t="shared" si="2"/>
        <v>5.7099917110882288</v>
      </c>
      <c r="S23" s="172">
        <f t="shared" si="14"/>
        <v>144.63207558557377</v>
      </c>
      <c r="T23" s="311">
        <f t="shared" si="9"/>
        <v>15.21657192834501</v>
      </c>
      <c r="U23" s="259">
        <f>+T23/'Capacity Delivered'!L23*1000</f>
        <v>1.7370515899937227</v>
      </c>
      <c r="V23" s="260">
        <f t="shared" si="15"/>
        <v>1.7370515899937226E-3</v>
      </c>
      <c r="X23" s="261">
        <f t="shared" si="10"/>
        <v>12.612622366249424</v>
      </c>
      <c r="Y23" s="262">
        <f t="shared" si="16"/>
        <v>1.2612622366249424E-2</v>
      </c>
    </row>
    <row r="24" spans="1:25" s="44" customFormat="1" x14ac:dyDescent="0.25">
      <c r="B24" s="267"/>
      <c r="C24" s="267"/>
      <c r="D24" s="267"/>
      <c r="E24" s="267"/>
      <c r="F24" s="190"/>
      <c r="G24" s="38">
        <f t="shared" si="11"/>
        <v>2038</v>
      </c>
      <c r="H24" s="37">
        <v>18</v>
      </c>
      <c r="I24" s="172">
        <f>'Capacity Delivered'!G24</f>
        <v>95.27</v>
      </c>
      <c r="J24" s="258">
        <f t="shared" si="5"/>
        <v>26.400186957272936</v>
      </c>
      <c r="K24" s="259">
        <f t="shared" si="6"/>
        <v>931.93251749292278</v>
      </c>
      <c r="L24" s="259">
        <f t="shared" si="7"/>
        <v>95.269999999999939</v>
      </c>
      <c r="M24" s="259">
        <f>+L24/'Capacity Delivered'!N25*1000</f>
        <v>10.875570776255701</v>
      </c>
      <c r="N24" s="260">
        <f t="shared" si="0"/>
        <v>1.0875570776255701E-2</v>
      </c>
      <c r="P24" s="172">
        <f t="shared" si="12"/>
        <v>19.667296430279038</v>
      </c>
      <c r="Q24" s="172">
        <f t="shared" si="1"/>
        <v>0</v>
      </c>
      <c r="R24" s="172">
        <f t="shared" si="2"/>
        <v>5.4499874325965489</v>
      </c>
      <c r="S24" s="172">
        <f t="shared" si="14"/>
        <v>150.08206301817032</v>
      </c>
      <c r="T24" s="311">
        <f t="shared" si="9"/>
        <v>15.342653974781667</v>
      </c>
      <c r="U24" s="259">
        <f>+T24/'Capacity Delivered'!L24*1000</f>
        <v>1.7514445176691402</v>
      </c>
      <c r="V24" s="260">
        <f t="shared" si="15"/>
        <v>1.7514445176691402E-3</v>
      </c>
      <c r="X24" s="261">
        <f t="shared" si="10"/>
        <v>12.627015293924842</v>
      </c>
      <c r="Y24" s="262">
        <f t="shared" si="16"/>
        <v>1.2627015293924841E-2</v>
      </c>
    </row>
    <row r="25" spans="1:25" s="44" customFormat="1" x14ac:dyDescent="0.25">
      <c r="B25" s="267"/>
      <c r="C25" s="267"/>
      <c r="D25" s="267"/>
      <c r="E25" s="267"/>
      <c r="F25" s="190"/>
      <c r="G25" s="38">
        <f t="shared" si="11"/>
        <v>2039</v>
      </c>
      <c r="H25" s="37">
        <v>19</v>
      </c>
      <c r="I25" s="172">
        <f>'Capacity Delivered'!G25</f>
        <v>95.27</v>
      </c>
      <c r="J25" s="258">
        <f t="shared" si="5"/>
        <v>24.583468625824509</v>
      </c>
      <c r="K25" s="259">
        <f t="shared" si="6"/>
        <v>956.51598611874726</v>
      </c>
      <c r="L25" s="259">
        <f t="shared" si="7"/>
        <v>95.269999999999925</v>
      </c>
      <c r="M25" s="259">
        <f>+L25/'Capacity Delivered'!N26*1000</f>
        <v>10.845856102003633</v>
      </c>
      <c r="N25" s="260">
        <f t="shared" si="0"/>
        <v>1.0845856102003634E-2</v>
      </c>
      <c r="P25" s="172">
        <f t="shared" si="12"/>
        <v>20.158978841036014</v>
      </c>
      <c r="Q25" s="172">
        <f t="shared" si="1"/>
        <v>0</v>
      </c>
      <c r="R25" s="172">
        <f t="shared" si="2"/>
        <v>5.2018224400888942</v>
      </c>
      <c r="S25" s="172">
        <f t="shared" si="14"/>
        <v>155.28388545825922</v>
      </c>
      <c r="T25" s="311">
        <f t="shared" si="9"/>
        <v>15.466438598310837</v>
      </c>
      <c r="U25" s="259">
        <f>+T25/'Capacity Delivered'!L25*1000</f>
        <v>1.765575182455575</v>
      </c>
      <c r="V25" s="260">
        <f t="shared" si="15"/>
        <v>1.7655751824555751E-3</v>
      </c>
      <c r="X25" s="261">
        <f t="shared" si="10"/>
        <v>12.611431284459208</v>
      </c>
      <c r="Y25" s="262">
        <f t="shared" si="16"/>
        <v>1.2611431284459207E-2</v>
      </c>
    </row>
    <row r="26" spans="1:25" x14ac:dyDescent="0.25">
      <c r="B26" s="173"/>
      <c r="C26" s="173"/>
      <c r="D26" s="173"/>
      <c r="E26" s="173"/>
      <c r="F26" s="52"/>
      <c r="G26" s="38">
        <f t="shared" si="11"/>
        <v>2040</v>
      </c>
      <c r="H26" s="39">
        <v>20</v>
      </c>
      <c r="I26" s="172">
        <f>'Capacity Delivered'!G26</f>
        <v>95.27</v>
      </c>
      <c r="J26" s="40">
        <f t="shared" si="5"/>
        <v>22.891767041460568</v>
      </c>
      <c r="K26" s="41">
        <f t="shared" si="6"/>
        <v>979.40775316020779</v>
      </c>
      <c r="L26" s="41">
        <f t="shared" si="7"/>
        <v>95.269999999999939</v>
      </c>
      <c r="M26" s="41">
        <f>+L26/'Capacity Delivered'!N27*1000</f>
        <v>10.875570776255701</v>
      </c>
      <c r="N26" s="238">
        <f t="shared" si="0"/>
        <v>1.0875570776255701E-2</v>
      </c>
      <c r="P26" s="172">
        <f t="shared" si="12"/>
        <v>20.662953312061912</v>
      </c>
      <c r="Q26" s="172">
        <f t="shared" si="1"/>
        <v>0</v>
      </c>
      <c r="R26" s="172">
        <f t="shared" si="2"/>
        <v>4.9649576320803757</v>
      </c>
      <c r="S26" s="172">
        <f t="shared" si="14"/>
        <v>160.24884309033959</v>
      </c>
      <c r="T26" s="311">
        <f t="shared" si="9"/>
        <v>15.58789710613955</v>
      </c>
      <c r="U26" s="41">
        <f>+T26/'Capacity Delivered'!L26*1000</f>
        <v>1.774578450152499</v>
      </c>
      <c r="V26" s="238">
        <f t="shared" si="15"/>
        <v>1.774578450152499E-3</v>
      </c>
      <c r="X26" s="245">
        <f t="shared" si="10"/>
        <v>12.6501492264082</v>
      </c>
      <c r="Y26" s="246">
        <f t="shared" si="16"/>
        <v>1.2650149226408199E-2</v>
      </c>
    </row>
    <row r="27" spans="1:25" s="44" customFormat="1" ht="15.6" thickBot="1" x14ac:dyDescent="0.3">
      <c r="G27" s="38">
        <f t="shared" si="11"/>
        <v>2041</v>
      </c>
      <c r="H27" s="37">
        <v>21</v>
      </c>
      <c r="I27" s="172">
        <f>'Capacity Delivered'!G27</f>
        <v>95.27</v>
      </c>
      <c r="J27" s="40">
        <f t="shared" si="5"/>
        <v>21.316479226613804</v>
      </c>
      <c r="K27" s="41">
        <f t="shared" ref="K27" si="17">K26+J27</f>
        <v>1000.7242323868215</v>
      </c>
      <c r="L27" s="41">
        <f t="shared" si="7"/>
        <v>95.269999999999925</v>
      </c>
      <c r="M27" s="41">
        <f>+L27/'Capacity Delivered'!N28*1000</f>
        <v>10.875570776255699</v>
      </c>
      <c r="N27" s="238">
        <f t="shared" si="0"/>
        <v>1.08755707762557E-2</v>
      </c>
      <c r="P27" s="172">
        <f t="shared" si="12"/>
        <v>21.17952714486346</v>
      </c>
      <c r="Q27" s="172">
        <f t="shared" si="1"/>
        <v>0</v>
      </c>
      <c r="R27" s="172">
        <f t="shared" si="2"/>
        <v>4.7388784550539009</v>
      </c>
      <c r="S27" s="172">
        <f t="shared" si="14"/>
        <v>164.9877215453935</v>
      </c>
      <c r="T27" s="311">
        <f t="shared" si="9"/>
        <v>15.7070047101186</v>
      </c>
      <c r="U27" s="41">
        <f>+T27/'Capacity Delivered'!L27*1000</f>
        <v>1.793037067365137</v>
      </c>
      <c r="V27" s="238">
        <f t="shared" si="15"/>
        <v>1.7930370673651371E-3</v>
      </c>
      <c r="X27" s="247">
        <f t="shared" si="10"/>
        <v>12.668607843620837</v>
      </c>
      <c r="Y27" s="248">
        <f t="shared" si="16"/>
        <v>1.2668607843620837E-2</v>
      </c>
    </row>
    <row r="28" spans="1:25" s="44" customFormat="1" x14ac:dyDescent="0.25">
      <c r="C28" s="21"/>
      <c r="D28" s="21"/>
      <c r="G28" s="38"/>
      <c r="H28" s="37"/>
      <c r="I28" s="175"/>
      <c r="J28" s="55"/>
      <c r="K28" s="56"/>
      <c r="L28" s="48"/>
      <c r="M28" s="48"/>
      <c r="N28" s="48"/>
      <c r="P28" s="176"/>
      <c r="Q28" s="54"/>
      <c r="R28" s="55"/>
      <c r="S28" s="56"/>
      <c r="T28" s="48"/>
      <c r="U28" s="48"/>
      <c r="V28" s="48"/>
      <c r="X28" s="48"/>
      <c r="Y28" s="48"/>
    </row>
    <row r="29" spans="1:25" x14ac:dyDescent="0.25">
      <c r="B29" s="31"/>
      <c r="C29" s="21"/>
      <c r="D29" s="21"/>
      <c r="E29" s="44"/>
      <c r="F29" s="44"/>
      <c r="G29" s="31"/>
      <c r="H29" s="37"/>
      <c r="I29" s="175"/>
      <c r="J29" s="31"/>
      <c r="K29" s="31"/>
      <c r="L29" s="31"/>
      <c r="M29" s="31"/>
      <c r="N29" s="31"/>
      <c r="P29" s="176"/>
      <c r="Q29" s="54"/>
      <c r="R29" s="31"/>
      <c r="S29" s="31"/>
      <c r="T29" s="31"/>
      <c r="U29" s="31"/>
      <c r="V29" s="31"/>
      <c r="X29" s="31"/>
      <c r="Y29" s="31"/>
    </row>
    <row r="30" spans="1:25" ht="114" customHeight="1" x14ac:dyDescent="0.25">
      <c r="A30" s="321" t="str">
        <f>+D6</f>
        <v>[4]</v>
      </c>
      <c r="B30" s="336" t="s">
        <v>133</v>
      </c>
      <c r="C30" s="336"/>
      <c r="D30" s="336"/>
      <c r="E30" s="336"/>
      <c r="F30" s="336"/>
      <c r="G30" s="336"/>
      <c r="H30" s="336"/>
      <c r="I30" s="336"/>
      <c r="J30" s="336"/>
      <c r="K30" s="336"/>
      <c r="L30" s="336"/>
      <c r="M30" s="336"/>
      <c r="N30" s="336"/>
    </row>
  </sheetData>
  <mergeCells count="1">
    <mergeCell ref="B30:N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r:id="rId6">
            <anchor moveWithCells="1">
              <from>
                <xdr:col>7</xdr:col>
                <xdr:colOff>533400</xdr:colOff>
                <xdr:row>2</xdr:row>
                <xdr:rowOff>7620</xdr:rowOff>
              </from>
              <to>
                <xdr:col>7</xdr:col>
                <xdr:colOff>731520</xdr:colOff>
                <xdr:row>3</xdr:row>
                <xdr:rowOff>7620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7</xdr:col>
                <xdr:colOff>533400</xdr:colOff>
                <xdr:row>2</xdr:row>
                <xdr:rowOff>7620</xdr:rowOff>
              </from>
              <to>
                <xdr:col>8</xdr:col>
                <xdr:colOff>53340</xdr:colOff>
                <xdr:row>3</xdr:row>
                <xdr:rowOff>7620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7</xdr:col>
                <xdr:colOff>533400</xdr:colOff>
                <xdr:row>2</xdr:row>
                <xdr:rowOff>7620</xdr:rowOff>
              </from>
              <to>
                <xdr:col>8</xdr:col>
                <xdr:colOff>53340</xdr:colOff>
                <xdr:row>3</xdr:row>
                <xdr:rowOff>7620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7</xdr:col>
                <xdr:colOff>533400</xdr:colOff>
                <xdr:row>2</xdr:row>
                <xdr:rowOff>7620</xdr:rowOff>
              </from>
              <to>
                <xdr:col>8</xdr:col>
                <xdr:colOff>76200</xdr:colOff>
                <xdr:row>3</xdr:row>
                <xdr:rowOff>83820</xdr:rowOff>
              </to>
            </anchor>
          </controlPr>
        </control>
      </mc:Choice>
      <mc:Fallback>
        <control shapeId="5124" r:id="rId11" name="Control 4"/>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Y30"/>
  <sheetViews>
    <sheetView topLeftCell="B15" zoomScale="90" zoomScaleNormal="90" workbookViewId="0">
      <selection activeCell="B30" sqref="B30:N30"/>
    </sheetView>
  </sheetViews>
  <sheetFormatPr defaultColWidth="9.109375" defaultRowHeight="15" x14ac:dyDescent="0.25"/>
  <cols>
    <col min="1" max="1" width="3.7773437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9"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5"/>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9" t="s">
        <v>19</v>
      </c>
      <c r="Y4" s="240" t="s">
        <v>19</v>
      </c>
    </row>
    <row r="5" spans="1:25" ht="15.6" x14ac:dyDescent="0.3">
      <c r="B5" s="50"/>
      <c r="C5" s="50"/>
      <c r="D5" s="50"/>
      <c r="G5" s="18"/>
      <c r="H5" s="18" t="s">
        <v>20</v>
      </c>
      <c r="I5" s="19" t="s">
        <v>124</v>
      </c>
      <c r="J5" s="18" t="s">
        <v>124</v>
      </c>
      <c r="K5" s="18" t="s">
        <v>124</v>
      </c>
      <c r="L5" s="4" t="s">
        <v>124</v>
      </c>
      <c r="M5" s="4" t="s">
        <v>33</v>
      </c>
      <c r="N5" s="4" t="s">
        <v>34</v>
      </c>
      <c r="P5" s="19" t="s">
        <v>124</v>
      </c>
      <c r="Q5" s="19" t="s">
        <v>124</v>
      </c>
      <c r="R5" s="18" t="s">
        <v>124</v>
      </c>
      <c r="S5" s="18" t="s">
        <v>124</v>
      </c>
      <c r="T5" s="4" t="s">
        <v>124</v>
      </c>
      <c r="U5" s="4" t="s">
        <v>33</v>
      </c>
      <c r="V5" s="4" t="s">
        <v>34</v>
      </c>
      <c r="X5" s="241" t="s">
        <v>33</v>
      </c>
      <c r="Y5" s="242" t="s">
        <v>34</v>
      </c>
    </row>
    <row r="6" spans="1:25" s="44" customFormat="1" ht="15.6" x14ac:dyDescent="0.3">
      <c r="A6" s="170"/>
      <c r="B6" s="170"/>
      <c r="C6" s="164" t="s">
        <v>122</v>
      </c>
      <c r="D6" s="164" t="str">
        <f>+P6</f>
        <v>[4]</v>
      </c>
      <c r="E6" s="201">
        <f>12.61*(1+E9)</f>
        <v>12.925249999999998</v>
      </c>
      <c r="F6" s="45"/>
      <c r="G6" s="168" t="s">
        <v>21</v>
      </c>
      <c r="H6" s="168" t="s">
        <v>22</v>
      </c>
      <c r="I6" s="168" t="s">
        <v>23</v>
      </c>
      <c r="J6" s="168" t="s">
        <v>30</v>
      </c>
      <c r="K6" s="168" t="s">
        <v>26</v>
      </c>
      <c r="L6" s="168" t="s">
        <v>27</v>
      </c>
      <c r="M6" s="168" t="s">
        <v>35</v>
      </c>
      <c r="N6" s="168" t="s">
        <v>71</v>
      </c>
      <c r="P6" s="168" t="s">
        <v>24</v>
      </c>
      <c r="Q6" s="168" t="s">
        <v>25</v>
      </c>
      <c r="R6" s="168" t="s">
        <v>30</v>
      </c>
      <c r="S6" s="168" t="s">
        <v>26</v>
      </c>
      <c r="T6" s="168" t="s">
        <v>27</v>
      </c>
      <c r="U6" s="168" t="s">
        <v>35</v>
      </c>
      <c r="V6" s="168" t="s">
        <v>71</v>
      </c>
      <c r="X6" s="243" t="s">
        <v>35</v>
      </c>
      <c r="Y6" s="244" t="s">
        <v>71</v>
      </c>
    </row>
    <row r="7" spans="1:25" s="44" customFormat="1" ht="15.6" x14ac:dyDescent="0.3">
      <c r="A7" s="170"/>
      <c r="B7" s="170"/>
      <c r="C7" s="164" t="s">
        <v>123</v>
      </c>
      <c r="D7" s="164" t="str">
        <f>+Q6</f>
        <v>[5]</v>
      </c>
      <c r="E7" s="46">
        <v>0</v>
      </c>
      <c r="F7" s="257"/>
      <c r="G7" s="171">
        <f>'Baseload Avoided Capacity Calcs'!G7</f>
        <v>2021</v>
      </c>
      <c r="H7" s="269">
        <v>1</v>
      </c>
      <c r="I7" s="172">
        <f>'Capacity Delivered'!H7</f>
        <v>16.95806</v>
      </c>
      <c r="J7" s="265">
        <f t="shared" ref="J7:J27" si="0">SUM(I7)/((1+$E$8)^H7)</f>
        <v>15.791097867585435</v>
      </c>
      <c r="K7" s="270">
        <f>J7</f>
        <v>15.791097867585435</v>
      </c>
      <c r="L7" s="270">
        <f>(-PMT($E$8,H7,(K7)))</f>
        <v>16.95806</v>
      </c>
      <c r="M7" s="270">
        <f>+L7/'Capacity Delivered'!P8*1000</f>
        <v>5.2747999950232041</v>
      </c>
      <c r="N7" s="271">
        <f t="shared" ref="N7:N27" si="1">M7/1000</f>
        <v>5.2747999950232037E-3</v>
      </c>
      <c r="P7" s="177">
        <f>E6</f>
        <v>12.925249999999998</v>
      </c>
      <c r="Q7" s="177">
        <f t="shared" ref="Q7:Q27" si="2">(I7+P7)*$E$7</f>
        <v>0</v>
      </c>
      <c r="R7" s="177">
        <f t="shared" ref="R7:R27" si="3">SUM(P7:Q7)/((1+$E$8)^H7)</f>
        <v>12.035804078592045</v>
      </c>
      <c r="S7" s="177">
        <f>R7</f>
        <v>12.035804078592045</v>
      </c>
      <c r="T7" s="311">
        <f>(-PMT($E$8,H7,(S7)))</f>
        <v>12.925249999999997</v>
      </c>
      <c r="U7" s="270">
        <f>+T7/'Capacity Delivered'!L7*1000</f>
        <v>1.4754851598173513</v>
      </c>
      <c r="V7" s="271">
        <f t="shared" ref="V7:V20" si="4">U7/1000</f>
        <v>1.4754851598173513E-3</v>
      </c>
      <c r="X7" s="261">
        <f>M7+U7</f>
        <v>6.7502851548405554</v>
      </c>
      <c r="Y7" s="262">
        <f t="shared" ref="Y7:Y20" si="5">X7/1000</f>
        <v>6.7502851548405553E-3</v>
      </c>
    </row>
    <row r="8" spans="1:25" s="44" customFormat="1" ht="15.6" x14ac:dyDescent="0.3">
      <c r="A8" s="170"/>
      <c r="B8" s="170"/>
      <c r="C8" s="164" t="s">
        <v>45</v>
      </c>
      <c r="D8" s="164"/>
      <c r="E8" s="46">
        <f>Rate_of_Return</f>
        <v>7.3899999999999993E-2</v>
      </c>
      <c r="F8" s="257"/>
      <c r="G8" s="171">
        <f>'Baseload Avoided Capacity Calcs'!G8</f>
        <v>2022</v>
      </c>
      <c r="H8" s="37">
        <v>2</v>
      </c>
      <c r="I8" s="172">
        <f>'Capacity Delivered'!H8</f>
        <v>16.95806</v>
      </c>
      <c r="J8" s="258">
        <f t="shared" si="0"/>
        <v>14.704439768679983</v>
      </c>
      <c r="K8" s="259">
        <f t="shared" ref="K8:K27" si="6">K7+J8</f>
        <v>30.495537636265418</v>
      </c>
      <c r="L8" s="259">
        <f>(-PMT($E$8,H8,(K8)))</f>
        <v>16.958059999999996</v>
      </c>
      <c r="M8" s="259">
        <f>+L8/'Capacity Delivered'!P9*1000</f>
        <v>5.2747999950232032</v>
      </c>
      <c r="N8" s="260">
        <f t="shared" si="1"/>
        <v>5.2747999950232029E-3</v>
      </c>
      <c r="P8" s="172">
        <f t="shared" ref="P8:P27" si="7">P7+(P7*$E$9)</f>
        <v>13.248381249999998</v>
      </c>
      <c r="Q8" s="172">
        <f t="shared" si="2"/>
        <v>0</v>
      </c>
      <c r="R8" s="172">
        <f t="shared" si="3"/>
        <v>11.487754148949479</v>
      </c>
      <c r="S8" s="172">
        <f t="shared" ref="S8:S12" si="8">S7+R8</f>
        <v>23.523558227541525</v>
      </c>
      <c r="T8" s="311">
        <f t="shared" ref="T8:T27" si="9">(-PMT($E$8,H8,(S8)))</f>
        <v>13.081058500892034</v>
      </c>
      <c r="U8" s="259">
        <f>+T8/'Capacity Delivered'!L8*1000</f>
        <v>1.4932715183666705</v>
      </c>
      <c r="V8" s="260">
        <f t="shared" si="4"/>
        <v>1.4932715183666706E-3</v>
      </c>
      <c r="X8" s="261">
        <f t="shared" ref="X8:X27" si="10">M8+U8</f>
        <v>6.7680715133898737</v>
      </c>
      <c r="Y8" s="262">
        <f t="shared" si="5"/>
        <v>6.7680715133898737E-3</v>
      </c>
    </row>
    <row r="9" spans="1:25" s="44" customFormat="1" ht="15.6" x14ac:dyDescent="0.3">
      <c r="A9" s="170"/>
      <c r="B9" s="170"/>
      <c r="C9" s="164" t="s">
        <v>46</v>
      </c>
      <c r="D9" s="164"/>
      <c r="E9" s="46">
        <v>2.5000000000000001E-2</v>
      </c>
      <c r="F9" s="263"/>
      <c r="G9" s="171">
        <f>'Baseload Avoided Capacity Calcs'!G9</f>
        <v>2023</v>
      </c>
      <c r="H9" s="37">
        <v>3</v>
      </c>
      <c r="I9" s="172">
        <f>'Capacity Delivered'!H9</f>
        <v>16.95806</v>
      </c>
      <c r="J9" s="258">
        <f t="shared" si="0"/>
        <v>13.692559613260064</v>
      </c>
      <c r="K9" s="259">
        <f t="shared" si="6"/>
        <v>44.188097249525484</v>
      </c>
      <c r="L9" s="259">
        <f>(-PMT($E$8,H9,(K9)))</f>
        <v>16.958059999999996</v>
      </c>
      <c r="M9" s="259">
        <f>+L9/'Capacity Delivered'!P10*1000</f>
        <v>5.2603879731788767</v>
      </c>
      <c r="N9" s="260">
        <f t="shared" si="1"/>
        <v>5.2603879731788769E-3</v>
      </c>
      <c r="P9" s="172">
        <f t="shared" si="7"/>
        <v>13.579590781249998</v>
      </c>
      <c r="Q9" s="172">
        <f t="shared" si="2"/>
        <v>0</v>
      </c>
      <c r="R9" s="172">
        <f t="shared" si="3"/>
        <v>10.964659654225921</v>
      </c>
      <c r="S9" s="172">
        <f t="shared" si="8"/>
        <v>34.488217881767447</v>
      </c>
      <c r="T9" s="311">
        <f t="shared" si="9"/>
        <v>13.235538629995334</v>
      </c>
      <c r="U9" s="259">
        <f>+T9/'Capacity Delivered'!L9*1000</f>
        <v>1.5109062363008372</v>
      </c>
      <c r="V9" s="260">
        <f t="shared" si="4"/>
        <v>1.5109062363008372E-3</v>
      </c>
      <c r="X9" s="261">
        <f t="shared" si="10"/>
        <v>6.7712942094797137</v>
      </c>
      <c r="Y9" s="262">
        <f t="shared" si="5"/>
        <v>6.7712942094797137E-3</v>
      </c>
    </row>
    <row r="10" spans="1:25" s="44" customFormat="1" ht="15.6" x14ac:dyDescent="0.3">
      <c r="B10" s="170"/>
      <c r="C10" s="164"/>
      <c r="D10" s="164"/>
      <c r="E10" s="51"/>
      <c r="F10" s="257"/>
      <c r="G10" s="171">
        <f>'Baseload Avoided Capacity Calcs'!G10</f>
        <v>2024</v>
      </c>
      <c r="H10" s="37">
        <v>4</v>
      </c>
      <c r="I10" s="172">
        <f>'Capacity Delivered'!H10</f>
        <v>16.95806</v>
      </c>
      <c r="J10" s="258">
        <f t="shared" si="0"/>
        <v>12.750311586982086</v>
      </c>
      <c r="K10" s="259">
        <f t="shared" si="6"/>
        <v>56.93840883650757</v>
      </c>
      <c r="L10" s="259">
        <f t="shared" ref="L10:L26" si="11">(-PMT($E$8,H10,(K10)))</f>
        <v>16.958059999999996</v>
      </c>
      <c r="M10" s="259">
        <f>+L10/'Capacity Delivered'!P11*1000</f>
        <v>5.2747999950232032</v>
      </c>
      <c r="N10" s="260">
        <f t="shared" si="1"/>
        <v>5.2747999950232029E-3</v>
      </c>
      <c r="P10" s="172">
        <f t="shared" si="7"/>
        <v>13.919080550781247</v>
      </c>
      <c r="Q10" s="172">
        <f t="shared" si="2"/>
        <v>0</v>
      </c>
      <c r="R10" s="172">
        <f t="shared" si="3"/>
        <v>10.465384249540522</v>
      </c>
      <c r="S10" s="172">
        <f t="shared" si="8"/>
        <v>44.953602131307967</v>
      </c>
      <c r="T10" s="311">
        <f t="shared" si="9"/>
        <v>13.388605297134028</v>
      </c>
      <c r="U10" s="259">
        <f>+T10/'Capacity Delivered'!L10*1000</f>
        <v>1.5242036995826533</v>
      </c>
      <c r="V10" s="260">
        <f t="shared" si="4"/>
        <v>1.5242036995826533E-3</v>
      </c>
      <c r="X10" s="261">
        <f t="shared" si="10"/>
        <v>6.7990036946058563</v>
      </c>
      <c r="Y10" s="262">
        <f t="shared" si="5"/>
        <v>6.799003694605856E-3</v>
      </c>
    </row>
    <row r="11" spans="1:25" s="44" customFormat="1" ht="15.6" x14ac:dyDescent="0.3">
      <c r="B11" s="170"/>
      <c r="C11" s="164"/>
      <c r="D11" s="164"/>
      <c r="E11" s="51"/>
      <c r="F11" s="257"/>
      <c r="G11" s="171">
        <f>'Baseload Avoided Capacity Calcs'!G11</f>
        <v>2025</v>
      </c>
      <c r="H11" s="37">
        <v>5</v>
      </c>
      <c r="I11" s="172">
        <f>'Capacity Delivered'!H11</f>
        <v>16.95806</v>
      </c>
      <c r="J11" s="258">
        <f t="shared" si="0"/>
        <v>11.872903982663269</v>
      </c>
      <c r="K11" s="259">
        <f t="shared" si="6"/>
        <v>68.811312819170837</v>
      </c>
      <c r="L11" s="259">
        <f t="shared" si="11"/>
        <v>16.958059999999993</v>
      </c>
      <c r="M11" s="259">
        <f>+L11/'Capacity Delivered'!P12*1000</f>
        <v>5.2747999950232023</v>
      </c>
      <c r="N11" s="260">
        <f t="shared" si="1"/>
        <v>5.274799995023202E-3</v>
      </c>
      <c r="P11" s="172">
        <f t="shared" si="7"/>
        <v>14.267057564550779</v>
      </c>
      <c r="Q11" s="172">
        <f t="shared" si="2"/>
        <v>0</v>
      </c>
      <c r="R11" s="172">
        <f t="shared" si="3"/>
        <v>9.988843333437968</v>
      </c>
      <c r="S11" s="172">
        <f t="shared" si="8"/>
        <v>54.942445464745937</v>
      </c>
      <c r="T11" s="311">
        <f t="shared" si="9"/>
        <v>13.540176005453462</v>
      </c>
      <c r="U11" s="259">
        <f>+T11/'Capacity Delivered'!L11*1000</f>
        <v>1.5456821924033632</v>
      </c>
      <c r="V11" s="260">
        <f t="shared" si="4"/>
        <v>1.5456821924033633E-3</v>
      </c>
      <c r="X11" s="261">
        <f t="shared" si="10"/>
        <v>6.8204821874265651</v>
      </c>
      <c r="Y11" s="262">
        <f t="shared" si="5"/>
        <v>6.8204821874265648E-3</v>
      </c>
    </row>
    <row r="12" spans="1:25" s="44" customFormat="1" ht="15.6" x14ac:dyDescent="0.3">
      <c r="B12" s="170"/>
      <c r="C12" s="164"/>
      <c r="D12" s="164"/>
      <c r="E12" s="51"/>
      <c r="F12" s="257"/>
      <c r="G12" s="171">
        <f>'Baseload Avoided Capacity Calcs'!G12</f>
        <v>2026</v>
      </c>
      <c r="H12" s="37">
        <v>6</v>
      </c>
      <c r="I12" s="172">
        <f>'Capacity Delivered'!H12</f>
        <v>16.95806</v>
      </c>
      <c r="J12" s="258">
        <f t="shared" si="0"/>
        <v>11.055874832538663</v>
      </c>
      <c r="K12" s="259">
        <f t="shared" si="6"/>
        <v>79.8671876517095</v>
      </c>
      <c r="L12" s="259">
        <f t="shared" si="11"/>
        <v>16.958059999999993</v>
      </c>
      <c r="M12" s="259">
        <f>+L12/'Capacity Delivered'!P13*1000</f>
        <v>5.2747999950232023</v>
      </c>
      <c r="N12" s="260">
        <f t="shared" si="1"/>
        <v>5.274799995023202E-3</v>
      </c>
      <c r="P12" s="172">
        <f t="shared" si="7"/>
        <v>14.623734003664548</v>
      </c>
      <c r="Q12" s="172">
        <f t="shared" si="2"/>
        <v>0</v>
      </c>
      <c r="R12" s="172">
        <f t="shared" si="3"/>
        <v>9.5340016917533461</v>
      </c>
      <c r="S12" s="172">
        <f t="shared" si="8"/>
        <v>64.47644715649929</v>
      </c>
      <c r="T12" s="311">
        <f t="shared" si="9"/>
        <v>13.690171040388959</v>
      </c>
      <c r="U12" s="259">
        <f>+T12/'Capacity Delivered'!L12*1000</f>
        <v>1.5628049132864108</v>
      </c>
      <c r="V12" s="260">
        <f t="shared" si="4"/>
        <v>1.5628049132864108E-3</v>
      </c>
      <c r="X12" s="261">
        <f t="shared" si="10"/>
        <v>6.8376049083096131</v>
      </c>
      <c r="Y12" s="262">
        <f t="shared" si="5"/>
        <v>6.837604908309613E-3</v>
      </c>
    </row>
    <row r="13" spans="1:25" s="44" customFormat="1" ht="15.6" x14ac:dyDescent="0.3">
      <c r="B13" s="170"/>
      <c r="C13" s="164"/>
      <c r="D13" s="164"/>
      <c r="E13" s="51"/>
      <c r="F13" s="257"/>
      <c r="G13" s="171">
        <f>'Baseload Avoided Capacity Calcs'!G13</f>
        <v>2027</v>
      </c>
      <c r="H13" s="37">
        <v>7</v>
      </c>
      <c r="I13" s="172">
        <f>'Capacity Delivered'!H13</f>
        <v>16.95806</v>
      </c>
      <c r="J13" s="258">
        <f t="shared" si="0"/>
        <v>10.295069217374675</v>
      </c>
      <c r="K13" s="259">
        <f>K12+J13</f>
        <v>90.162256869084175</v>
      </c>
      <c r="L13" s="259">
        <f t="shared" si="11"/>
        <v>16.958059999999993</v>
      </c>
      <c r="M13" s="259">
        <f>+L13/'Capacity Delivered'!P14*1000</f>
        <v>5.2603879731788759</v>
      </c>
      <c r="N13" s="260">
        <f t="shared" si="1"/>
        <v>5.2603879731788761E-3</v>
      </c>
      <c r="P13" s="172">
        <f>P12+(P12*$E$9)</f>
        <v>14.989327353756162</v>
      </c>
      <c r="Q13" s="172">
        <f t="shared" si="2"/>
        <v>0</v>
      </c>
      <c r="R13" s="172">
        <f t="shared" si="3"/>
        <v>9.0998712487635522</v>
      </c>
      <c r="S13" s="172">
        <f>S12+R13</f>
        <v>73.576318405262839</v>
      </c>
      <c r="T13" s="311">
        <f t="shared" si="9"/>
        <v>13.838513646649636</v>
      </c>
      <c r="U13" s="259">
        <f>+T13/'Capacity Delivered'!L13*1000</f>
        <v>1.5797390007590908</v>
      </c>
      <c r="V13" s="260">
        <f t="shared" si="4"/>
        <v>1.5797390007590909E-3</v>
      </c>
      <c r="X13" s="261">
        <f t="shared" si="10"/>
        <v>6.8401269739379664</v>
      </c>
      <c r="Y13" s="262">
        <f t="shared" si="5"/>
        <v>6.8401269739379661E-3</v>
      </c>
    </row>
    <row r="14" spans="1:25" s="44" customFormat="1" ht="15.6" x14ac:dyDescent="0.3">
      <c r="B14" s="170"/>
      <c r="C14" s="164"/>
      <c r="D14" s="164"/>
      <c r="E14" s="51"/>
      <c r="F14" s="257"/>
      <c r="G14" s="171">
        <f>'Baseload Avoided Capacity Calcs'!G14</f>
        <v>2028</v>
      </c>
      <c r="H14" s="37">
        <v>8</v>
      </c>
      <c r="I14" s="172">
        <f>'Capacity Delivered'!H14</f>
        <v>16.95806</v>
      </c>
      <c r="J14" s="258">
        <f t="shared" si="0"/>
        <v>9.5866181370469068</v>
      </c>
      <c r="K14" s="259">
        <f t="shared" si="6"/>
        <v>99.748875006131087</v>
      </c>
      <c r="L14" s="259">
        <f t="shared" si="11"/>
        <v>16.958059999999993</v>
      </c>
      <c r="M14" s="259">
        <f>+L14/'Capacity Delivered'!P15*1000</f>
        <v>5.2747999950232023</v>
      </c>
      <c r="N14" s="260">
        <f t="shared" si="1"/>
        <v>5.274799995023202E-3</v>
      </c>
      <c r="P14" s="172">
        <f t="shared" si="7"/>
        <v>15.364060537600066</v>
      </c>
      <c r="Q14" s="172">
        <f t="shared" si="2"/>
        <v>0</v>
      </c>
      <c r="R14" s="172">
        <f t="shared" si="3"/>
        <v>8.6855089207399576</v>
      </c>
      <c r="S14" s="172">
        <f t="shared" ref="S14:S20" si="12">S13+R14</f>
        <v>82.261827326002802</v>
      </c>
      <c r="T14" s="311">
        <f t="shared" si="9"/>
        <v>13.985130192378115</v>
      </c>
      <c r="U14" s="259">
        <f>+T14/'Capacity Delivered'!L14*1000</f>
        <v>1.5921140929392208</v>
      </c>
      <c r="V14" s="260">
        <f t="shared" si="4"/>
        <v>1.5921140929392207E-3</v>
      </c>
      <c r="X14" s="261">
        <f t="shared" si="10"/>
        <v>6.8669140879624226</v>
      </c>
      <c r="Y14" s="262">
        <f t="shared" si="5"/>
        <v>6.8669140879624229E-3</v>
      </c>
    </row>
    <row r="15" spans="1:25" s="44" customFormat="1" ht="15.6" x14ac:dyDescent="0.3">
      <c r="B15" s="170"/>
      <c r="C15" s="164"/>
      <c r="D15" s="164"/>
      <c r="E15" s="51"/>
      <c r="F15" s="257"/>
      <c r="G15" s="171">
        <f>'Baseload Avoided Capacity Calcs'!G15</f>
        <v>2029</v>
      </c>
      <c r="H15" s="37">
        <v>9</v>
      </c>
      <c r="I15" s="172">
        <f>'Capacity Delivered'!H15</f>
        <v>16.95806</v>
      </c>
      <c r="J15" s="258">
        <f t="shared" si="0"/>
        <v>8.9269188351307438</v>
      </c>
      <c r="K15" s="259">
        <f t="shared" si="6"/>
        <v>108.67579384126184</v>
      </c>
      <c r="L15" s="259">
        <f t="shared" si="11"/>
        <v>16.958059999999996</v>
      </c>
      <c r="M15" s="259">
        <f>+L15/'Capacity Delivered'!P16*1000</f>
        <v>5.2747999950232032</v>
      </c>
      <c r="N15" s="260">
        <f t="shared" si="1"/>
        <v>5.2747999950232029E-3</v>
      </c>
      <c r="P15" s="172">
        <f t="shared" si="7"/>
        <v>15.748162051040067</v>
      </c>
      <c r="Q15" s="172">
        <f t="shared" si="2"/>
        <v>0</v>
      </c>
      <c r="R15" s="172">
        <f t="shared" si="3"/>
        <v>8.2900145672394601</v>
      </c>
      <c r="S15" s="172">
        <f t="shared" si="12"/>
        <v>90.551841893242255</v>
      </c>
      <c r="T15" s="311">
        <f t="shared" si="9"/>
        <v>14.129950319747172</v>
      </c>
      <c r="U15" s="259">
        <f>+T15/'Capacity Delivered'!L15*1000</f>
        <v>1.6130080273683984</v>
      </c>
      <c r="V15" s="260">
        <f t="shared" si="4"/>
        <v>1.6130080273683985E-3</v>
      </c>
      <c r="X15" s="261">
        <f t="shared" si="10"/>
        <v>6.8878080223916012</v>
      </c>
      <c r="Y15" s="262">
        <f t="shared" si="5"/>
        <v>6.8878080223916012E-3</v>
      </c>
    </row>
    <row r="16" spans="1:25" s="44" customFormat="1" ht="15.6" x14ac:dyDescent="0.3">
      <c r="B16" s="170"/>
      <c r="C16" s="164"/>
      <c r="D16" s="164"/>
      <c r="E16" s="51"/>
      <c r="F16" s="257"/>
      <c r="G16" s="171">
        <f>'Baseload Avoided Capacity Calcs'!G16</f>
        <v>2030</v>
      </c>
      <c r="H16" s="37">
        <v>10</v>
      </c>
      <c r="I16" s="172">
        <f>'Capacity Delivered'!H16</f>
        <v>16.95806</v>
      </c>
      <c r="J16" s="258">
        <f t="shared" si="0"/>
        <v>8.3126164774473832</v>
      </c>
      <c r="K16" s="259">
        <f t="shared" si="6"/>
        <v>116.98841031870921</v>
      </c>
      <c r="L16" s="259">
        <f t="shared" si="11"/>
        <v>16.958059999999996</v>
      </c>
      <c r="M16" s="259">
        <f>+L16/'Capacity Delivered'!P17*1000</f>
        <v>5.2747999950232032</v>
      </c>
      <c r="N16" s="260">
        <f t="shared" si="1"/>
        <v>5.2747999950232029E-3</v>
      </c>
      <c r="O16" s="268"/>
      <c r="P16" s="172">
        <f t="shared" si="7"/>
        <v>16.141866102316069</v>
      </c>
      <c r="Q16" s="172">
        <f t="shared" si="2"/>
        <v>0</v>
      </c>
      <c r="R16" s="172">
        <f t="shared" si="3"/>
        <v>7.9125290356834403</v>
      </c>
      <c r="S16" s="172">
        <f t="shared" si="12"/>
        <v>98.464370928925689</v>
      </c>
      <c r="T16" s="311">
        <f t="shared" si="9"/>
        <v>14.272907081360197</v>
      </c>
      <c r="U16" s="259">
        <f>+T16/'Capacity Delivered'!L16*1000</f>
        <v>1.6293272923927165</v>
      </c>
      <c r="V16" s="260">
        <f t="shared" si="4"/>
        <v>1.6293272923927165E-3</v>
      </c>
      <c r="W16" s="268"/>
      <c r="X16" s="261">
        <f t="shared" si="10"/>
        <v>6.9041272874159194</v>
      </c>
      <c r="Y16" s="262">
        <f t="shared" si="5"/>
        <v>6.9041272874159195E-3</v>
      </c>
    </row>
    <row r="17" spans="1:25" s="44" customFormat="1" ht="15.6" x14ac:dyDescent="0.3">
      <c r="B17" s="170"/>
      <c r="C17" s="164"/>
      <c r="D17" s="164"/>
      <c r="E17" s="51"/>
      <c r="F17" s="257"/>
      <c r="G17" s="171">
        <f>'Baseload Avoided Capacity Calcs'!G17</f>
        <v>2031</v>
      </c>
      <c r="H17" s="37">
        <v>11</v>
      </c>
      <c r="I17" s="172">
        <f>'Capacity Delivered'!H17</f>
        <v>16.95806</v>
      </c>
      <c r="J17" s="258">
        <f t="shared" si="0"/>
        <v>7.7405870913934089</v>
      </c>
      <c r="K17" s="259">
        <f t="shared" si="6"/>
        <v>124.72899741010262</v>
      </c>
      <c r="L17" s="259">
        <f t="shared" si="11"/>
        <v>16.958059999999993</v>
      </c>
      <c r="M17" s="259">
        <f>+L17/'Capacity Delivered'!P18*1000</f>
        <v>5.2603879731788759</v>
      </c>
      <c r="N17" s="260">
        <f t="shared" si="1"/>
        <v>5.2603879731788761E-3</v>
      </c>
      <c r="P17" s="172">
        <f t="shared" si="7"/>
        <v>16.545412754873972</v>
      </c>
      <c r="Q17" s="172">
        <f t="shared" si="2"/>
        <v>0</v>
      </c>
      <c r="R17" s="172">
        <f t="shared" si="3"/>
        <v>7.5522322949767444</v>
      </c>
      <c r="S17" s="172">
        <f t="shared" si="12"/>
        <v>106.01660322390244</v>
      </c>
      <c r="T17" s="311">
        <f t="shared" si="9"/>
        <v>14.413937061932254</v>
      </c>
      <c r="U17" s="259">
        <f>+T17/'Capacity Delivered'!L17*1000</f>
        <v>1.6454266052434079</v>
      </c>
      <c r="V17" s="260">
        <f t="shared" si="4"/>
        <v>1.6454266052434079E-3</v>
      </c>
      <c r="X17" s="261">
        <f t="shared" si="10"/>
        <v>6.9058145784222837</v>
      </c>
      <c r="Y17" s="262">
        <f t="shared" si="5"/>
        <v>6.9058145784222837E-3</v>
      </c>
    </row>
    <row r="18" spans="1:25" s="44" customFormat="1" x14ac:dyDescent="0.25">
      <c r="B18" s="267"/>
      <c r="C18" s="267"/>
      <c r="D18" s="267"/>
      <c r="E18" s="267"/>
      <c r="F18" s="257"/>
      <c r="G18" s="171">
        <f>'Baseload Avoided Capacity Calcs'!G18</f>
        <v>2032</v>
      </c>
      <c r="H18" s="37">
        <v>12</v>
      </c>
      <c r="I18" s="172">
        <f>'Capacity Delivered'!H18</f>
        <v>16.95806</v>
      </c>
      <c r="J18" s="258">
        <f t="shared" si="0"/>
        <v>7.2079216792936105</v>
      </c>
      <c r="K18" s="259">
        <f t="shared" si="6"/>
        <v>131.93691908939624</v>
      </c>
      <c r="L18" s="259">
        <f t="shared" si="11"/>
        <v>16.958059999999993</v>
      </c>
      <c r="M18" s="259">
        <f>+L18/'Capacity Delivered'!P19*1000</f>
        <v>5.2747999950232023</v>
      </c>
      <c r="N18" s="260">
        <f t="shared" si="1"/>
        <v>5.274799995023202E-3</v>
      </c>
      <c r="P18" s="172">
        <f t="shared" si="7"/>
        <v>16.959048073745823</v>
      </c>
      <c r="Q18" s="172">
        <f t="shared" si="2"/>
        <v>0</v>
      </c>
      <c r="R18" s="172">
        <f t="shared" si="3"/>
        <v>7.2083416541122673</v>
      </c>
      <c r="S18" s="172">
        <f t="shared" si="12"/>
        <v>113.2249448780147</v>
      </c>
      <c r="T18" s="311">
        <f t="shared" si="9"/>
        <v>14.552980484841271</v>
      </c>
      <c r="U18" s="259">
        <f>+T18/'Capacity Delivered'!L18*1000</f>
        <v>1.6567600734108914</v>
      </c>
      <c r="V18" s="260">
        <f t="shared" si="4"/>
        <v>1.6567600734108915E-3</v>
      </c>
      <c r="X18" s="261">
        <f t="shared" si="10"/>
        <v>6.9315600684340932</v>
      </c>
      <c r="Y18" s="262">
        <f t="shared" si="5"/>
        <v>6.9315600684340933E-3</v>
      </c>
    </row>
    <row r="19" spans="1:25" s="44" customFormat="1" x14ac:dyDescent="0.25">
      <c r="B19" s="267"/>
      <c r="C19" s="267"/>
      <c r="D19" s="267"/>
      <c r="E19" s="267"/>
      <c r="F19" s="190"/>
      <c r="G19" s="171">
        <f>'Baseload Avoided Capacity Calcs'!G19</f>
        <v>2033</v>
      </c>
      <c r="H19" s="37">
        <v>13</v>
      </c>
      <c r="I19" s="172">
        <f>'Capacity Delivered'!H19</f>
        <v>16.95806</v>
      </c>
      <c r="J19" s="258">
        <f t="shared" si="0"/>
        <v>6.7119114249870648</v>
      </c>
      <c r="K19" s="259">
        <f t="shared" si="6"/>
        <v>138.64883051438329</v>
      </c>
      <c r="L19" s="259">
        <f t="shared" si="11"/>
        <v>16.958059999999993</v>
      </c>
      <c r="M19" s="259">
        <f>+L19/'Capacity Delivered'!P20*1000</f>
        <v>5.2747999950232023</v>
      </c>
      <c r="N19" s="260">
        <f t="shared" si="1"/>
        <v>5.274799995023202E-3</v>
      </c>
      <c r="P19" s="172">
        <f t="shared" si="7"/>
        <v>17.38302427558947</v>
      </c>
      <c r="Q19" s="172">
        <f t="shared" si="2"/>
        <v>0</v>
      </c>
      <c r="R19" s="172">
        <f t="shared" si="3"/>
        <v>6.8801100618913047</v>
      </c>
      <c r="S19" s="172">
        <f t="shared" si="12"/>
        <v>120.105054939906</v>
      </c>
      <c r="T19" s="311">
        <f t="shared" si="9"/>
        <v>14.689981303253267</v>
      </c>
      <c r="U19" s="259">
        <f>+T19/'Capacity Delivered'!L19*1000</f>
        <v>1.6769385049375876</v>
      </c>
      <c r="V19" s="260">
        <f t="shared" si="4"/>
        <v>1.6769385049375876E-3</v>
      </c>
      <c r="X19" s="261">
        <f t="shared" si="10"/>
        <v>6.9517384999607899</v>
      </c>
      <c r="Y19" s="262">
        <f t="shared" si="5"/>
        <v>6.9517384999607896E-3</v>
      </c>
    </row>
    <row r="20" spans="1:25" s="44" customFormat="1" x14ac:dyDescent="0.25">
      <c r="B20" s="267"/>
      <c r="C20" s="267"/>
      <c r="D20" s="267"/>
      <c r="E20" s="267"/>
      <c r="F20" s="190"/>
      <c r="G20" s="171">
        <f>'Baseload Avoided Capacity Calcs'!G20</f>
        <v>2034</v>
      </c>
      <c r="H20" s="37">
        <v>14</v>
      </c>
      <c r="I20" s="172">
        <f>'Capacity Delivered'!H20</f>
        <v>16.95806</v>
      </c>
      <c r="J20" s="258">
        <f t="shared" si="0"/>
        <v>6.2500339184161149</v>
      </c>
      <c r="K20" s="259">
        <f t="shared" si="6"/>
        <v>144.8988644327994</v>
      </c>
      <c r="L20" s="259">
        <f t="shared" si="11"/>
        <v>16.958059999999993</v>
      </c>
      <c r="M20" s="259">
        <f>+L20/'Capacity Delivered'!P21*1000</f>
        <v>5.2747999950232023</v>
      </c>
      <c r="N20" s="260">
        <f t="shared" si="1"/>
        <v>5.274799995023202E-3</v>
      </c>
      <c r="P20" s="172">
        <f t="shared" si="7"/>
        <v>17.817599882479207</v>
      </c>
      <c r="Q20" s="172">
        <f t="shared" si="2"/>
        <v>0</v>
      </c>
      <c r="R20" s="172">
        <f t="shared" si="3"/>
        <v>6.5668244840661041</v>
      </c>
      <c r="S20" s="172">
        <f t="shared" si="12"/>
        <v>126.6718794239721</v>
      </c>
      <c r="T20" s="311">
        <f t="shared" si="9"/>
        <v>14.824887275639933</v>
      </c>
      <c r="U20" s="259">
        <f>+T20/'Capacity Delivered'!L20*1000</f>
        <v>1.6923387300958828</v>
      </c>
      <c r="V20" s="260">
        <f t="shared" si="4"/>
        <v>1.6923387300958827E-3</v>
      </c>
      <c r="X20" s="261">
        <f t="shared" si="10"/>
        <v>6.9671387251190851</v>
      </c>
      <c r="Y20" s="262">
        <f t="shared" si="5"/>
        <v>6.9671387251190849E-3</v>
      </c>
    </row>
    <row r="21" spans="1:25" s="268" customFormat="1" x14ac:dyDescent="0.25">
      <c r="B21" s="267"/>
      <c r="C21" s="267"/>
      <c r="D21" s="267"/>
      <c r="E21" s="267"/>
      <c r="F21" s="190"/>
      <c r="G21" s="171">
        <f>'Baseload Avoided Capacity Calcs'!G21</f>
        <v>2035</v>
      </c>
      <c r="H21" s="37">
        <v>15</v>
      </c>
      <c r="I21" s="172">
        <f>'Capacity Delivered'!H21</f>
        <v>16.95806</v>
      </c>
      <c r="J21" s="258">
        <f t="shared" si="0"/>
        <v>5.8199403281647397</v>
      </c>
      <c r="K21" s="259">
        <f>K20+J21</f>
        <v>150.71880476096413</v>
      </c>
      <c r="L21" s="259">
        <f t="shared" si="11"/>
        <v>16.958059999999989</v>
      </c>
      <c r="M21" s="259">
        <f>+L21/'Capacity Delivered'!P22*1000</f>
        <v>5.260387973178875</v>
      </c>
      <c r="N21" s="260">
        <f>M21/1000</f>
        <v>5.2603879731788752E-3</v>
      </c>
      <c r="P21" s="172">
        <f t="shared" si="7"/>
        <v>18.263039879541189</v>
      </c>
      <c r="Q21" s="172">
        <f t="shared" si="2"/>
        <v>0</v>
      </c>
      <c r="R21" s="172">
        <f t="shared" si="3"/>
        <v>6.2678043543791384</v>
      </c>
      <c r="S21" s="172">
        <f>S20+R21</f>
        <v>132.93968377835125</v>
      </c>
      <c r="T21" s="311">
        <f t="shared" si="9"/>
        <v>14.957650025620365</v>
      </c>
      <c r="U21" s="259">
        <f>+T21/'Capacity Delivered'!L21*1000</f>
        <v>1.7074942951621424</v>
      </c>
      <c r="V21" s="260">
        <f>U21/1000</f>
        <v>1.7074942951621423E-3</v>
      </c>
      <c r="X21" s="261">
        <f>M21+U21</f>
        <v>6.9678822683410173</v>
      </c>
      <c r="Y21" s="262">
        <f>X21/1000</f>
        <v>6.9678822683410177E-3</v>
      </c>
    </row>
    <row r="22" spans="1:25" s="44" customFormat="1" x14ac:dyDescent="0.25">
      <c r="B22" s="267"/>
      <c r="C22" s="267"/>
      <c r="D22" s="267"/>
      <c r="E22" s="267"/>
      <c r="F22" s="190"/>
      <c r="G22" s="171">
        <f>'Baseload Avoided Capacity Calcs'!G22</f>
        <v>2036</v>
      </c>
      <c r="H22" s="37">
        <v>16</v>
      </c>
      <c r="I22" s="172">
        <f>'Capacity Delivered'!H22</f>
        <v>16.95806</v>
      </c>
      <c r="J22" s="258">
        <f t="shared" si="0"/>
        <v>5.4194434567136041</v>
      </c>
      <c r="K22" s="259">
        <f t="shared" si="6"/>
        <v>156.13824821767773</v>
      </c>
      <c r="L22" s="259">
        <f t="shared" si="11"/>
        <v>16.958059999999989</v>
      </c>
      <c r="M22" s="259">
        <f>+L22/'Capacity Delivered'!P23*1000</f>
        <v>5.2747999950232014</v>
      </c>
      <c r="N22" s="260">
        <f t="shared" si="1"/>
        <v>5.2747999950232011E-3</v>
      </c>
      <c r="P22" s="172">
        <f t="shared" si="7"/>
        <v>18.719615876529719</v>
      </c>
      <c r="Q22" s="172">
        <f t="shared" si="2"/>
        <v>0</v>
      </c>
      <c r="R22" s="172">
        <f t="shared" si="3"/>
        <v>5.9824000961342918</v>
      </c>
      <c r="S22" s="172">
        <f t="shared" ref="S22:S27" si="13">S21+R22</f>
        <v>138.92208387448554</v>
      </c>
      <c r="T22" s="311">
        <f t="shared" si="9"/>
        <v>15.0882250861697</v>
      </c>
      <c r="U22" s="259">
        <f>+T22/'Capacity Delivered'!L22*1000</f>
        <v>1.7176941127242373</v>
      </c>
      <c r="V22" s="260">
        <f t="shared" ref="V22:V27" si="14">U22/1000</f>
        <v>1.7176941127242374E-3</v>
      </c>
      <c r="X22" s="261">
        <f t="shared" si="10"/>
        <v>6.9924941077474383</v>
      </c>
      <c r="Y22" s="262">
        <f t="shared" ref="Y22:Y27" si="15">X22/1000</f>
        <v>6.9924941077474387E-3</v>
      </c>
    </row>
    <row r="23" spans="1:25" s="44" customFormat="1" x14ac:dyDescent="0.25">
      <c r="B23" s="267"/>
      <c r="C23" s="267"/>
      <c r="D23" s="267"/>
      <c r="E23" s="267"/>
      <c r="F23" s="190"/>
      <c r="G23" s="171">
        <f>'Baseload Avoided Capacity Calcs'!G23</f>
        <v>2037</v>
      </c>
      <c r="H23" s="37">
        <v>17</v>
      </c>
      <c r="I23" s="172">
        <f>'Capacity Delivered'!H23</f>
        <v>16.95806</v>
      </c>
      <c r="J23" s="258">
        <f t="shared" si="0"/>
        <v>5.0465066176679425</v>
      </c>
      <c r="K23" s="259">
        <f t="shared" si="6"/>
        <v>161.18475483534567</v>
      </c>
      <c r="L23" s="259">
        <f t="shared" si="11"/>
        <v>16.958059999999989</v>
      </c>
      <c r="M23" s="259">
        <f>+L23/'Capacity Delivered'!P24*1000</f>
        <v>5.2747999950232014</v>
      </c>
      <c r="N23" s="260">
        <f t="shared" si="1"/>
        <v>5.2747999950232011E-3</v>
      </c>
      <c r="P23" s="172">
        <f t="shared" si="7"/>
        <v>19.187606273442963</v>
      </c>
      <c r="Q23" s="172">
        <f t="shared" si="2"/>
        <v>0</v>
      </c>
      <c r="R23" s="172">
        <f t="shared" si="3"/>
        <v>5.7099917110882288</v>
      </c>
      <c r="S23" s="172">
        <f t="shared" si="13"/>
        <v>144.63207558557377</v>
      </c>
      <c r="T23" s="311">
        <f t="shared" si="9"/>
        <v>15.21657192834501</v>
      </c>
      <c r="U23" s="259">
        <f>+T23/'Capacity Delivered'!L23*1000</f>
        <v>1.7370515899937227</v>
      </c>
      <c r="V23" s="260">
        <f t="shared" si="14"/>
        <v>1.7370515899937226E-3</v>
      </c>
      <c r="X23" s="261">
        <f t="shared" si="10"/>
        <v>7.0118515850169238</v>
      </c>
      <c r="Y23" s="262">
        <f t="shared" si="15"/>
        <v>7.0118515850169242E-3</v>
      </c>
    </row>
    <row r="24" spans="1:25" x14ac:dyDescent="0.25">
      <c r="B24" s="173"/>
      <c r="C24" s="173"/>
      <c r="D24" s="173"/>
      <c r="E24" s="173"/>
      <c r="F24" s="52"/>
      <c r="G24" s="171">
        <f>'Baseload Avoided Capacity Calcs'!G24</f>
        <v>2038</v>
      </c>
      <c r="H24" s="39">
        <v>18</v>
      </c>
      <c r="I24" s="172">
        <f>'Capacity Delivered'!H24</f>
        <v>16.95806</v>
      </c>
      <c r="J24" s="40">
        <f t="shared" si="0"/>
        <v>4.6992332783945825</v>
      </c>
      <c r="K24" s="41">
        <f t="shared" si="6"/>
        <v>165.88398811374026</v>
      </c>
      <c r="L24" s="259">
        <f t="shared" si="11"/>
        <v>16.958059999999989</v>
      </c>
      <c r="M24" s="41">
        <f>+L24/'Capacity Delivered'!P25*1000</f>
        <v>5.2747999950232014</v>
      </c>
      <c r="N24" s="238">
        <f t="shared" si="1"/>
        <v>5.2747999950232011E-3</v>
      </c>
      <c r="P24" s="172">
        <f t="shared" si="7"/>
        <v>19.667296430279038</v>
      </c>
      <c r="Q24" s="172">
        <f t="shared" si="2"/>
        <v>0</v>
      </c>
      <c r="R24" s="172">
        <f t="shared" si="3"/>
        <v>5.4499874325965489</v>
      </c>
      <c r="S24" s="172">
        <f t="shared" si="13"/>
        <v>150.08206301817032</v>
      </c>
      <c r="T24" s="311">
        <f t="shared" si="9"/>
        <v>15.342653974781667</v>
      </c>
      <c r="U24" s="41">
        <f>+T24/'Capacity Delivered'!L24*1000</f>
        <v>1.7514445176691402</v>
      </c>
      <c r="V24" s="238">
        <f t="shared" si="14"/>
        <v>1.7514445176691402E-3</v>
      </c>
      <c r="X24" s="245">
        <f t="shared" si="10"/>
        <v>7.0262445126923421</v>
      </c>
      <c r="Y24" s="246">
        <f t="shared" si="15"/>
        <v>7.0262445126923418E-3</v>
      </c>
    </row>
    <row r="25" spans="1:25" x14ac:dyDescent="0.25">
      <c r="B25" s="173"/>
      <c r="C25" s="173"/>
      <c r="D25" s="173"/>
      <c r="E25" s="173"/>
      <c r="F25" s="52"/>
      <c r="G25" s="171">
        <f>'Baseload Avoided Capacity Calcs'!G25</f>
        <v>2039</v>
      </c>
      <c r="H25" s="39">
        <v>19</v>
      </c>
      <c r="I25" s="172">
        <f>'Capacity Delivered'!H25</f>
        <v>16.95806</v>
      </c>
      <c r="J25" s="40">
        <f t="shared" si="0"/>
        <v>4.3758574153967622</v>
      </c>
      <c r="K25" s="41">
        <f t="shared" si="6"/>
        <v>170.25984552913701</v>
      </c>
      <c r="L25" s="259">
        <f t="shared" si="11"/>
        <v>16.958059999999989</v>
      </c>
      <c r="M25" s="41">
        <f>+L25/'Capacity Delivered'!P26*1000</f>
        <v>5.260387973178875</v>
      </c>
      <c r="N25" s="238">
        <f t="shared" si="1"/>
        <v>5.2603879731788752E-3</v>
      </c>
      <c r="P25" s="172">
        <f t="shared" si="7"/>
        <v>20.158978841036014</v>
      </c>
      <c r="Q25" s="172">
        <f t="shared" si="2"/>
        <v>0</v>
      </c>
      <c r="R25" s="172">
        <f t="shared" si="3"/>
        <v>5.2018224400888942</v>
      </c>
      <c r="S25" s="172">
        <f t="shared" si="13"/>
        <v>155.28388545825922</v>
      </c>
      <c r="T25" s="311">
        <f t="shared" si="9"/>
        <v>15.466438598310837</v>
      </c>
      <c r="U25" s="41">
        <f>+T25/'Capacity Delivered'!L25*1000</f>
        <v>1.765575182455575</v>
      </c>
      <c r="V25" s="238">
        <f t="shared" si="14"/>
        <v>1.7655751824555751E-3</v>
      </c>
      <c r="X25" s="245">
        <f t="shared" si="10"/>
        <v>7.0259631556344502</v>
      </c>
      <c r="Y25" s="246">
        <f t="shared" si="15"/>
        <v>7.0259631556344503E-3</v>
      </c>
    </row>
    <row r="26" spans="1:25" x14ac:dyDescent="0.25">
      <c r="B26" s="173"/>
      <c r="C26" s="173"/>
      <c r="D26" s="173"/>
      <c r="E26" s="173"/>
      <c r="F26" s="52"/>
      <c r="G26" s="171">
        <f>'Baseload Avoided Capacity Calcs'!G26</f>
        <v>2040</v>
      </c>
      <c r="H26" s="39">
        <v>20</v>
      </c>
      <c r="I26" s="172">
        <f>'Capacity Delivered'!H26</f>
        <v>16.95806</v>
      </c>
      <c r="J26" s="40">
        <f t="shared" si="0"/>
        <v>4.0747345333799814</v>
      </c>
      <c r="K26" s="41">
        <f t="shared" si="6"/>
        <v>174.33458006251698</v>
      </c>
      <c r="L26" s="259">
        <f t="shared" si="11"/>
        <v>16.958059999999989</v>
      </c>
      <c r="M26" s="41">
        <f>+L26/'Capacity Delivered'!P27*1000</f>
        <v>5.2747999950232014</v>
      </c>
      <c r="N26" s="238">
        <f t="shared" si="1"/>
        <v>5.2747999950232011E-3</v>
      </c>
      <c r="P26" s="172">
        <f t="shared" si="7"/>
        <v>20.662953312061912</v>
      </c>
      <c r="Q26" s="172">
        <f t="shared" si="2"/>
        <v>0</v>
      </c>
      <c r="R26" s="172">
        <f t="shared" si="3"/>
        <v>4.9649576320803757</v>
      </c>
      <c r="S26" s="172">
        <f t="shared" si="13"/>
        <v>160.24884309033959</v>
      </c>
      <c r="T26" s="311">
        <f t="shared" si="9"/>
        <v>15.58789710613955</v>
      </c>
      <c r="U26" s="41">
        <f>+T26/'Capacity Delivered'!L26*1000</f>
        <v>1.774578450152499</v>
      </c>
      <c r="V26" s="238">
        <f t="shared" si="14"/>
        <v>1.774578450152499E-3</v>
      </c>
      <c r="X26" s="245">
        <f t="shared" si="10"/>
        <v>7.0493784451757007</v>
      </c>
      <c r="Y26" s="246">
        <f t="shared" si="15"/>
        <v>7.0493784451757004E-3</v>
      </c>
    </row>
    <row r="27" spans="1:25" s="44" customFormat="1" ht="15.6" thickBot="1" x14ac:dyDescent="0.3">
      <c r="G27" s="171">
        <f>'Baseload Avoided Capacity Calcs'!G27</f>
        <v>2041</v>
      </c>
      <c r="H27" s="37">
        <v>21</v>
      </c>
      <c r="I27" s="172">
        <f>'Capacity Delivered'!H27</f>
        <v>16.95806</v>
      </c>
      <c r="J27" s="40">
        <f t="shared" si="0"/>
        <v>3.794333302337257</v>
      </c>
      <c r="K27" s="41">
        <f t="shared" si="6"/>
        <v>178.12891336485424</v>
      </c>
      <c r="L27" s="259">
        <f>(-PMT($E$8,H27,(K27)))</f>
        <v>16.958059999999985</v>
      </c>
      <c r="M27" s="41">
        <f>+L27/'Capacity Delivered'!P28*1000</f>
        <v>5.2747999950231996</v>
      </c>
      <c r="N27" s="238">
        <f t="shared" si="1"/>
        <v>5.2747999950231994E-3</v>
      </c>
      <c r="P27" s="172">
        <f t="shared" si="7"/>
        <v>21.17952714486346</v>
      </c>
      <c r="Q27" s="172">
        <f t="shared" si="2"/>
        <v>0</v>
      </c>
      <c r="R27" s="172">
        <f t="shared" si="3"/>
        <v>4.7388784550539009</v>
      </c>
      <c r="S27" s="172">
        <f t="shared" si="13"/>
        <v>164.9877215453935</v>
      </c>
      <c r="T27" s="311">
        <f t="shared" si="9"/>
        <v>15.7070047101186</v>
      </c>
      <c r="U27" s="41">
        <f>+T27/'Capacity Delivered'!L27*1000</f>
        <v>1.793037067365137</v>
      </c>
      <c r="V27" s="238">
        <f t="shared" si="14"/>
        <v>1.7930370673651371E-3</v>
      </c>
      <c r="X27" s="247">
        <f t="shared" si="10"/>
        <v>7.0678370623883371</v>
      </c>
      <c r="Y27" s="248">
        <f t="shared" si="15"/>
        <v>7.0678370623883371E-3</v>
      </c>
    </row>
    <row r="28" spans="1:25" s="44" customFormat="1" x14ac:dyDescent="0.25">
      <c r="C28" s="21"/>
      <c r="D28" s="21"/>
      <c r="G28" s="38"/>
      <c r="H28" s="37"/>
      <c r="I28" s="175"/>
      <c r="J28" s="55"/>
      <c r="K28" s="56"/>
      <c r="L28" s="48"/>
      <c r="M28" s="48"/>
      <c r="N28" s="48"/>
      <c r="P28" s="176"/>
      <c r="Q28" s="54"/>
      <c r="R28" s="55"/>
      <c r="S28" s="56"/>
      <c r="T28" s="48"/>
      <c r="U28" s="48"/>
      <c r="V28" s="48"/>
      <c r="X28" s="48"/>
      <c r="Y28" s="48"/>
    </row>
    <row r="29" spans="1:25" x14ac:dyDescent="0.25">
      <c r="B29" s="31"/>
      <c r="C29" s="21"/>
      <c r="D29" s="21"/>
      <c r="E29" s="44"/>
      <c r="F29" s="44"/>
      <c r="G29" s="31"/>
      <c r="H29" s="37"/>
      <c r="I29" s="175"/>
      <c r="J29" s="31"/>
      <c r="K29" s="31"/>
      <c r="L29" s="31"/>
      <c r="M29" s="31"/>
      <c r="N29" s="31"/>
      <c r="P29" s="176"/>
      <c r="Q29" s="54"/>
      <c r="R29" s="31"/>
      <c r="S29" s="31"/>
      <c r="T29" s="31"/>
      <c r="U29" s="31"/>
      <c r="V29" s="31"/>
      <c r="X29" s="31"/>
      <c r="Y29" s="31"/>
    </row>
    <row r="30" spans="1:25" s="44" customFormat="1" ht="113.4" customHeight="1" x14ac:dyDescent="0.25">
      <c r="A30" s="320" t="str">
        <f>+D6</f>
        <v>[4]</v>
      </c>
      <c r="B30" s="336" t="s">
        <v>133</v>
      </c>
      <c r="C30" s="336"/>
      <c r="D30" s="336"/>
      <c r="E30" s="336"/>
      <c r="F30" s="336"/>
      <c r="G30" s="336"/>
      <c r="H30" s="336"/>
      <c r="I30" s="336"/>
      <c r="J30" s="336"/>
      <c r="K30" s="336"/>
      <c r="L30" s="336"/>
      <c r="M30" s="336"/>
      <c r="N30" s="336"/>
      <c r="R30" s="236"/>
      <c r="S30" s="236"/>
    </row>
  </sheetData>
  <mergeCells count="1">
    <mergeCell ref="B30:N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52" r:id="rId4" name="Control 4">
          <controlPr defaultSize="0" r:id="rId5">
            <anchor moveWithCells="1">
              <from>
                <xdr:col>7</xdr:col>
                <xdr:colOff>533400</xdr:colOff>
                <xdr:row>2</xdr:row>
                <xdr:rowOff>30480</xdr:rowOff>
              </from>
              <to>
                <xdr:col>8</xdr:col>
                <xdr:colOff>76200</xdr:colOff>
                <xdr:row>3</xdr:row>
                <xdr:rowOff>106680</xdr:rowOff>
              </to>
            </anchor>
          </controlPr>
        </control>
      </mc:Choice>
      <mc:Fallback>
        <control shapeId="27652" r:id="rId4" name="Control 4"/>
      </mc:Fallback>
    </mc:AlternateContent>
    <mc:AlternateContent xmlns:mc="http://schemas.openxmlformats.org/markup-compatibility/2006">
      <mc:Choice Requires="x14">
        <control shapeId="27651" r:id="rId6" name="Control 3">
          <controlPr defaultSize="0" r:id="rId7">
            <anchor moveWithCells="1">
              <from>
                <xdr:col>7</xdr:col>
                <xdr:colOff>533400</xdr:colOff>
                <xdr:row>2</xdr:row>
                <xdr:rowOff>30480</xdr:rowOff>
              </from>
              <to>
                <xdr:col>8</xdr:col>
                <xdr:colOff>53340</xdr:colOff>
                <xdr:row>3</xdr:row>
                <xdr:rowOff>30480</xdr:rowOff>
              </to>
            </anchor>
          </controlPr>
        </control>
      </mc:Choice>
      <mc:Fallback>
        <control shapeId="27651" r:id="rId6" name="Control 3"/>
      </mc:Fallback>
    </mc:AlternateContent>
    <mc:AlternateContent xmlns:mc="http://schemas.openxmlformats.org/markup-compatibility/2006">
      <mc:Choice Requires="x14">
        <control shapeId="27650" r:id="rId8" name="Control 2">
          <controlPr defaultSize="0" r:id="rId9">
            <anchor moveWithCells="1">
              <from>
                <xdr:col>7</xdr:col>
                <xdr:colOff>533400</xdr:colOff>
                <xdr:row>2</xdr:row>
                <xdr:rowOff>30480</xdr:rowOff>
              </from>
              <to>
                <xdr:col>8</xdr:col>
                <xdr:colOff>53340</xdr:colOff>
                <xdr:row>3</xdr:row>
                <xdr:rowOff>30480</xdr:rowOff>
              </to>
            </anchor>
          </controlPr>
        </control>
      </mc:Choice>
      <mc:Fallback>
        <control shapeId="27650" r:id="rId8" name="Control 2"/>
      </mc:Fallback>
    </mc:AlternateContent>
    <mc:AlternateContent xmlns:mc="http://schemas.openxmlformats.org/markup-compatibility/2006">
      <mc:Choice Requires="x14">
        <control shapeId="27649" r:id="rId10" name="Control 1">
          <controlPr defaultSize="0" r:id="rId11">
            <anchor moveWithCells="1">
              <from>
                <xdr:col>7</xdr:col>
                <xdr:colOff>533400</xdr:colOff>
                <xdr:row>2</xdr:row>
                <xdr:rowOff>30480</xdr:rowOff>
              </from>
              <to>
                <xdr:col>7</xdr:col>
                <xdr:colOff>731520</xdr:colOff>
                <xdr:row>3</xdr:row>
                <xdr:rowOff>30480</xdr:rowOff>
              </to>
            </anchor>
          </controlPr>
        </control>
      </mc:Choice>
      <mc:Fallback>
        <control shapeId="27649" r:id="rId10" name="Control 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Y32"/>
  <sheetViews>
    <sheetView topLeftCell="A16" zoomScale="90" zoomScaleNormal="90" workbookViewId="0">
      <selection activeCell="B30" sqref="B30:N30"/>
    </sheetView>
  </sheetViews>
  <sheetFormatPr defaultColWidth="9.109375" defaultRowHeight="15" x14ac:dyDescent="0.25"/>
  <cols>
    <col min="1" max="1" width="3.77734375" style="33" customWidth="1"/>
    <col min="2" max="2" width="25.6640625" style="33" customWidth="1"/>
    <col min="3" max="3" width="17.44140625" style="33" customWidth="1"/>
    <col min="4" max="4" width="3.6640625" style="33" customWidth="1"/>
    <col min="5" max="5" width="15.5546875" style="33" customWidth="1"/>
    <col min="6" max="6" width="2.6640625" style="33" customWidth="1"/>
    <col min="7" max="7" width="9.6640625" style="33" customWidth="1"/>
    <col min="8" max="8" width="16.6640625" style="33" customWidth="1"/>
    <col min="9" max="9" width="16.44140625" style="44" customWidth="1"/>
    <col min="10" max="10" width="18.5546875" style="33" customWidth="1"/>
    <col min="11" max="11" width="19" style="33" customWidth="1"/>
    <col min="12" max="14" width="22.33203125" style="33" customWidth="1"/>
    <col min="15" max="15" width="2.6640625" style="33" customWidth="1"/>
    <col min="16" max="16" width="16.44140625" style="44" customWidth="1"/>
    <col min="17" max="17" width="16.6640625" style="169" customWidth="1"/>
    <col min="18" max="18" width="18.5546875" style="33" customWidth="1"/>
    <col min="19" max="19" width="19" style="33" customWidth="1"/>
    <col min="20" max="22" width="22.33203125" style="33" customWidth="1"/>
    <col min="23" max="23" width="2.6640625" style="33" customWidth="1"/>
    <col min="24" max="25" width="22.33203125" style="33" customWidth="1"/>
    <col min="26" max="16384" width="9.109375" style="33"/>
  </cols>
  <sheetData>
    <row r="1" spans="1:25" x14ac:dyDescent="0.25">
      <c r="B1" s="14"/>
    </row>
    <row r="3" spans="1:25" ht="16.2" thickBot="1" x14ac:dyDescent="0.35">
      <c r="I3" s="165"/>
    </row>
    <row r="4" spans="1:25" ht="62.4" x14ac:dyDescent="0.3">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9" t="s">
        <v>19</v>
      </c>
      <c r="Y4" s="240" t="s">
        <v>19</v>
      </c>
    </row>
    <row r="5" spans="1:25" ht="15.6" x14ac:dyDescent="0.3">
      <c r="B5" s="50"/>
      <c r="C5" s="50"/>
      <c r="D5" s="50"/>
      <c r="G5" s="18"/>
      <c r="H5" s="18" t="s">
        <v>20</v>
      </c>
      <c r="I5" s="19" t="s">
        <v>124</v>
      </c>
      <c r="J5" s="18" t="s">
        <v>124</v>
      </c>
      <c r="K5" s="18" t="s">
        <v>124</v>
      </c>
      <c r="L5" s="4" t="s">
        <v>124</v>
      </c>
      <c r="M5" s="4" t="s">
        <v>33</v>
      </c>
      <c r="N5" s="4" t="s">
        <v>34</v>
      </c>
      <c r="P5" s="19" t="s">
        <v>124</v>
      </c>
      <c r="Q5" s="19" t="s">
        <v>124</v>
      </c>
      <c r="R5" s="18" t="s">
        <v>124</v>
      </c>
      <c r="S5" s="18" t="s">
        <v>124</v>
      </c>
      <c r="T5" s="4" t="s">
        <v>124</v>
      </c>
      <c r="U5" s="4" t="s">
        <v>33</v>
      </c>
      <c r="V5" s="4" t="s">
        <v>34</v>
      </c>
      <c r="X5" s="241" t="s">
        <v>33</v>
      </c>
      <c r="Y5" s="242" t="s">
        <v>34</v>
      </c>
    </row>
    <row r="6" spans="1:25" ht="15.6" x14ac:dyDescent="0.3">
      <c r="A6" s="170"/>
      <c r="B6" s="170"/>
      <c r="C6" s="164" t="s">
        <v>122</v>
      </c>
      <c r="D6" s="164" t="str">
        <f>+P6</f>
        <v>[4]</v>
      </c>
      <c r="E6" s="201">
        <f>12.61*(1+E9)</f>
        <v>12.925249999999998</v>
      </c>
      <c r="F6" s="45"/>
      <c r="G6" s="168" t="s">
        <v>21</v>
      </c>
      <c r="H6" s="168" t="s">
        <v>22</v>
      </c>
      <c r="I6" s="168" t="s">
        <v>23</v>
      </c>
      <c r="J6" s="168" t="s">
        <v>30</v>
      </c>
      <c r="K6" s="168" t="s">
        <v>26</v>
      </c>
      <c r="L6" s="168" t="s">
        <v>27</v>
      </c>
      <c r="M6" s="168" t="s">
        <v>35</v>
      </c>
      <c r="N6" s="168" t="s">
        <v>71</v>
      </c>
      <c r="P6" s="168" t="s">
        <v>24</v>
      </c>
      <c r="Q6" s="168" t="s">
        <v>25</v>
      </c>
      <c r="R6" s="168" t="s">
        <v>30</v>
      </c>
      <c r="S6" s="168" t="s">
        <v>26</v>
      </c>
      <c r="T6" s="168" t="s">
        <v>27</v>
      </c>
      <c r="U6" s="168" t="s">
        <v>35</v>
      </c>
      <c r="V6" s="168" t="s">
        <v>71</v>
      </c>
      <c r="X6" s="243" t="s">
        <v>35</v>
      </c>
      <c r="Y6" s="244" t="s">
        <v>71</v>
      </c>
    </row>
    <row r="7" spans="1:25" ht="15.6" x14ac:dyDescent="0.3">
      <c r="A7" s="170"/>
      <c r="B7" s="50"/>
      <c r="C7" s="20" t="s">
        <v>123</v>
      </c>
      <c r="D7" s="164" t="str">
        <f>+Q6</f>
        <v>[5]</v>
      </c>
      <c r="E7" s="46">
        <v>0</v>
      </c>
      <c r="F7" s="47"/>
      <c r="G7" s="171">
        <f>'Baseload Avoided Capacity Calcs'!G7</f>
        <v>2021</v>
      </c>
      <c r="H7" s="166">
        <v>1</v>
      </c>
      <c r="I7" s="172">
        <f>'Capacity Delivered'!I7</f>
        <v>3.8108</v>
      </c>
      <c r="J7" s="32">
        <f t="shared" ref="J7:J27" si="0">SUM(I7)/((1+$E$8)^H7)</f>
        <v>3.5485613185585247</v>
      </c>
      <c r="K7" s="167">
        <f>J7</f>
        <v>3.5485613185585247</v>
      </c>
      <c r="L7" s="259">
        <f>(-PMT($E$8,H7,(K7)))</f>
        <v>3.8107999999999995</v>
      </c>
      <c r="M7" s="167">
        <f>+L7/2277.6*1000</f>
        <v>1.6731647348085703</v>
      </c>
      <c r="N7" s="237">
        <f t="shared" ref="N7:N27" si="1">M7/1000</f>
        <v>1.6731647348085703E-3</v>
      </c>
      <c r="P7" s="177">
        <f>E6</f>
        <v>12.925249999999998</v>
      </c>
      <c r="Q7" s="177">
        <f t="shared" ref="Q7:Q27" si="2">(I7+P7)*$E$7</f>
        <v>0</v>
      </c>
      <c r="R7" s="177">
        <f t="shared" ref="R7:R27" si="3">SUM(P7:Q7)/((1+$E$8)^H7)</f>
        <v>12.035804078592045</v>
      </c>
      <c r="S7" s="177">
        <f>R7</f>
        <v>12.035804078592045</v>
      </c>
      <c r="T7" s="311">
        <f>(-PMT($E$8,H7,(S7)))</f>
        <v>12.925249999999997</v>
      </c>
      <c r="U7" s="167">
        <f>+T7/'Capacity Delivered'!L7*1000</f>
        <v>1.4754851598173513</v>
      </c>
      <c r="V7" s="237">
        <f t="shared" ref="V7:V20" si="4">U7/1000</f>
        <v>1.4754851598173513E-3</v>
      </c>
      <c r="X7" s="245">
        <f>M7+U7</f>
        <v>3.1486498946259216</v>
      </c>
      <c r="Y7" s="246">
        <f t="shared" ref="Y7:Y20" si="5">X7/1000</f>
        <v>3.1486498946259214E-3</v>
      </c>
    </row>
    <row r="8" spans="1:25" s="44" customFormat="1" ht="15.6" x14ac:dyDescent="0.3">
      <c r="A8" s="170"/>
      <c r="B8" s="170"/>
      <c r="C8" s="164" t="s">
        <v>45</v>
      </c>
      <c r="D8" s="164"/>
      <c r="E8" s="46">
        <f>Rate_of_Return</f>
        <v>7.3899999999999993E-2</v>
      </c>
      <c r="F8" s="257"/>
      <c r="G8" s="38">
        <f>G7+1</f>
        <v>2022</v>
      </c>
      <c r="H8" s="37">
        <v>2</v>
      </c>
      <c r="I8" s="172">
        <f>'Capacity Delivered'!I8</f>
        <v>3.8108</v>
      </c>
      <c r="J8" s="258">
        <f t="shared" si="0"/>
        <v>3.3043684873438166</v>
      </c>
      <c r="K8" s="259">
        <f t="shared" ref="K8:K27" si="6">K7+J8</f>
        <v>6.8529298059023418</v>
      </c>
      <c r="L8" s="259">
        <f t="shared" ref="L8:L27" si="7">(-PMT($E$8,H8,(K8)))</f>
        <v>3.8107999999999995</v>
      </c>
      <c r="M8" s="259">
        <f>+L8/'Capacity Delivered'!R9*1000</f>
        <v>1.797615004339786</v>
      </c>
      <c r="N8" s="260">
        <f t="shared" si="1"/>
        <v>1.7976150043397861E-3</v>
      </c>
      <c r="P8" s="172">
        <f t="shared" ref="P8:P27" si="8">P7+(P7*$E$9)</f>
        <v>13.248381249999998</v>
      </c>
      <c r="Q8" s="172">
        <f t="shared" si="2"/>
        <v>0</v>
      </c>
      <c r="R8" s="172">
        <f t="shared" si="3"/>
        <v>11.487754148949479</v>
      </c>
      <c r="S8" s="172">
        <f t="shared" ref="S8:S12" si="9">S7+R8</f>
        <v>23.523558227541525</v>
      </c>
      <c r="T8" s="311">
        <f t="shared" ref="T8:T27" si="10">(-PMT($E$8,H8,(S8)))</f>
        <v>13.081058500892034</v>
      </c>
      <c r="U8" s="259">
        <f>+T8/'Capacity Delivered'!L8*1000</f>
        <v>1.4932715183666705</v>
      </c>
      <c r="V8" s="260">
        <f t="shared" si="4"/>
        <v>1.4932715183666706E-3</v>
      </c>
      <c r="X8" s="261">
        <f t="shared" ref="X8:X27" si="11">M8+U8</f>
        <v>3.2908865227064563</v>
      </c>
      <c r="Y8" s="262">
        <f t="shared" si="5"/>
        <v>3.2908865227064565E-3</v>
      </c>
    </row>
    <row r="9" spans="1:25" s="44" customFormat="1" ht="15.6" x14ac:dyDescent="0.3">
      <c r="A9" s="170"/>
      <c r="B9" s="170"/>
      <c r="C9" s="164" t="s">
        <v>46</v>
      </c>
      <c r="D9" s="164"/>
      <c r="E9" s="46">
        <v>2.5000000000000001E-2</v>
      </c>
      <c r="F9" s="263"/>
      <c r="G9" s="38">
        <f t="shared" ref="G9:G27" si="12">G8+1</f>
        <v>2023</v>
      </c>
      <c r="H9" s="37">
        <v>3</v>
      </c>
      <c r="I9" s="172">
        <f>'Capacity Delivered'!I9</f>
        <v>3.8108</v>
      </c>
      <c r="J9" s="258">
        <f t="shared" si="0"/>
        <v>3.0769796883730485</v>
      </c>
      <c r="K9" s="259">
        <f t="shared" si="6"/>
        <v>9.9299094942753907</v>
      </c>
      <c r="L9" s="259">
        <f t="shared" si="7"/>
        <v>3.8107999999999995</v>
      </c>
      <c r="M9" s="259">
        <f>+L9/'Capacity Delivered'!R10*1000</f>
        <v>1.7927034879344861</v>
      </c>
      <c r="N9" s="260">
        <f t="shared" si="1"/>
        <v>1.7927034879344861E-3</v>
      </c>
      <c r="P9" s="172">
        <f t="shared" si="8"/>
        <v>13.579590781249998</v>
      </c>
      <c r="Q9" s="172">
        <f t="shared" si="2"/>
        <v>0</v>
      </c>
      <c r="R9" s="172">
        <f t="shared" si="3"/>
        <v>10.964659654225921</v>
      </c>
      <c r="S9" s="172">
        <f t="shared" si="9"/>
        <v>34.488217881767447</v>
      </c>
      <c r="T9" s="311">
        <f t="shared" si="10"/>
        <v>13.235538629995334</v>
      </c>
      <c r="U9" s="259">
        <f>+T9/'Capacity Delivered'!L9*1000</f>
        <v>1.5109062363008372</v>
      </c>
      <c r="V9" s="260">
        <f t="shared" si="4"/>
        <v>1.5109062363008372E-3</v>
      </c>
      <c r="X9" s="261">
        <f t="shared" si="11"/>
        <v>3.3036097242353231</v>
      </c>
      <c r="Y9" s="262">
        <f t="shared" si="5"/>
        <v>3.3036097242353231E-3</v>
      </c>
    </row>
    <row r="10" spans="1:25" s="44" customFormat="1" ht="15.6" x14ac:dyDescent="0.3">
      <c r="B10" s="170"/>
      <c r="C10" s="164"/>
      <c r="D10" s="164"/>
      <c r="E10" s="51"/>
      <c r="F10" s="257"/>
      <c r="G10" s="38">
        <f t="shared" si="12"/>
        <v>2024</v>
      </c>
      <c r="H10" s="37">
        <v>4</v>
      </c>
      <c r="I10" s="172">
        <f>'Capacity Delivered'!I10</f>
        <v>3.8108</v>
      </c>
      <c r="J10" s="258">
        <f t="shared" si="0"/>
        <v>2.8652385588723792</v>
      </c>
      <c r="K10" s="259">
        <f t="shared" si="6"/>
        <v>12.79514805314777</v>
      </c>
      <c r="L10" s="259">
        <f t="shared" si="7"/>
        <v>3.8107999999999995</v>
      </c>
      <c r="M10" s="259">
        <f>+L10/'Capacity Delivered'!R11*1000</f>
        <v>1.797615004339786</v>
      </c>
      <c r="N10" s="260">
        <f t="shared" si="1"/>
        <v>1.7976150043397861E-3</v>
      </c>
      <c r="P10" s="172">
        <f t="shared" si="8"/>
        <v>13.919080550781247</v>
      </c>
      <c r="Q10" s="172">
        <f t="shared" si="2"/>
        <v>0</v>
      </c>
      <c r="R10" s="172">
        <f t="shared" si="3"/>
        <v>10.465384249540522</v>
      </c>
      <c r="S10" s="172">
        <f t="shared" si="9"/>
        <v>44.953602131307967</v>
      </c>
      <c r="T10" s="311">
        <f t="shared" si="10"/>
        <v>13.388605297134028</v>
      </c>
      <c r="U10" s="259">
        <f>+T10/'Capacity Delivered'!L10*1000</f>
        <v>1.5242036995826533</v>
      </c>
      <c r="V10" s="260">
        <f t="shared" si="4"/>
        <v>1.5242036995826533E-3</v>
      </c>
      <c r="X10" s="261">
        <f t="shared" si="11"/>
        <v>3.3218187039224394</v>
      </c>
      <c r="Y10" s="262">
        <f t="shared" si="5"/>
        <v>3.3218187039224393E-3</v>
      </c>
    </row>
    <row r="11" spans="1:25" s="44" customFormat="1" ht="15.6" x14ac:dyDescent="0.3">
      <c r="B11" s="170"/>
      <c r="C11" s="164"/>
      <c r="D11" s="164"/>
      <c r="E11" s="51"/>
      <c r="F11" s="257"/>
      <c r="G11" s="38">
        <f t="shared" si="12"/>
        <v>2025</v>
      </c>
      <c r="H11" s="37">
        <v>5</v>
      </c>
      <c r="I11" s="172">
        <f>'Capacity Delivered'!I11</f>
        <v>3.8108</v>
      </c>
      <c r="J11" s="258">
        <f t="shared" si="0"/>
        <v>2.6680683107108472</v>
      </c>
      <c r="K11" s="259">
        <f t="shared" si="6"/>
        <v>15.463216363858617</v>
      </c>
      <c r="L11" s="259">
        <f t="shared" si="7"/>
        <v>3.8107999999999995</v>
      </c>
      <c r="M11" s="259">
        <f>+L11/'Capacity Delivered'!R12*1000</f>
        <v>1.797615004339786</v>
      </c>
      <c r="N11" s="260">
        <f t="shared" si="1"/>
        <v>1.7976150043397861E-3</v>
      </c>
      <c r="P11" s="172">
        <f t="shared" si="8"/>
        <v>14.267057564550779</v>
      </c>
      <c r="Q11" s="172">
        <f t="shared" si="2"/>
        <v>0</v>
      </c>
      <c r="R11" s="172">
        <f t="shared" si="3"/>
        <v>9.988843333437968</v>
      </c>
      <c r="S11" s="172">
        <f t="shared" si="9"/>
        <v>54.942445464745937</v>
      </c>
      <c r="T11" s="311">
        <f t="shared" si="10"/>
        <v>13.540176005453462</v>
      </c>
      <c r="U11" s="259">
        <f>+T11/'Capacity Delivered'!L11*1000</f>
        <v>1.5456821924033632</v>
      </c>
      <c r="V11" s="260">
        <f t="shared" si="4"/>
        <v>1.5456821924033633E-3</v>
      </c>
      <c r="X11" s="261">
        <f t="shared" si="11"/>
        <v>3.3432971967431495</v>
      </c>
      <c r="Y11" s="262">
        <f t="shared" si="5"/>
        <v>3.3432971967431494E-3</v>
      </c>
    </row>
    <row r="12" spans="1:25" s="44" customFormat="1" ht="15.6" x14ac:dyDescent="0.3">
      <c r="B12" s="264"/>
      <c r="C12" s="164"/>
      <c r="D12" s="164"/>
      <c r="E12" s="51"/>
      <c r="F12" s="257"/>
      <c r="G12" s="38">
        <f t="shared" si="12"/>
        <v>2026</v>
      </c>
      <c r="H12" s="37">
        <v>6</v>
      </c>
      <c r="I12" s="172">
        <f>'Capacity Delivered'!I12</f>
        <v>3.8108</v>
      </c>
      <c r="J12" s="258">
        <f t="shared" si="0"/>
        <v>2.4844662545030705</v>
      </c>
      <c r="K12" s="259">
        <f t="shared" si="6"/>
        <v>17.947682618361689</v>
      </c>
      <c r="L12" s="259">
        <f t="shared" si="7"/>
        <v>3.8107999999999995</v>
      </c>
      <c r="M12" s="259">
        <f>+L12/'Capacity Delivered'!R13*1000</f>
        <v>1.797615004339786</v>
      </c>
      <c r="N12" s="260">
        <f t="shared" si="1"/>
        <v>1.7976150043397861E-3</v>
      </c>
      <c r="P12" s="172">
        <f t="shared" si="8"/>
        <v>14.623734003664548</v>
      </c>
      <c r="Q12" s="172">
        <f t="shared" si="2"/>
        <v>0</v>
      </c>
      <c r="R12" s="172">
        <f t="shared" si="3"/>
        <v>9.5340016917533461</v>
      </c>
      <c r="S12" s="172">
        <f t="shared" si="9"/>
        <v>64.47644715649929</v>
      </c>
      <c r="T12" s="311">
        <f t="shared" si="10"/>
        <v>13.690171040388959</v>
      </c>
      <c r="U12" s="259">
        <f>+T12/'Capacity Delivered'!L12*1000</f>
        <v>1.5628049132864108</v>
      </c>
      <c r="V12" s="260">
        <f t="shared" si="4"/>
        <v>1.5628049132864108E-3</v>
      </c>
      <c r="X12" s="261">
        <f t="shared" si="11"/>
        <v>3.3604199176261966</v>
      </c>
      <c r="Y12" s="262">
        <f t="shared" si="5"/>
        <v>3.3604199176261967E-3</v>
      </c>
    </row>
    <row r="13" spans="1:25" s="44" customFormat="1" ht="15.6" x14ac:dyDescent="0.3">
      <c r="B13" s="264"/>
      <c r="C13" s="164"/>
      <c r="D13" s="164"/>
      <c r="E13" s="51"/>
      <c r="F13" s="257"/>
      <c r="G13" s="38">
        <f t="shared" si="12"/>
        <v>2027</v>
      </c>
      <c r="H13" s="37">
        <v>7</v>
      </c>
      <c r="I13" s="172">
        <f>'Capacity Delivered'!I13</f>
        <v>3.8108</v>
      </c>
      <c r="J13" s="258">
        <f t="shared" si="0"/>
        <v>2.3134987005336347</v>
      </c>
      <c r="K13" s="259">
        <f>K12+J13</f>
        <v>20.261181318895325</v>
      </c>
      <c r="L13" s="259">
        <f t="shared" si="7"/>
        <v>3.8107999999999995</v>
      </c>
      <c r="M13" s="259">
        <f>+L13/'Capacity Delivered'!R14*1000</f>
        <v>1.7927034879344861</v>
      </c>
      <c r="N13" s="260">
        <f t="shared" si="1"/>
        <v>1.7927034879344861E-3</v>
      </c>
      <c r="P13" s="172">
        <f>P12+(P12*$E$9)</f>
        <v>14.989327353756162</v>
      </c>
      <c r="Q13" s="172">
        <f t="shared" si="2"/>
        <v>0</v>
      </c>
      <c r="R13" s="172">
        <f t="shared" si="3"/>
        <v>9.0998712487635522</v>
      </c>
      <c r="S13" s="172">
        <f>S12+R13</f>
        <v>73.576318405262839</v>
      </c>
      <c r="T13" s="311">
        <f t="shared" si="10"/>
        <v>13.838513646649636</v>
      </c>
      <c r="U13" s="259">
        <f>+T13/'Capacity Delivered'!L13*1000</f>
        <v>1.5797390007590908</v>
      </c>
      <c r="V13" s="260">
        <f t="shared" si="4"/>
        <v>1.5797390007590909E-3</v>
      </c>
      <c r="X13" s="261">
        <f t="shared" si="11"/>
        <v>3.3724424886935767</v>
      </c>
      <c r="Y13" s="262">
        <f t="shared" si="5"/>
        <v>3.3724424886935767E-3</v>
      </c>
    </row>
    <row r="14" spans="1:25" s="44" customFormat="1" ht="15.6" x14ac:dyDescent="0.3">
      <c r="B14" s="264"/>
      <c r="C14" s="164"/>
      <c r="D14" s="164"/>
      <c r="E14" s="51"/>
      <c r="F14" s="257"/>
      <c r="G14" s="38">
        <f t="shared" si="12"/>
        <v>2028</v>
      </c>
      <c r="H14" s="37">
        <v>8</v>
      </c>
      <c r="I14" s="172">
        <f>'Capacity Delivered'!I14</f>
        <v>3.8108</v>
      </c>
      <c r="J14" s="258">
        <f t="shared" si="0"/>
        <v>2.1542962105723387</v>
      </c>
      <c r="K14" s="259">
        <f t="shared" si="6"/>
        <v>22.415477529467665</v>
      </c>
      <c r="L14" s="259">
        <f t="shared" si="7"/>
        <v>3.8107999999999995</v>
      </c>
      <c r="M14" s="259">
        <f>+L14/'Capacity Delivered'!R15*1000</f>
        <v>1.797615004339786</v>
      </c>
      <c r="N14" s="260">
        <f t="shared" si="1"/>
        <v>1.7976150043397861E-3</v>
      </c>
      <c r="P14" s="172">
        <f t="shared" si="8"/>
        <v>15.364060537600066</v>
      </c>
      <c r="Q14" s="172">
        <f t="shared" si="2"/>
        <v>0</v>
      </c>
      <c r="R14" s="172">
        <f t="shared" si="3"/>
        <v>8.6855089207399576</v>
      </c>
      <c r="S14" s="172">
        <f t="shared" ref="S14:S20" si="13">S13+R14</f>
        <v>82.261827326002802</v>
      </c>
      <c r="T14" s="311">
        <f t="shared" si="10"/>
        <v>13.985130192378115</v>
      </c>
      <c r="U14" s="259">
        <f>+T14/'Capacity Delivered'!L14*1000</f>
        <v>1.5921140929392208</v>
      </c>
      <c r="V14" s="260">
        <f t="shared" si="4"/>
        <v>1.5921140929392207E-3</v>
      </c>
      <c r="X14" s="261">
        <f t="shared" si="11"/>
        <v>3.3897290972790071</v>
      </c>
      <c r="Y14" s="262">
        <f t="shared" si="5"/>
        <v>3.3897290972790071E-3</v>
      </c>
    </row>
    <row r="15" spans="1:25" s="44" customFormat="1" ht="15.6" x14ac:dyDescent="0.3">
      <c r="B15" s="266"/>
      <c r="C15" s="164"/>
      <c r="D15" s="164"/>
      <c r="E15" s="51"/>
      <c r="F15" s="257"/>
      <c r="G15" s="38">
        <f t="shared" si="12"/>
        <v>2029</v>
      </c>
      <c r="H15" s="37">
        <v>9</v>
      </c>
      <c r="I15" s="172">
        <f>'Capacity Delivered'!I15</f>
        <v>3.8108</v>
      </c>
      <c r="J15" s="258">
        <f t="shared" si="0"/>
        <v>2.006049176433875</v>
      </c>
      <c r="K15" s="259">
        <f t="shared" si="6"/>
        <v>24.421526705901542</v>
      </c>
      <c r="L15" s="259">
        <f t="shared" si="7"/>
        <v>3.8108</v>
      </c>
      <c r="M15" s="259">
        <f>+L15/'Capacity Delivered'!R16*1000</f>
        <v>1.7976150043397863</v>
      </c>
      <c r="N15" s="260">
        <f t="shared" si="1"/>
        <v>1.7976150043397864E-3</v>
      </c>
      <c r="P15" s="172">
        <f t="shared" si="8"/>
        <v>15.748162051040067</v>
      </c>
      <c r="Q15" s="172">
        <f t="shared" si="2"/>
        <v>0</v>
      </c>
      <c r="R15" s="172">
        <f t="shared" si="3"/>
        <v>8.2900145672394601</v>
      </c>
      <c r="S15" s="172">
        <f t="shared" si="13"/>
        <v>90.551841893242255</v>
      </c>
      <c r="T15" s="311">
        <f t="shared" si="10"/>
        <v>14.129950319747172</v>
      </c>
      <c r="U15" s="259">
        <f>+T15/'Capacity Delivered'!L15*1000</f>
        <v>1.6130080273683984</v>
      </c>
      <c r="V15" s="260">
        <f t="shared" si="4"/>
        <v>1.6130080273683985E-3</v>
      </c>
      <c r="X15" s="261">
        <f t="shared" si="11"/>
        <v>3.4106230317081847</v>
      </c>
      <c r="Y15" s="262">
        <f t="shared" si="5"/>
        <v>3.4106230317081849E-3</v>
      </c>
    </row>
    <row r="16" spans="1:25" s="44" customFormat="1" x14ac:dyDescent="0.25">
      <c r="B16" s="266"/>
      <c r="C16" s="267"/>
      <c r="D16" s="267"/>
      <c r="E16" s="267"/>
      <c r="F16" s="257"/>
      <c r="G16" s="37">
        <f t="shared" si="12"/>
        <v>2030</v>
      </c>
      <c r="H16" s="37">
        <v>10</v>
      </c>
      <c r="I16" s="172">
        <f>'Capacity Delivered'!I16</f>
        <v>3.8108</v>
      </c>
      <c r="J16" s="258">
        <f t="shared" si="0"/>
        <v>1.8680037027971648</v>
      </c>
      <c r="K16" s="259">
        <f t="shared" si="6"/>
        <v>26.289530408698706</v>
      </c>
      <c r="L16" s="259">
        <f t="shared" si="7"/>
        <v>3.8107999999999995</v>
      </c>
      <c r="M16" s="259">
        <f>+L16/'Capacity Delivered'!R17*1000</f>
        <v>1.797615004339786</v>
      </c>
      <c r="N16" s="260">
        <f t="shared" si="1"/>
        <v>1.7976150043397861E-3</v>
      </c>
      <c r="O16" s="268"/>
      <c r="P16" s="172">
        <f t="shared" si="8"/>
        <v>16.141866102316069</v>
      </c>
      <c r="Q16" s="172">
        <f t="shared" si="2"/>
        <v>0</v>
      </c>
      <c r="R16" s="172">
        <f>SUM(P16:Q16)/((1+$E$8)^H16)</f>
        <v>7.9125290356834403</v>
      </c>
      <c r="S16" s="172">
        <f>S15+R16</f>
        <v>98.464370928925689</v>
      </c>
      <c r="T16" s="311">
        <f t="shared" si="10"/>
        <v>14.272907081360197</v>
      </c>
      <c r="U16" s="259">
        <f>+T16/'Capacity Delivered'!L16*1000</f>
        <v>1.6293272923927165</v>
      </c>
      <c r="V16" s="260">
        <f t="shared" si="4"/>
        <v>1.6293272923927165E-3</v>
      </c>
      <c r="W16" s="268"/>
      <c r="X16" s="261">
        <f>M16+U16</f>
        <v>3.4269422967325025</v>
      </c>
      <c r="Y16" s="262">
        <f t="shared" si="5"/>
        <v>3.4269422967325024E-3</v>
      </c>
    </row>
    <row r="17" spans="1:25" s="44" customFormat="1" x14ac:dyDescent="0.25">
      <c r="B17" s="266"/>
      <c r="C17" s="267"/>
      <c r="D17" s="267"/>
      <c r="E17" s="267"/>
      <c r="F17" s="257"/>
      <c r="G17" s="38">
        <f t="shared" si="12"/>
        <v>2031</v>
      </c>
      <c r="H17" s="37">
        <v>11</v>
      </c>
      <c r="I17" s="172">
        <f>'Capacity Delivered'!I17</f>
        <v>3.8108</v>
      </c>
      <c r="J17" s="258">
        <f t="shared" si="0"/>
        <v>1.7394577733468335</v>
      </c>
      <c r="K17" s="259">
        <f t="shared" si="6"/>
        <v>28.028988182045538</v>
      </c>
      <c r="L17" s="259">
        <f t="shared" si="7"/>
        <v>3.8107999999999995</v>
      </c>
      <c r="M17" s="259">
        <f>+L17/'Capacity Delivered'!R18*1000</f>
        <v>1.7927034879344861</v>
      </c>
      <c r="N17" s="260">
        <f t="shared" si="1"/>
        <v>1.7927034879344861E-3</v>
      </c>
      <c r="P17" s="172">
        <f t="shared" si="8"/>
        <v>16.545412754873972</v>
      </c>
      <c r="Q17" s="172">
        <f t="shared" si="2"/>
        <v>0</v>
      </c>
      <c r="R17" s="172">
        <f t="shared" si="3"/>
        <v>7.5522322949767444</v>
      </c>
      <c r="S17" s="172">
        <f t="shared" si="13"/>
        <v>106.01660322390244</v>
      </c>
      <c r="T17" s="311">
        <f t="shared" si="10"/>
        <v>14.413937061932254</v>
      </c>
      <c r="U17" s="259">
        <f>+T17/'Capacity Delivered'!L17*1000</f>
        <v>1.6454266052434079</v>
      </c>
      <c r="V17" s="260">
        <f t="shared" si="4"/>
        <v>1.6454266052434079E-3</v>
      </c>
      <c r="X17" s="261">
        <f t="shared" si="11"/>
        <v>3.438130093177894</v>
      </c>
      <c r="Y17" s="262">
        <f t="shared" si="5"/>
        <v>3.438130093177894E-3</v>
      </c>
    </row>
    <row r="18" spans="1:25" s="44" customFormat="1" x14ac:dyDescent="0.25">
      <c r="B18" s="267"/>
      <c r="C18" s="267"/>
      <c r="D18" s="267"/>
      <c r="E18" s="267"/>
      <c r="F18" s="257"/>
      <c r="G18" s="38">
        <f t="shared" si="12"/>
        <v>2032</v>
      </c>
      <c r="H18" s="37">
        <v>12</v>
      </c>
      <c r="I18" s="172">
        <f>'Capacity Delivered'!I18</f>
        <v>3.8108</v>
      </c>
      <c r="J18" s="258">
        <f t="shared" si="0"/>
        <v>1.6197576807401373</v>
      </c>
      <c r="K18" s="259">
        <f t="shared" si="6"/>
        <v>29.648745862785674</v>
      </c>
      <c r="L18" s="259">
        <f t="shared" si="7"/>
        <v>3.8107999999999991</v>
      </c>
      <c r="M18" s="259">
        <f>+L18/'Capacity Delivered'!R19*1000</f>
        <v>1.7976150043397858</v>
      </c>
      <c r="N18" s="260">
        <f t="shared" si="1"/>
        <v>1.7976150043397859E-3</v>
      </c>
      <c r="P18" s="172">
        <f t="shared" si="8"/>
        <v>16.959048073745823</v>
      </c>
      <c r="Q18" s="172">
        <f t="shared" si="2"/>
        <v>0</v>
      </c>
      <c r="R18" s="172">
        <f t="shared" si="3"/>
        <v>7.2083416541122673</v>
      </c>
      <c r="S18" s="172">
        <f t="shared" si="13"/>
        <v>113.2249448780147</v>
      </c>
      <c r="T18" s="311">
        <f t="shared" si="10"/>
        <v>14.552980484841271</v>
      </c>
      <c r="U18" s="259">
        <f>+T18/'Capacity Delivered'!L18*1000</f>
        <v>1.6567600734108914</v>
      </c>
      <c r="V18" s="260">
        <f t="shared" si="4"/>
        <v>1.6567600734108915E-3</v>
      </c>
      <c r="X18" s="261">
        <f t="shared" si="11"/>
        <v>3.4543750777506772</v>
      </c>
      <c r="Y18" s="262">
        <f t="shared" si="5"/>
        <v>3.4543750777506774E-3</v>
      </c>
    </row>
    <row r="19" spans="1:25" s="44" customFormat="1" x14ac:dyDescent="0.25">
      <c r="B19" s="267"/>
      <c r="C19" s="267"/>
      <c r="D19" s="267"/>
      <c r="E19" s="267"/>
      <c r="F19" s="190"/>
      <c r="G19" s="38">
        <f t="shared" si="12"/>
        <v>2033</v>
      </c>
      <c r="H19" s="37">
        <v>13</v>
      </c>
      <c r="I19" s="172">
        <f>'Capacity Delivered'!I19</f>
        <v>3.8108</v>
      </c>
      <c r="J19" s="258">
        <f t="shared" si="0"/>
        <v>1.5082947022442843</v>
      </c>
      <c r="K19" s="259">
        <f t="shared" si="6"/>
        <v>31.157040565029959</v>
      </c>
      <c r="L19" s="259">
        <f t="shared" si="7"/>
        <v>3.8107999999999991</v>
      </c>
      <c r="M19" s="259">
        <f>+L19/'Capacity Delivered'!R20*1000</f>
        <v>1.7976150043397858</v>
      </c>
      <c r="N19" s="260">
        <f t="shared" si="1"/>
        <v>1.7976150043397859E-3</v>
      </c>
      <c r="P19" s="172">
        <f t="shared" si="8"/>
        <v>17.38302427558947</v>
      </c>
      <c r="Q19" s="172">
        <f t="shared" si="2"/>
        <v>0</v>
      </c>
      <c r="R19" s="172">
        <f t="shared" si="3"/>
        <v>6.8801100618913047</v>
      </c>
      <c r="S19" s="172">
        <f t="shared" si="13"/>
        <v>120.105054939906</v>
      </c>
      <c r="T19" s="311">
        <f t="shared" si="10"/>
        <v>14.689981303253267</v>
      </c>
      <c r="U19" s="259">
        <f>+T19/'Capacity Delivered'!L19*1000</f>
        <v>1.6769385049375876</v>
      </c>
      <c r="V19" s="260">
        <f t="shared" si="4"/>
        <v>1.6769385049375876E-3</v>
      </c>
      <c r="X19" s="261">
        <f t="shared" si="11"/>
        <v>3.4745535092773734</v>
      </c>
      <c r="Y19" s="262">
        <f t="shared" si="5"/>
        <v>3.4745535092773733E-3</v>
      </c>
    </row>
    <row r="20" spans="1:25" s="44" customFormat="1" x14ac:dyDescent="0.25">
      <c r="B20" s="267"/>
      <c r="C20" s="267"/>
      <c r="D20" s="267"/>
      <c r="E20" s="267"/>
      <c r="F20" s="190"/>
      <c r="G20" s="38">
        <f t="shared" si="12"/>
        <v>2034</v>
      </c>
      <c r="H20" s="37">
        <v>14</v>
      </c>
      <c r="I20" s="172">
        <f>'Capacity Delivered'!I20</f>
        <v>3.8108</v>
      </c>
      <c r="J20" s="258">
        <f t="shared" si="0"/>
        <v>1.4045020041384528</v>
      </c>
      <c r="K20" s="259">
        <f t="shared" si="6"/>
        <v>32.561542569168409</v>
      </c>
      <c r="L20" s="259">
        <f t="shared" si="7"/>
        <v>3.8107999999999991</v>
      </c>
      <c r="M20" s="259">
        <f>+L20/'Capacity Delivered'!R21*1000</f>
        <v>1.7976150043397858</v>
      </c>
      <c r="N20" s="260">
        <f t="shared" si="1"/>
        <v>1.7976150043397859E-3</v>
      </c>
      <c r="P20" s="172">
        <f t="shared" si="8"/>
        <v>17.817599882479207</v>
      </c>
      <c r="Q20" s="172">
        <f t="shared" si="2"/>
        <v>0</v>
      </c>
      <c r="R20" s="172">
        <f t="shared" si="3"/>
        <v>6.5668244840661041</v>
      </c>
      <c r="S20" s="172">
        <f t="shared" si="13"/>
        <v>126.6718794239721</v>
      </c>
      <c r="T20" s="311">
        <f t="shared" si="10"/>
        <v>14.824887275639933</v>
      </c>
      <c r="U20" s="259">
        <f>+T20/'Capacity Delivered'!L20*1000</f>
        <v>1.6923387300958828</v>
      </c>
      <c r="V20" s="260">
        <f t="shared" si="4"/>
        <v>1.6923387300958827E-3</v>
      </c>
      <c r="X20" s="261">
        <f t="shared" si="11"/>
        <v>3.4899537344356686</v>
      </c>
      <c r="Y20" s="262">
        <f t="shared" si="5"/>
        <v>3.4899537344356686E-3</v>
      </c>
    </row>
    <row r="21" spans="1:25" s="268" customFormat="1" x14ac:dyDescent="0.25">
      <c r="B21" s="267"/>
      <c r="C21" s="267"/>
      <c r="D21" s="267"/>
      <c r="E21" s="267"/>
      <c r="F21" s="190"/>
      <c r="G21" s="37">
        <f t="shared" si="12"/>
        <v>2035</v>
      </c>
      <c r="H21" s="37">
        <v>15</v>
      </c>
      <c r="I21" s="172">
        <f>'Capacity Delivered'!I21</f>
        <v>3.8108</v>
      </c>
      <c r="J21" s="258">
        <f t="shared" si="0"/>
        <v>1.3078517591381438</v>
      </c>
      <c r="K21" s="259">
        <f>K20+J21</f>
        <v>33.869394328306555</v>
      </c>
      <c r="L21" s="259">
        <f t="shared" si="7"/>
        <v>3.8107999999999991</v>
      </c>
      <c r="M21" s="259">
        <f>+L21/'Capacity Delivered'!R22*1000</f>
        <v>1.7927034879344859</v>
      </c>
      <c r="N21" s="260">
        <f>M21/1000</f>
        <v>1.7927034879344859E-3</v>
      </c>
      <c r="P21" s="172">
        <f t="shared" si="8"/>
        <v>18.263039879541189</v>
      </c>
      <c r="Q21" s="172">
        <f t="shared" si="2"/>
        <v>0</v>
      </c>
      <c r="R21" s="172">
        <f t="shared" si="3"/>
        <v>6.2678043543791384</v>
      </c>
      <c r="S21" s="172">
        <f>S20+R21</f>
        <v>132.93968377835125</v>
      </c>
      <c r="T21" s="311">
        <f t="shared" si="10"/>
        <v>14.957650025620365</v>
      </c>
      <c r="U21" s="259">
        <f>+T21/'Capacity Delivered'!L21*1000</f>
        <v>1.7074942951621424</v>
      </c>
      <c r="V21" s="260">
        <f>U21/1000</f>
        <v>1.7074942951621423E-3</v>
      </c>
      <c r="X21" s="261">
        <f t="shared" si="11"/>
        <v>3.5001977830966284</v>
      </c>
      <c r="Y21" s="262">
        <f>X21/1000</f>
        <v>3.5001977830966284E-3</v>
      </c>
    </row>
    <row r="22" spans="1:25" s="44" customFormat="1" x14ac:dyDescent="0.25">
      <c r="B22" s="267"/>
      <c r="C22" s="267"/>
      <c r="D22" s="267"/>
      <c r="E22" s="267"/>
      <c r="F22" s="190"/>
      <c r="G22" s="38">
        <f t="shared" si="12"/>
        <v>2036</v>
      </c>
      <c r="H22" s="37">
        <v>16</v>
      </c>
      <c r="I22" s="172">
        <f>'Capacity Delivered'!I22</f>
        <v>3.8108</v>
      </c>
      <c r="J22" s="258">
        <f t="shared" si="0"/>
        <v>1.2178524621828324</v>
      </c>
      <c r="K22" s="259">
        <f t="shared" si="6"/>
        <v>35.087246790489388</v>
      </c>
      <c r="L22" s="259">
        <f t="shared" si="7"/>
        <v>3.8107999999999986</v>
      </c>
      <c r="M22" s="259">
        <f>+L22/'Capacity Delivered'!R23*1000</f>
        <v>1.7976150043397856</v>
      </c>
      <c r="N22" s="260">
        <f t="shared" si="1"/>
        <v>1.7976150043397857E-3</v>
      </c>
      <c r="P22" s="172">
        <f t="shared" si="8"/>
        <v>18.719615876529719</v>
      </c>
      <c r="Q22" s="172">
        <f t="shared" si="2"/>
        <v>0</v>
      </c>
      <c r="R22" s="172">
        <f t="shared" si="3"/>
        <v>5.9824000961342918</v>
      </c>
      <c r="S22" s="172">
        <f t="shared" ref="S22:S27" si="14">S21+R22</f>
        <v>138.92208387448554</v>
      </c>
      <c r="T22" s="311">
        <f t="shared" si="10"/>
        <v>15.0882250861697</v>
      </c>
      <c r="U22" s="259">
        <f>+T22/'Capacity Delivered'!L22*1000</f>
        <v>1.7176941127242373</v>
      </c>
      <c r="V22" s="260">
        <f t="shared" ref="V22:V27" si="15">U22/1000</f>
        <v>1.7176941127242374E-3</v>
      </c>
      <c r="X22" s="261">
        <f t="shared" si="11"/>
        <v>3.5153091170640227</v>
      </c>
      <c r="Y22" s="262">
        <f t="shared" ref="Y22:Y27" si="16">X22/1000</f>
        <v>3.5153091170640229E-3</v>
      </c>
    </row>
    <row r="23" spans="1:25" s="44" customFormat="1" x14ac:dyDescent="0.25">
      <c r="B23" s="267"/>
      <c r="C23" s="267"/>
      <c r="D23" s="267"/>
      <c r="E23" s="267"/>
      <c r="F23" s="190"/>
      <c r="G23" s="38">
        <f t="shared" si="12"/>
        <v>2037</v>
      </c>
      <c r="H23" s="37">
        <v>17</v>
      </c>
      <c r="I23" s="172">
        <f>'Capacity Delivered'!I23</f>
        <v>3.8108</v>
      </c>
      <c r="J23" s="258">
        <f t="shared" si="0"/>
        <v>1.1340464309366163</v>
      </c>
      <c r="K23" s="259">
        <f t="shared" si="6"/>
        <v>36.221293221426002</v>
      </c>
      <c r="L23" s="259">
        <f t="shared" si="7"/>
        <v>3.8107999999999982</v>
      </c>
      <c r="M23" s="259">
        <f>+L23/'Capacity Delivered'!R24*1000</f>
        <v>1.7976150043397856</v>
      </c>
      <c r="N23" s="260">
        <f t="shared" si="1"/>
        <v>1.7976150043397857E-3</v>
      </c>
      <c r="P23" s="172">
        <f t="shared" si="8"/>
        <v>19.187606273442963</v>
      </c>
      <c r="Q23" s="172">
        <f t="shared" si="2"/>
        <v>0</v>
      </c>
      <c r="R23" s="172">
        <f t="shared" si="3"/>
        <v>5.7099917110882288</v>
      </c>
      <c r="S23" s="172">
        <f t="shared" si="14"/>
        <v>144.63207558557377</v>
      </c>
      <c r="T23" s="311">
        <f t="shared" si="10"/>
        <v>15.21657192834501</v>
      </c>
      <c r="U23" s="259">
        <f>+T23/'Capacity Delivered'!L23*1000</f>
        <v>1.7370515899937227</v>
      </c>
      <c r="V23" s="260">
        <f t="shared" si="15"/>
        <v>1.7370515899937226E-3</v>
      </c>
      <c r="X23" s="261">
        <f t="shared" si="11"/>
        <v>3.5346665943335083</v>
      </c>
      <c r="Y23" s="262">
        <f t="shared" si="16"/>
        <v>3.5346665943335083E-3</v>
      </c>
    </row>
    <row r="24" spans="1:25" s="44" customFormat="1" x14ac:dyDescent="0.25">
      <c r="B24" s="267"/>
      <c r="C24" s="267"/>
      <c r="D24" s="267"/>
      <c r="E24" s="267"/>
      <c r="F24" s="190"/>
      <c r="G24" s="38">
        <f t="shared" si="12"/>
        <v>2038</v>
      </c>
      <c r="H24" s="37">
        <v>18</v>
      </c>
      <c r="I24" s="172">
        <f>'Capacity Delivered'!I24</f>
        <v>3.8108</v>
      </c>
      <c r="J24" s="258">
        <f t="shared" si="0"/>
        <v>1.0560074782909175</v>
      </c>
      <c r="K24" s="259">
        <f t="shared" si="6"/>
        <v>37.277300699716918</v>
      </c>
      <c r="L24" s="259">
        <f t="shared" si="7"/>
        <v>3.8107999999999982</v>
      </c>
      <c r="M24" s="259">
        <f>+L24/'Capacity Delivered'!R25*1000</f>
        <v>1.7976150043397856</v>
      </c>
      <c r="N24" s="260">
        <f t="shared" si="1"/>
        <v>1.7976150043397857E-3</v>
      </c>
      <c r="P24" s="172">
        <f t="shared" si="8"/>
        <v>19.667296430279038</v>
      </c>
      <c r="Q24" s="172">
        <f t="shared" si="2"/>
        <v>0</v>
      </c>
      <c r="R24" s="172">
        <f t="shared" si="3"/>
        <v>5.4499874325965489</v>
      </c>
      <c r="S24" s="172">
        <f t="shared" si="14"/>
        <v>150.08206301817032</v>
      </c>
      <c r="T24" s="311">
        <f t="shared" si="10"/>
        <v>15.342653974781667</v>
      </c>
      <c r="U24" s="259">
        <f>+T24/'Capacity Delivered'!L24*1000</f>
        <v>1.7514445176691402</v>
      </c>
      <c r="V24" s="260">
        <f t="shared" si="15"/>
        <v>1.7514445176691402E-3</v>
      </c>
      <c r="X24" s="261">
        <f t="shared" si="11"/>
        <v>3.5490595220089256</v>
      </c>
      <c r="Y24" s="262">
        <f t="shared" si="16"/>
        <v>3.5490595220089255E-3</v>
      </c>
    </row>
    <row r="25" spans="1:25" x14ac:dyDescent="0.25">
      <c r="B25" s="173"/>
      <c r="C25" s="173"/>
      <c r="D25" s="173"/>
      <c r="E25" s="173"/>
      <c r="F25" s="52"/>
      <c r="G25" s="38">
        <f t="shared" si="12"/>
        <v>2039</v>
      </c>
      <c r="H25" s="39">
        <v>19</v>
      </c>
      <c r="I25" s="172">
        <f>'Capacity Delivered'!I25</f>
        <v>3.8108</v>
      </c>
      <c r="J25" s="40">
        <f t="shared" si="0"/>
        <v>0.98333874503298035</v>
      </c>
      <c r="K25" s="41">
        <f t="shared" si="6"/>
        <v>38.260639444749899</v>
      </c>
      <c r="L25" s="41">
        <f t="shared" si="7"/>
        <v>3.8107999999999982</v>
      </c>
      <c r="M25" s="41">
        <f>+L25/'Capacity Delivered'!R26*1000</f>
        <v>1.7927034879344854</v>
      </c>
      <c r="N25" s="238">
        <f t="shared" si="1"/>
        <v>1.7927034879344854E-3</v>
      </c>
      <c r="P25" s="172">
        <f t="shared" si="8"/>
        <v>20.158978841036014</v>
      </c>
      <c r="Q25" s="172">
        <f t="shared" si="2"/>
        <v>0</v>
      </c>
      <c r="R25" s="172">
        <f t="shared" si="3"/>
        <v>5.2018224400888942</v>
      </c>
      <c r="S25" s="172">
        <f t="shared" si="14"/>
        <v>155.28388545825922</v>
      </c>
      <c r="T25" s="311">
        <f t="shared" si="10"/>
        <v>15.466438598310837</v>
      </c>
      <c r="U25" s="41">
        <f>+T25/'Capacity Delivered'!L25*1000</f>
        <v>1.765575182455575</v>
      </c>
      <c r="V25" s="238">
        <f t="shared" si="15"/>
        <v>1.7655751824555751E-3</v>
      </c>
      <c r="X25" s="245">
        <f t="shared" si="11"/>
        <v>3.5582786703900604</v>
      </c>
      <c r="Y25" s="246">
        <f t="shared" si="16"/>
        <v>3.5582786703900605E-3</v>
      </c>
    </row>
    <row r="26" spans="1:25" x14ac:dyDescent="0.25">
      <c r="B26" s="173"/>
      <c r="C26" s="173"/>
      <c r="D26" s="173"/>
      <c r="E26" s="173"/>
      <c r="F26" s="52"/>
      <c r="G26" s="38">
        <f t="shared" si="12"/>
        <v>2040</v>
      </c>
      <c r="H26" s="39">
        <v>20</v>
      </c>
      <c r="I26" s="172">
        <f>'Capacity Delivered'!I26</f>
        <v>3.8108</v>
      </c>
      <c r="J26" s="40">
        <f t="shared" si="0"/>
        <v>0.9156706816584228</v>
      </c>
      <c r="K26" s="41">
        <f t="shared" si="6"/>
        <v>39.176310126408325</v>
      </c>
      <c r="L26" s="41">
        <f t="shared" si="7"/>
        <v>3.8107999999999986</v>
      </c>
      <c r="M26" s="41">
        <f>+L26/'Capacity Delivered'!R27*1000</f>
        <v>1.7976150043397856</v>
      </c>
      <c r="N26" s="238">
        <f t="shared" si="1"/>
        <v>1.7976150043397857E-3</v>
      </c>
      <c r="P26" s="172">
        <f t="shared" si="8"/>
        <v>20.662953312061912</v>
      </c>
      <c r="Q26" s="172">
        <f t="shared" si="2"/>
        <v>0</v>
      </c>
      <c r="R26" s="172">
        <f t="shared" si="3"/>
        <v>4.9649576320803757</v>
      </c>
      <c r="S26" s="172">
        <f t="shared" si="14"/>
        <v>160.24884309033959</v>
      </c>
      <c r="T26" s="311">
        <f t="shared" si="10"/>
        <v>15.58789710613955</v>
      </c>
      <c r="U26" s="41">
        <f>+T26/'Capacity Delivered'!L26*1000</f>
        <v>1.774578450152499</v>
      </c>
      <c r="V26" s="238">
        <f t="shared" si="15"/>
        <v>1.774578450152499E-3</v>
      </c>
      <c r="X26" s="245">
        <f t="shared" si="11"/>
        <v>3.5721934544922846</v>
      </c>
      <c r="Y26" s="246">
        <f t="shared" si="16"/>
        <v>3.5721934544922845E-3</v>
      </c>
    </row>
    <row r="27" spans="1:25" s="44" customFormat="1" ht="15.6" thickBot="1" x14ac:dyDescent="0.3">
      <c r="G27" s="38">
        <f t="shared" si="12"/>
        <v>2041</v>
      </c>
      <c r="H27" s="37">
        <v>21</v>
      </c>
      <c r="I27" s="172">
        <f>'Capacity Delivered'!I27</f>
        <v>3.8108</v>
      </c>
      <c r="J27" s="40">
        <f t="shared" si="0"/>
        <v>0.85265916906455219</v>
      </c>
      <c r="K27" s="41">
        <f t="shared" si="6"/>
        <v>40.028969295472876</v>
      </c>
      <c r="L27" s="41">
        <f t="shared" si="7"/>
        <v>3.8107999999999982</v>
      </c>
      <c r="M27" s="41">
        <f>+L27/'Capacity Delivered'!R28*1000</f>
        <v>1.7976150043397856</v>
      </c>
      <c r="N27" s="238">
        <f t="shared" si="1"/>
        <v>1.7976150043397857E-3</v>
      </c>
      <c r="P27" s="172">
        <f t="shared" si="8"/>
        <v>21.17952714486346</v>
      </c>
      <c r="Q27" s="172">
        <f t="shared" si="2"/>
        <v>0</v>
      </c>
      <c r="R27" s="172">
        <f t="shared" si="3"/>
        <v>4.7388784550539009</v>
      </c>
      <c r="S27" s="172">
        <f t="shared" si="14"/>
        <v>164.9877215453935</v>
      </c>
      <c r="T27" s="311">
        <f t="shared" si="10"/>
        <v>15.7070047101186</v>
      </c>
      <c r="U27" s="41">
        <f>+T27/'Capacity Delivered'!L27*1000</f>
        <v>1.793037067365137</v>
      </c>
      <c r="V27" s="238">
        <f t="shared" si="15"/>
        <v>1.7930370673651371E-3</v>
      </c>
      <c r="X27" s="247">
        <f t="shared" si="11"/>
        <v>3.5906520717049224</v>
      </c>
      <c r="Y27" s="248">
        <f t="shared" si="16"/>
        <v>3.5906520717049225E-3</v>
      </c>
    </row>
    <row r="28" spans="1:25" s="44" customFormat="1" x14ac:dyDescent="0.25">
      <c r="C28" s="21"/>
      <c r="D28" s="21"/>
      <c r="G28" s="38"/>
      <c r="H28" s="37"/>
      <c r="I28" s="175"/>
      <c r="J28" s="55"/>
      <c r="K28" s="56"/>
      <c r="L28" s="48"/>
      <c r="M28" s="48"/>
      <c r="N28" s="48"/>
      <c r="P28" s="176"/>
      <c r="Q28" s="54"/>
      <c r="R28" s="55"/>
      <c r="S28" s="56"/>
      <c r="T28" s="48"/>
      <c r="U28" s="48"/>
      <c r="V28" s="48"/>
      <c r="X28" s="48"/>
      <c r="Y28" s="48"/>
    </row>
    <row r="29" spans="1:25" x14ac:dyDescent="0.25">
      <c r="B29" s="31"/>
      <c r="C29" s="21"/>
      <c r="D29" s="21"/>
      <c r="E29" s="44"/>
      <c r="F29" s="44"/>
      <c r="G29" s="31"/>
      <c r="H29" s="37"/>
      <c r="I29" s="175"/>
      <c r="J29" s="31"/>
      <c r="K29" s="31"/>
      <c r="L29" s="31"/>
      <c r="M29" s="31"/>
      <c r="N29" s="31"/>
      <c r="P29" s="176"/>
      <c r="Q29" s="54"/>
      <c r="R29" s="31"/>
      <c r="S29" s="31"/>
      <c r="T29" s="31"/>
      <c r="U29" s="31"/>
      <c r="V29" s="31"/>
      <c r="X29" s="31"/>
      <c r="Y29" s="31"/>
    </row>
    <row r="30" spans="1:25" s="44" customFormat="1" ht="111.6" customHeight="1" x14ac:dyDescent="0.25">
      <c r="A30" s="320" t="str">
        <f>+D6</f>
        <v>[4]</v>
      </c>
      <c r="B30" s="336" t="s">
        <v>133</v>
      </c>
      <c r="C30" s="336"/>
      <c r="D30" s="336"/>
      <c r="E30" s="336"/>
      <c r="F30" s="336"/>
      <c r="G30" s="336"/>
      <c r="H30" s="336"/>
      <c r="I30" s="336"/>
      <c r="J30" s="336"/>
      <c r="K30" s="336"/>
      <c r="L30" s="336"/>
      <c r="M30" s="336"/>
      <c r="N30" s="336"/>
      <c r="R30" s="236"/>
      <c r="S30" s="236"/>
    </row>
    <row r="32" spans="1:25" x14ac:dyDescent="0.25">
      <c r="K32" s="249"/>
      <c r="S32" s="249"/>
    </row>
  </sheetData>
  <mergeCells count="1">
    <mergeCell ref="B30:N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6" r:id="rId4" name="Control 4">
          <controlPr defaultSize="0" r:id="rId5">
            <anchor moveWithCells="1">
              <from>
                <xdr:col>7</xdr:col>
                <xdr:colOff>533400</xdr:colOff>
                <xdr:row>2</xdr:row>
                <xdr:rowOff>30480</xdr:rowOff>
              </from>
              <to>
                <xdr:col>8</xdr:col>
                <xdr:colOff>76200</xdr:colOff>
                <xdr:row>3</xdr:row>
                <xdr:rowOff>106680</xdr:rowOff>
              </to>
            </anchor>
          </controlPr>
        </control>
      </mc:Choice>
      <mc:Fallback>
        <control shapeId="28676" r:id="rId4" name="Control 4"/>
      </mc:Fallback>
    </mc:AlternateContent>
    <mc:AlternateContent xmlns:mc="http://schemas.openxmlformats.org/markup-compatibility/2006">
      <mc:Choice Requires="x14">
        <control shapeId="28675" r:id="rId6" name="Control 3">
          <controlPr defaultSize="0" r:id="rId7">
            <anchor moveWithCells="1">
              <from>
                <xdr:col>7</xdr:col>
                <xdr:colOff>533400</xdr:colOff>
                <xdr:row>2</xdr:row>
                <xdr:rowOff>30480</xdr:rowOff>
              </from>
              <to>
                <xdr:col>8</xdr:col>
                <xdr:colOff>53340</xdr:colOff>
                <xdr:row>3</xdr:row>
                <xdr:rowOff>30480</xdr:rowOff>
              </to>
            </anchor>
          </controlPr>
        </control>
      </mc:Choice>
      <mc:Fallback>
        <control shapeId="28675" r:id="rId6" name="Control 3"/>
      </mc:Fallback>
    </mc:AlternateContent>
    <mc:AlternateContent xmlns:mc="http://schemas.openxmlformats.org/markup-compatibility/2006">
      <mc:Choice Requires="x14">
        <control shapeId="28674" r:id="rId8" name="Control 2">
          <controlPr defaultSize="0" r:id="rId9">
            <anchor moveWithCells="1">
              <from>
                <xdr:col>7</xdr:col>
                <xdr:colOff>533400</xdr:colOff>
                <xdr:row>2</xdr:row>
                <xdr:rowOff>30480</xdr:rowOff>
              </from>
              <to>
                <xdr:col>8</xdr:col>
                <xdr:colOff>53340</xdr:colOff>
                <xdr:row>3</xdr:row>
                <xdr:rowOff>30480</xdr:rowOff>
              </to>
            </anchor>
          </controlPr>
        </control>
      </mc:Choice>
      <mc:Fallback>
        <control shapeId="28674" r:id="rId8" name="Control 2"/>
      </mc:Fallback>
    </mc:AlternateContent>
    <mc:AlternateContent xmlns:mc="http://schemas.openxmlformats.org/markup-compatibility/2006">
      <mc:Choice Requires="x14">
        <control shapeId="28673" r:id="rId10" name="Control 1">
          <controlPr defaultSize="0" r:id="rId11">
            <anchor moveWithCells="1">
              <from>
                <xdr:col>7</xdr:col>
                <xdr:colOff>533400</xdr:colOff>
                <xdr:row>2</xdr:row>
                <xdr:rowOff>30480</xdr:rowOff>
              </from>
              <to>
                <xdr:col>7</xdr:col>
                <xdr:colOff>731520</xdr:colOff>
                <xdr:row>3</xdr:row>
                <xdr:rowOff>30480</xdr:rowOff>
              </to>
            </anchor>
          </controlPr>
        </control>
      </mc:Choice>
      <mc:Fallback>
        <control shapeId="28673" r:id="rId10" name="Control 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H28" sqref="H28"/>
    </sheetView>
  </sheetViews>
  <sheetFormatPr defaultColWidth="9.109375" defaultRowHeight="14.4" x14ac:dyDescent="0.3"/>
  <cols>
    <col min="1" max="16384" width="9.109375" style="75"/>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C2" sqref="C2:Q2"/>
    </sheetView>
  </sheetViews>
  <sheetFormatPr defaultColWidth="8.88671875" defaultRowHeight="15" x14ac:dyDescent="0.25"/>
  <cols>
    <col min="1" max="1" width="2.6640625" style="58" customWidth="1"/>
    <col min="2" max="2" width="4" style="58" bestFit="1" customWidth="1"/>
    <col min="3" max="3" width="9.6640625" style="58" customWidth="1"/>
    <col min="4" max="16" width="10" style="58" customWidth="1"/>
    <col min="17" max="17" width="14.109375" style="65" customWidth="1"/>
    <col min="18" max="16384" width="8.88671875" style="58"/>
  </cols>
  <sheetData>
    <row r="2" spans="2:17" ht="63" customHeight="1" x14ac:dyDescent="0.25">
      <c r="C2" s="337" t="s">
        <v>131</v>
      </c>
      <c r="D2" s="337"/>
      <c r="E2" s="337"/>
      <c r="F2" s="337"/>
      <c r="G2" s="337"/>
      <c r="H2" s="337"/>
      <c r="I2" s="337"/>
      <c r="J2" s="337"/>
      <c r="K2" s="337"/>
      <c r="L2" s="337"/>
      <c r="M2" s="337"/>
      <c r="N2" s="337"/>
      <c r="O2" s="337"/>
      <c r="P2" s="337"/>
      <c r="Q2" s="337"/>
    </row>
    <row r="3" spans="2:17" ht="16.2" thickBot="1" x14ac:dyDescent="0.35">
      <c r="C3" s="57"/>
      <c r="Q3" s="72"/>
    </row>
    <row r="4" spans="2:17" ht="15.6" x14ac:dyDescent="0.25">
      <c r="C4" s="59"/>
      <c r="D4" s="67" t="s">
        <v>56</v>
      </c>
      <c r="E4" s="67">
        <v>2</v>
      </c>
      <c r="F4" s="67">
        <v>3</v>
      </c>
      <c r="G4" s="67">
        <v>4</v>
      </c>
      <c r="H4" s="67">
        <v>5</v>
      </c>
      <c r="I4" s="67">
        <v>6</v>
      </c>
      <c r="J4" s="67">
        <v>7</v>
      </c>
      <c r="K4" s="67">
        <v>8</v>
      </c>
      <c r="L4" s="67">
        <v>9</v>
      </c>
      <c r="M4" s="67">
        <v>10</v>
      </c>
      <c r="N4" s="67">
        <v>11</v>
      </c>
      <c r="O4" s="67">
        <v>12</v>
      </c>
      <c r="P4" s="68" t="s">
        <v>37</v>
      </c>
      <c r="Q4" s="72"/>
    </row>
    <row r="5" spans="2:17" ht="16.2" thickBot="1" x14ac:dyDescent="0.3">
      <c r="C5" s="69" t="s">
        <v>38</v>
      </c>
      <c r="D5" s="70"/>
      <c r="E5" s="70"/>
      <c r="F5" s="70"/>
      <c r="G5" s="70"/>
      <c r="H5" s="70"/>
      <c r="I5" s="70"/>
      <c r="J5" s="70"/>
      <c r="K5" s="70"/>
      <c r="L5" s="70"/>
      <c r="M5" s="70"/>
      <c r="N5" s="70"/>
      <c r="O5" s="70"/>
      <c r="P5" s="71"/>
      <c r="Q5" s="72"/>
    </row>
    <row r="6" spans="2:17" ht="15.6" thickBot="1" x14ac:dyDescent="0.3">
      <c r="B6" s="208">
        <v>1</v>
      </c>
      <c r="C6" s="60">
        <v>2021</v>
      </c>
      <c r="D6" s="61">
        <v>27.69</v>
      </c>
      <c r="E6" s="61">
        <v>28.82</v>
      </c>
      <c r="F6" s="61">
        <v>21.13</v>
      </c>
      <c r="G6" s="61">
        <v>17.18</v>
      </c>
      <c r="H6" s="61">
        <v>10.79</v>
      </c>
      <c r="I6" s="61">
        <v>13.67</v>
      </c>
      <c r="J6" s="61">
        <v>22.61</v>
      </c>
      <c r="K6" s="61">
        <v>25.02</v>
      </c>
      <c r="L6" s="61">
        <v>25.99</v>
      </c>
      <c r="M6" s="61">
        <v>25.91</v>
      </c>
      <c r="N6" s="61">
        <v>26.7</v>
      </c>
      <c r="O6" s="61">
        <v>28.98</v>
      </c>
      <c r="P6" s="61">
        <v>22.85</v>
      </c>
      <c r="Q6" s="72"/>
    </row>
    <row r="7" spans="2:17" ht="15.6" thickBot="1" x14ac:dyDescent="0.3">
      <c r="B7" s="58">
        <v>2</v>
      </c>
      <c r="C7" s="60">
        <f>C6+1</f>
        <v>2022</v>
      </c>
      <c r="D7" s="61">
        <v>26.56</v>
      </c>
      <c r="E7" s="61">
        <v>27.65</v>
      </c>
      <c r="F7" s="61">
        <v>20.55</v>
      </c>
      <c r="G7" s="61">
        <v>15.1</v>
      </c>
      <c r="H7" s="61">
        <v>9.49</v>
      </c>
      <c r="I7" s="61">
        <v>11.31</v>
      </c>
      <c r="J7" s="61">
        <v>21.01</v>
      </c>
      <c r="K7" s="61">
        <v>22.88</v>
      </c>
      <c r="L7" s="61">
        <v>24.31</v>
      </c>
      <c r="M7" s="61">
        <v>23.59</v>
      </c>
      <c r="N7" s="61">
        <v>24.69</v>
      </c>
      <c r="O7" s="61">
        <v>27.53</v>
      </c>
      <c r="P7" s="61">
        <v>21.19</v>
      </c>
      <c r="Q7" s="74"/>
    </row>
    <row r="8" spans="2:17" ht="15.6" thickBot="1" x14ac:dyDescent="0.3">
      <c r="B8" s="58">
        <v>3</v>
      </c>
      <c r="C8" s="60">
        <f t="shared" ref="C8:C26" si="0">C7+1</f>
        <v>2023</v>
      </c>
      <c r="D8" s="61">
        <v>25.24</v>
      </c>
      <c r="E8" s="61">
        <v>26.5</v>
      </c>
      <c r="F8" s="61">
        <v>19.77</v>
      </c>
      <c r="G8" s="61">
        <v>14.79</v>
      </c>
      <c r="H8" s="61">
        <v>9.6999999999999993</v>
      </c>
      <c r="I8" s="61">
        <v>10.29</v>
      </c>
      <c r="J8" s="61">
        <v>20.13</v>
      </c>
      <c r="K8" s="61">
        <v>21.93</v>
      </c>
      <c r="L8" s="61">
        <v>23.68</v>
      </c>
      <c r="M8" s="61">
        <v>23.11</v>
      </c>
      <c r="N8" s="61">
        <v>24.42</v>
      </c>
      <c r="O8" s="61">
        <v>27.09</v>
      </c>
      <c r="P8" s="61">
        <v>20.53</v>
      </c>
      <c r="Q8" s="74"/>
    </row>
    <row r="9" spans="2:17" ht="15.6" thickBot="1" x14ac:dyDescent="0.3">
      <c r="B9" s="208">
        <v>4</v>
      </c>
      <c r="C9" s="60">
        <f t="shared" si="0"/>
        <v>2024</v>
      </c>
      <c r="D9" s="61">
        <v>24.49</v>
      </c>
      <c r="E9" s="61">
        <v>25.82</v>
      </c>
      <c r="F9" s="61">
        <v>18.79</v>
      </c>
      <c r="G9" s="61">
        <v>13.88</v>
      </c>
      <c r="H9" s="61">
        <v>7.17</v>
      </c>
      <c r="I9" s="61">
        <v>9.23</v>
      </c>
      <c r="J9" s="61">
        <v>18.46</v>
      </c>
      <c r="K9" s="61">
        <v>22.35</v>
      </c>
      <c r="L9" s="61">
        <v>24</v>
      </c>
      <c r="M9" s="61">
        <v>22.97</v>
      </c>
      <c r="N9" s="61">
        <v>24.39</v>
      </c>
      <c r="O9" s="61">
        <v>26.06</v>
      </c>
      <c r="P9" s="61">
        <v>19.79</v>
      </c>
      <c r="Q9" s="74"/>
    </row>
    <row r="10" spans="2:17" ht="15.6" thickBot="1" x14ac:dyDescent="0.3">
      <c r="B10" s="58">
        <v>5</v>
      </c>
      <c r="C10" s="60">
        <f t="shared" si="0"/>
        <v>2025</v>
      </c>
      <c r="D10" s="61">
        <v>24.49</v>
      </c>
      <c r="E10" s="61">
        <v>25.82</v>
      </c>
      <c r="F10" s="61">
        <v>18.97</v>
      </c>
      <c r="G10" s="61">
        <v>12.83</v>
      </c>
      <c r="H10" s="61">
        <v>7.53</v>
      </c>
      <c r="I10" s="61">
        <v>9.73</v>
      </c>
      <c r="J10" s="61">
        <v>18.21</v>
      </c>
      <c r="K10" s="61">
        <v>22.47</v>
      </c>
      <c r="L10" s="61">
        <v>24.22</v>
      </c>
      <c r="M10" s="61">
        <v>22.79</v>
      </c>
      <c r="N10" s="61">
        <v>23.8</v>
      </c>
      <c r="O10" s="61">
        <v>26.5</v>
      </c>
      <c r="P10" s="61">
        <v>19.75</v>
      </c>
      <c r="Q10" s="74"/>
    </row>
    <row r="11" spans="2:17" ht="15.6" thickBot="1" x14ac:dyDescent="0.3">
      <c r="B11" s="58">
        <v>6</v>
      </c>
      <c r="C11" s="60">
        <f t="shared" si="0"/>
        <v>2026</v>
      </c>
      <c r="D11" s="61">
        <v>24.38</v>
      </c>
      <c r="E11" s="61">
        <v>26.73</v>
      </c>
      <c r="F11" s="61">
        <v>18.2</v>
      </c>
      <c r="G11" s="61">
        <v>13.87</v>
      </c>
      <c r="H11" s="61">
        <v>7.99</v>
      </c>
      <c r="I11" s="61">
        <v>9.5500000000000007</v>
      </c>
      <c r="J11" s="61">
        <v>18.670000000000002</v>
      </c>
      <c r="K11" s="61">
        <v>22.57</v>
      </c>
      <c r="L11" s="61">
        <v>24.01</v>
      </c>
      <c r="M11" s="61">
        <v>23.09</v>
      </c>
      <c r="N11" s="61">
        <v>23.99</v>
      </c>
      <c r="O11" s="61">
        <v>26.99</v>
      </c>
      <c r="P11" s="61">
        <v>19.97</v>
      </c>
      <c r="Q11" s="74"/>
    </row>
    <row r="12" spans="2:17" ht="15.6" thickBot="1" x14ac:dyDescent="0.3">
      <c r="B12" s="208">
        <v>7</v>
      </c>
      <c r="C12" s="60">
        <f t="shared" si="0"/>
        <v>2027</v>
      </c>
      <c r="D12" s="61">
        <v>28.08</v>
      </c>
      <c r="E12" s="61">
        <v>28.91</v>
      </c>
      <c r="F12" s="61">
        <v>19.71</v>
      </c>
      <c r="G12" s="61">
        <v>15.44</v>
      </c>
      <c r="H12" s="61">
        <v>9.14</v>
      </c>
      <c r="I12" s="61">
        <v>10.75</v>
      </c>
      <c r="J12" s="61">
        <v>22.01</v>
      </c>
      <c r="K12" s="61">
        <v>26.84</v>
      </c>
      <c r="L12" s="61">
        <v>28.62</v>
      </c>
      <c r="M12" s="61">
        <v>28.87</v>
      </c>
      <c r="N12" s="61">
        <v>29</v>
      </c>
      <c r="O12" s="61">
        <v>31.2</v>
      </c>
      <c r="P12" s="61">
        <v>23.19</v>
      </c>
      <c r="Q12" s="74"/>
    </row>
    <row r="13" spans="2:17" ht="15.6" thickBot="1" x14ac:dyDescent="0.3">
      <c r="B13" s="58">
        <v>8</v>
      </c>
      <c r="C13" s="60">
        <f t="shared" si="0"/>
        <v>2028</v>
      </c>
      <c r="D13" s="61">
        <v>28.71</v>
      </c>
      <c r="E13" s="61">
        <v>29.47</v>
      </c>
      <c r="F13" s="61">
        <v>19.64</v>
      </c>
      <c r="G13" s="61">
        <v>16.52</v>
      </c>
      <c r="H13" s="61">
        <v>9.08</v>
      </c>
      <c r="I13" s="61">
        <v>11.2</v>
      </c>
      <c r="J13" s="61">
        <v>23.79</v>
      </c>
      <c r="K13" s="61">
        <v>28.14</v>
      </c>
      <c r="L13" s="61">
        <v>32.15</v>
      </c>
      <c r="M13" s="61">
        <v>31.02</v>
      </c>
      <c r="N13" s="61">
        <v>30.01</v>
      </c>
      <c r="O13" s="61">
        <v>33.369999999999997</v>
      </c>
      <c r="P13" s="61">
        <v>24.42</v>
      </c>
      <c r="Q13" s="74"/>
    </row>
    <row r="14" spans="2:17" ht="15.6" thickBot="1" x14ac:dyDescent="0.3">
      <c r="B14" s="58">
        <v>9</v>
      </c>
      <c r="C14" s="60">
        <f t="shared" si="0"/>
        <v>2029</v>
      </c>
      <c r="D14" s="61">
        <v>29.33</v>
      </c>
      <c r="E14" s="61">
        <v>31.29</v>
      </c>
      <c r="F14" s="61">
        <v>19.63</v>
      </c>
      <c r="G14" s="61">
        <v>20.07</v>
      </c>
      <c r="H14" s="61">
        <v>8.8699999999999992</v>
      </c>
      <c r="I14" s="61">
        <v>11.5</v>
      </c>
      <c r="J14" s="61">
        <v>23.61</v>
      </c>
      <c r="K14" s="61">
        <v>30.2</v>
      </c>
      <c r="L14" s="61">
        <v>35.24</v>
      </c>
      <c r="M14" s="61">
        <v>32.07</v>
      </c>
      <c r="N14" s="61">
        <v>28.96</v>
      </c>
      <c r="O14" s="61">
        <v>34.85</v>
      </c>
      <c r="P14" s="61">
        <v>25.44</v>
      </c>
      <c r="Q14" s="74"/>
    </row>
    <row r="15" spans="2:17" ht="15.6" thickBot="1" x14ac:dyDescent="0.3">
      <c r="B15" s="208">
        <v>10</v>
      </c>
      <c r="C15" s="60">
        <f t="shared" si="0"/>
        <v>2030</v>
      </c>
      <c r="D15" s="61">
        <v>29.05</v>
      </c>
      <c r="E15" s="61">
        <v>30.29</v>
      </c>
      <c r="F15" s="61">
        <v>18.28</v>
      </c>
      <c r="G15" s="61">
        <v>18.75</v>
      </c>
      <c r="H15" s="61">
        <v>8.06</v>
      </c>
      <c r="I15" s="61">
        <v>10.96</v>
      </c>
      <c r="J15" s="61">
        <v>22.71</v>
      </c>
      <c r="K15" s="61">
        <v>29.93</v>
      </c>
      <c r="L15" s="61">
        <v>34.659999999999997</v>
      </c>
      <c r="M15" s="61">
        <v>32.94</v>
      </c>
      <c r="N15" s="61">
        <v>30.73</v>
      </c>
      <c r="O15" s="61">
        <v>34.61</v>
      </c>
      <c r="P15" s="61">
        <v>25.05</v>
      </c>
      <c r="Q15" s="74"/>
    </row>
    <row r="16" spans="2:17" ht="15.6" thickBot="1" x14ac:dyDescent="0.3">
      <c r="B16" s="58">
        <v>11</v>
      </c>
      <c r="C16" s="60">
        <f t="shared" si="0"/>
        <v>2031</v>
      </c>
      <c r="D16" s="61">
        <v>28.42</v>
      </c>
      <c r="E16" s="61">
        <v>30.42</v>
      </c>
      <c r="F16" s="61">
        <v>18.22</v>
      </c>
      <c r="G16" s="61">
        <v>18.190000000000001</v>
      </c>
      <c r="H16" s="61">
        <v>8.5500000000000007</v>
      </c>
      <c r="I16" s="61">
        <v>11.12</v>
      </c>
      <c r="J16" s="61">
        <v>22.13</v>
      </c>
      <c r="K16" s="61">
        <v>29.98</v>
      </c>
      <c r="L16" s="61">
        <v>34.53</v>
      </c>
      <c r="M16" s="61">
        <v>32.65</v>
      </c>
      <c r="N16" s="61">
        <v>29.03</v>
      </c>
      <c r="O16" s="61">
        <v>34.49</v>
      </c>
      <c r="P16" s="61">
        <v>24.78</v>
      </c>
      <c r="Q16" s="74"/>
    </row>
    <row r="17" spans="2:17" ht="15.6" thickBot="1" x14ac:dyDescent="0.3">
      <c r="B17" s="58">
        <v>12</v>
      </c>
      <c r="C17" s="60">
        <f t="shared" si="0"/>
        <v>2032</v>
      </c>
      <c r="D17" s="61">
        <v>28.24</v>
      </c>
      <c r="E17" s="61">
        <v>29.21</v>
      </c>
      <c r="F17" s="61">
        <v>18.309999999999999</v>
      </c>
      <c r="G17" s="61">
        <v>19.43</v>
      </c>
      <c r="H17" s="61">
        <v>10.210000000000001</v>
      </c>
      <c r="I17" s="61">
        <v>10.67</v>
      </c>
      <c r="J17" s="61">
        <v>23.05</v>
      </c>
      <c r="K17" s="61">
        <v>29.05</v>
      </c>
      <c r="L17" s="61">
        <v>33.67</v>
      </c>
      <c r="M17" s="61">
        <v>34.86</v>
      </c>
      <c r="N17" s="61">
        <v>32.28</v>
      </c>
      <c r="O17" s="61">
        <v>35.65</v>
      </c>
      <c r="P17" s="61">
        <v>25.38</v>
      </c>
      <c r="Q17" s="74"/>
    </row>
    <row r="18" spans="2:17" ht="15.6" thickBot="1" x14ac:dyDescent="0.3">
      <c r="B18" s="208">
        <v>13</v>
      </c>
      <c r="C18" s="60">
        <f t="shared" si="0"/>
        <v>2033</v>
      </c>
      <c r="D18" s="61">
        <v>29.08</v>
      </c>
      <c r="E18" s="61">
        <v>31.54</v>
      </c>
      <c r="F18" s="61">
        <v>19.170000000000002</v>
      </c>
      <c r="G18" s="61">
        <v>19.670000000000002</v>
      </c>
      <c r="H18" s="61">
        <v>9.61</v>
      </c>
      <c r="I18" s="61">
        <v>11.64</v>
      </c>
      <c r="J18" s="61">
        <v>24.84</v>
      </c>
      <c r="K18" s="61">
        <v>29.95</v>
      </c>
      <c r="L18" s="61">
        <v>34.57</v>
      </c>
      <c r="M18" s="61">
        <v>37.49</v>
      </c>
      <c r="N18" s="61">
        <v>36.03</v>
      </c>
      <c r="O18" s="61">
        <v>37.07</v>
      </c>
      <c r="P18" s="61">
        <v>26.69</v>
      </c>
      <c r="Q18" s="74"/>
    </row>
    <row r="19" spans="2:17" ht="15.6" thickBot="1" x14ac:dyDescent="0.3">
      <c r="B19" s="58">
        <v>14</v>
      </c>
      <c r="C19" s="60">
        <f t="shared" si="0"/>
        <v>2034</v>
      </c>
      <c r="D19" s="61">
        <v>29.79</v>
      </c>
      <c r="E19" s="61">
        <v>32.26</v>
      </c>
      <c r="F19" s="61">
        <v>19.170000000000002</v>
      </c>
      <c r="G19" s="61">
        <v>19.690000000000001</v>
      </c>
      <c r="H19" s="61">
        <v>10.51</v>
      </c>
      <c r="I19" s="61">
        <v>12.34</v>
      </c>
      <c r="J19" s="61">
        <v>27.12</v>
      </c>
      <c r="K19" s="61">
        <v>30.25</v>
      </c>
      <c r="L19" s="61">
        <v>36.25</v>
      </c>
      <c r="M19" s="61">
        <v>37.68</v>
      </c>
      <c r="N19" s="61">
        <v>35.17</v>
      </c>
      <c r="O19" s="61">
        <v>38.81</v>
      </c>
      <c r="P19" s="61">
        <v>27.4</v>
      </c>
      <c r="Q19" s="74"/>
    </row>
    <row r="20" spans="2:17" ht="15.6" thickBot="1" x14ac:dyDescent="0.3">
      <c r="B20" s="58">
        <v>15</v>
      </c>
      <c r="C20" s="60">
        <f t="shared" si="0"/>
        <v>2035</v>
      </c>
      <c r="D20" s="61">
        <v>31</v>
      </c>
      <c r="E20" s="61">
        <v>35.33</v>
      </c>
      <c r="F20" s="61">
        <v>19.95</v>
      </c>
      <c r="G20" s="61">
        <v>22.93</v>
      </c>
      <c r="H20" s="61">
        <v>11.6</v>
      </c>
      <c r="I20" s="61">
        <v>12.6</v>
      </c>
      <c r="J20" s="61">
        <v>27.03</v>
      </c>
      <c r="K20" s="61">
        <v>32.04</v>
      </c>
      <c r="L20" s="61">
        <v>37.97</v>
      </c>
      <c r="M20" s="61">
        <v>36.64</v>
      </c>
      <c r="N20" s="61">
        <v>32.090000000000003</v>
      </c>
      <c r="O20" s="61">
        <v>40.270000000000003</v>
      </c>
      <c r="P20" s="61">
        <v>28.25</v>
      </c>
      <c r="Q20" s="74"/>
    </row>
    <row r="21" spans="2:17" ht="15.6" thickBot="1" x14ac:dyDescent="0.3">
      <c r="B21" s="208">
        <v>16</v>
      </c>
      <c r="C21" s="60">
        <f t="shared" si="0"/>
        <v>2036</v>
      </c>
      <c r="D21" s="61">
        <v>31.9</v>
      </c>
      <c r="E21" s="61">
        <v>35.4</v>
      </c>
      <c r="F21" s="61">
        <v>20.49</v>
      </c>
      <c r="G21" s="61">
        <v>21.57</v>
      </c>
      <c r="H21" s="61">
        <v>11.51</v>
      </c>
      <c r="I21" s="61">
        <v>13.52</v>
      </c>
      <c r="J21" s="61">
        <v>29.25</v>
      </c>
      <c r="K21" s="61">
        <v>34.32</v>
      </c>
      <c r="L21" s="61">
        <v>39.07</v>
      </c>
      <c r="M21" s="61">
        <v>38.76</v>
      </c>
      <c r="N21" s="61">
        <v>38.04</v>
      </c>
      <c r="O21" s="61">
        <v>42.85</v>
      </c>
      <c r="P21" s="61">
        <v>29.71</v>
      </c>
      <c r="Q21" s="74"/>
    </row>
    <row r="22" spans="2:17" ht="15.6" thickBot="1" x14ac:dyDescent="0.3">
      <c r="B22" s="58">
        <v>17</v>
      </c>
      <c r="C22" s="60">
        <f t="shared" si="0"/>
        <v>2037</v>
      </c>
      <c r="D22" s="61">
        <v>32.89</v>
      </c>
      <c r="E22" s="61">
        <v>35.549999999999997</v>
      </c>
      <c r="F22" s="61">
        <v>19.899999999999999</v>
      </c>
      <c r="G22" s="61">
        <v>20.059999999999999</v>
      </c>
      <c r="H22" s="61">
        <v>11.58</v>
      </c>
      <c r="I22" s="61">
        <v>12.92</v>
      </c>
      <c r="J22" s="61">
        <v>30.46</v>
      </c>
      <c r="K22" s="61">
        <v>34.47</v>
      </c>
      <c r="L22" s="61">
        <v>38.51</v>
      </c>
      <c r="M22" s="61">
        <v>38.58</v>
      </c>
      <c r="N22" s="61">
        <v>35.590000000000003</v>
      </c>
      <c r="O22" s="61">
        <v>42.87</v>
      </c>
      <c r="P22" s="61">
        <v>29.43</v>
      </c>
      <c r="Q22" s="74"/>
    </row>
    <row r="23" spans="2:17" ht="15.6" thickBot="1" x14ac:dyDescent="0.3">
      <c r="B23" s="58">
        <v>18</v>
      </c>
      <c r="C23" s="60">
        <f t="shared" si="0"/>
        <v>2038</v>
      </c>
      <c r="D23" s="61">
        <v>33.049999999999997</v>
      </c>
      <c r="E23" s="61">
        <v>34.31</v>
      </c>
      <c r="F23" s="61">
        <v>19.61</v>
      </c>
      <c r="G23" s="61">
        <v>20.59</v>
      </c>
      <c r="H23" s="61">
        <v>12.34</v>
      </c>
      <c r="I23" s="61">
        <v>12.73</v>
      </c>
      <c r="J23" s="61">
        <v>30.02</v>
      </c>
      <c r="K23" s="61">
        <v>34.49</v>
      </c>
      <c r="L23" s="61">
        <v>38.54</v>
      </c>
      <c r="M23" s="61">
        <v>38.11</v>
      </c>
      <c r="N23" s="61">
        <v>34.6</v>
      </c>
      <c r="O23" s="61">
        <v>43.72</v>
      </c>
      <c r="P23" s="61">
        <v>29.33</v>
      </c>
      <c r="Q23" s="74"/>
    </row>
    <row r="24" spans="2:17" ht="15.6" thickBot="1" x14ac:dyDescent="0.3">
      <c r="B24" s="208">
        <v>19</v>
      </c>
      <c r="C24" s="60">
        <f t="shared" si="0"/>
        <v>2039</v>
      </c>
      <c r="D24" s="61">
        <v>31.29</v>
      </c>
      <c r="E24" s="61">
        <v>33.46</v>
      </c>
      <c r="F24" s="61">
        <v>18.2</v>
      </c>
      <c r="G24" s="61">
        <v>19.010000000000002</v>
      </c>
      <c r="H24" s="61">
        <v>10.72</v>
      </c>
      <c r="I24" s="61">
        <v>12.48</v>
      </c>
      <c r="J24" s="61">
        <v>30.87</v>
      </c>
      <c r="K24" s="61">
        <v>34.28</v>
      </c>
      <c r="L24" s="61">
        <v>40.25</v>
      </c>
      <c r="M24" s="61">
        <v>38.630000000000003</v>
      </c>
      <c r="N24" s="61">
        <v>36.81</v>
      </c>
      <c r="O24" s="61">
        <v>43.64</v>
      </c>
      <c r="P24" s="61">
        <v>29.12</v>
      </c>
      <c r="Q24" s="74"/>
    </row>
    <row r="25" spans="2:17" ht="15.6" thickBot="1" x14ac:dyDescent="0.3">
      <c r="B25" s="58">
        <v>20</v>
      </c>
      <c r="C25" s="60">
        <f t="shared" si="0"/>
        <v>2040</v>
      </c>
      <c r="D25" s="61">
        <v>31.22</v>
      </c>
      <c r="E25" s="61">
        <v>33.69</v>
      </c>
      <c r="F25" s="61">
        <v>17.21</v>
      </c>
      <c r="G25" s="61">
        <v>18.62</v>
      </c>
      <c r="H25" s="61">
        <v>10</v>
      </c>
      <c r="I25" s="61">
        <v>12.67</v>
      </c>
      <c r="J25" s="61">
        <v>30.73</v>
      </c>
      <c r="K25" s="61">
        <v>33.44</v>
      </c>
      <c r="L25" s="61">
        <v>41.9</v>
      </c>
      <c r="M25" s="61">
        <v>38.880000000000003</v>
      </c>
      <c r="N25" s="61">
        <v>37.619999999999997</v>
      </c>
      <c r="O25" s="61">
        <v>46.67</v>
      </c>
      <c r="P25" s="61">
        <v>29.38</v>
      </c>
      <c r="Q25" s="74"/>
    </row>
    <row r="26" spans="2:17" ht="15.6" thickBot="1" x14ac:dyDescent="0.3">
      <c r="B26" s="58">
        <v>21</v>
      </c>
      <c r="C26" s="60">
        <f t="shared" si="0"/>
        <v>2041</v>
      </c>
      <c r="D26" s="61">
        <v>32.164082861395279</v>
      </c>
      <c r="E26" s="61">
        <v>35.504147865942542</v>
      </c>
      <c r="F26" s="61">
        <v>18.229325039147003</v>
      </c>
      <c r="G26" s="61">
        <v>21.06981062992579</v>
      </c>
      <c r="H26" s="61">
        <v>10.597179332707995</v>
      </c>
      <c r="I26" s="61">
        <v>12.793587119525496</v>
      </c>
      <c r="J26" s="61">
        <v>29.372693910311035</v>
      </c>
      <c r="K26" s="61">
        <v>38.672033721500981</v>
      </c>
      <c r="L26" s="61">
        <v>45.789087776756929</v>
      </c>
      <c r="M26" s="61">
        <v>37.024253941191112</v>
      </c>
      <c r="N26" s="61">
        <v>35.392446995443741</v>
      </c>
      <c r="O26" s="61">
        <v>48.413458762309865</v>
      </c>
      <c r="P26" s="61">
        <v>30.39487115211346</v>
      </c>
      <c r="Q26" s="74"/>
    </row>
    <row r="27" spans="2:17" ht="15.6" thickBot="1" x14ac:dyDescent="0.3">
      <c r="C27" s="62"/>
      <c r="D27" s="63"/>
      <c r="E27" s="63"/>
      <c r="F27" s="63"/>
      <c r="G27" s="63"/>
      <c r="H27" s="63"/>
      <c r="I27" s="63"/>
      <c r="J27" s="63"/>
      <c r="K27" s="63"/>
      <c r="L27" s="63"/>
      <c r="M27" s="63"/>
      <c r="N27" s="63"/>
      <c r="O27" s="63"/>
      <c r="P27" s="64"/>
      <c r="Q27" s="73"/>
    </row>
    <row r="28" spans="2:17" ht="15.6" thickBot="1" x14ac:dyDescent="0.3">
      <c r="O28" s="65" t="s">
        <v>53</v>
      </c>
      <c r="P28" s="66">
        <f>-PMT(Rate_of_Return,20,NPV(Rate_of_Return,P6:P25))</f>
        <v>23.824071369256131</v>
      </c>
      <c r="Q28" s="72"/>
    </row>
    <row r="29" spans="2:17" ht="15.6" thickBot="1" x14ac:dyDescent="0.3">
      <c r="O29" s="65" t="s">
        <v>54</v>
      </c>
      <c r="P29" s="252">
        <f>-PMT(Rate_of_Return,15,NPV(Rate_of_Return,P6:P20))</f>
        <v>22.949093496230017</v>
      </c>
      <c r="Q29" s="72"/>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0.950000000000003"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2"/>
  <sheetViews>
    <sheetView topLeftCell="E7" zoomScale="80" zoomScaleNormal="80" workbookViewId="0">
      <selection activeCell="E36" sqref="E36"/>
    </sheetView>
  </sheetViews>
  <sheetFormatPr defaultColWidth="8.88671875" defaultRowHeight="13.2" x14ac:dyDescent="0.25"/>
  <cols>
    <col min="1" max="1" width="2.6640625" style="219" customWidth="1"/>
    <col min="2" max="2" width="3.88671875" style="219" bestFit="1" customWidth="1"/>
    <col min="3" max="3" width="9" style="219" bestFit="1" customWidth="1"/>
    <col min="4" max="4" width="23" style="219" customWidth="1"/>
    <col min="5" max="5" width="24.6640625" style="219" customWidth="1"/>
    <col min="6" max="6" width="2.109375" style="174" customWidth="1"/>
    <col min="7" max="7" width="17.44140625" style="219" bestFit="1" customWidth="1"/>
    <col min="8" max="9" width="13.88671875" style="219" bestFit="1" customWidth="1"/>
    <col min="10" max="10" width="2.109375" style="174" customWidth="1"/>
    <col min="11" max="11" width="8.88671875" style="219"/>
    <col min="12" max="12" width="14.6640625" style="219" customWidth="1"/>
    <col min="13" max="13" width="2.109375" style="174" customWidth="1"/>
    <col min="14" max="14" width="14" style="219" customWidth="1"/>
    <col min="15" max="15" width="11.33203125" style="219" bestFit="1" customWidth="1"/>
    <col min="16" max="16" width="13.6640625" style="219" customWidth="1"/>
    <col min="17" max="17" width="10.109375" style="219" bestFit="1" customWidth="1"/>
    <col min="18" max="18" width="12.109375" style="219" customWidth="1"/>
    <col min="19" max="19" width="11.33203125" style="219" bestFit="1" customWidth="1"/>
    <col min="20" max="16384" width="8.88671875" style="219"/>
  </cols>
  <sheetData>
    <row r="1" spans="1:19" x14ac:dyDescent="0.25">
      <c r="O1" s="250"/>
      <c r="Q1" s="250"/>
    </row>
    <row r="2" spans="1:19" x14ac:dyDescent="0.25">
      <c r="K2" s="174"/>
      <c r="L2" s="174"/>
      <c r="O2" s="251"/>
      <c r="P2" s="174"/>
      <c r="Q2" s="251"/>
      <c r="R2" s="174"/>
      <c r="S2" s="251"/>
    </row>
    <row r="3" spans="1:19" s="290" customFormat="1" ht="27.6" customHeight="1" thickBot="1" x14ac:dyDescent="0.3">
      <c r="D3" s="346" t="s">
        <v>39</v>
      </c>
      <c r="E3" s="346"/>
      <c r="F3" s="268"/>
      <c r="G3" s="339" t="s">
        <v>85</v>
      </c>
      <c r="H3" s="339"/>
      <c r="I3" s="339"/>
      <c r="J3" s="268"/>
      <c r="K3" s="268"/>
      <c r="L3" s="268"/>
      <c r="M3" s="268"/>
      <c r="N3" s="339" t="s">
        <v>86</v>
      </c>
      <c r="O3" s="339"/>
      <c r="P3" s="339"/>
      <c r="Q3" s="339"/>
      <c r="R3" s="339"/>
      <c r="S3" s="339"/>
    </row>
    <row r="4" spans="1:19" s="290" customFormat="1" ht="85.95" customHeight="1" x14ac:dyDescent="0.25">
      <c r="D4" s="272" t="s">
        <v>40</v>
      </c>
      <c r="E4" s="282" t="s">
        <v>87</v>
      </c>
      <c r="F4" s="268"/>
      <c r="G4" s="291" t="s">
        <v>107</v>
      </c>
      <c r="H4" s="291" t="s">
        <v>117</v>
      </c>
      <c r="I4" s="292" t="s">
        <v>118</v>
      </c>
      <c r="J4" s="221"/>
      <c r="K4" s="340" t="s">
        <v>108</v>
      </c>
      <c r="L4" s="343" t="s">
        <v>109</v>
      </c>
      <c r="M4" s="221"/>
      <c r="N4" s="293" t="s">
        <v>110</v>
      </c>
      <c r="O4" s="294" t="s">
        <v>111</v>
      </c>
      <c r="P4" s="331" t="s">
        <v>132</v>
      </c>
      <c r="Q4" s="294" t="s">
        <v>112</v>
      </c>
      <c r="R4" s="295" t="s">
        <v>115</v>
      </c>
      <c r="S4" s="294" t="s">
        <v>113</v>
      </c>
    </row>
    <row r="5" spans="1:19" s="290" customFormat="1" x14ac:dyDescent="0.25">
      <c r="C5" s="296"/>
      <c r="D5" s="274"/>
      <c r="E5" s="275"/>
      <c r="F5" s="268"/>
      <c r="G5" s="308">
        <v>1</v>
      </c>
      <c r="H5" s="309">
        <v>0.17799999999999999</v>
      </c>
      <c r="I5" s="310">
        <v>0.04</v>
      </c>
      <c r="J5" s="221"/>
      <c r="K5" s="341"/>
      <c r="L5" s="344"/>
      <c r="M5" s="221"/>
      <c r="N5" s="297">
        <v>1</v>
      </c>
      <c r="O5" s="298"/>
      <c r="P5" s="297">
        <v>0.36699999999999999</v>
      </c>
      <c r="Q5" s="298"/>
      <c r="R5" s="299">
        <v>0.24199999999999999</v>
      </c>
      <c r="S5" s="300"/>
    </row>
    <row r="6" spans="1:19" s="290" customFormat="1" ht="27" thickBot="1" x14ac:dyDescent="0.3">
      <c r="B6" s="296"/>
      <c r="C6" s="301"/>
      <c r="D6" s="276"/>
      <c r="E6" s="277" t="s">
        <v>89</v>
      </c>
      <c r="F6" s="268"/>
      <c r="G6" s="302" t="s">
        <v>89</v>
      </c>
      <c r="H6" s="302" t="s">
        <v>89</v>
      </c>
      <c r="I6" s="303" t="s">
        <v>89</v>
      </c>
      <c r="J6" s="268"/>
      <c r="K6" s="342"/>
      <c r="L6" s="345"/>
      <c r="M6" s="221"/>
      <c r="N6" s="304" t="s">
        <v>88</v>
      </c>
      <c r="O6" s="305" t="s">
        <v>14</v>
      </c>
      <c r="P6" s="304" t="s">
        <v>88</v>
      </c>
      <c r="Q6" s="305" t="s">
        <v>14</v>
      </c>
      <c r="R6" s="306" t="s">
        <v>88</v>
      </c>
      <c r="S6" s="305" t="s">
        <v>14</v>
      </c>
    </row>
    <row r="7" spans="1:19" x14ac:dyDescent="0.25">
      <c r="A7" s="222"/>
      <c r="B7" s="283">
        <v>1</v>
      </c>
      <c r="C7" s="273">
        <v>2021</v>
      </c>
      <c r="D7" s="225" t="s">
        <v>41</v>
      </c>
      <c r="E7" s="312">
        <v>95.27</v>
      </c>
      <c r="G7" s="227">
        <f t="shared" ref="G7:I27" si="0">G$5*$E7</f>
        <v>95.27</v>
      </c>
      <c r="H7" s="227">
        <f>H$5*$E7</f>
        <v>16.95806</v>
      </c>
      <c r="I7" s="229">
        <f>I$5*$E7</f>
        <v>3.8108</v>
      </c>
      <c r="K7" s="226">
        <f t="shared" ref="K7:K28" si="1">C7</f>
        <v>2021</v>
      </c>
      <c r="L7" s="314">
        <f t="shared" ref="L7:L28" si="2">(365+IF(MOD(K7,4)&gt;0,0,1))*24</f>
        <v>8760</v>
      </c>
      <c r="M7" s="220"/>
      <c r="N7" s="217">
        <f t="shared" ref="N7:N28" si="3">L7*$N$5</f>
        <v>8760</v>
      </c>
      <c r="O7" s="218">
        <f>(+G7*1000)/$N7</f>
        <v>10.875570776255708</v>
      </c>
      <c r="P7" s="217">
        <f>L7*$P$5</f>
        <v>3214.92</v>
      </c>
      <c r="Q7" s="218">
        <f>(+H7*1000)/$P7</f>
        <v>5.274799995023205</v>
      </c>
      <c r="R7" s="231">
        <f t="shared" ref="R7:R28" si="4">L7*$R$5</f>
        <v>2119.92</v>
      </c>
      <c r="S7" s="218">
        <f>(+I7*1000)/$R7</f>
        <v>1.7976150043397865</v>
      </c>
    </row>
    <row r="8" spans="1:19" x14ac:dyDescent="0.25">
      <c r="A8" s="222"/>
      <c r="B8" s="284">
        <f t="shared" ref="B8:B28" si="5">+B7+1</f>
        <v>2</v>
      </c>
      <c r="C8" s="223">
        <f>C7+1</f>
        <v>2022</v>
      </c>
      <c r="D8" s="225"/>
      <c r="E8" s="313">
        <v>95.27</v>
      </c>
      <c r="G8" s="228">
        <f t="shared" si="0"/>
        <v>95.27</v>
      </c>
      <c r="H8" s="227">
        <f t="shared" si="0"/>
        <v>16.95806</v>
      </c>
      <c r="I8" s="230">
        <f t="shared" si="0"/>
        <v>3.8108</v>
      </c>
      <c r="K8" s="212">
        <f t="shared" si="1"/>
        <v>2022</v>
      </c>
      <c r="L8" s="315">
        <f t="shared" si="2"/>
        <v>8760</v>
      </c>
      <c r="M8" s="220"/>
      <c r="N8" s="213">
        <f t="shared" si="3"/>
        <v>8760</v>
      </c>
      <c r="O8" s="214">
        <f>(+G8*1000)/$N8</f>
        <v>10.875570776255708</v>
      </c>
      <c r="P8" s="213">
        <f t="shared" ref="P8:P28" si="6">L8*$P$5</f>
        <v>3214.92</v>
      </c>
      <c r="Q8" s="214">
        <f t="shared" ref="Q8:Q28" si="7">(+H8*1000)/$P8</f>
        <v>5.274799995023205</v>
      </c>
      <c r="R8" s="232">
        <f>L8*$R$5</f>
        <v>2119.92</v>
      </c>
      <c r="S8" s="214">
        <f>(+I8*1000)/$R8</f>
        <v>1.7976150043397865</v>
      </c>
    </row>
    <row r="9" spans="1:19" x14ac:dyDescent="0.25">
      <c r="A9" s="222"/>
      <c r="B9" s="284">
        <f t="shared" si="5"/>
        <v>3</v>
      </c>
      <c r="C9" s="223">
        <f>+C8+1</f>
        <v>2023</v>
      </c>
      <c r="D9" s="225"/>
      <c r="E9" s="313">
        <v>95.27</v>
      </c>
      <c r="G9" s="228">
        <f t="shared" si="0"/>
        <v>95.27</v>
      </c>
      <c r="H9" s="227">
        <f t="shared" si="0"/>
        <v>16.95806</v>
      </c>
      <c r="I9" s="230">
        <f t="shared" si="0"/>
        <v>3.8108</v>
      </c>
      <c r="K9" s="212">
        <f t="shared" si="1"/>
        <v>2023</v>
      </c>
      <c r="L9" s="315">
        <f t="shared" si="2"/>
        <v>8760</v>
      </c>
      <c r="M9" s="220"/>
      <c r="N9" s="213">
        <f t="shared" si="3"/>
        <v>8760</v>
      </c>
      <c r="O9" s="214">
        <f t="shared" ref="O9:O28" si="8">(+G9*1000)/$N9</f>
        <v>10.875570776255708</v>
      </c>
      <c r="P9" s="213">
        <f t="shared" si="6"/>
        <v>3214.92</v>
      </c>
      <c r="Q9" s="214">
        <f t="shared" si="7"/>
        <v>5.274799995023205</v>
      </c>
      <c r="R9" s="232">
        <f t="shared" si="4"/>
        <v>2119.92</v>
      </c>
      <c r="S9" s="214">
        <f t="shared" ref="S9:S28" si="9">(+I9*1000)/$R9</f>
        <v>1.7976150043397865</v>
      </c>
    </row>
    <row r="10" spans="1:19" x14ac:dyDescent="0.25">
      <c r="A10" s="222"/>
      <c r="B10" s="284">
        <f t="shared" si="5"/>
        <v>4</v>
      </c>
      <c r="C10" s="223">
        <f t="shared" ref="C10:C28" si="10">+C9+1</f>
        <v>2024</v>
      </c>
      <c r="D10" s="225"/>
      <c r="E10" s="313">
        <v>95.27</v>
      </c>
      <c r="G10" s="228">
        <f t="shared" si="0"/>
        <v>95.27</v>
      </c>
      <c r="H10" s="227">
        <f t="shared" si="0"/>
        <v>16.95806</v>
      </c>
      <c r="I10" s="230">
        <f t="shared" si="0"/>
        <v>3.8108</v>
      </c>
      <c r="K10" s="212">
        <f t="shared" si="1"/>
        <v>2024</v>
      </c>
      <c r="L10" s="315">
        <f t="shared" si="2"/>
        <v>8784</v>
      </c>
      <c r="M10" s="220"/>
      <c r="N10" s="213">
        <f t="shared" si="3"/>
        <v>8784</v>
      </c>
      <c r="O10" s="214">
        <f t="shared" si="8"/>
        <v>10.845856102003642</v>
      </c>
      <c r="P10" s="213">
        <f t="shared" si="6"/>
        <v>3223.7280000000001</v>
      </c>
      <c r="Q10" s="214">
        <f t="shared" si="7"/>
        <v>5.2603879731788785</v>
      </c>
      <c r="R10" s="232">
        <f t="shared" si="4"/>
        <v>2125.7280000000001</v>
      </c>
      <c r="S10" s="214">
        <f t="shared" si="9"/>
        <v>1.7927034879344865</v>
      </c>
    </row>
    <row r="11" spans="1:19" x14ac:dyDescent="0.25">
      <c r="A11" s="222"/>
      <c r="B11" s="284">
        <f t="shared" si="5"/>
        <v>5</v>
      </c>
      <c r="C11" s="223">
        <f t="shared" si="10"/>
        <v>2025</v>
      </c>
      <c r="D11" s="225"/>
      <c r="E11" s="313">
        <v>95.27</v>
      </c>
      <c r="G11" s="228">
        <f t="shared" si="0"/>
        <v>95.27</v>
      </c>
      <c r="H11" s="227">
        <f t="shared" si="0"/>
        <v>16.95806</v>
      </c>
      <c r="I11" s="230">
        <f t="shared" si="0"/>
        <v>3.8108</v>
      </c>
      <c r="K11" s="212">
        <f t="shared" si="1"/>
        <v>2025</v>
      </c>
      <c r="L11" s="315">
        <f t="shared" si="2"/>
        <v>8760</v>
      </c>
      <c r="M11" s="220"/>
      <c r="N11" s="213">
        <f t="shared" si="3"/>
        <v>8760</v>
      </c>
      <c r="O11" s="214">
        <f t="shared" si="8"/>
        <v>10.875570776255708</v>
      </c>
      <c r="P11" s="213">
        <f t="shared" si="6"/>
        <v>3214.92</v>
      </c>
      <c r="Q11" s="214">
        <f t="shared" si="7"/>
        <v>5.274799995023205</v>
      </c>
      <c r="R11" s="232">
        <f t="shared" si="4"/>
        <v>2119.92</v>
      </c>
      <c r="S11" s="214">
        <f t="shared" si="9"/>
        <v>1.7976150043397865</v>
      </c>
    </row>
    <row r="12" spans="1:19" x14ac:dyDescent="0.25">
      <c r="A12" s="222"/>
      <c r="B12" s="284">
        <f t="shared" si="5"/>
        <v>6</v>
      </c>
      <c r="C12" s="223">
        <f t="shared" si="10"/>
        <v>2026</v>
      </c>
      <c r="D12" s="225"/>
      <c r="E12" s="278">
        <v>95.27</v>
      </c>
      <c r="G12" s="228">
        <f t="shared" si="0"/>
        <v>95.27</v>
      </c>
      <c r="H12" s="227">
        <f t="shared" si="0"/>
        <v>16.95806</v>
      </c>
      <c r="I12" s="230">
        <f t="shared" si="0"/>
        <v>3.8108</v>
      </c>
      <c r="K12" s="212">
        <f t="shared" si="1"/>
        <v>2026</v>
      </c>
      <c r="L12" s="315">
        <f t="shared" si="2"/>
        <v>8760</v>
      </c>
      <c r="M12" s="220"/>
      <c r="N12" s="213">
        <f t="shared" si="3"/>
        <v>8760</v>
      </c>
      <c r="O12" s="214">
        <f t="shared" si="8"/>
        <v>10.875570776255708</v>
      </c>
      <c r="P12" s="213">
        <f t="shared" si="6"/>
        <v>3214.92</v>
      </c>
      <c r="Q12" s="214">
        <f t="shared" si="7"/>
        <v>5.274799995023205</v>
      </c>
      <c r="R12" s="232">
        <f t="shared" si="4"/>
        <v>2119.92</v>
      </c>
      <c r="S12" s="214">
        <f t="shared" si="9"/>
        <v>1.7976150043397865</v>
      </c>
    </row>
    <row r="13" spans="1:19" x14ac:dyDescent="0.25">
      <c r="A13" s="222"/>
      <c r="B13" s="284">
        <f t="shared" si="5"/>
        <v>7</v>
      </c>
      <c r="C13" s="223">
        <f t="shared" si="10"/>
        <v>2027</v>
      </c>
      <c r="D13" s="225"/>
      <c r="E13" s="278">
        <v>95.27</v>
      </c>
      <c r="G13" s="228">
        <f t="shared" si="0"/>
        <v>95.27</v>
      </c>
      <c r="H13" s="227">
        <f t="shared" si="0"/>
        <v>16.95806</v>
      </c>
      <c r="I13" s="230">
        <f t="shared" si="0"/>
        <v>3.8108</v>
      </c>
      <c r="K13" s="212">
        <f t="shared" si="1"/>
        <v>2027</v>
      </c>
      <c r="L13" s="315">
        <f t="shared" si="2"/>
        <v>8760</v>
      </c>
      <c r="M13" s="220"/>
      <c r="N13" s="213">
        <f t="shared" si="3"/>
        <v>8760</v>
      </c>
      <c r="O13" s="214">
        <f t="shared" si="8"/>
        <v>10.875570776255708</v>
      </c>
      <c r="P13" s="213">
        <f t="shared" si="6"/>
        <v>3214.92</v>
      </c>
      <c r="Q13" s="214">
        <f t="shared" si="7"/>
        <v>5.274799995023205</v>
      </c>
      <c r="R13" s="232">
        <f t="shared" si="4"/>
        <v>2119.92</v>
      </c>
      <c r="S13" s="214">
        <f t="shared" si="9"/>
        <v>1.7976150043397865</v>
      </c>
    </row>
    <row r="14" spans="1:19" x14ac:dyDescent="0.25">
      <c r="A14" s="222"/>
      <c r="B14" s="284">
        <f t="shared" si="5"/>
        <v>8</v>
      </c>
      <c r="C14" s="223">
        <f t="shared" si="10"/>
        <v>2028</v>
      </c>
      <c r="D14" s="225"/>
      <c r="E14" s="278">
        <v>95.27</v>
      </c>
      <c r="G14" s="228">
        <f t="shared" si="0"/>
        <v>95.27</v>
      </c>
      <c r="H14" s="227">
        <f t="shared" si="0"/>
        <v>16.95806</v>
      </c>
      <c r="I14" s="230">
        <f t="shared" si="0"/>
        <v>3.8108</v>
      </c>
      <c r="K14" s="212">
        <f t="shared" si="1"/>
        <v>2028</v>
      </c>
      <c r="L14" s="315">
        <f t="shared" si="2"/>
        <v>8784</v>
      </c>
      <c r="M14" s="220"/>
      <c r="N14" s="213">
        <f t="shared" si="3"/>
        <v>8784</v>
      </c>
      <c r="O14" s="214">
        <f t="shared" si="8"/>
        <v>10.845856102003642</v>
      </c>
      <c r="P14" s="213">
        <f t="shared" si="6"/>
        <v>3223.7280000000001</v>
      </c>
      <c r="Q14" s="214">
        <f t="shared" si="7"/>
        <v>5.2603879731788785</v>
      </c>
      <c r="R14" s="232">
        <f t="shared" si="4"/>
        <v>2125.7280000000001</v>
      </c>
      <c r="S14" s="214">
        <f t="shared" si="9"/>
        <v>1.7927034879344865</v>
      </c>
    </row>
    <row r="15" spans="1:19" x14ac:dyDescent="0.25">
      <c r="A15" s="222"/>
      <c r="B15" s="284">
        <f t="shared" si="5"/>
        <v>9</v>
      </c>
      <c r="C15" s="223">
        <f t="shared" si="10"/>
        <v>2029</v>
      </c>
      <c r="D15" s="225"/>
      <c r="E15" s="278">
        <v>95.27</v>
      </c>
      <c r="G15" s="228">
        <f t="shared" si="0"/>
        <v>95.27</v>
      </c>
      <c r="H15" s="227">
        <f t="shared" si="0"/>
        <v>16.95806</v>
      </c>
      <c r="I15" s="230">
        <f t="shared" si="0"/>
        <v>3.8108</v>
      </c>
      <c r="K15" s="212">
        <f t="shared" si="1"/>
        <v>2029</v>
      </c>
      <c r="L15" s="315">
        <f t="shared" si="2"/>
        <v>8760</v>
      </c>
      <c r="M15" s="220"/>
      <c r="N15" s="213">
        <f t="shared" si="3"/>
        <v>8760</v>
      </c>
      <c r="O15" s="214">
        <f t="shared" si="8"/>
        <v>10.875570776255708</v>
      </c>
      <c r="P15" s="213">
        <f t="shared" si="6"/>
        <v>3214.92</v>
      </c>
      <c r="Q15" s="214">
        <f t="shared" si="7"/>
        <v>5.274799995023205</v>
      </c>
      <c r="R15" s="232">
        <f t="shared" si="4"/>
        <v>2119.92</v>
      </c>
      <c r="S15" s="214">
        <f t="shared" si="9"/>
        <v>1.7976150043397865</v>
      </c>
    </row>
    <row r="16" spans="1:19" x14ac:dyDescent="0.25">
      <c r="A16" s="222"/>
      <c r="B16" s="284">
        <f t="shared" si="5"/>
        <v>10</v>
      </c>
      <c r="C16" s="223">
        <f t="shared" si="10"/>
        <v>2030</v>
      </c>
      <c r="D16" s="225"/>
      <c r="E16" s="278">
        <v>95.27</v>
      </c>
      <c r="G16" s="228">
        <f t="shared" si="0"/>
        <v>95.27</v>
      </c>
      <c r="H16" s="227">
        <f t="shared" si="0"/>
        <v>16.95806</v>
      </c>
      <c r="I16" s="230">
        <f t="shared" si="0"/>
        <v>3.8108</v>
      </c>
      <c r="K16" s="212">
        <f t="shared" si="1"/>
        <v>2030</v>
      </c>
      <c r="L16" s="315">
        <f t="shared" si="2"/>
        <v>8760</v>
      </c>
      <c r="M16" s="220"/>
      <c r="N16" s="213">
        <f t="shared" si="3"/>
        <v>8760</v>
      </c>
      <c r="O16" s="214">
        <f t="shared" si="8"/>
        <v>10.875570776255708</v>
      </c>
      <c r="P16" s="213">
        <f t="shared" si="6"/>
        <v>3214.92</v>
      </c>
      <c r="Q16" s="214">
        <f t="shared" si="7"/>
        <v>5.274799995023205</v>
      </c>
      <c r="R16" s="232">
        <f t="shared" si="4"/>
        <v>2119.92</v>
      </c>
      <c r="S16" s="214">
        <f t="shared" si="9"/>
        <v>1.7976150043397865</v>
      </c>
    </row>
    <row r="17" spans="1:19" x14ac:dyDescent="0.25">
      <c r="A17" s="222"/>
      <c r="B17" s="284">
        <f t="shared" si="5"/>
        <v>11</v>
      </c>
      <c r="C17" s="223">
        <f t="shared" si="10"/>
        <v>2031</v>
      </c>
      <c r="D17" s="225"/>
      <c r="E17" s="278">
        <v>95.27</v>
      </c>
      <c r="G17" s="228">
        <f t="shared" si="0"/>
        <v>95.27</v>
      </c>
      <c r="H17" s="227">
        <f t="shared" si="0"/>
        <v>16.95806</v>
      </c>
      <c r="I17" s="230">
        <f t="shared" si="0"/>
        <v>3.8108</v>
      </c>
      <c r="K17" s="212">
        <f t="shared" si="1"/>
        <v>2031</v>
      </c>
      <c r="L17" s="315">
        <f t="shared" si="2"/>
        <v>8760</v>
      </c>
      <c r="M17" s="220"/>
      <c r="N17" s="213">
        <f t="shared" si="3"/>
        <v>8760</v>
      </c>
      <c r="O17" s="214">
        <f t="shared" si="8"/>
        <v>10.875570776255708</v>
      </c>
      <c r="P17" s="213">
        <f t="shared" si="6"/>
        <v>3214.92</v>
      </c>
      <c r="Q17" s="214">
        <f t="shared" si="7"/>
        <v>5.274799995023205</v>
      </c>
      <c r="R17" s="232">
        <f t="shared" si="4"/>
        <v>2119.92</v>
      </c>
      <c r="S17" s="214">
        <f t="shared" si="9"/>
        <v>1.7976150043397865</v>
      </c>
    </row>
    <row r="18" spans="1:19" x14ac:dyDescent="0.25">
      <c r="A18" s="222"/>
      <c r="B18" s="284">
        <f t="shared" si="5"/>
        <v>12</v>
      </c>
      <c r="C18" s="223">
        <f t="shared" si="10"/>
        <v>2032</v>
      </c>
      <c r="D18" s="225"/>
      <c r="E18" s="278">
        <v>95.27</v>
      </c>
      <c r="G18" s="228">
        <f t="shared" si="0"/>
        <v>95.27</v>
      </c>
      <c r="H18" s="227">
        <f t="shared" si="0"/>
        <v>16.95806</v>
      </c>
      <c r="I18" s="230">
        <f t="shared" si="0"/>
        <v>3.8108</v>
      </c>
      <c r="K18" s="212">
        <f t="shared" si="1"/>
        <v>2032</v>
      </c>
      <c r="L18" s="315">
        <f t="shared" si="2"/>
        <v>8784</v>
      </c>
      <c r="M18" s="220"/>
      <c r="N18" s="213">
        <f t="shared" si="3"/>
        <v>8784</v>
      </c>
      <c r="O18" s="214">
        <f t="shared" si="8"/>
        <v>10.845856102003642</v>
      </c>
      <c r="P18" s="213">
        <f t="shared" si="6"/>
        <v>3223.7280000000001</v>
      </c>
      <c r="Q18" s="214">
        <f t="shared" si="7"/>
        <v>5.2603879731788785</v>
      </c>
      <c r="R18" s="232">
        <f t="shared" si="4"/>
        <v>2125.7280000000001</v>
      </c>
      <c r="S18" s="214">
        <f t="shared" si="9"/>
        <v>1.7927034879344865</v>
      </c>
    </row>
    <row r="19" spans="1:19" x14ac:dyDescent="0.25">
      <c r="A19" s="222"/>
      <c r="B19" s="284">
        <f t="shared" si="5"/>
        <v>13</v>
      </c>
      <c r="C19" s="223">
        <f t="shared" si="10"/>
        <v>2033</v>
      </c>
      <c r="D19" s="225"/>
      <c r="E19" s="278">
        <v>95.27</v>
      </c>
      <c r="G19" s="228">
        <f t="shared" si="0"/>
        <v>95.27</v>
      </c>
      <c r="H19" s="227">
        <f t="shared" si="0"/>
        <v>16.95806</v>
      </c>
      <c r="I19" s="230">
        <f t="shared" si="0"/>
        <v>3.8108</v>
      </c>
      <c r="K19" s="212">
        <f t="shared" si="1"/>
        <v>2033</v>
      </c>
      <c r="L19" s="315">
        <f t="shared" si="2"/>
        <v>8760</v>
      </c>
      <c r="M19" s="220"/>
      <c r="N19" s="213">
        <f t="shared" si="3"/>
        <v>8760</v>
      </c>
      <c r="O19" s="214">
        <f t="shared" si="8"/>
        <v>10.875570776255708</v>
      </c>
      <c r="P19" s="213">
        <f t="shared" si="6"/>
        <v>3214.92</v>
      </c>
      <c r="Q19" s="214">
        <f t="shared" si="7"/>
        <v>5.274799995023205</v>
      </c>
      <c r="R19" s="232">
        <f t="shared" si="4"/>
        <v>2119.92</v>
      </c>
      <c r="S19" s="214">
        <f t="shared" si="9"/>
        <v>1.7976150043397865</v>
      </c>
    </row>
    <row r="20" spans="1:19" x14ac:dyDescent="0.25">
      <c r="A20" s="222"/>
      <c r="B20" s="284">
        <f t="shared" si="5"/>
        <v>14</v>
      </c>
      <c r="C20" s="223">
        <f t="shared" si="10"/>
        <v>2034</v>
      </c>
      <c r="D20" s="225"/>
      <c r="E20" s="278">
        <v>95.27</v>
      </c>
      <c r="G20" s="228">
        <f t="shared" si="0"/>
        <v>95.27</v>
      </c>
      <c r="H20" s="227">
        <f t="shared" si="0"/>
        <v>16.95806</v>
      </c>
      <c r="I20" s="230">
        <f t="shared" si="0"/>
        <v>3.8108</v>
      </c>
      <c r="K20" s="212">
        <f t="shared" si="1"/>
        <v>2034</v>
      </c>
      <c r="L20" s="315">
        <f t="shared" si="2"/>
        <v>8760</v>
      </c>
      <c r="M20" s="220"/>
      <c r="N20" s="213">
        <f t="shared" si="3"/>
        <v>8760</v>
      </c>
      <c r="O20" s="214">
        <f t="shared" si="8"/>
        <v>10.875570776255708</v>
      </c>
      <c r="P20" s="213">
        <f t="shared" si="6"/>
        <v>3214.92</v>
      </c>
      <c r="Q20" s="214">
        <f t="shared" si="7"/>
        <v>5.274799995023205</v>
      </c>
      <c r="R20" s="232">
        <f t="shared" si="4"/>
        <v>2119.92</v>
      </c>
      <c r="S20" s="214">
        <f t="shared" si="9"/>
        <v>1.7976150043397865</v>
      </c>
    </row>
    <row r="21" spans="1:19" x14ac:dyDescent="0.25">
      <c r="A21" s="222"/>
      <c r="B21" s="284">
        <f t="shared" si="5"/>
        <v>15</v>
      </c>
      <c r="C21" s="223">
        <f t="shared" si="10"/>
        <v>2035</v>
      </c>
      <c r="D21" s="225"/>
      <c r="E21" s="278">
        <v>95.27</v>
      </c>
      <c r="G21" s="228">
        <f t="shared" si="0"/>
        <v>95.27</v>
      </c>
      <c r="H21" s="227">
        <f t="shared" si="0"/>
        <v>16.95806</v>
      </c>
      <c r="I21" s="230">
        <f t="shared" si="0"/>
        <v>3.8108</v>
      </c>
      <c r="K21" s="212">
        <f t="shared" si="1"/>
        <v>2035</v>
      </c>
      <c r="L21" s="315">
        <f t="shared" si="2"/>
        <v>8760</v>
      </c>
      <c r="M21" s="220"/>
      <c r="N21" s="213">
        <f t="shared" si="3"/>
        <v>8760</v>
      </c>
      <c r="O21" s="214">
        <f t="shared" si="8"/>
        <v>10.875570776255708</v>
      </c>
      <c r="P21" s="213">
        <f t="shared" si="6"/>
        <v>3214.92</v>
      </c>
      <c r="Q21" s="214">
        <f t="shared" si="7"/>
        <v>5.274799995023205</v>
      </c>
      <c r="R21" s="232">
        <f t="shared" si="4"/>
        <v>2119.92</v>
      </c>
      <c r="S21" s="214">
        <f t="shared" si="9"/>
        <v>1.7976150043397865</v>
      </c>
    </row>
    <row r="22" spans="1:19" x14ac:dyDescent="0.25">
      <c r="A22" s="222"/>
      <c r="B22" s="284">
        <f t="shared" si="5"/>
        <v>16</v>
      </c>
      <c r="C22" s="223">
        <f t="shared" si="10"/>
        <v>2036</v>
      </c>
      <c r="D22" s="225"/>
      <c r="E22" s="278">
        <v>95.27</v>
      </c>
      <c r="G22" s="228">
        <f t="shared" si="0"/>
        <v>95.27</v>
      </c>
      <c r="H22" s="227">
        <f t="shared" si="0"/>
        <v>16.95806</v>
      </c>
      <c r="I22" s="230">
        <f t="shared" si="0"/>
        <v>3.8108</v>
      </c>
      <c r="K22" s="212">
        <f t="shared" si="1"/>
        <v>2036</v>
      </c>
      <c r="L22" s="315">
        <f t="shared" si="2"/>
        <v>8784</v>
      </c>
      <c r="M22" s="220"/>
      <c r="N22" s="213">
        <f t="shared" si="3"/>
        <v>8784</v>
      </c>
      <c r="O22" s="214">
        <f t="shared" si="8"/>
        <v>10.845856102003642</v>
      </c>
      <c r="P22" s="213">
        <f t="shared" si="6"/>
        <v>3223.7280000000001</v>
      </c>
      <c r="Q22" s="214">
        <f t="shared" si="7"/>
        <v>5.2603879731788785</v>
      </c>
      <c r="R22" s="232">
        <f t="shared" si="4"/>
        <v>2125.7280000000001</v>
      </c>
      <c r="S22" s="214">
        <f t="shared" si="9"/>
        <v>1.7927034879344865</v>
      </c>
    </row>
    <row r="23" spans="1:19" x14ac:dyDescent="0.25">
      <c r="A23" s="222"/>
      <c r="B23" s="284">
        <f t="shared" si="5"/>
        <v>17</v>
      </c>
      <c r="C23" s="223">
        <f t="shared" si="10"/>
        <v>2037</v>
      </c>
      <c r="D23" s="225"/>
      <c r="E23" s="278">
        <v>95.27</v>
      </c>
      <c r="G23" s="228">
        <f t="shared" si="0"/>
        <v>95.27</v>
      </c>
      <c r="H23" s="227">
        <f t="shared" si="0"/>
        <v>16.95806</v>
      </c>
      <c r="I23" s="230">
        <f t="shared" si="0"/>
        <v>3.8108</v>
      </c>
      <c r="K23" s="212">
        <f t="shared" si="1"/>
        <v>2037</v>
      </c>
      <c r="L23" s="315">
        <f t="shared" si="2"/>
        <v>8760</v>
      </c>
      <c r="M23" s="220"/>
      <c r="N23" s="213">
        <f t="shared" si="3"/>
        <v>8760</v>
      </c>
      <c r="O23" s="214">
        <f t="shared" si="8"/>
        <v>10.875570776255708</v>
      </c>
      <c r="P23" s="213">
        <f t="shared" si="6"/>
        <v>3214.92</v>
      </c>
      <c r="Q23" s="214">
        <f t="shared" si="7"/>
        <v>5.274799995023205</v>
      </c>
      <c r="R23" s="232">
        <f t="shared" si="4"/>
        <v>2119.92</v>
      </c>
      <c r="S23" s="214">
        <f t="shared" si="9"/>
        <v>1.7976150043397865</v>
      </c>
    </row>
    <row r="24" spans="1:19" x14ac:dyDescent="0.25">
      <c r="A24" s="222"/>
      <c r="B24" s="284">
        <f t="shared" si="5"/>
        <v>18</v>
      </c>
      <c r="C24" s="223">
        <f t="shared" si="10"/>
        <v>2038</v>
      </c>
      <c r="D24" s="225"/>
      <c r="E24" s="279">
        <v>95.27</v>
      </c>
      <c r="G24" s="228">
        <f t="shared" si="0"/>
        <v>95.27</v>
      </c>
      <c r="H24" s="227">
        <f t="shared" si="0"/>
        <v>16.95806</v>
      </c>
      <c r="I24" s="230">
        <f t="shared" si="0"/>
        <v>3.8108</v>
      </c>
      <c r="K24" s="212">
        <f t="shared" si="1"/>
        <v>2038</v>
      </c>
      <c r="L24" s="315">
        <f t="shared" si="2"/>
        <v>8760</v>
      </c>
      <c r="M24" s="220"/>
      <c r="N24" s="213">
        <f t="shared" si="3"/>
        <v>8760</v>
      </c>
      <c r="O24" s="214">
        <f t="shared" si="8"/>
        <v>10.875570776255708</v>
      </c>
      <c r="P24" s="213">
        <f t="shared" si="6"/>
        <v>3214.92</v>
      </c>
      <c r="Q24" s="214">
        <f t="shared" si="7"/>
        <v>5.274799995023205</v>
      </c>
      <c r="R24" s="232">
        <f t="shared" si="4"/>
        <v>2119.92</v>
      </c>
      <c r="S24" s="214">
        <f t="shared" si="9"/>
        <v>1.7976150043397865</v>
      </c>
    </row>
    <row r="25" spans="1:19" x14ac:dyDescent="0.25">
      <c r="A25" s="222"/>
      <c r="B25" s="284">
        <f t="shared" si="5"/>
        <v>19</v>
      </c>
      <c r="C25" s="223">
        <f t="shared" si="10"/>
        <v>2039</v>
      </c>
      <c r="D25" s="225"/>
      <c r="E25" s="279">
        <v>95.27</v>
      </c>
      <c r="G25" s="228">
        <f t="shared" si="0"/>
        <v>95.27</v>
      </c>
      <c r="H25" s="227">
        <f t="shared" si="0"/>
        <v>16.95806</v>
      </c>
      <c r="I25" s="230">
        <f t="shared" si="0"/>
        <v>3.8108</v>
      </c>
      <c r="K25" s="212">
        <f t="shared" si="1"/>
        <v>2039</v>
      </c>
      <c r="L25" s="315">
        <f t="shared" si="2"/>
        <v>8760</v>
      </c>
      <c r="M25" s="220"/>
      <c r="N25" s="213">
        <f t="shared" si="3"/>
        <v>8760</v>
      </c>
      <c r="O25" s="214">
        <f t="shared" si="8"/>
        <v>10.875570776255708</v>
      </c>
      <c r="P25" s="213">
        <f t="shared" si="6"/>
        <v>3214.92</v>
      </c>
      <c r="Q25" s="214">
        <f t="shared" si="7"/>
        <v>5.274799995023205</v>
      </c>
      <c r="R25" s="232">
        <f t="shared" si="4"/>
        <v>2119.92</v>
      </c>
      <c r="S25" s="214">
        <f t="shared" si="9"/>
        <v>1.7976150043397865</v>
      </c>
    </row>
    <row r="26" spans="1:19" x14ac:dyDescent="0.25">
      <c r="A26" s="222"/>
      <c r="B26" s="284">
        <f t="shared" si="5"/>
        <v>20</v>
      </c>
      <c r="C26" s="223">
        <f t="shared" si="10"/>
        <v>2040</v>
      </c>
      <c r="D26" s="225"/>
      <c r="E26" s="279">
        <v>95.27</v>
      </c>
      <c r="G26" s="228">
        <f t="shared" si="0"/>
        <v>95.27</v>
      </c>
      <c r="H26" s="227">
        <f t="shared" si="0"/>
        <v>16.95806</v>
      </c>
      <c r="I26" s="230">
        <f t="shared" si="0"/>
        <v>3.8108</v>
      </c>
      <c r="K26" s="212">
        <f t="shared" si="1"/>
        <v>2040</v>
      </c>
      <c r="L26" s="315">
        <f t="shared" si="2"/>
        <v>8784</v>
      </c>
      <c r="M26" s="220"/>
      <c r="N26" s="213">
        <f t="shared" si="3"/>
        <v>8784</v>
      </c>
      <c r="O26" s="214">
        <f t="shared" si="8"/>
        <v>10.845856102003642</v>
      </c>
      <c r="P26" s="213">
        <f t="shared" si="6"/>
        <v>3223.7280000000001</v>
      </c>
      <c r="Q26" s="214">
        <f t="shared" si="7"/>
        <v>5.2603879731788785</v>
      </c>
      <c r="R26" s="232">
        <f t="shared" si="4"/>
        <v>2125.7280000000001</v>
      </c>
      <c r="S26" s="214">
        <f t="shared" si="9"/>
        <v>1.7927034879344865</v>
      </c>
    </row>
    <row r="27" spans="1:19" x14ac:dyDescent="0.25">
      <c r="A27" s="222"/>
      <c r="B27" s="284">
        <f t="shared" si="5"/>
        <v>21</v>
      </c>
      <c r="C27" s="223">
        <f t="shared" si="10"/>
        <v>2041</v>
      </c>
      <c r="D27" s="225"/>
      <c r="E27" s="279">
        <v>95.27</v>
      </c>
      <c r="G27" s="228">
        <f t="shared" si="0"/>
        <v>95.27</v>
      </c>
      <c r="H27" s="227">
        <f t="shared" si="0"/>
        <v>16.95806</v>
      </c>
      <c r="I27" s="230">
        <f t="shared" si="0"/>
        <v>3.8108</v>
      </c>
      <c r="K27" s="212">
        <f t="shared" si="1"/>
        <v>2041</v>
      </c>
      <c r="L27" s="315">
        <f t="shared" si="2"/>
        <v>8760</v>
      </c>
      <c r="M27" s="220"/>
      <c r="N27" s="213">
        <f t="shared" si="3"/>
        <v>8760</v>
      </c>
      <c r="O27" s="214">
        <f t="shared" si="8"/>
        <v>10.875570776255708</v>
      </c>
      <c r="P27" s="213">
        <f t="shared" si="6"/>
        <v>3214.92</v>
      </c>
      <c r="Q27" s="214">
        <f t="shared" si="7"/>
        <v>5.274799995023205</v>
      </c>
      <c r="R27" s="232">
        <f t="shared" si="4"/>
        <v>2119.92</v>
      </c>
      <c r="S27" s="214">
        <f t="shared" si="9"/>
        <v>1.7976150043397865</v>
      </c>
    </row>
    <row r="28" spans="1:19" ht="13.8" thickBot="1" x14ac:dyDescent="0.3">
      <c r="A28" s="222"/>
      <c r="B28" s="285">
        <f t="shared" si="5"/>
        <v>22</v>
      </c>
      <c r="C28" s="253">
        <f t="shared" si="10"/>
        <v>2042</v>
      </c>
      <c r="D28" s="280"/>
      <c r="E28" s="281">
        <v>95.27</v>
      </c>
      <c r="G28" s="254">
        <f>G27</f>
        <v>95.27</v>
      </c>
      <c r="H28" s="255">
        <f>H27</f>
        <v>16.95806</v>
      </c>
      <c r="I28" s="256">
        <f>I27</f>
        <v>3.8108</v>
      </c>
      <c r="J28" s="221"/>
      <c r="K28" s="211">
        <f t="shared" si="1"/>
        <v>2042</v>
      </c>
      <c r="L28" s="316">
        <f t="shared" si="2"/>
        <v>8760</v>
      </c>
      <c r="M28" s="221"/>
      <c r="N28" s="215">
        <f t="shared" si="3"/>
        <v>8760</v>
      </c>
      <c r="O28" s="216">
        <f t="shared" si="8"/>
        <v>10.875570776255708</v>
      </c>
      <c r="P28" s="215">
        <f t="shared" si="6"/>
        <v>3214.92</v>
      </c>
      <c r="Q28" s="216">
        <f t="shared" si="7"/>
        <v>5.274799995023205</v>
      </c>
      <c r="R28" s="233">
        <f t="shared" si="4"/>
        <v>2119.92</v>
      </c>
      <c r="S28" s="216">
        <f t="shared" si="9"/>
        <v>1.7976150043397865</v>
      </c>
    </row>
    <row r="29" spans="1:19" x14ac:dyDescent="0.25">
      <c r="B29" s="222"/>
      <c r="C29" s="222"/>
      <c r="D29" s="222"/>
      <c r="E29" s="222"/>
      <c r="G29" s="222"/>
      <c r="H29" s="222"/>
      <c r="I29" s="222"/>
    </row>
    <row r="30" spans="1:19" x14ac:dyDescent="0.25">
      <c r="B30" s="347" t="s">
        <v>125</v>
      </c>
      <c r="C30" s="347"/>
      <c r="D30" s="347"/>
      <c r="E30" s="347"/>
      <c r="F30" s="347"/>
      <c r="G30" s="347"/>
      <c r="H30" s="347"/>
      <c r="I30" s="347"/>
      <c r="J30" s="347"/>
      <c r="K30" s="347"/>
      <c r="L30" s="347"/>
      <c r="M30" s="347"/>
      <c r="N30" s="347"/>
      <c r="O30" s="347"/>
      <c r="P30" s="347"/>
      <c r="Q30" s="347"/>
      <c r="R30" s="347"/>
      <c r="S30" s="322"/>
    </row>
    <row r="31" spans="1:19" x14ac:dyDescent="0.25">
      <c r="C31" s="348" t="s">
        <v>126</v>
      </c>
      <c r="D31" s="348"/>
      <c r="E31" s="348"/>
      <c r="F31" s="348"/>
      <c r="G31" s="348"/>
      <c r="H31" s="348"/>
      <c r="I31" s="348"/>
      <c r="J31" s="348"/>
      <c r="K31" s="348"/>
      <c r="L31" s="348"/>
      <c r="M31" s="348"/>
      <c r="N31" s="348"/>
      <c r="O31" s="348"/>
      <c r="P31" s="348"/>
      <c r="Q31" s="348"/>
      <c r="R31" s="348"/>
      <c r="S31" s="323"/>
    </row>
    <row r="32" spans="1:19" ht="12.75" customHeight="1" x14ac:dyDescent="0.25">
      <c r="C32" s="324" t="s">
        <v>127</v>
      </c>
      <c r="D32" s="323"/>
      <c r="E32" s="323"/>
      <c r="F32" s="323"/>
      <c r="G32" s="323"/>
      <c r="H32" s="323"/>
      <c r="I32" s="323"/>
      <c r="J32" s="323"/>
      <c r="K32" s="323"/>
      <c r="L32" s="323"/>
      <c r="M32" s="323"/>
      <c r="N32" s="323"/>
      <c r="O32" s="323"/>
      <c r="P32" s="323"/>
      <c r="Q32" s="323"/>
      <c r="R32" s="323"/>
      <c r="S32" s="323"/>
    </row>
    <row r="33" spans="2:19" x14ac:dyDescent="0.25">
      <c r="C33" s="338" t="s">
        <v>128</v>
      </c>
      <c r="D33" s="338"/>
      <c r="E33" s="338"/>
      <c r="F33" s="338"/>
      <c r="G33" s="338"/>
      <c r="H33" s="338"/>
      <c r="I33" s="338"/>
      <c r="J33" s="338"/>
      <c r="K33" s="338"/>
      <c r="L33" s="338"/>
      <c r="M33" s="338"/>
      <c r="N33" s="338"/>
      <c r="O33" s="338"/>
      <c r="P33" s="338"/>
      <c r="Q33" s="338"/>
      <c r="R33" s="338"/>
      <c r="S33" s="338"/>
    </row>
    <row r="34" spans="2:19" x14ac:dyDescent="0.25">
      <c r="B34" s="234"/>
      <c r="C34" s="325" t="s">
        <v>129</v>
      </c>
      <c r="D34" s="326"/>
      <c r="E34" s="327"/>
      <c r="F34" s="327"/>
      <c r="G34" s="327"/>
      <c r="H34" s="327"/>
      <c r="I34" s="327"/>
      <c r="J34" s="327"/>
      <c r="K34" s="327"/>
      <c r="L34" s="327"/>
      <c r="M34" s="327"/>
      <c r="N34" s="327"/>
      <c r="O34" s="327"/>
      <c r="P34" s="327"/>
      <c r="Q34" s="327"/>
      <c r="R34" s="327"/>
      <c r="S34" s="323"/>
    </row>
    <row r="35" spans="2:19" x14ac:dyDescent="0.25">
      <c r="C35" s="325" t="s">
        <v>130</v>
      </c>
      <c r="D35" s="328"/>
      <c r="E35" s="323"/>
      <c r="G35" s="323"/>
      <c r="H35" s="323"/>
      <c r="I35" s="323"/>
      <c r="K35" s="323"/>
      <c r="L35" s="323"/>
      <c r="N35" s="323"/>
      <c r="O35" s="323"/>
      <c r="P35" s="323"/>
      <c r="Q35" s="323"/>
      <c r="R35" s="323"/>
      <c r="S35" s="323"/>
    </row>
    <row r="36" spans="2:19" x14ac:dyDescent="0.25">
      <c r="C36" s="323"/>
      <c r="D36" s="224"/>
      <c r="E36" s="323"/>
      <c r="G36" s="323"/>
      <c r="H36" s="323"/>
      <c r="I36" s="323"/>
      <c r="K36" s="323"/>
      <c r="L36" s="323"/>
      <c r="N36" s="323"/>
      <c r="O36" s="323"/>
      <c r="P36" s="323"/>
      <c r="Q36" s="323"/>
      <c r="R36" s="323"/>
      <c r="S36" s="323"/>
    </row>
    <row r="37" spans="2:19" x14ac:dyDescent="0.25">
      <c r="D37" s="224"/>
    </row>
    <row r="38" spans="2:19" x14ac:dyDescent="0.25">
      <c r="D38" s="224"/>
    </row>
    <row r="39" spans="2:19" x14ac:dyDescent="0.25">
      <c r="D39" s="224"/>
    </row>
    <row r="40" spans="2:19" x14ac:dyDescent="0.25">
      <c r="D40" s="224"/>
    </row>
    <row r="41" spans="2:19" x14ac:dyDescent="0.25">
      <c r="D41" s="224"/>
    </row>
    <row r="42" spans="2:19" x14ac:dyDescent="0.25">
      <c r="D42" s="224"/>
    </row>
  </sheetData>
  <mergeCells count="8">
    <mergeCell ref="C33:S33"/>
    <mergeCell ref="G3:I3"/>
    <mergeCell ref="N3:S3"/>
    <mergeCell ref="K4:K6"/>
    <mergeCell ref="L4:L6"/>
    <mergeCell ref="D3:E3"/>
    <mergeCell ref="B30:R30"/>
    <mergeCell ref="C31:R31"/>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topLeftCell="A4" workbookViewId="0">
      <selection activeCell="F16" sqref="F16"/>
    </sheetView>
  </sheetViews>
  <sheetFormatPr defaultColWidth="9.109375" defaultRowHeight="14.4" x14ac:dyDescent="0.3"/>
  <cols>
    <col min="1" max="1" width="2.6640625" style="75" customWidth="1"/>
    <col min="2" max="2" width="41.33203125" style="75" bestFit="1" customWidth="1"/>
    <col min="3" max="3" width="32.88671875" style="75" bestFit="1" customWidth="1"/>
    <col min="4" max="4" width="11.5546875" style="75" bestFit="1" customWidth="1"/>
    <col min="5" max="5" width="7.5546875" style="75" bestFit="1" customWidth="1"/>
    <col min="6" max="6" width="19.88671875" style="75" bestFit="1" customWidth="1"/>
    <col min="7" max="16384" width="9.109375" style="75"/>
  </cols>
  <sheetData>
    <row r="1" spans="2:6" ht="15" thickBot="1" x14ac:dyDescent="0.35"/>
    <row r="2" spans="2:6" x14ac:dyDescent="0.3">
      <c r="B2" s="76"/>
      <c r="C2" s="77"/>
      <c r="D2" s="77"/>
      <c r="E2" s="77"/>
      <c r="F2" s="78" t="s">
        <v>104</v>
      </c>
    </row>
    <row r="3" spans="2:6" x14ac:dyDescent="0.3">
      <c r="B3" s="79"/>
      <c r="C3" s="80"/>
      <c r="D3" s="80"/>
      <c r="E3" s="80"/>
      <c r="F3" s="81"/>
    </row>
    <row r="4" spans="2:6" x14ac:dyDescent="0.3">
      <c r="B4" s="349" t="s">
        <v>57</v>
      </c>
      <c r="C4" s="350"/>
      <c r="D4" s="350"/>
      <c r="E4" s="350"/>
      <c r="F4" s="352"/>
    </row>
    <row r="5" spans="2:6" x14ac:dyDescent="0.3">
      <c r="B5" s="349" t="s">
        <v>105</v>
      </c>
      <c r="C5" s="350"/>
      <c r="D5" s="350"/>
      <c r="E5" s="350"/>
      <c r="F5" s="352"/>
    </row>
    <row r="6" spans="2:6" x14ac:dyDescent="0.3">
      <c r="B6" s="349" t="s">
        <v>106</v>
      </c>
      <c r="C6" s="350"/>
      <c r="D6" s="350"/>
      <c r="E6" s="350"/>
      <c r="F6" s="351"/>
    </row>
    <row r="7" spans="2:6" x14ac:dyDescent="0.3">
      <c r="B7" s="349"/>
      <c r="C7" s="350"/>
      <c r="D7" s="350"/>
      <c r="E7" s="350"/>
      <c r="F7" s="351"/>
    </row>
    <row r="8" spans="2:6" x14ac:dyDescent="0.3">
      <c r="B8" s="83"/>
      <c r="C8" s="80"/>
      <c r="D8" s="80"/>
      <c r="E8" s="80"/>
      <c r="F8" s="84"/>
    </row>
    <row r="9" spans="2:6" x14ac:dyDescent="0.3">
      <c r="B9" s="83"/>
      <c r="C9" s="80"/>
      <c r="D9" s="80"/>
      <c r="E9" s="80"/>
      <c r="F9" s="84"/>
    </row>
    <row r="10" spans="2:6" x14ac:dyDescent="0.3">
      <c r="B10" s="82"/>
      <c r="C10" s="80"/>
      <c r="D10" s="80"/>
      <c r="E10" s="80"/>
      <c r="F10" s="85"/>
    </row>
    <row r="11" spans="2:6" x14ac:dyDescent="0.3">
      <c r="B11" s="83" t="s">
        <v>58</v>
      </c>
      <c r="C11" s="80"/>
      <c r="D11" s="86" t="s">
        <v>59</v>
      </c>
      <c r="E11" s="80"/>
      <c r="F11" s="87" t="s">
        <v>60</v>
      </c>
    </row>
    <row r="12" spans="2:6" ht="15" thickBot="1" x14ac:dyDescent="0.35">
      <c r="B12" s="88" t="s">
        <v>61</v>
      </c>
      <c r="C12" s="89" t="s">
        <v>62</v>
      </c>
      <c r="D12" s="90" t="s">
        <v>63</v>
      </c>
      <c r="E12" s="90" t="s">
        <v>64</v>
      </c>
      <c r="F12" s="91" t="s">
        <v>65</v>
      </c>
    </row>
    <row r="13" spans="2:6" x14ac:dyDescent="0.3">
      <c r="B13" s="82"/>
      <c r="C13" s="80"/>
      <c r="D13" s="80"/>
      <c r="E13" s="80"/>
      <c r="F13" s="85"/>
    </row>
    <row r="14" spans="2:6" x14ac:dyDescent="0.3">
      <c r="B14" s="92">
        <v>1</v>
      </c>
      <c r="C14" s="93" t="s">
        <v>66</v>
      </c>
      <c r="D14" s="94">
        <v>0.51500000000000001</v>
      </c>
      <c r="E14" s="94">
        <v>5.5E-2</v>
      </c>
      <c r="F14" s="95">
        <f>ROUND(D14*E14,4)</f>
        <v>2.8299999999999999E-2</v>
      </c>
    </row>
    <row r="15" spans="2:6" ht="15" thickBot="1" x14ac:dyDescent="0.35">
      <c r="B15" s="92">
        <v>2</v>
      </c>
      <c r="C15" s="93" t="s">
        <v>67</v>
      </c>
      <c r="D15" s="94">
        <v>0.48499999999999999</v>
      </c>
      <c r="E15" s="96">
        <v>9.4E-2</v>
      </c>
      <c r="F15" s="95">
        <f>ROUND(D15*E15,4)</f>
        <v>4.5600000000000002E-2</v>
      </c>
    </row>
    <row r="16" spans="2:6" x14ac:dyDescent="0.3">
      <c r="B16" s="92">
        <v>3</v>
      </c>
      <c r="C16" s="93" t="s">
        <v>68</v>
      </c>
      <c r="D16" s="97">
        <v>1</v>
      </c>
      <c r="E16" s="98"/>
      <c r="F16" s="108">
        <f>SUM(F14:F15)</f>
        <v>7.3899999999999993E-2</v>
      </c>
    </row>
    <row r="17" spans="2:7" x14ac:dyDescent="0.3">
      <c r="B17" s="92">
        <v>4</v>
      </c>
      <c r="C17" s="80"/>
      <c r="D17" s="80"/>
      <c r="E17" s="80"/>
      <c r="F17" s="85"/>
    </row>
    <row r="18" spans="2:7" x14ac:dyDescent="0.3">
      <c r="B18" s="92">
        <v>5</v>
      </c>
      <c r="C18" s="93" t="s">
        <v>69</v>
      </c>
      <c r="D18" s="99">
        <v>0.51500000000000001</v>
      </c>
      <c r="E18" s="99">
        <f>E14</f>
        <v>5.5E-2</v>
      </c>
      <c r="F18" s="100">
        <f>ROUND(D18*E18*0.79,4)</f>
        <v>2.24E-2</v>
      </c>
      <c r="G18" s="101"/>
    </row>
    <row r="19" spans="2:7" ht="15" thickBot="1" x14ac:dyDescent="0.35">
      <c r="B19" s="92">
        <v>6</v>
      </c>
      <c r="C19" s="93" t="s">
        <v>67</v>
      </c>
      <c r="D19" s="99">
        <v>0.48499999999999999</v>
      </c>
      <c r="E19" s="102">
        <f>E15</f>
        <v>9.4E-2</v>
      </c>
      <c r="F19" s="100">
        <f>ROUND(D19*E19,4)</f>
        <v>4.5600000000000002E-2</v>
      </c>
    </row>
    <row r="20" spans="2:7" x14ac:dyDescent="0.3">
      <c r="B20" s="92">
        <v>7</v>
      </c>
      <c r="C20" s="93" t="s">
        <v>70</v>
      </c>
      <c r="D20" s="103">
        <v>1</v>
      </c>
      <c r="E20" s="80"/>
      <c r="F20" s="104">
        <f>SUM(F18:F19)</f>
        <v>6.8000000000000005E-2</v>
      </c>
    </row>
    <row r="21" spans="2:7" ht="15" thickBot="1" x14ac:dyDescent="0.35">
      <c r="B21" s="105"/>
      <c r="C21" s="106"/>
      <c r="D21" s="106"/>
      <c r="E21" s="106"/>
      <c r="F21" s="10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6" workbookViewId="0">
      <selection activeCell="C22" sqref="C22"/>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29" ht="19.5" customHeight="1" x14ac:dyDescent="0.3">
      <c r="C2" s="210" t="s">
        <v>83</v>
      </c>
      <c r="D2" s="210"/>
      <c r="E2" s="210"/>
      <c r="F2" s="210"/>
      <c r="G2" s="210"/>
      <c r="H2" s="210"/>
      <c r="I2" s="210"/>
      <c r="J2" s="210"/>
      <c r="K2" s="210"/>
      <c r="L2" s="210"/>
    </row>
    <row r="3" spans="2:29" ht="15.6" x14ac:dyDescent="0.3">
      <c r="C3" s="42" t="s">
        <v>84</v>
      </c>
    </row>
    <row r="4" spans="2:29" s="110" customFormat="1" ht="45" x14ac:dyDescent="0.25">
      <c r="B4" s="109"/>
      <c r="C4" s="144" t="s">
        <v>0</v>
      </c>
      <c r="D4" s="144"/>
      <c r="E4" s="144" t="s">
        <v>1</v>
      </c>
      <c r="F4" s="144" t="s">
        <v>2</v>
      </c>
      <c r="G4" s="144" t="s">
        <v>3</v>
      </c>
      <c r="H4" s="144" t="s">
        <v>4</v>
      </c>
      <c r="I4" s="144" t="s">
        <v>5</v>
      </c>
      <c r="J4" s="144" t="s">
        <v>6</v>
      </c>
      <c r="K4" s="144" t="s">
        <v>7</v>
      </c>
      <c r="L4" s="145" t="s">
        <v>14</v>
      </c>
      <c r="M4" s="145"/>
    </row>
    <row r="5" spans="2:29" x14ac:dyDescent="0.25">
      <c r="C5" s="147"/>
      <c r="D5" s="148"/>
      <c r="E5" s="149">
        <v>5</v>
      </c>
      <c r="F5" s="289">
        <f>+'Capacity Delivered'!$G$5</f>
        <v>1</v>
      </c>
      <c r="G5" s="150" t="s">
        <v>8</v>
      </c>
      <c r="H5" s="151">
        <f>'Electric EES CE Std Energy'!D13</f>
        <v>2.1496895857758748E-2</v>
      </c>
      <c r="I5" s="152">
        <f>'Baseload Avoided Capacity Calcs'!Y11</f>
        <v>1.2421252968659069E-2</v>
      </c>
      <c r="J5" s="152">
        <f>H5+I5</f>
        <v>3.3918148826417818E-2</v>
      </c>
      <c r="K5" s="153">
        <f>J5</f>
        <v>3.3918148826417818E-2</v>
      </c>
      <c r="L5" s="154">
        <f>K5*1000</f>
        <v>33.91814882641782</v>
      </c>
      <c r="M5" s="138"/>
    </row>
    <row r="6" spans="2:29" ht="15.6" x14ac:dyDescent="0.3">
      <c r="C6" s="146"/>
      <c r="D6" s="146"/>
      <c r="E6" s="113"/>
      <c r="F6" s="113"/>
      <c r="G6" s="113"/>
      <c r="H6" s="32">
        <f>H5*1000</f>
        <v>21.496895857758748</v>
      </c>
      <c r="I6" s="32">
        <f t="shared" ref="I6:K6" si="0">I5*1000</f>
        <v>12.421252968659068</v>
      </c>
      <c r="J6" s="32">
        <f t="shared" si="0"/>
        <v>33.91814882641782</v>
      </c>
      <c r="K6" s="32">
        <f t="shared" si="0"/>
        <v>33.91814882641782</v>
      </c>
      <c r="L6" s="115">
        <f>L5*(1-M6)</f>
        <v>32.900604361625284</v>
      </c>
      <c r="M6" s="235">
        <v>0.03</v>
      </c>
      <c r="N6" s="116" t="s">
        <v>36</v>
      </c>
    </row>
    <row r="7" spans="2:29" x14ac:dyDescent="0.25">
      <c r="C7" s="117"/>
      <c r="D7" s="114"/>
      <c r="H7" s="40"/>
      <c r="I7" s="112"/>
      <c r="J7" s="40"/>
      <c r="K7" s="112"/>
      <c r="L7" s="112"/>
      <c r="M7" s="113"/>
    </row>
    <row r="8" spans="2:29" ht="15.6" x14ac:dyDescent="0.3">
      <c r="C8" s="113"/>
      <c r="D8" s="113"/>
      <c r="E8" s="113"/>
      <c r="F8" s="113"/>
      <c r="G8" s="113"/>
      <c r="H8" s="118"/>
      <c r="I8" s="118"/>
      <c r="J8" s="118"/>
      <c r="K8" s="118"/>
      <c r="L8" s="118"/>
      <c r="M8" s="118"/>
      <c r="N8" s="118"/>
      <c r="O8" s="118"/>
      <c r="P8" s="118"/>
      <c r="S8" s="118"/>
      <c r="T8" s="118"/>
      <c r="U8" s="119"/>
      <c r="V8" s="119"/>
      <c r="X8" s="200" t="s">
        <v>73</v>
      </c>
      <c r="Y8" s="118"/>
      <c r="Z8" s="119"/>
      <c r="AA8" s="119"/>
      <c r="AB8" s="118"/>
      <c r="AC8" s="113"/>
    </row>
    <row r="9" spans="2:29" x14ac:dyDescent="0.25">
      <c r="C9" s="120" t="s">
        <v>9</v>
      </c>
      <c r="D9" s="120"/>
      <c r="E9" s="120"/>
      <c r="F9" s="121">
        <f>+L6</f>
        <v>32.900604361625284</v>
      </c>
      <c r="G9" s="121">
        <f t="shared" ref="G9:J9" si="1">F9</f>
        <v>32.900604361625284</v>
      </c>
      <c r="H9" s="121">
        <f t="shared" si="1"/>
        <v>32.900604361625284</v>
      </c>
      <c r="I9" s="121">
        <f t="shared" si="1"/>
        <v>32.900604361625284</v>
      </c>
      <c r="J9" s="121">
        <f t="shared" si="1"/>
        <v>32.900604361625284</v>
      </c>
      <c r="K9" s="118"/>
      <c r="L9" s="118"/>
      <c r="M9" s="118"/>
      <c r="N9" s="118"/>
      <c r="O9" s="119"/>
      <c r="P9" s="40"/>
      <c r="S9" s="40"/>
      <c r="T9" s="40"/>
      <c r="U9" s="40"/>
      <c r="X9" s="199">
        <f>NPV(Rate_of_Return,F9:J9)</f>
        <v>133.50193233586708</v>
      </c>
      <c r="Y9" s="199">
        <f>-PMT(Rate_of_Return,E5,X9)</f>
        <v>32.900604361625277</v>
      </c>
    </row>
    <row r="10" spans="2:29" x14ac:dyDescent="0.25">
      <c r="C10" s="113"/>
      <c r="D10" s="113"/>
      <c r="E10" s="113"/>
      <c r="F10" s="122"/>
      <c r="G10" s="122"/>
      <c r="H10" s="122"/>
      <c r="I10" s="122"/>
      <c r="J10" s="122"/>
      <c r="K10" s="118"/>
      <c r="L10" s="118"/>
      <c r="M10" s="118"/>
      <c r="N10" s="118"/>
      <c r="O10" s="119"/>
      <c r="P10" s="40"/>
      <c r="S10" s="40"/>
      <c r="T10" s="40"/>
      <c r="U10" s="40"/>
      <c r="X10" s="32"/>
      <c r="Y10" s="32"/>
    </row>
    <row r="11" spans="2:29" x14ac:dyDescent="0.25">
      <c r="C11" s="53" t="s">
        <v>55</v>
      </c>
      <c r="F11" s="205">
        <v>1</v>
      </c>
      <c r="G11" s="205">
        <v>2</v>
      </c>
      <c r="H11" s="205">
        <v>3</v>
      </c>
      <c r="I11" s="205">
        <v>4</v>
      </c>
      <c r="J11" s="205">
        <v>5</v>
      </c>
      <c r="K11" s="205">
        <v>6</v>
      </c>
      <c r="L11" s="205">
        <v>7</v>
      </c>
      <c r="M11" s="118"/>
      <c r="N11" s="118"/>
      <c r="O11" s="119"/>
      <c r="P11" s="40"/>
      <c r="S11" s="40"/>
      <c r="T11" s="40"/>
      <c r="U11" s="40"/>
      <c r="X11" s="40"/>
      <c r="Y11" s="40"/>
    </row>
    <row r="12" spans="2:29" ht="15.6" x14ac:dyDescent="0.3">
      <c r="C12" s="113"/>
      <c r="D12" s="111"/>
      <c r="E12" s="113"/>
      <c r="F12" s="123">
        <f>'Energy Prices'!$C$6</f>
        <v>2021</v>
      </c>
      <c r="G12" s="123">
        <f>F12+1</f>
        <v>2022</v>
      </c>
      <c r="H12" s="123">
        <f>G12+1</f>
        <v>2023</v>
      </c>
      <c r="I12" s="123">
        <f t="shared" ref="I12:L12" si="2">H12+1</f>
        <v>2024</v>
      </c>
      <c r="J12" s="123">
        <f t="shared" si="2"/>
        <v>2025</v>
      </c>
      <c r="K12" s="123">
        <f t="shared" si="2"/>
        <v>2026</v>
      </c>
      <c r="L12" s="123">
        <f t="shared" si="2"/>
        <v>2027</v>
      </c>
      <c r="M12" s="118"/>
      <c r="N12" s="118"/>
      <c r="O12" s="119"/>
      <c r="P12" s="203"/>
      <c r="S12" s="119"/>
      <c r="T12" s="119"/>
      <c r="U12" s="119"/>
      <c r="X12" s="200" t="s">
        <v>73</v>
      </c>
      <c r="Y12" s="32"/>
    </row>
    <row r="13" spans="2:29" ht="52.95" customHeight="1" x14ac:dyDescent="0.25">
      <c r="B13" s="113"/>
      <c r="C13" s="206" t="s">
        <v>90</v>
      </c>
      <c r="D13" s="113"/>
      <c r="F13" s="155">
        <f>F$9*F$20</f>
        <v>31.406426057816642</v>
      </c>
      <c r="G13" s="156">
        <f t="shared" ref="G13:J13" si="3">G$9*G$20</f>
        <v>32.191586709262054</v>
      </c>
      <c r="H13" s="157">
        <f t="shared" si="3"/>
        <v>32.996376376993602</v>
      </c>
      <c r="I13" s="157">
        <f t="shared" si="3"/>
        <v>33.821285786418436</v>
      </c>
      <c r="J13" s="157">
        <f t="shared" si="3"/>
        <v>34.666817931078903</v>
      </c>
      <c r="K13" s="202">
        <f>J13*1.025</f>
        <v>35.533488379355873</v>
      </c>
      <c r="L13" s="202">
        <f>K13*1.025</f>
        <v>36.421825588839766</v>
      </c>
      <c r="M13" s="118"/>
      <c r="N13" s="118"/>
      <c r="O13" s="119"/>
      <c r="P13" s="125"/>
      <c r="S13" s="125"/>
      <c r="T13" s="125"/>
      <c r="U13" s="125"/>
      <c r="X13" s="199">
        <f>NPV(Rate_of_Return,F13:J13)</f>
        <v>133.50193233586714</v>
      </c>
      <c r="Y13" s="199">
        <f>-PMT(Rate_of_Return,E5,X13)</f>
        <v>32.900604361625291</v>
      </c>
    </row>
    <row r="14" spans="2:29" x14ac:dyDescent="0.25">
      <c r="C14" s="124"/>
      <c r="E14" s="127"/>
      <c r="F14" s="125"/>
      <c r="G14" s="125"/>
      <c r="H14" s="125"/>
      <c r="I14" s="125"/>
      <c r="J14" s="125"/>
      <c r="K14" s="118"/>
      <c r="L14" s="118"/>
      <c r="M14" s="118"/>
      <c r="N14" s="118"/>
      <c r="O14" s="119"/>
      <c r="P14" s="125"/>
      <c r="S14" s="119"/>
      <c r="T14" s="119"/>
      <c r="U14" s="119"/>
      <c r="V14" s="118"/>
      <c r="W14" s="113"/>
      <c r="X14" s="119"/>
      <c r="Y14" s="119"/>
    </row>
    <row r="15" spans="2:29" x14ac:dyDescent="0.25">
      <c r="C15" s="128"/>
      <c r="E15" s="127"/>
      <c r="F15" s="125"/>
      <c r="G15" s="125"/>
      <c r="H15" s="125"/>
      <c r="I15" s="125"/>
      <c r="J15" s="125"/>
      <c r="K15" s="118"/>
      <c r="L15" s="118"/>
      <c r="M15" s="118"/>
      <c r="N15" s="118"/>
      <c r="O15" s="119"/>
      <c r="P15" s="125"/>
      <c r="S15" s="119"/>
      <c r="T15" s="119"/>
      <c r="U15" s="119"/>
      <c r="V15" s="119"/>
      <c r="X15" s="119"/>
      <c r="Y15" s="119"/>
    </row>
    <row r="16" spans="2:29" x14ac:dyDescent="0.25">
      <c r="C16" s="53" t="s">
        <v>10</v>
      </c>
      <c r="K16" s="118"/>
      <c r="L16" s="118"/>
      <c r="M16" s="118"/>
      <c r="N16" s="118"/>
      <c r="O16" s="119"/>
    </row>
    <row r="17" spans="2:25" x14ac:dyDescent="0.25">
      <c r="K17" s="118"/>
      <c r="L17" s="118"/>
      <c r="M17" s="118"/>
      <c r="N17" s="118"/>
      <c r="O17" s="119"/>
    </row>
    <row r="18" spans="2:25" ht="15.6" x14ac:dyDescent="0.3">
      <c r="C18" s="113"/>
      <c r="D18" s="113"/>
      <c r="E18" s="113"/>
      <c r="F18" s="113"/>
      <c r="G18" s="113"/>
      <c r="H18" s="113"/>
      <c r="I18" s="113"/>
      <c r="J18" s="113"/>
      <c r="K18" s="118"/>
      <c r="L18" s="118"/>
      <c r="M18" s="118"/>
      <c r="N18" s="118"/>
      <c r="O18" s="119"/>
      <c r="X18" s="200" t="s">
        <v>73</v>
      </c>
      <c r="Y18" s="113"/>
    </row>
    <row r="19" spans="2:25" x14ac:dyDescent="0.25">
      <c r="C19" s="120" t="s">
        <v>11</v>
      </c>
      <c r="D19" s="120"/>
      <c r="E19" s="120"/>
      <c r="F19" s="139">
        <v>100</v>
      </c>
      <c r="G19" s="139">
        <f t="shared" ref="G19:J19" si="4">F19*1.025</f>
        <v>102.49999999999999</v>
      </c>
      <c r="H19" s="139">
        <f t="shared" si="4"/>
        <v>105.06249999999997</v>
      </c>
      <c r="I19" s="139">
        <f t="shared" si="4"/>
        <v>107.68906249999996</v>
      </c>
      <c r="J19" s="139">
        <f t="shared" si="4"/>
        <v>110.38128906249996</v>
      </c>
      <c r="K19" s="118"/>
      <c r="L19" s="118"/>
      <c r="M19" s="118"/>
      <c r="N19" s="118"/>
      <c r="O19" s="119"/>
      <c r="P19" s="129"/>
      <c r="S19" s="119"/>
      <c r="T19" s="119"/>
      <c r="U19" s="119"/>
      <c r="X19" s="159">
        <f>NPV(Rate_of_Return,F19:J19)</f>
        <v>425.07839666347598</v>
      </c>
      <c r="Y19" s="159">
        <f>-PMT(Rate_of_Return,E5,X19)</f>
        <v>104.75755598888578</v>
      </c>
    </row>
    <row r="20" spans="2:25" x14ac:dyDescent="0.25">
      <c r="C20" s="142" t="s">
        <v>12</v>
      </c>
      <c r="D20" s="142"/>
      <c r="E20" s="142"/>
      <c r="F20" s="143">
        <f>F19/$Y$19</f>
        <v>0.95458508034121625</v>
      </c>
      <c r="G20" s="143">
        <f>G19/$Y$19</f>
        <v>0.97844970734974657</v>
      </c>
      <c r="H20" s="143">
        <f>H19/$Y$19</f>
        <v>1.0029109500334901</v>
      </c>
      <c r="I20" s="143">
        <f>I19/$Y$19</f>
        <v>1.0279837237843272</v>
      </c>
      <c r="J20" s="143">
        <f>J19/$Y$19</f>
        <v>1.0536833168789355</v>
      </c>
      <c r="K20" s="118"/>
      <c r="L20" s="118"/>
      <c r="M20" s="118"/>
      <c r="N20" s="118"/>
      <c r="O20" s="119"/>
      <c r="P20" s="130"/>
      <c r="S20" s="119"/>
      <c r="T20" s="119"/>
      <c r="U20" s="119"/>
      <c r="X20" s="158">
        <f>NPV(Rate_of_Return,F20:J20)</f>
        <v>4.0577349543031964</v>
      </c>
      <c r="Y20" s="158">
        <f>-PMT(Rate_of_Return,E5,X20)</f>
        <v>1</v>
      </c>
    </row>
    <row r="21" spans="2:25" x14ac:dyDescent="0.25">
      <c r="C21" s="113"/>
      <c r="D21" s="113"/>
      <c r="E21" s="140"/>
      <c r="F21" s="140"/>
      <c r="G21" s="140"/>
      <c r="H21" s="140"/>
      <c r="I21" s="140"/>
      <c r="J21" s="140"/>
      <c r="K21" s="140"/>
      <c r="L21" s="140"/>
      <c r="M21" s="141"/>
      <c r="N21" s="141"/>
      <c r="O21" s="141"/>
      <c r="P21" s="118"/>
      <c r="S21" s="118"/>
      <c r="T21" s="118"/>
      <c r="U21" s="119"/>
      <c r="W21" s="113"/>
      <c r="X21" s="118"/>
      <c r="Y21" s="118"/>
    </row>
    <row r="22" spans="2:25" x14ac:dyDescent="0.25">
      <c r="B22" s="131" t="s">
        <v>13</v>
      </c>
      <c r="C22" s="132"/>
      <c r="D22" s="133"/>
      <c r="E22" s="133"/>
      <c r="F22" s="133"/>
      <c r="G22" s="133"/>
      <c r="H22" s="133"/>
      <c r="I22" s="133"/>
      <c r="J22" s="133"/>
      <c r="K22" s="133"/>
      <c r="L22" s="133"/>
      <c r="M22" s="133"/>
      <c r="N22" s="133"/>
      <c r="O22" s="133"/>
      <c r="Y22" s="128"/>
    </row>
    <row r="23" spans="2:25" x14ac:dyDescent="0.25">
      <c r="B23" s="134">
        <v>1</v>
      </c>
      <c r="C23" s="286" t="s">
        <v>114</v>
      </c>
      <c r="D23" s="133"/>
      <c r="E23" s="133"/>
      <c r="F23" s="133"/>
      <c r="G23" s="133"/>
      <c r="H23" s="133"/>
      <c r="I23" s="133"/>
      <c r="J23" s="133"/>
      <c r="K23" s="133"/>
      <c r="L23" s="133"/>
      <c r="M23" s="133"/>
      <c r="N23" s="133"/>
      <c r="O23" s="133"/>
      <c r="Y23" s="124"/>
    </row>
    <row r="24" spans="2:25" x14ac:dyDescent="0.25">
      <c r="B24" s="134">
        <v>2</v>
      </c>
      <c r="C24" s="133" t="s">
        <v>116</v>
      </c>
      <c r="D24" s="133"/>
      <c r="E24" s="133"/>
      <c r="F24" s="133"/>
      <c r="G24" s="133"/>
      <c r="H24" s="133"/>
      <c r="I24" s="133"/>
      <c r="J24" s="133"/>
      <c r="K24" s="133"/>
      <c r="L24" s="133"/>
      <c r="M24" s="133"/>
      <c r="N24" s="133"/>
      <c r="O24" s="133"/>
      <c r="Y24" s="125"/>
    </row>
    <row r="25" spans="2:25" x14ac:dyDescent="0.25">
      <c r="B25" s="134">
        <v>3</v>
      </c>
      <c r="C25" s="133" t="s">
        <v>44</v>
      </c>
      <c r="D25" s="133"/>
      <c r="E25" s="133"/>
      <c r="F25" s="133"/>
      <c r="G25" s="133"/>
      <c r="H25" s="133"/>
      <c r="I25" s="133"/>
      <c r="J25" s="133"/>
      <c r="K25" s="133"/>
      <c r="L25" s="133"/>
      <c r="M25" s="133"/>
      <c r="N25" s="133"/>
      <c r="O25" s="133"/>
      <c r="Y25" s="135"/>
    </row>
    <row r="26" spans="2:25" x14ac:dyDescent="0.25">
      <c r="B26" s="134">
        <v>4</v>
      </c>
      <c r="C26" s="133" t="s">
        <v>119</v>
      </c>
      <c r="D26" s="133"/>
      <c r="E26" s="133"/>
      <c r="F26" s="133"/>
      <c r="G26" s="133"/>
      <c r="H26" s="133"/>
      <c r="I26" s="133"/>
      <c r="J26" s="133"/>
      <c r="K26" s="133"/>
      <c r="L26" s="133"/>
      <c r="M26" s="133"/>
      <c r="N26" s="133"/>
      <c r="O26" s="133"/>
      <c r="Y26" s="135"/>
    </row>
    <row r="27" spans="2:25" x14ac:dyDescent="0.25">
      <c r="B27" s="134">
        <v>5</v>
      </c>
      <c r="C27" s="133" t="s">
        <v>78</v>
      </c>
      <c r="D27" s="133"/>
      <c r="E27" s="133"/>
      <c r="F27" s="133"/>
      <c r="G27" s="133"/>
      <c r="H27" s="133"/>
      <c r="I27" s="133"/>
      <c r="J27" s="133"/>
      <c r="K27" s="133"/>
      <c r="L27" s="133"/>
      <c r="M27" s="133"/>
      <c r="N27" s="133"/>
      <c r="O27" s="133"/>
      <c r="Y27" s="124"/>
    </row>
    <row r="28" spans="2:25" x14ac:dyDescent="0.25">
      <c r="B28" s="134">
        <v>6</v>
      </c>
      <c r="C28" s="133" t="s">
        <v>79</v>
      </c>
      <c r="D28" s="133"/>
      <c r="E28" s="133"/>
      <c r="F28" s="133"/>
      <c r="G28" s="133"/>
      <c r="H28" s="133"/>
      <c r="I28" s="133"/>
      <c r="J28" s="133"/>
      <c r="K28" s="133"/>
      <c r="L28" s="133"/>
      <c r="M28" s="133"/>
      <c r="N28" s="133"/>
      <c r="O28" s="133"/>
      <c r="Y28" s="125"/>
    </row>
    <row r="29" spans="2:25" x14ac:dyDescent="0.25">
      <c r="B29" s="134">
        <v>7</v>
      </c>
      <c r="C29" s="133" t="s">
        <v>80</v>
      </c>
      <c r="D29" s="133"/>
      <c r="E29" s="133"/>
      <c r="F29" s="133"/>
      <c r="G29" s="133"/>
      <c r="H29" s="133"/>
      <c r="I29" s="133"/>
      <c r="J29" s="133"/>
      <c r="K29" s="133"/>
      <c r="L29" s="133"/>
      <c r="M29" s="133"/>
      <c r="N29" s="133"/>
      <c r="O29" s="133"/>
      <c r="P29" s="133"/>
      <c r="Q29" s="133"/>
    </row>
    <row r="30" spans="2:25" x14ac:dyDescent="0.25">
      <c r="B30" s="134">
        <v>8</v>
      </c>
      <c r="C30" s="133" t="s">
        <v>50</v>
      </c>
      <c r="D30" s="133"/>
      <c r="E30" s="133"/>
      <c r="F30" s="133"/>
      <c r="G30" s="133"/>
      <c r="H30" s="133"/>
      <c r="I30" s="133"/>
      <c r="J30" s="133"/>
      <c r="K30" s="133"/>
      <c r="L30" s="133"/>
      <c r="M30" s="133"/>
      <c r="N30" s="133"/>
      <c r="O30" s="133"/>
      <c r="P30" s="133"/>
      <c r="Q30" s="133"/>
    </row>
    <row r="31" spans="2:25" x14ac:dyDescent="0.25">
      <c r="B31" s="134">
        <v>9</v>
      </c>
      <c r="C31" s="133" t="s">
        <v>81</v>
      </c>
      <c r="D31" s="133"/>
      <c r="E31" s="133"/>
      <c r="F31" s="133"/>
      <c r="G31" s="133"/>
      <c r="H31" s="133"/>
      <c r="I31" s="133"/>
      <c r="J31" s="133"/>
      <c r="K31" s="133"/>
      <c r="L31" s="133"/>
      <c r="M31" s="133"/>
      <c r="N31" s="133"/>
      <c r="O31" s="133"/>
      <c r="P31" s="133"/>
      <c r="Q31" s="133"/>
    </row>
    <row r="32" spans="2:25"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7" workbookViewId="0">
      <selection activeCell="C26" sqref="C26"/>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0" t="s">
        <v>83</v>
      </c>
      <c r="D2" s="210"/>
      <c r="E2" s="210"/>
      <c r="F2" s="210"/>
      <c r="G2" s="210"/>
      <c r="H2" s="210"/>
      <c r="I2" s="210"/>
      <c r="J2" s="210"/>
      <c r="K2" s="210"/>
      <c r="L2" s="210"/>
    </row>
    <row r="3" spans="2:30" ht="15.6" x14ac:dyDescent="0.3">
      <c r="C3" s="42" t="s">
        <v>84</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9">
        <f>+'Capacity Delivered'!$G$5</f>
        <v>1</v>
      </c>
      <c r="G5" s="150" t="s">
        <v>8</v>
      </c>
      <c r="H5" s="151">
        <f>'Electric EES CE Std Energy'!D18</f>
        <v>2.255503119083823E-2</v>
      </c>
      <c r="I5" s="152">
        <f>'Baseload Avoided Capacity Calcs'!Y16</f>
        <v>1.2504898068648419E-2</v>
      </c>
      <c r="J5" s="152">
        <f>H5+I5</f>
        <v>3.5059929259486651E-2</v>
      </c>
      <c r="K5" s="153">
        <f>J5</f>
        <v>3.5059929259486651E-2</v>
      </c>
      <c r="L5" s="154">
        <f>K5*1000</f>
        <v>35.059929259486651</v>
      </c>
      <c r="M5" s="138"/>
    </row>
    <row r="6" spans="2:30" ht="15.6" x14ac:dyDescent="0.3">
      <c r="C6" s="146"/>
      <c r="D6" s="146"/>
      <c r="E6" s="113"/>
      <c r="F6" s="113"/>
      <c r="G6" s="113"/>
      <c r="H6" s="32">
        <f>H5*1000</f>
        <v>22.555031190838232</v>
      </c>
      <c r="I6" s="32">
        <f t="shared" ref="I6:K6" si="0">I5*1000</f>
        <v>12.504898068648419</v>
      </c>
      <c r="J6" s="32">
        <f t="shared" si="0"/>
        <v>35.059929259486651</v>
      </c>
      <c r="K6" s="32">
        <f t="shared" si="0"/>
        <v>35.059929259486651</v>
      </c>
      <c r="L6" s="115">
        <f>L5*(1-M6)</f>
        <v>34.00813138170205</v>
      </c>
      <c r="M6" s="235">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R8" s="118"/>
      <c r="U8" s="119"/>
      <c r="V8" s="119"/>
      <c r="X8" s="200" t="s">
        <v>73</v>
      </c>
      <c r="Y8" s="119"/>
      <c r="Z8" s="119"/>
      <c r="AA8" s="119"/>
      <c r="AB8" s="118"/>
      <c r="AC8" s="113"/>
    </row>
    <row r="9" spans="2:30" x14ac:dyDescent="0.25">
      <c r="C9" s="120" t="s">
        <v>9</v>
      </c>
      <c r="D9" s="120"/>
      <c r="E9" s="120"/>
      <c r="F9" s="121">
        <f>+L6</f>
        <v>34.00813138170205</v>
      </c>
      <c r="G9" s="121">
        <f t="shared" ref="G9:O9" si="1">F9</f>
        <v>34.00813138170205</v>
      </c>
      <c r="H9" s="121">
        <f t="shared" si="1"/>
        <v>34.00813138170205</v>
      </c>
      <c r="I9" s="121">
        <f t="shared" si="1"/>
        <v>34.00813138170205</v>
      </c>
      <c r="J9" s="121">
        <f t="shared" si="1"/>
        <v>34.00813138170205</v>
      </c>
      <c r="K9" s="121">
        <f t="shared" si="1"/>
        <v>34.00813138170205</v>
      </c>
      <c r="L9" s="121">
        <f t="shared" si="1"/>
        <v>34.00813138170205</v>
      </c>
      <c r="M9" s="121">
        <f t="shared" si="1"/>
        <v>34.00813138170205</v>
      </c>
      <c r="N9" s="121">
        <f t="shared" si="1"/>
        <v>34.00813138170205</v>
      </c>
      <c r="O9" s="121">
        <f t="shared" si="1"/>
        <v>34.00813138170205</v>
      </c>
      <c r="P9" s="118"/>
      <c r="Q9" s="118"/>
      <c r="R9" s="118"/>
      <c r="U9" s="119"/>
      <c r="V9" s="40"/>
      <c r="X9" s="199">
        <f>NPV(Rate_of_Return,F9:O9)</f>
        <v>234.61157869798373</v>
      </c>
      <c r="Y9" s="199">
        <f>-PMT(Rate_of_Return,10,X9)</f>
        <v>34.008131381702036</v>
      </c>
      <c r="Z9" s="40"/>
      <c r="AA9" s="40"/>
    </row>
    <row r="10" spans="2:30" x14ac:dyDescent="0.25">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5">
      <c r="C11" s="53" t="s">
        <v>55</v>
      </c>
      <c r="F11" s="205">
        <v>1</v>
      </c>
      <c r="G11" s="205">
        <v>2</v>
      </c>
      <c r="H11" s="205">
        <v>3</v>
      </c>
      <c r="I11" s="205">
        <v>4</v>
      </c>
      <c r="J11" s="205">
        <v>5</v>
      </c>
      <c r="K11" s="205">
        <v>6</v>
      </c>
      <c r="L11" s="205">
        <v>7</v>
      </c>
      <c r="M11" s="205">
        <v>8</v>
      </c>
      <c r="N11" s="205">
        <v>9</v>
      </c>
      <c r="O11" s="205">
        <v>10</v>
      </c>
      <c r="P11" s="205">
        <v>11</v>
      </c>
      <c r="Q11" s="205">
        <v>12</v>
      </c>
      <c r="R11" s="118"/>
      <c r="U11" s="119"/>
      <c r="V11" s="40"/>
      <c r="X11" s="40"/>
      <c r="Y11" s="40"/>
      <c r="Z11" s="40"/>
      <c r="AA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 t="shared" ref="P12:Q12" si="3">O12+1</f>
        <v>2031</v>
      </c>
      <c r="Q12" s="123">
        <f t="shared" si="3"/>
        <v>2032</v>
      </c>
      <c r="R12" s="118"/>
      <c r="U12" s="119"/>
      <c r="V12" s="203"/>
      <c r="X12" s="200" t="s">
        <v>73</v>
      </c>
      <c r="Y12" s="32"/>
      <c r="Z12" s="119"/>
      <c r="AA12" s="119"/>
    </row>
    <row r="13" spans="2:30" ht="52.95" customHeight="1" x14ac:dyDescent="0.25">
      <c r="B13" s="113"/>
      <c r="C13" s="206" t="s">
        <v>90</v>
      </c>
      <c r="D13" s="113"/>
      <c r="F13" s="155">
        <f>F$9*F$20</f>
        <v>30.797061708290375</v>
      </c>
      <c r="G13" s="156">
        <f t="shared" ref="G13:O13" si="4">G$9*G$20</f>
        <v>31.566988250997628</v>
      </c>
      <c r="H13" s="157">
        <f t="shared" si="4"/>
        <v>32.356162957272559</v>
      </c>
      <c r="I13" s="157">
        <f t="shared" si="4"/>
        <v>33.165067031204373</v>
      </c>
      <c r="J13" s="157">
        <f t="shared" si="4"/>
        <v>33.994193706984483</v>
      </c>
      <c r="K13" s="157">
        <f t="shared" si="4"/>
        <v>34.844048549659092</v>
      </c>
      <c r="L13" s="157">
        <f t="shared" si="4"/>
        <v>35.715149763400568</v>
      </c>
      <c r="M13" s="157">
        <f t="shared" si="4"/>
        <v>36.608028507485571</v>
      </c>
      <c r="N13" s="157">
        <f t="shared" si="4"/>
        <v>37.523229220172709</v>
      </c>
      <c r="O13" s="157">
        <f t="shared" si="4"/>
        <v>38.46130995067702</v>
      </c>
      <c r="P13" s="202">
        <f>O13*1.025</f>
        <v>39.42284269944394</v>
      </c>
      <c r="Q13" s="202">
        <f>P13*1.025</f>
        <v>40.408413766930032</v>
      </c>
      <c r="R13" s="118"/>
      <c r="U13" s="119"/>
      <c r="V13" s="125"/>
      <c r="X13" s="199">
        <f>NPV(Rate_of_Return,F13:O13)</f>
        <v>234.61157869798387</v>
      </c>
      <c r="Y13" s="199">
        <f>-PMT(Rate_of_Return,10,X13)</f>
        <v>34.008131381702057</v>
      </c>
      <c r="Z13" s="125"/>
      <c r="AA13" s="125"/>
      <c r="AD13" s="126"/>
    </row>
    <row r="14" spans="2:30" x14ac:dyDescent="0.25">
      <c r="C14" s="124"/>
      <c r="E14" s="127"/>
      <c r="F14" s="125"/>
      <c r="G14" s="125"/>
      <c r="H14" s="125"/>
      <c r="I14" s="125"/>
      <c r="J14" s="125"/>
      <c r="K14" s="125"/>
      <c r="L14" s="125"/>
      <c r="M14" s="125"/>
      <c r="N14" s="125"/>
      <c r="O14" s="125"/>
      <c r="P14" s="118"/>
      <c r="Q14" s="118"/>
      <c r="R14" s="118"/>
      <c r="U14" s="119"/>
      <c r="V14" s="125"/>
      <c r="X14" s="119"/>
      <c r="Y14" s="119"/>
      <c r="Z14" s="119"/>
      <c r="AA14" s="119"/>
      <c r="AB14" s="118"/>
      <c r="AC14" s="113"/>
    </row>
    <row r="15" spans="2:30" x14ac:dyDescent="0.25">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5">
      <c r="C16" s="53" t="s">
        <v>10</v>
      </c>
      <c r="P16" s="118"/>
      <c r="Q16" s="118"/>
      <c r="R16" s="118"/>
      <c r="U16" s="119"/>
    </row>
    <row r="17" spans="2:27" x14ac:dyDescent="0.25">
      <c r="P17" s="118"/>
      <c r="Q17" s="118"/>
      <c r="R17" s="118"/>
      <c r="U17" s="119"/>
    </row>
    <row r="18" spans="2:27" ht="15.6" x14ac:dyDescent="0.3">
      <c r="C18" s="113"/>
      <c r="D18" s="113"/>
      <c r="E18" s="113"/>
      <c r="F18" s="113"/>
      <c r="G18" s="113"/>
      <c r="H18" s="113"/>
      <c r="I18" s="113"/>
      <c r="J18" s="113"/>
      <c r="K18" s="113"/>
      <c r="L18" s="113"/>
      <c r="M18" s="113"/>
      <c r="N18" s="113"/>
      <c r="O18" s="113"/>
      <c r="P18" s="118"/>
      <c r="Q18" s="118"/>
      <c r="R18" s="118"/>
      <c r="U18" s="119"/>
      <c r="X18" s="200" t="s">
        <v>73</v>
      </c>
      <c r="Y18" s="113"/>
    </row>
    <row r="19" spans="2:27" x14ac:dyDescent="0.25">
      <c r="C19" s="120" t="s">
        <v>11</v>
      </c>
      <c r="D19" s="120"/>
      <c r="E19" s="120"/>
      <c r="F19" s="139">
        <v>100</v>
      </c>
      <c r="G19" s="139">
        <f t="shared" ref="G19:O19" si="5">F19*1.025</f>
        <v>102.49999999999999</v>
      </c>
      <c r="H19" s="139">
        <f t="shared" si="5"/>
        <v>105.06249999999997</v>
      </c>
      <c r="I19" s="139">
        <f t="shared" si="5"/>
        <v>107.68906249999996</v>
      </c>
      <c r="J19" s="139">
        <f t="shared" si="5"/>
        <v>110.38128906249996</v>
      </c>
      <c r="K19" s="139">
        <f t="shared" si="5"/>
        <v>113.14082128906244</v>
      </c>
      <c r="L19" s="139">
        <f t="shared" si="5"/>
        <v>115.96934182128899</v>
      </c>
      <c r="M19" s="139">
        <f t="shared" si="5"/>
        <v>118.8685753668212</v>
      </c>
      <c r="N19" s="139">
        <f t="shared" si="5"/>
        <v>121.84028975099173</v>
      </c>
      <c r="O19" s="139">
        <f t="shared" si="5"/>
        <v>124.88629699476651</v>
      </c>
      <c r="P19" s="118"/>
      <c r="Q19" s="118"/>
      <c r="R19" s="118"/>
      <c r="U19" s="119"/>
      <c r="V19" s="129"/>
      <c r="X19" s="159">
        <f>NPV(Rate_of_Return,F19:O19)</f>
        <v>761.7985797483658</v>
      </c>
      <c r="Y19" s="159">
        <f>-PMT(Rate_of_Return,10,X19)</f>
        <v>110.42654557057071</v>
      </c>
      <c r="Z19" s="119"/>
      <c r="AA19" s="119"/>
    </row>
    <row r="20" spans="2:27" x14ac:dyDescent="0.25">
      <c r="C20" s="142" t="s">
        <v>12</v>
      </c>
      <c r="D20" s="142"/>
      <c r="E20" s="142"/>
      <c r="F20" s="143">
        <f t="shared" ref="F20:O20" si="6">F19/$Y$19</f>
        <v>0.90557935579079241</v>
      </c>
      <c r="G20" s="143">
        <f t="shared" si="6"/>
        <v>0.92821883968556207</v>
      </c>
      <c r="H20" s="143">
        <f t="shared" si="6"/>
        <v>0.95142431067770095</v>
      </c>
      <c r="I20" s="143">
        <f t="shared" si="6"/>
        <v>0.97520991844464344</v>
      </c>
      <c r="J20" s="143">
        <f t="shared" si="6"/>
        <v>0.99959016640575948</v>
      </c>
      <c r="K20" s="143">
        <f t="shared" si="6"/>
        <v>1.0245799205659034</v>
      </c>
      <c r="L20" s="143">
        <f t="shared" si="6"/>
        <v>1.0501944185800509</v>
      </c>
      <c r="M20" s="143">
        <f t="shared" si="6"/>
        <v>1.0764492790445519</v>
      </c>
      <c r="N20" s="143">
        <f t="shared" si="6"/>
        <v>1.1033605110206657</v>
      </c>
      <c r="O20" s="143">
        <f t="shared" si="6"/>
        <v>1.1309445237961822</v>
      </c>
      <c r="P20" s="118"/>
      <c r="Q20" s="118"/>
      <c r="R20" s="118"/>
      <c r="U20" s="119"/>
      <c r="V20" s="130"/>
      <c r="X20" s="158">
        <f>NPV(Rate_of_Return,F20:O20)</f>
        <v>6.8986906709086568</v>
      </c>
      <c r="Y20" s="158">
        <f>-PMT(Rate_of_Return,10,X20)</f>
        <v>1.0000000000000002</v>
      </c>
      <c r="Z20" s="119"/>
      <c r="AA20" s="119"/>
    </row>
    <row r="21" spans="2:27" x14ac:dyDescent="0.25">
      <c r="C21" s="113"/>
      <c r="D21" s="113"/>
      <c r="E21" s="140"/>
      <c r="F21" s="140"/>
      <c r="G21" s="140"/>
      <c r="H21" s="140"/>
      <c r="I21" s="140"/>
      <c r="J21" s="140"/>
      <c r="K21" s="140"/>
      <c r="L21" s="140"/>
      <c r="M21" s="141"/>
      <c r="N21" s="141"/>
      <c r="O21" s="141"/>
      <c r="P21" s="118"/>
      <c r="Q21" s="118"/>
      <c r="R21" s="118"/>
      <c r="S21" s="118"/>
      <c r="T21" s="118"/>
      <c r="U21" s="119"/>
      <c r="W21" s="113"/>
      <c r="X21" s="113"/>
    </row>
    <row r="22" spans="2:27" x14ac:dyDescent="0.25">
      <c r="B22" s="131" t="s">
        <v>13</v>
      </c>
      <c r="C22" s="132"/>
      <c r="D22" s="133"/>
      <c r="E22" s="133"/>
      <c r="F22" s="133"/>
      <c r="G22" s="133"/>
      <c r="H22" s="133"/>
      <c r="I22" s="133"/>
      <c r="J22" s="133"/>
      <c r="K22" s="133"/>
      <c r="L22" s="133"/>
      <c r="M22" s="133"/>
      <c r="N22" s="133"/>
      <c r="O22" s="133"/>
      <c r="Y22" s="128"/>
    </row>
    <row r="23" spans="2:27" x14ac:dyDescent="0.25">
      <c r="B23" s="134">
        <v>1</v>
      </c>
      <c r="C23" s="286" t="s">
        <v>114</v>
      </c>
      <c r="D23" s="133"/>
      <c r="E23" s="133"/>
      <c r="F23" s="133"/>
      <c r="G23" s="133"/>
      <c r="H23" s="133"/>
      <c r="I23" s="133"/>
      <c r="J23" s="133"/>
      <c r="K23" s="133"/>
      <c r="L23" s="133"/>
      <c r="M23" s="133"/>
      <c r="N23" s="133"/>
      <c r="O23" s="133"/>
      <c r="Y23" s="124"/>
    </row>
    <row r="24" spans="2:27" x14ac:dyDescent="0.25">
      <c r="B24" s="134">
        <v>2</v>
      </c>
      <c r="C24" s="133" t="s">
        <v>103</v>
      </c>
      <c r="D24" s="133"/>
      <c r="E24" s="133"/>
      <c r="F24" s="133"/>
      <c r="G24" s="133"/>
      <c r="H24" s="133"/>
      <c r="I24" s="133"/>
      <c r="J24" s="133"/>
      <c r="K24" s="133"/>
      <c r="L24" s="133"/>
      <c r="M24" s="133"/>
      <c r="N24" s="133"/>
      <c r="O24" s="133"/>
      <c r="Y24" s="125"/>
    </row>
    <row r="25" spans="2:27" x14ac:dyDescent="0.25">
      <c r="B25" s="134">
        <v>3</v>
      </c>
      <c r="C25" s="133" t="s">
        <v>44</v>
      </c>
      <c r="D25" s="133"/>
      <c r="E25" s="133"/>
      <c r="F25" s="133"/>
      <c r="G25" s="133"/>
      <c r="H25" s="133"/>
      <c r="I25" s="133"/>
      <c r="J25" s="133"/>
      <c r="K25" s="133"/>
      <c r="L25" s="133"/>
      <c r="M25" s="133"/>
      <c r="N25" s="133"/>
      <c r="O25" s="133"/>
      <c r="Y25" s="135"/>
    </row>
    <row r="26" spans="2:27" x14ac:dyDescent="0.25">
      <c r="B26" s="134">
        <v>4</v>
      </c>
      <c r="C26" s="133" t="s">
        <v>119</v>
      </c>
      <c r="D26" s="133"/>
      <c r="E26" s="133"/>
      <c r="F26" s="133"/>
      <c r="G26" s="133"/>
      <c r="H26" s="133"/>
      <c r="I26" s="133"/>
      <c r="J26" s="133"/>
      <c r="K26" s="133"/>
      <c r="L26" s="133"/>
      <c r="M26" s="133"/>
      <c r="N26" s="133"/>
      <c r="O26" s="133"/>
      <c r="Y26" s="135"/>
    </row>
    <row r="27" spans="2:27" x14ac:dyDescent="0.25">
      <c r="B27" s="134">
        <v>5</v>
      </c>
      <c r="C27" s="133" t="s">
        <v>78</v>
      </c>
      <c r="D27" s="133"/>
      <c r="E27" s="133"/>
      <c r="F27" s="133"/>
      <c r="G27" s="133"/>
      <c r="H27" s="133"/>
      <c r="I27" s="133"/>
      <c r="J27" s="133"/>
      <c r="K27" s="133"/>
      <c r="L27" s="133"/>
      <c r="M27" s="133"/>
      <c r="N27" s="133"/>
      <c r="O27" s="133"/>
      <c r="Y27" s="124"/>
    </row>
    <row r="28" spans="2:27" x14ac:dyDescent="0.25">
      <c r="B28" s="134">
        <v>6</v>
      </c>
      <c r="C28" s="133" t="s">
        <v>79</v>
      </c>
      <c r="D28" s="133"/>
      <c r="E28" s="133"/>
      <c r="F28" s="133"/>
      <c r="G28" s="133"/>
      <c r="H28" s="133"/>
      <c r="I28" s="133"/>
      <c r="J28" s="133"/>
      <c r="K28" s="133"/>
      <c r="L28" s="133"/>
      <c r="M28" s="133"/>
      <c r="N28" s="133"/>
      <c r="O28" s="133"/>
      <c r="Y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workbookViewId="0">
      <selection activeCell="C26" sqref="C26"/>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0" t="s">
        <v>83</v>
      </c>
      <c r="D2" s="210"/>
      <c r="E2" s="210"/>
      <c r="F2" s="210"/>
      <c r="G2" s="210"/>
      <c r="H2" s="210"/>
      <c r="I2" s="210"/>
      <c r="J2" s="210"/>
      <c r="K2" s="210"/>
      <c r="L2" s="210"/>
    </row>
    <row r="3" spans="2:31" ht="15.6" x14ac:dyDescent="0.3">
      <c r="C3" s="42" t="s">
        <v>84</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9">
        <f>+'Capacity Delivered'!$G$5</f>
        <v>1</v>
      </c>
      <c r="G5" s="150" t="s">
        <v>8</v>
      </c>
      <c r="H5" s="151">
        <f>'Electric EES CE Std Energy'!D23</f>
        <v>2.356871902062823E-2</v>
      </c>
      <c r="I5" s="152">
        <f>'Baseload Avoided Capacity Calcs'!Y21</f>
        <v>1.2553350397165779E-2</v>
      </c>
      <c r="J5" s="152">
        <f>H5+I5</f>
        <v>3.6122069417794007E-2</v>
      </c>
      <c r="K5" s="153">
        <f>J5</f>
        <v>3.6122069417794007E-2</v>
      </c>
      <c r="L5" s="154">
        <f>K5*1000</f>
        <v>36.122069417794009</v>
      </c>
      <c r="M5" s="138"/>
    </row>
    <row r="6" spans="2:31" ht="15.6" x14ac:dyDescent="0.3">
      <c r="C6" s="146"/>
      <c r="D6" s="146"/>
      <c r="E6" s="113"/>
      <c r="F6" s="113"/>
      <c r="G6" s="113"/>
      <c r="H6" s="32">
        <f>H5*1000</f>
        <v>23.56871902062823</v>
      </c>
      <c r="I6" s="32">
        <f t="shared" ref="I6:K6" si="0">I5*1000</f>
        <v>12.553350397165779</v>
      </c>
      <c r="J6" s="32">
        <f t="shared" si="0"/>
        <v>36.122069417794009</v>
      </c>
      <c r="K6" s="32">
        <f t="shared" si="0"/>
        <v>36.122069417794009</v>
      </c>
      <c r="L6" s="115">
        <f>L5*(1-M6)</f>
        <v>35.038407335260189</v>
      </c>
      <c r="M6" s="235">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200" t="s">
        <v>73</v>
      </c>
      <c r="Y8" s="119"/>
      <c r="Z8" s="119"/>
      <c r="AA8" s="119"/>
      <c r="AB8" s="119"/>
      <c r="AC8" s="118"/>
      <c r="AD8" s="113"/>
    </row>
    <row r="9" spans="2:31" x14ac:dyDescent="0.25">
      <c r="C9" s="120" t="s">
        <v>9</v>
      </c>
      <c r="D9" s="120"/>
      <c r="E9" s="120"/>
      <c r="F9" s="121">
        <f>+L6</f>
        <v>35.038407335260189</v>
      </c>
      <c r="G9" s="121">
        <f t="shared" ref="G9:T9" si="1">F9</f>
        <v>35.038407335260189</v>
      </c>
      <c r="H9" s="121">
        <f t="shared" si="1"/>
        <v>35.038407335260189</v>
      </c>
      <c r="I9" s="121">
        <f t="shared" si="1"/>
        <v>35.038407335260189</v>
      </c>
      <c r="J9" s="121">
        <f t="shared" si="1"/>
        <v>35.038407335260189</v>
      </c>
      <c r="K9" s="121">
        <f t="shared" si="1"/>
        <v>35.038407335260189</v>
      </c>
      <c r="L9" s="121">
        <f t="shared" si="1"/>
        <v>35.038407335260189</v>
      </c>
      <c r="M9" s="121">
        <f t="shared" si="1"/>
        <v>35.038407335260189</v>
      </c>
      <c r="N9" s="121">
        <f t="shared" si="1"/>
        <v>35.038407335260189</v>
      </c>
      <c r="O9" s="121">
        <f t="shared" si="1"/>
        <v>35.038407335260189</v>
      </c>
      <c r="P9" s="121">
        <f t="shared" si="1"/>
        <v>35.038407335260189</v>
      </c>
      <c r="Q9" s="121">
        <f t="shared" si="1"/>
        <v>35.038407335260189</v>
      </c>
      <c r="R9" s="121">
        <f t="shared" si="1"/>
        <v>35.038407335260189</v>
      </c>
      <c r="S9" s="121">
        <f t="shared" si="1"/>
        <v>35.038407335260189</v>
      </c>
      <c r="T9" s="121">
        <f t="shared" si="1"/>
        <v>35.038407335260189</v>
      </c>
      <c r="U9" s="40"/>
      <c r="V9" s="40"/>
      <c r="W9" s="40"/>
      <c r="X9" s="199">
        <f>NPV(Rate_of_Return,F9:T9)</f>
        <v>311.41220601284664</v>
      </c>
      <c r="Y9" s="199">
        <f>-PMT(Rate_of_Return,15,X9)</f>
        <v>35.038407335260175</v>
      </c>
      <c r="Z9" s="40"/>
      <c r="AA9" s="40"/>
      <c r="AB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5">
      <c r="C11" s="53" t="s">
        <v>55</v>
      </c>
      <c r="F11" s="205">
        <v>1</v>
      </c>
      <c r="G11" s="205">
        <v>2</v>
      </c>
      <c r="H11" s="205">
        <v>3</v>
      </c>
      <c r="I11" s="205">
        <v>4</v>
      </c>
      <c r="J11" s="205">
        <v>5</v>
      </c>
      <c r="K11" s="205">
        <v>6</v>
      </c>
      <c r="L11" s="205">
        <v>7</v>
      </c>
      <c r="M11" s="205">
        <v>8</v>
      </c>
      <c r="N11" s="205">
        <v>9</v>
      </c>
      <c r="O11" s="205">
        <v>10</v>
      </c>
      <c r="P11" s="205">
        <v>11</v>
      </c>
      <c r="Q11" s="205">
        <v>12</v>
      </c>
      <c r="R11" s="205">
        <v>13</v>
      </c>
      <c r="S11" s="205">
        <v>14</v>
      </c>
      <c r="T11" s="205">
        <v>15</v>
      </c>
      <c r="U11" s="205">
        <v>16</v>
      </c>
      <c r="V11" s="205">
        <v>17</v>
      </c>
      <c r="W11" s="40"/>
      <c r="X11" s="40"/>
      <c r="Y11" s="40"/>
      <c r="Z11" s="40"/>
      <c r="AA11" s="40"/>
      <c r="AB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3"/>
      <c r="X12" s="200" t="s">
        <v>73</v>
      </c>
      <c r="Y12" s="32"/>
      <c r="Z12" s="119"/>
      <c r="AA12" s="119"/>
      <c r="AB12" s="119"/>
    </row>
    <row r="13" spans="2:31" ht="52.5" customHeight="1" x14ac:dyDescent="0.25">
      <c r="B13" s="113"/>
      <c r="C13" s="206" t="s">
        <v>90</v>
      </c>
      <c r="D13" s="113"/>
      <c r="F13" s="155">
        <f>F$9*F$20</f>
        <v>30.277495036610134</v>
      </c>
      <c r="G13" s="156">
        <f t="shared" ref="G13:T13" si="3">G$9*G$20</f>
        <v>31.034432412525383</v>
      </c>
      <c r="H13" s="157">
        <f t="shared" si="3"/>
        <v>31.810293222838514</v>
      </c>
      <c r="I13" s="157">
        <f t="shared" si="3"/>
        <v>32.605550553409472</v>
      </c>
      <c r="J13" s="157">
        <f t="shared" si="3"/>
        <v>33.420689317244708</v>
      </c>
      <c r="K13" s="157">
        <f t="shared" si="3"/>
        <v>34.256206550175825</v>
      </c>
      <c r="L13" s="157">
        <f t="shared" si="3"/>
        <v>35.112611713930214</v>
      </c>
      <c r="M13" s="157">
        <f t="shared" si="3"/>
        <v>35.990427006778468</v>
      </c>
      <c r="N13" s="157">
        <f t="shared" si="3"/>
        <v>36.890187681947928</v>
      </c>
      <c r="O13" s="157">
        <f t="shared" si="3"/>
        <v>37.812442373996625</v>
      </c>
      <c r="P13" s="157">
        <f t="shared" si="3"/>
        <v>38.757753433346537</v>
      </c>
      <c r="Q13" s="157">
        <f t="shared" si="3"/>
        <v>39.726697269180185</v>
      </c>
      <c r="R13" s="157">
        <f t="shared" si="3"/>
        <v>40.719864700909689</v>
      </c>
      <c r="S13" s="157">
        <f t="shared" si="3"/>
        <v>41.737861318432422</v>
      </c>
      <c r="T13" s="157">
        <f t="shared" si="3"/>
        <v>42.78130785139323</v>
      </c>
      <c r="U13" s="202">
        <f>T13*1.025</f>
        <v>43.850840547678054</v>
      </c>
      <c r="V13" s="202">
        <f>U13*1.025</f>
        <v>44.947111561370001</v>
      </c>
      <c r="W13" s="125"/>
      <c r="X13" s="199">
        <f>NPV(Rate_of_Return,F13:T13)</f>
        <v>311.41220601284681</v>
      </c>
      <c r="Y13" s="199">
        <f>-PMT(Rate_of_Return,15,X13)</f>
        <v>35.038407335260189</v>
      </c>
      <c r="Z13" s="125"/>
      <c r="AA13" s="125"/>
      <c r="AB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8"/>
      <c r="AD14" s="113"/>
    </row>
    <row r="15" spans="2:31" x14ac:dyDescent="0.25">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5">
      <c r="C16" s="53" t="s">
        <v>10</v>
      </c>
      <c r="Q16" s="119"/>
      <c r="R16" s="119"/>
    </row>
    <row r="17" spans="2:28" x14ac:dyDescent="0.25">
      <c r="Q17" s="119"/>
      <c r="R17" s="119"/>
    </row>
    <row r="18" spans="2:28" ht="15.6" x14ac:dyDescent="0.3">
      <c r="C18" s="113"/>
      <c r="D18" s="113"/>
      <c r="E18" s="113"/>
      <c r="F18" s="113"/>
      <c r="G18" s="113"/>
      <c r="H18" s="113"/>
      <c r="I18" s="113"/>
      <c r="J18" s="113"/>
      <c r="K18" s="113"/>
      <c r="L18" s="113"/>
      <c r="M18" s="113"/>
      <c r="N18" s="113"/>
      <c r="O18" s="113"/>
      <c r="P18" s="113"/>
      <c r="Q18" s="118"/>
      <c r="R18" s="118"/>
      <c r="S18" s="113"/>
      <c r="T18" s="113"/>
      <c r="X18" s="200" t="s">
        <v>73</v>
      </c>
      <c r="Y18" s="113"/>
    </row>
    <row r="19" spans="2:28"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5">
      <c r="C21" s="113"/>
      <c r="D21" s="113"/>
      <c r="E21" s="140"/>
      <c r="F21" s="140"/>
      <c r="G21" s="140"/>
      <c r="H21" s="140"/>
      <c r="I21" s="140"/>
      <c r="J21" s="140"/>
      <c r="K21" s="140"/>
      <c r="L21" s="140"/>
      <c r="M21" s="141"/>
      <c r="N21" s="141"/>
      <c r="O21" s="141"/>
      <c r="P21" s="141"/>
      <c r="Q21" s="141"/>
      <c r="R21" s="141"/>
      <c r="S21" s="141"/>
      <c r="T21" s="141"/>
      <c r="X21" s="113"/>
      <c r="Y21" s="113"/>
    </row>
    <row r="22" spans="2:28" x14ac:dyDescent="0.25">
      <c r="B22" s="131" t="s">
        <v>13</v>
      </c>
      <c r="C22" s="132"/>
      <c r="D22" s="133"/>
      <c r="E22" s="133"/>
      <c r="F22" s="133"/>
      <c r="G22" s="133"/>
      <c r="H22" s="133"/>
      <c r="I22" s="133"/>
      <c r="J22" s="133"/>
      <c r="K22" s="133"/>
      <c r="L22" s="133"/>
      <c r="M22" s="133"/>
      <c r="N22" s="133"/>
      <c r="O22" s="133"/>
      <c r="Z22" s="128"/>
    </row>
    <row r="23" spans="2:28" x14ac:dyDescent="0.25">
      <c r="B23" s="134">
        <v>1</v>
      </c>
      <c r="C23" s="286" t="s">
        <v>114</v>
      </c>
      <c r="D23" s="133"/>
      <c r="E23" s="133"/>
      <c r="F23" s="133"/>
      <c r="G23" s="133"/>
      <c r="H23" s="133"/>
      <c r="I23" s="133"/>
      <c r="J23" s="133"/>
      <c r="K23" s="133"/>
      <c r="L23" s="133"/>
      <c r="M23" s="133"/>
      <c r="N23" s="133"/>
      <c r="O23" s="133"/>
      <c r="Z23" s="124"/>
    </row>
    <row r="24" spans="2:28" x14ac:dyDescent="0.25">
      <c r="B24" s="134">
        <v>2</v>
      </c>
      <c r="C24" s="133" t="s">
        <v>103</v>
      </c>
      <c r="D24" s="133"/>
      <c r="E24" s="133"/>
      <c r="F24" s="133"/>
      <c r="G24" s="133"/>
      <c r="H24" s="133"/>
      <c r="I24" s="133"/>
      <c r="J24" s="133"/>
      <c r="K24" s="133"/>
      <c r="L24" s="133"/>
      <c r="M24" s="133"/>
      <c r="N24" s="133"/>
      <c r="O24" s="133"/>
      <c r="Z24" s="125"/>
    </row>
    <row r="25" spans="2:28" x14ac:dyDescent="0.25">
      <c r="B25" s="134">
        <v>3</v>
      </c>
      <c r="C25" s="133" t="s">
        <v>44</v>
      </c>
      <c r="D25" s="133"/>
      <c r="E25" s="133"/>
      <c r="F25" s="133"/>
      <c r="G25" s="133"/>
      <c r="H25" s="133"/>
      <c r="I25" s="133"/>
      <c r="J25" s="133"/>
      <c r="K25" s="133"/>
      <c r="L25" s="133"/>
      <c r="M25" s="133"/>
      <c r="N25" s="133"/>
      <c r="O25" s="133"/>
      <c r="Z25" s="135"/>
    </row>
    <row r="26" spans="2:28" x14ac:dyDescent="0.25">
      <c r="B26" s="134">
        <v>4</v>
      </c>
      <c r="C26" s="133" t="s">
        <v>119</v>
      </c>
      <c r="D26" s="133"/>
      <c r="E26" s="133"/>
      <c r="F26" s="133"/>
      <c r="G26" s="133"/>
      <c r="H26" s="133"/>
      <c r="I26" s="133"/>
      <c r="J26" s="133"/>
      <c r="K26" s="133"/>
      <c r="L26" s="133"/>
      <c r="M26" s="133"/>
      <c r="N26" s="133"/>
      <c r="O26" s="133"/>
      <c r="Z26" s="135"/>
    </row>
    <row r="27" spans="2:28" x14ac:dyDescent="0.25">
      <c r="B27" s="134">
        <v>5</v>
      </c>
      <c r="C27" s="133" t="s">
        <v>78</v>
      </c>
      <c r="D27" s="133"/>
      <c r="E27" s="133"/>
      <c r="F27" s="133"/>
      <c r="G27" s="133"/>
      <c r="H27" s="133"/>
      <c r="I27" s="133"/>
      <c r="J27" s="133"/>
      <c r="K27" s="133"/>
      <c r="L27" s="133"/>
      <c r="M27" s="133"/>
      <c r="N27" s="133"/>
      <c r="O27" s="133"/>
      <c r="Z27" s="124"/>
    </row>
    <row r="28" spans="2:28" x14ac:dyDescent="0.25">
      <c r="B28" s="134">
        <v>6</v>
      </c>
      <c r="C28" s="133" t="s">
        <v>79</v>
      </c>
      <c r="D28" s="133"/>
      <c r="E28" s="133"/>
      <c r="F28" s="133"/>
      <c r="G28" s="133"/>
      <c r="H28" s="133"/>
      <c r="I28" s="133"/>
      <c r="J28" s="133"/>
      <c r="K28" s="133"/>
      <c r="L28" s="133"/>
      <c r="M28" s="133"/>
      <c r="N28" s="133"/>
      <c r="O28" s="133"/>
      <c r="Z28" s="125"/>
    </row>
    <row r="29" spans="2:28" x14ac:dyDescent="0.25">
      <c r="B29" s="134">
        <v>7</v>
      </c>
      <c r="C29" s="133" t="s">
        <v>80</v>
      </c>
      <c r="D29" s="133"/>
      <c r="E29" s="133"/>
      <c r="F29" s="133"/>
      <c r="G29" s="133"/>
      <c r="H29" s="133"/>
      <c r="I29" s="133"/>
      <c r="J29" s="133"/>
      <c r="K29" s="133"/>
      <c r="L29" s="133"/>
      <c r="M29" s="133"/>
      <c r="N29" s="133"/>
      <c r="O29" s="133"/>
      <c r="P29" s="133"/>
      <c r="Q29" s="133"/>
    </row>
    <row r="30" spans="2:28" x14ac:dyDescent="0.25">
      <c r="B30" s="134">
        <v>8</v>
      </c>
      <c r="C30" s="133" t="s">
        <v>50</v>
      </c>
      <c r="D30" s="133"/>
      <c r="E30" s="133"/>
      <c r="F30" s="133"/>
      <c r="G30" s="133"/>
      <c r="H30" s="133"/>
      <c r="I30" s="133"/>
      <c r="J30" s="133"/>
      <c r="K30" s="133"/>
      <c r="L30" s="133"/>
      <c r="M30" s="133"/>
      <c r="N30" s="133"/>
      <c r="O30" s="133"/>
      <c r="P30" s="133"/>
      <c r="Q30" s="133"/>
    </row>
    <row r="31" spans="2:28" x14ac:dyDescent="0.25">
      <c r="B31" s="134">
        <v>9</v>
      </c>
      <c r="C31" s="133" t="s">
        <v>81</v>
      </c>
      <c r="D31" s="133"/>
      <c r="E31" s="133"/>
      <c r="F31" s="133"/>
      <c r="G31" s="133"/>
      <c r="H31" s="133"/>
      <c r="I31" s="133"/>
      <c r="J31" s="133"/>
      <c r="K31" s="133"/>
      <c r="L31" s="133"/>
      <c r="M31" s="133"/>
      <c r="N31" s="133"/>
      <c r="O31" s="133"/>
      <c r="P31" s="133"/>
      <c r="Q31" s="133"/>
    </row>
    <row r="32" spans="2:28"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6" sqref="C26"/>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0" t="s">
        <v>83</v>
      </c>
      <c r="D2" s="210"/>
      <c r="E2" s="210"/>
      <c r="F2" s="210"/>
      <c r="G2" s="210"/>
      <c r="H2" s="210"/>
      <c r="I2" s="210"/>
      <c r="J2" s="210"/>
      <c r="K2" s="210"/>
      <c r="L2" s="210"/>
    </row>
    <row r="3" spans="2:30" ht="15.6" x14ac:dyDescent="0.3">
      <c r="C3" s="42" t="s">
        <v>42</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9">
        <f>+'Capacity Delivered'!$H$5</f>
        <v>0.17799999999999999</v>
      </c>
      <c r="G5" s="150" t="s">
        <v>8</v>
      </c>
      <c r="H5" s="151">
        <f>'Electric EES CE Std Energy'!D18</f>
        <v>2.255503119083823E-2</v>
      </c>
      <c r="I5" s="152">
        <f>'Wind Avoided Capacity Calcs'!Y16</f>
        <v>6.9041272874159195E-3</v>
      </c>
      <c r="J5" s="152">
        <f>H5+I5</f>
        <v>2.9459158478254151E-2</v>
      </c>
      <c r="K5" s="153">
        <f>J5</f>
        <v>2.9459158478254151E-2</v>
      </c>
      <c r="L5" s="154">
        <f>K5*1000</f>
        <v>29.45915847825415</v>
      </c>
      <c r="M5" s="138"/>
    </row>
    <row r="6" spans="2:30" ht="15.6" x14ac:dyDescent="0.3">
      <c r="C6" s="146"/>
      <c r="D6" s="146"/>
      <c r="E6" s="113"/>
      <c r="F6" s="113"/>
      <c r="G6" s="113"/>
      <c r="H6" s="32">
        <f>H5*1000</f>
        <v>22.555031190838232</v>
      </c>
      <c r="I6" s="32">
        <f t="shared" ref="I6:K6" si="0">I5*1000</f>
        <v>6.9041272874159194</v>
      </c>
      <c r="J6" s="32">
        <f t="shared" si="0"/>
        <v>29.45915847825415</v>
      </c>
      <c r="K6" s="32">
        <f t="shared" si="0"/>
        <v>29.45915847825415</v>
      </c>
      <c r="L6" s="115">
        <f>L5*(1-M6)</f>
        <v>28.575383723906523</v>
      </c>
      <c r="M6" s="235">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R8" s="118"/>
      <c r="U8" s="119"/>
      <c r="V8" s="119"/>
      <c r="X8" s="200" t="s">
        <v>73</v>
      </c>
      <c r="Y8" s="119"/>
      <c r="Z8" s="119"/>
      <c r="AA8" s="119"/>
      <c r="AB8" s="119"/>
    </row>
    <row r="9" spans="2:30" x14ac:dyDescent="0.25">
      <c r="C9" s="120" t="s">
        <v>9</v>
      </c>
      <c r="D9" s="120"/>
      <c r="E9" s="120"/>
      <c r="F9" s="121">
        <f>+L6</f>
        <v>28.575383723906523</v>
      </c>
      <c r="G9" s="121">
        <f t="shared" ref="G9:O9" si="1">F9</f>
        <v>28.575383723906523</v>
      </c>
      <c r="H9" s="121">
        <f t="shared" si="1"/>
        <v>28.575383723906523</v>
      </c>
      <c r="I9" s="121">
        <f t="shared" si="1"/>
        <v>28.575383723906523</v>
      </c>
      <c r="J9" s="121">
        <f t="shared" si="1"/>
        <v>28.575383723906523</v>
      </c>
      <c r="K9" s="121">
        <f t="shared" si="1"/>
        <v>28.575383723906523</v>
      </c>
      <c r="L9" s="121">
        <f t="shared" si="1"/>
        <v>28.575383723906523</v>
      </c>
      <c r="M9" s="121">
        <f t="shared" si="1"/>
        <v>28.575383723906523</v>
      </c>
      <c r="N9" s="121">
        <f t="shared" si="1"/>
        <v>28.575383723906523</v>
      </c>
      <c r="O9" s="121">
        <f t="shared" si="1"/>
        <v>28.575383723906523</v>
      </c>
      <c r="P9" s="118"/>
      <c r="Q9" s="118"/>
      <c r="R9" s="118"/>
      <c r="U9" s="119"/>
      <c r="V9" s="40"/>
      <c r="X9" s="199">
        <f>NPV(Rate_of_Return,F9:O9)</f>
        <v>197.13273311374891</v>
      </c>
      <c r="Y9" s="199">
        <f>-PMT(Rate_of_Return,$E$5,X9)</f>
        <v>28.575383723906512</v>
      </c>
      <c r="Z9" s="40"/>
      <c r="AA9" s="40"/>
    </row>
    <row r="10" spans="2:30" x14ac:dyDescent="0.25">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5">
      <c r="C11" s="53" t="s">
        <v>55</v>
      </c>
      <c r="F11" s="205">
        <v>1</v>
      </c>
      <c r="G11" s="205">
        <v>2</v>
      </c>
      <c r="H11" s="205">
        <v>3</v>
      </c>
      <c r="I11" s="205">
        <v>4</v>
      </c>
      <c r="J11" s="205">
        <v>5</v>
      </c>
      <c r="K11" s="205">
        <v>6</v>
      </c>
      <c r="L11" s="205">
        <v>7</v>
      </c>
      <c r="M11" s="205">
        <v>8</v>
      </c>
      <c r="N11" s="205">
        <v>9</v>
      </c>
      <c r="O11" s="205">
        <v>10</v>
      </c>
      <c r="P11" s="205">
        <v>11</v>
      </c>
      <c r="Q11" s="205">
        <v>12</v>
      </c>
      <c r="R11" s="118"/>
      <c r="U11" s="119"/>
      <c r="V11" s="40"/>
      <c r="X11" s="40"/>
      <c r="Y11" s="40"/>
      <c r="Z11" s="40"/>
      <c r="AA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R12" s="118"/>
      <c r="U12" s="119"/>
      <c r="V12" s="203"/>
      <c r="X12" s="200" t="s">
        <v>73</v>
      </c>
      <c r="Y12" s="32"/>
      <c r="Z12" s="119"/>
      <c r="AA12" s="119"/>
    </row>
    <row r="13" spans="2:30" ht="52.95" customHeight="1" x14ac:dyDescent="0.25">
      <c r="B13" s="113"/>
      <c r="C13" s="207" t="s">
        <v>76</v>
      </c>
      <c r="D13" s="113"/>
      <c r="F13" s="155">
        <f>F$9*F$20</f>
        <v>25.877277584169963</v>
      </c>
      <c r="G13" s="156">
        <f t="shared" ref="G13:O13" si="3">G$9*G$20</f>
        <v>26.524209523774207</v>
      </c>
      <c r="H13" s="157">
        <f t="shared" si="3"/>
        <v>27.18731476186856</v>
      </c>
      <c r="I13" s="157">
        <f t="shared" si="3"/>
        <v>27.866997630915272</v>
      </c>
      <c r="J13" s="157">
        <f t="shared" si="3"/>
        <v>28.563672571688151</v>
      </c>
      <c r="K13" s="157">
        <f t="shared" si="3"/>
        <v>29.277764385980355</v>
      </c>
      <c r="L13" s="157">
        <f t="shared" si="3"/>
        <v>30.009708495629862</v>
      </c>
      <c r="M13" s="157">
        <f t="shared" si="3"/>
        <v>30.759951208020599</v>
      </c>
      <c r="N13" s="157">
        <f t="shared" si="3"/>
        <v>31.528949988221115</v>
      </c>
      <c r="O13" s="157">
        <f t="shared" si="3"/>
        <v>32.317173737926638</v>
      </c>
      <c r="P13" s="202">
        <f>O13*1.025</f>
        <v>33.125103081374803</v>
      </c>
      <c r="Q13" s="202">
        <f>P13*1.025</f>
        <v>33.953230658409169</v>
      </c>
      <c r="R13" s="118"/>
      <c r="U13" s="119"/>
      <c r="V13" s="125"/>
      <c r="X13" s="199">
        <f>NPV(Rate_of_Return,F13:O13)</f>
        <v>197.132733113749</v>
      </c>
      <c r="Y13" s="199">
        <f>-PMT(Rate_of_Return,$E$5,X13)</f>
        <v>28.575383723906523</v>
      </c>
      <c r="Z13" s="125"/>
      <c r="AA13" s="125"/>
      <c r="AD13" s="126"/>
    </row>
    <row r="14" spans="2:30" x14ac:dyDescent="0.25">
      <c r="C14" s="124"/>
      <c r="E14" s="127"/>
      <c r="F14" s="125"/>
      <c r="G14" s="125"/>
      <c r="H14" s="125"/>
      <c r="I14" s="125"/>
      <c r="J14" s="125"/>
      <c r="K14" s="125"/>
      <c r="L14" s="125"/>
      <c r="M14" s="125"/>
      <c r="N14" s="125"/>
      <c r="O14" s="125"/>
      <c r="P14" s="118"/>
      <c r="Q14" s="118"/>
      <c r="R14" s="118"/>
      <c r="U14" s="119"/>
      <c r="V14" s="125"/>
      <c r="X14" s="119"/>
      <c r="Y14" s="119"/>
      <c r="Z14" s="119"/>
      <c r="AA14" s="119"/>
      <c r="AB14" s="119"/>
    </row>
    <row r="15" spans="2:30" x14ac:dyDescent="0.25">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5">
      <c r="C16" s="53" t="s">
        <v>10</v>
      </c>
      <c r="P16" s="118"/>
      <c r="Q16" s="118"/>
      <c r="R16" s="118"/>
      <c r="U16" s="119"/>
    </row>
    <row r="17" spans="2:27" x14ac:dyDescent="0.25">
      <c r="P17" s="118"/>
      <c r="Q17" s="118"/>
      <c r="R17" s="118"/>
      <c r="U17" s="119"/>
    </row>
    <row r="18" spans="2:27" ht="15.6" x14ac:dyDescent="0.3">
      <c r="C18" s="113"/>
      <c r="D18" s="113"/>
      <c r="E18" s="113"/>
      <c r="F18" s="113"/>
      <c r="G18" s="113"/>
      <c r="H18" s="113"/>
      <c r="I18" s="113"/>
      <c r="J18" s="113"/>
      <c r="K18" s="113"/>
      <c r="L18" s="113"/>
      <c r="M18" s="113"/>
      <c r="N18" s="113"/>
      <c r="O18" s="113"/>
      <c r="P18" s="118"/>
      <c r="Q18" s="118"/>
      <c r="R18" s="118"/>
      <c r="U18" s="119"/>
      <c r="X18" s="200" t="s">
        <v>73</v>
      </c>
      <c r="Y18" s="113"/>
    </row>
    <row r="19" spans="2:27" x14ac:dyDescent="0.25">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18"/>
      <c r="Q19" s="118"/>
      <c r="R19" s="118"/>
      <c r="U19" s="119"/>
      <c r="V19" s="129"/>
      <c r="X19" s="199">
        <f>NPV(Rate_of_Return,F19:O19)</f>
        <v>761.7985797483658</v>
      </c>
      <c r="Y19" s="199">
        <f>-PMT(Rate_of_Return,$E$5,X19)</f>
        <v>110.42654557057071</v>
      </c>
      <c r="Z19" s="119"/>
      <c r="AA19" s="119"/>
    </row>
    <row r="20" spans="2:27" x14ac:dyDescent="0.25">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R20" s="118"/>
      <c r="U20" s="119"/>
      <c r="V20" s="130"/>
      <c r="X20" s="199">
        <f>NPV(Rate_of_Return,F20:O20)</f>
        <v>6.8986906709086568</v>
      </c>
      <c r="Y20" s="199">
        <f>-PMT(Rate_of_Return,$E$5,X20)</f>
        <v>1.0000000000000002</v>
      </c>
      <c r="Z20" s="119"/>
      <c r="AA20" s="119"/>
    </row>
    <row r="21" spans="2:27" x14ac:dyDescent="0.25">
      <c r="C21" s="113"/>
      <c r="D21" s="113"/>
      <c r="E21" s="140"/>
      <c r="F21" s="140"/>
      <c r="G21" s="140"/>
      <c r="H21" s="140"/>
      <c r="I21" s="140"/>
      <c r="J21" s="140"/>
      <c r="K21" s="140"/>
      <c r="L21" s="140"/>
      <c r="M21" s="141"/>
      <c r="N21" s="141"/>
      <c r="O21" s="141"/>
      <c r="P21" s="141"/>
      <c r="Q21" s="141"/>
      <c r="R21" s="141"/>
      <c r="S21" s="141"/>
      <c r="T21" s="141"/>
      <c r="W21" s="113"/>
      <c r="X21" s="113"/>
    </row>
    <row r="22" spans="2:27" x14ac:dyDescent="0.25">
      <c r="B22" s="131" t="s">
        <v>13</v>
      </c>
      <c r="C22" s="132"/>
      <c r="D22" s="133"/>
      <c r="E22" s="133"/>
      <c r="F22" s="133"/>
      <c r="G22" s="133"/>
      <c r="H22" s="133"/>
      <c r="I22" s="133"/>
      <c r="J22" s="133"/>
      <c r="K22" s="133"/>
      <c r="L22" s="133"/>
      <c r="M22" s="133"/>
      <c r="N22" s="133"/>
      <c r="O22" s="133"/>
      <c r="Y22" s="128"/>
    </row>
    <row r="23" spans="2:27" x14ac:dyDescent="0.25">
      <c r="B23" s="134">
        <v>1</v>
      </c>
      <c r="C23" s="286" t="s">
        <v>114</v>
      </c>
      <c r="D23" s="133"/>
      <c r="E23" s="133"/>
      <c r="F23" s="133"/>
      <c r="G23" s="133"/>
      <c r="H23" s="133"/>
      <c r="I23" s="133"/>
      <c r="J23" s="133"/>
      <c r="K23" s="133"/>
      <c r="L23" s="133"/>
      <c r="M23" s="133"/>
      <c r="N23" s="133"/>
      <c r="O23" s="133"/>
      <c r="Y23" s="124"/>
    </row>
    <row r="24" spans="2:27" x14ac:dyDescent="0.25">
      <c r="B24" s="134">
        <v>2</v>
      </c>
      <c r="C24" s="133" t="s">
        <v>103</v>
      </c>
      <c r="D24" s="133"/>
      <c r="E24" s="133"/>
      <c r="F24" s="133"/>
      <c r="G24" s="133"/>
      <c r="H24" s="133"/>
      <c r="I24" s="133"/>
      <c r="J24" s="133"/>
      <c r="K24" s="133"/>
      <c r="L24" s="133"/>
      <c r="M24" s="133"/>
      <c r="N24" s="133"/>
      <c r="O24" s="133"/>
      <c r="Y24" s="125"/>
    </row>
    <row r="25" spans="2:27" x14ac:dyDescent="0.25">
      <c r="B25" s="134">
        <v>3</v>
      </c>
      <c r="C25" s="133" t="s">
        <v>44</v>
      </c>
      <c r="D25" s="133"/>
      <c r="E25" s="133"/>
      <c r="F25" s="133"/>
      <c r="G25" s="133"/>
      <c r="H25" s="133"/>
      <c r="I25" s="133"/>
      <c r="J25" s="133"/>
      <c r="K25" s="133"/>
      <c r="L25" s="133"/>
      <c r="M25" s="133"/>
      <c r="N25" s="133"/>
      <c r="O25" s="133"/>
      <c r="Y25" s="135"/>
    </row>
    <row r="26" spans="2:27" x14ac:dyDescent="0.25">
      <c r="B26" s="134">
        <v>4</v>
      </c>
      <c r="C26" s="133" t="s">
        <v>119</v>
      </c>
      <c r="D26" s="133"/>
      <c r="E26" s="133"/>
      <c r="F26" s="133"/>
      <c r="G26" s="133"/>
      <c r="H26" s="133"/>
      <c r="I26" s="133"/>
      <c r="J26" s="133"/>
      <c r="K26" s="133"/>
      <c r="L26" s="133"/>
      <c r="M26" s="133"/>
      <c r="N26" s="133"/>
      <c r="O26" s="133"/>
      <c r="Y26" s="135"/>
    </row>
    <row r="27" spans="2:27" x14ac:dyDescent="0.25">
      <c r="B27" s="134">
        <v>5</v>
      </c>
      <c r="C27" s="133" t="s">
        <v>78</v>
      </c>
      <c r="D27" s="133"/>
      <c r="E27" s="133"/>
      <c r="F27" s="133"/>
      <c r="G27" s="133"/>
      <c r="H27" s="133"/>
      <c r="I27" s="133"/>
      <c r="J27" s="133"/>
      <c r="K27" s="133"/>
      <c r="L27" s="133"/>
      <c r="M27" s="133"/>
      <c r="N27" s="133"/>
      <c r="O27" s="133"/>
      <c r="Y27" s="124"/>
    </row>
    <row r="28" spans="2:27" x14ac:dyDescent="0.25">
      <c r="B28" s="134">
        <v>6</v>
      </c>
      <c r="C28" s="133" t="s">
        <v>79</v>
      </c>
      <c r="D28" s="133"/>
      <c r="E28" s="133"/>
      <c r="F28" s="133"/>
      <c r="G28" s="133"/>
      <c r="H28" s="133"/>
      <c r="I28" s="133"/>
      <c r="J28" s="133"/>
      <c r="K28" s="133"/>
      <c r="L28" s="133"/>
      <c r="M28" s="133"/>
      <c r="N28" s="133"/>
      <c r="O28" s="133"/>
      <c r="Y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204"/>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election activeCell="C26" sqref="C26"/>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0" t="s">
        <v>83</v>
      </c>
      <c r="D2" s="210"/>
      <c r="E2" s="210"/>
      <c r="F2" s="210"/>
      <c r="G2" s="210"/>
      <c r="H2" s="210"/>
      <c r="I2" s="210"/>
      <c r="J2" s="210"/>
      <c r="K2" s="210"/>
      <c r="L2" s="210"/>
    </row>
    <row r="3" spans="2:31" ht="15.6" x14ac:dyDescent="0.3">
      <c r="C3" s="42" t="s">
        <v>42</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9">
        <f>+'Capacity Delivered'!$H$5</f>
        <v>0.17799999999999999</v>
      </c>
      <c r="G5" s="150" t="s">
        <v>8</v>
      </c>
      <c r="H5" s="151">
        <f>'Electric EES CE Std Energy'!D23</f>
        <v>2.356871902062823E-2</v>
      </c>
      <c r="I5" s="152">
        <f>'Wind Avoided Capacity Calcs'!Y21</f>
        <v>6.9678822683410177E-3</v>
      </c>
      <c r="J5" s="152">
        <f>H5+I5</f>
        <v>3.0536601288969248E-2</v>
      </c>
      <c r="K5" s="153">
        <f>J5</f>
        <v>3.0536601288969248E-2</v>
      </c>
      <c r="L5" s="154">
        <f>K5*1000</f>
        <v>30.536601288969248</v>
      </c>
      <c r="M5" s="138"/>
    </row>
    <row r="6" spans="2:31" ht="15.6" x14ac:dyDescent="0.3">
      <c r="C6" s="146"/>
      <c r="D6" s="146"/>
      <c r="E6" s="113"/>
      <c r="F6" s="113"/>
      <c r="G6" s="113"/>
      <c r="H6" s="32">
        <f>H5*1000</f>
        <v>23.56871902062823</v>
      </c>
      <c r="I6" s="32">
        <f t="shared" ref="I6:K6" si="0">I5*1000</f>
        <v>6.9678822683410173</v>
      </c>
      <c r="J6" s="32">
        <f t="shared" si="0"/>
        <v>30.536601288969248</v>
      </c>
      <c r="K6" s="32">
        <f t="shared" si="0"/>
        <v>30.536601288969248</v>
      </c>
      <c r="L6" s="115">
        <f>L5*(1-M6)</f>
        <v>29.620503250300171</v>
      </c>
      <c r="M6" s="235">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200" t="s">
        <v>73</v>
      </c>
      <c r="Y8" s="119"/>
      <c r="Z8" s="119"/>
      <c r="AA8" s="119"/>
      <c r="AB8" s="119"/>
      <c r="AC8" s="119"/>
    </row>
    <row r="9" spans="2:31" x14ac:dyDescent="0.25">
      <c r="C9" s="120" t="s">
        <v>9</v>
      </c>
      <c r="D9" s="120"/>
      <c r="E9" s="120"/>
      <c r="F9" s="121">
        <f>+L6</f>
        <v>29.620503250300171</v>
      </c>
      <c r="G9" s="121">
        <f t="shared" ref="G9:T9" si="1">F9</f>
        <v>29.620503250300171</v>
      </c>
      <c r="H9" s="121">
        <f t="shared" si="1"/>
        <v>29.620503250300171</v>
      </c>
      <c r="I9" s="121">
        <f t="shared" si="1"/>
        <v>29.620503250300171</v>
      </c>
      <c r="J9" s="121">
        <f t="shared" si="1"/>
        <v>29.620503250300171</v>
      </c>
      <c r="K9" s="121">
        <f t="shared" si="1"/>
        <v>29.620503250300171</v>
      </c>
      <c r="L9" s="121">
        <f t="shared" si="1"/>
        <v>29.620503250300171</v>
      </c>
      <c r="M9" s="121">
        <f t="shared" si="1"/>
        <v>29.620503250300171</v>
      </c>
      <c r="N9" s="121">
        <f t="shared" si="1"/>
        <v>29.620503250300171</v>
      </c>
      <c r="O9" s="121">
        <f t="shared" si="1"/>
        <v>29.620503250300171</v>
      </c>
      <c r="P9" s="121">
        <f t="shared" si="1"/>
        <v>29.620503250300171</v>
      </c>
      <c r="Q9" s="121">
        <f t="shared" si="1"/>
        <v>29.620503250300171</v>
      </c>
      <c r="R9" s="121">
        <f t="shared" si="1"/>
        <v>29.620503250300171</v>
      </c>
      <c r="S9" s="121">
        <f t="shared" si="1"/>
        <v>29.620503250300171</v>
      </c>
      <c r="T9" s="121">
        <f t="shared" si="1"/>
        <v>29.620503250300171</v>
      </c>
      <c r="U9" s="40"/>
      <c r="V9" s="40"/>
      <c r="W9" s="40"/>
      <c r="X9" s="199">
        <f>NPV(Rate_of_Return,F9:T9)</f>
        <v>263.25929064430107</v>
      </c>
      <c r="Y9" s="199">
        <f>-PMT(Rate_of_Return,15,X9)</f>
        <v>29.620503250300164</v>
      </c>
      <c r="Z9" s="40"/>
      <c r="AA9" s="40"/>
      <c r="AB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5">
      <c r="C11" s="53" t="s">
        <v>55</v>
      </c>
      <c r="F11" s="205">
        <v>1</v>
      </c>
      <c r="G11" s="205">
        <v>2</v>
      </c>
      <c r="H11" s="205">
        <v>3</v>
      </c>
      <c r="I11" s="205">
        <v>4</v>
      </c>
      <c r="J11" s="205">
        <v>5</v>
      </c>
      <c r="K11" s="205">
        <v>6</v>
      </c>
      <c r="L11" s="205">
        <v>7</v>
      </c>
      <c r="M11" s="205">
        <v>8</v>
      </c>
      <c r="N11" s="205">
        <v>9</v>
      </c>
      <c r="O11" s="205">
        <v>10</v>
      </c>
      <c r="P11" s="205">
        <v>11</v>
      </c>
      <c r="Q11" s="205">
        <v>12</v>
      </c>
      <c r="R11" s="205">
        <v>13</v>
      </c>
      <c r="S11" s="205">
        <v>14</v>
      </c>
      <c r="T11" s="205">
        <v>15</v>
      </c>
      <c r="U11" s="205">
        <v>16</v>
      </c>
      <c r="V11" s="205">
        <v>17</v>
      </c>
      <c r="W11" s="40"/>
      <c r="X11" s="40"/>
      <c r="Y11" s="40"/>
      <c r="Z11" s="40"/>
      <c r="AA11" s="40"/>
      <c r="AB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3"/>
      <c r="X12" s="200" t="s">
        <v>73</v>
      </c>
      <c r="Y12" s="32"/>
      <c r="Z12" s="119"/>
      <c r="AA12" s="119"/>
      <c r="AB12" s="119"/>
    </row>
    <row r="13" spans="2:31" ht="52.95" customHeight="1" x14ac:dyDescent="0.25">
      <c r="B13" s="113"/>
      <c r="C13" s="207" t="s">
        <v>76</v>
      </c>
      <c r="D13" s="113"/>
      <c r="F13" s="155">
        <f t="shared" ref="F13:T13" si="3">F$9*F$20</f>
        <v>25.595759292413568</v>
      </c>
      <c r="G13" s="156">
        <f t="shared" si="3"/>
        <v>26.235653274723905</v>
      </c>
      <c r="H13" s="157">
        <f t="shared" si="3"/>
        <v>26.891544606591999</v>
      </c>
      <c r="I13" s="157">
        <f t="shared" si="3"/>
        <v>27.563833221756799</v>
      </c>
      <c r="J13" s="157">
        <f t="shared" si="3"/>
        <v>28.252929052300718</v>
      </c>
      <c r="K13" s="157">
        <f t="shared" si="3"/>
        <v>28.959252278608233</v>
      </c>
      <c r="L13" s="157">
        <f t="shared" si="3"/>
        <v>29.683233585573433</v>
      </c>
      <c r="M13" s="157">
        <f t="shared" si="3"/>
        <v>30.425314425212768</v>
      </c>
      <c r="N13" s="157">
        <f t="shared" si="3"/>
        <v>31.185947285843085</v>
      </c>
      <c r="O13" s="157">
        <f t="shared" si="3"/>
        <v>31.965595967989159</v>
      </c>
      <c r="P13" s="157">
        <f t="shared" si="3"/>
        <v>32.764735867188882</v>
      </c>
      <c r="Q13" s="157">
        <f t="shared" si="3"/>
        <v>33.583854263868595</v>
      </c>
      <c r="R13" s="157">
        <f t="shared" si="3"/>
        <v>34.42345062046531</v>
      </c>
      <c r="S13" s="157">
        <f t="shared" si="3"/>
        <v>35.284036885976938</v>
      </c>
      <c r="T13" s="157">
        <f t="shared" si="3"/>
        <v>36.166137808126358</v>
      </c>
      <c r="U13" s="202">
        <f>T13*1.025</f>
        <v>37.070291253329515</v>
      </c>
      <c r="V13" s="202">
        <f>U13*1.025</f>
        <v>37.997048534662753</v>
      </c>
      <c r="W13" s="125"/>
      <c r="X13" s="199">
        <f>NPV(Rate_of_Return,F13:T13)</f>
        <v>263.25929064430119</v>
      </c>
      <c r="Y13" s="199">
        <f>-PMT(Rate_of_Return,15,X13)</f>
        <v>29.620503250300178</v>
      </c>
      <c r="Z13" s="125"/>
      <c r="AA13" s="125"/>
      <c r="AB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9"/>
    </row>
    <row r="15" spans="2:31" x14ac:dyDescent="0.25">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5">
      <c r="C16" s="53" t="s">
        <v>10</v>
      </c>
      <c r="Q16" s="119"/>
      <c r="R16" s="119"/>
    </row>
    <row r="17" spans="2:28" x14ac:dyDescent="0.25">
      <c r="Q17" s="119"/>
      <c r="R17" s="119"/>
    </row>
    <row r="18" spans="2:28" ht="15.6" x14ac:dyDescent="0.3">
      <c r="C18" s="113"/>
      <c r="D18" s="113"/>
      <c r="E18" s="113"/>
      <c r="F18" s="113"/>
      <c r="G18" s="113"/>
      <c r="H18" s="113"/>
      <c r="I18" s="113"/>
      <c r="J18" s="113"/>
      <c r="K18" s="113"/>
      <c r="L18" s="113"/>
      <c r="M18" s="113"/>
      <c r="N18" s="113"/>
      <c r="O18" s="113"/>
      <c r="P18" s="113"/>
      <c r="Q18" s="118"/>
      <c r="R18" s="118"/>
      <c r="S18" s="113"/>
      <c r="T18" s="113"/>
      <c r="X18" s="200" t="s">
        <v>73</v>
      </c>
      <c r="Y18" s="113"/>
    </row>
    <row r="19" spans="2:28"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5">
      <c r="C21" s="113"/>
      <c r="D21" s="113"/>
      <c r="E21" s="140"/>
      <c r="F21" s="140"/>
      <c r="G21" s="140"/>
      <c r="H21" s="140"/>
      <c r="I21" s="140"/>
      <c r="J21" s="140"/>
      <c r="K21" s="140"/>
      <c r="L21" s="140"/>
      <c r="M21" s="141"/>
      <c r="N21" s="141"/>
      <c r="O21" s="141"/>
      <c r="P21" s="141"/>
      <c r="Q21" s="141"/>
      <c r="R21" s="141"/>
      <c r="S21" s="141"/>
      <c r="T21" s="141"/>
      <c r="X21" s="113"/>
      <c r="Y21" s="113"/>
    </row>
    <row r="22" spans="2:28" x14ac:dyDescent="0.25">
      <c r="B22" s="131" t="s">
        <v>13</v>
      </c>
      <c r="C22" s="132"/>
      <c r="D22" s="133"/>
      <c r="E22" s="133"/>
      <c r="F22" s="133"/>
      <c r="G22" s="133"/>
      <c r="H22" s="133"/>
      <c r="I22" s="133"/>
      <c r="J22" s="133"/>
      <c r="K22" s="133"/>
      <c r="L22" s="133"/>
      <c r="M22" s="133"/>
      <c r="N22" s="133"/>
      <c r="O22" s="133"/>
      <c r="Z22" s="128"/>
    </row>
    <row r="23" spans="2:28" x14ac:dyDescent="0.25">
      <c r="B23" s="134">
        <v>1</v>
      </c>
      <c r="C23" s="286" t="s">
        <v>114</v>
      </c>
      <c r="D23" s="133"/>
      <c r="E23" s="133"/>
      <c r="F23" s="133"/>
      <c r="G23" s="133"/>
      <c r="H23" s="133"/>
      <c r="I23" s="133"/>
      <c r="J23" s="133"/>
      <c r="K23" s="133"/>
      <c r="L23" s="133"/>
      <c r="M23" s="133"/>
      <c r="N23" s="133"/>
      <c r="O23" s="133"/>
      <c r="Z23" s="124"/>
    </row>
    <row r="24" spans="2:28" x14ac:dyDescent="0.25">
      <c r="B24" s="134">
        <v>2</v>
      </c>
      <c r="C24" s="133" t="s">
        <v>103</v>
      </c>
      <c r="D24" s="133"/>
      <c r="E24" s="133"/>
      <c r="F24" s="133"/>
      <c r="G24" s="133"/>
      <c r="H24" s="133"/>
      <c r="I24" s="133"/>
      <c r="J24" s="133"/>
      <c r="K24" s="133"/>
      <c r="L24" s="133"/>
      <c r="M24" s="133"/>
      <c r="N24" s="133"/>
      <c r="O24" s="133"/>
      <c r="Z24" s="125"/>
    </row>
    <row r="25" spans="2:28" x14ac:dyDescent="0.25">
      <c r="B25" s="134">
        <v>3</v>
      </c>
      <c r="C25" s="133" t="s">
        <v>44</v>
      </c>
      <c r="D25" s="133"/>
      <c r="E25" s="133"/>
      <c r="F25" s="133"/>
      <c r="G25" s="133"/>
      <c r="H25" s="133"/>
      <c r="I25" s="133"/>
      <c r="J25" s="133"/>
      <c r="K25" s="133"/>
      <c r="L25" s="133"/>
      <c r="M25" s="133"/>
      <c r="N25" s="133"/>
      <c r="O25" s="133"/>
      <c r="Z25" s="135"/>
    </row>
    <row r="26" spans="2:28" x14ac:dyDescent="0.25">
      <c r="B26" s="134">
        <v>4</v>
      </c>
      <c r="C26" s="133" t="s">
        <v>119</v>
      </c>
      <c r="D26" s="133"/>
      <c r="E26" s="133"/>
      <c r="F26" s="133"/>
      <c r="G26" s="133"/>
      <c r="H26" s="133"/>
      <c r="I26" s="133"/>
      <c r="J26" s="133"/>
      <c r="K26" s="133"/>
      <c r="L26" s="133"/>
      <c r="M26" s="133"/>
      <c r="N26" s="133"/>
      <c r="O26" s="133"/>
      <c r="Z26" s="135"/>
    </row>
    <row r="27" spans="2:28" x14ac:dyDescent="0.25">
      <c r="B27" s="134">
        <v>5</v>
      </c>
      <c r="C27" s="133" t="s">
        <v>78</v>
      </c>
      <c r="D27" s="133"/>
      <c r="E27" s="133"/>
      <c r="F27" s="133"/>
      <c r="G27" s="133"/>
      <c r="H27" s="133"/>
      <c r="I27" s="133"/>
      <c r="J27" s="133"/>
      <c r="K27" s="133"/>
      <c r="L27" s="133"/>
      <c r="M27" s="133"/>
      <c r="N27" s="133"/>
      <c r="O27" s="133"/>
      <c r="Z27" s="124"/>
    </row>
    <row r="28" spans="2:28" x14ac:dyDescent="0.25">
      <c r="B28" s="134">
        <v>6</v>
      </c>
      <c r="C28" s="133" t="s">
        <v>79</v>
      </c>
      <c r="D28" s="133"/>
      <c r="E28" s="133"/>
      <c r="F28" s="133"/>
      <c r="G28" s="133"/>
      <c r="H28" s="133"/>
      <c r="I28" s="133"/>
      <c r="J28" s="133"/>
      <c r="K28" s="133"/>
      <c r="L28" s="133"/>
      <c r="M28" s="133"/>
      <c r="N28" s="133"/>
      <c r="O28" s="133"/>
      <c r="Z28" s="125"/>
    </row>
    <row r="29" spans="2:28" x14ac:dyDescent="0.25">
      <c r="B29" s="134">
        <v>7</v>
      </c>
      <c r="C29" s="133" t="s">
        <v>80</v>
      </c>
      <c r="D29" s="133"/>
      <c r="E29" s="133"/>
      <c r="F29" s="133"/>
      <c r="G29" s="133"/>
      <c r="H29" s="133"/>
      <c r="I29" s="133"/>
      <c r="J29" s="133"/>
      <c r="K29" s="133"/>
      <c r="L29" s="133"/>
      <c r="M29" s="133"/>
      <c r="N29" s="133"/>
      <c r="O29" s="133"/>
      <c r="P29" s="133"/>
      <c r="Q29" s="133"/>
    </row>
    <row r="30" spans="2:28" x14ac:dyDescent="0.25">
      <c r="B30" s="134">
        <v>8</v>
      </c>
      <c r="C30" s="133" t="s">
        <v>50</v>
      </c>
      <c r="D30" s="133"/>
      <c r="E30" s="133"/>
      <c r="F30" s="133"/>
      <c r="G30" s="133"/>
      <c r="H30" s="133"/>
      <c r="I30" s="133"/>
      <c r="J30" s="133"/>
      <c r="K30" s="133"/>
      <c r="L30" s="133"/>
      <c r="M30" s="133"/>
      <c r="N30" s="133"/>
      <c r="O30" s="133"/>
      <c r="P30" s="133"/>
      <c r="Q30" s="133"/>
    </row>
    <row r="31" spans="2:28" x14ac:dyDescent="0.25">
      <c r="B31" s="134">
        <v>9</v>
      </c>
      <c r="C31" s="133" t="s">
        <v>81</v>
      </c>
      <c r="D31" s="133"/>
      <c r="E31" s="133"/>
      <c r="F31" s="133"/>
      <c r="G31" s="133"/>
      <c r="H31" s="133"/>
      <c r="I31" s="133"/>
      <c r="J31" s="133"/>
      <c r="K31" s="133"/>
      <c r="L31" s="133"/>
      <c r="M31" s="133"/>
      <c r="N31" s="133"/>
      <c r="O31" s="133"/>
      <c r="P31" s="133"/>
      <c r="Q31" s="133"/>
    </row>
    <row r="32" spans="2:28"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204"/>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workbookViewId="0">
      <selection activeCell="A39" sqref="A39"/>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17" width="12.6640625" style="53" customWidth="1"/>
    <col min="18" max="20" width="12.6640625" customWidth="1"/>
    <col min="21" max="22" width="12.6640625" style="53" customWidth="1"/>
    <col min="23" max="23" width="2.6640625" style="53" customWidth="1"/>
    <col min="24" max="25" width="12.6640625" style="53" customWidth="1"/>
    <col min="26" max="29" width="12.33203125" style="53" customWidth="1"/>
    <col min="30" max="16384" width="9.109375" style="53"/>
  </cols>
  <sheetData>
    <row r="2" spans="2:30" ht="19.5" customHeight="1" x14ac:dyDescent="0.3">
      <c r="C2" s="210" t="s">
        <v>83</v>
      </c>
      <c r="D2" s="210"/>
      <c r="E2" s="210"/>
      <c r="F2" s="210"/>
      <c r="G2" s="210"/>
      <c r="H2" s="210"/>
      <c r="I2" s="210"/>
      <c r="J2" s="210"/>
      <c r="K2" s="210"/>
      <c r="L2" s="210"/>
    </row>
    <row r="3" spans="2:30" ht="15.6" x14ac:dyDescent="0.3">
      <c r="C3" s="42" t="s">
        <v>43</v>
      </c>
    </row>
    <row r="4" spans="2:30" s="110" customFormat="1" ht="45" x14ac:dyDescent="0.25">
      <c r="B4" s="109"/>
      <c r="C4" s="144" t="s">
        <v>0</v>
      </c>
      <c r="D4" s="144"/>
      <c r="E4" s="144" t="s">
        <v>1</v>
      </c>
      <c r="F4" s="144" t="s">
        <v>2</v>
      </c>
      <c r="G4" s="144" t="s">
        <v>3</v>
      </c>
      <c r="H4" s="144" t="s">
        <v>4</v>
      </c>
      <c r="I4" s="144" t="s">
        <v>5</v>
      </c>
      <c r="J4" s="144" t="s">
        <v>6</v>
      </c>
      <c r="K4" s="144" t="s">
        <v>7</v>
      </c>
      <c r="L4" s="145" t="s">
        <v>14</v>
      </c>
      <c r="M4" s="145"/>
    </row>
    <row r="5" spans="2:30" x14ac:dyDescent="0.25">
      <c r="C5" s="147"/>
      <c r="D5" s="148"/>
      <c r="E5" s="149">
        <v>10</v>
      </c>
      <c r="F5" s="289">
        <f>+'Capacity Delivered'!$I$5</f>
        <v>0.04</v>
      </c>
      <c r="G5" s="150" t="s">
        <v>8</v>
      </c>
      <c r="H5" s="151">
        <f>'Electric EES CE Std Energy'!D18</f>
        <v>2.255503119083823E-2</v>
      </c>
      <c r="I5" s="152">
        <f>'Solar Avoided Capacity Calcs'!Y16</f>
        <v>3.4269422967325024E-3</v>
      </c>
      <c r="J5" s="152">
        <f>H5+I5</f>
        <v>2.5981973487570732E-2</v>
      </c>
      <c r="K5" s="153">
        <f>J5</f>
        <v>2.5981973487570732E-2</v>
      </c>
      <c r="L5" s="154">
        <f>K5*1000</f>
        <v>25.981973487570734</v>
      </c>
      <c r="M5" s="138"/>
    </row>
    <row r="6" spans="2:30" ht="15.6" x14ac:dyDescent="0.3">
      <c r="C6" s="146"/>
      <c r="D6" s="146"/>
      <c r="E6" s="113"/>
      <c r="F6" s="113"/>
      <c r="G6" s="113"/>
      <c r="H6" s="32">
        <f>H5*1000</f>
        <v>22.555031190838232</v>
      </c>
      <c r="I6" s="32">
        <f t="shared" ref="I6:K6" si="0">I5*1000</f>
        <v>3.4269422967325025</v>
      </c>
      <c r="J6" s="32">
        <f t="shared" si="0"/>
        <v>25.981973487570734</v>
      </c>
      <c r="K6" s="32">
        <f t="shared" si="0"/>
        <v>25.981973487570734</v>
      </c>
      <c r="L6" s="115">
        <f>L5*(1-M6)</f>
        <v>25.202514282943611</v>
      </c>
      <c r="M6" s="235">
        <v>0.03</v>
      </c>
      <c r="N6" s="116" t="s">
        <v>36</v>
      </c>
    </row>
    <row r="7" spans="2:30" x14ac:dyDescent="0.25">
      <c r="C7" s="117"/>
      <c r="D7" s="114"/>
      <c r="H7" s="40"/>
      <c r="I7" s="112"/>
      <c r="J7" s="40"/>
      <c r="K7" s="112"/>
      <c r="L7" s="112"/>
      <c r="M7" s="113"/>
    </row>
    <row r="8" spans="2:30" ht="15.6" x14ac:dyDescent="0.3">
      <c r="C8" s="113"/>
      <c r="D8" s="113"/>
      <c r="E8" s="113"/>
      <c r="F8" s="113"/>
      <c r="G8" s="113"/>
      <c r="H8" s="118"/>
      <c r="I8" s="118"/>
      <c r="J8" s="118"/>
      <c r="K8" s="118"/>
      <c r="L8" s="118"/>
      <c r="M8" s="118"/>
      <c r="N8" s="118"/>
      <c r="O8" s="118"/>
      <c r="P8" s="118"/>
      <c r="Q8" s="118"/>
      <c r="U8" s="119"/>
      <c r="V8" s="119"/>
      <c r="W8" s="118"/>
      <c r="X8" s="200" t="s">
        <v>73</v>
      </c>
      <c r="Y8" s="119"/>
      <c r="Z8" s="119"/>
    </row>
    <row r="9" spans="2:30" x14ac:dyDescent="0.25">
      <c r="C9" s="120" t="s">
        <v>9</v>
      </c>
      <c r="D9" s="120"/>
      <c r="E9" s="120"/>
      <c r="F9" s="121">
        <f>+L6</f>
        <v>25.202514282943611</v>
      </c>
      <c r="G9" s="121">
        <f t="shared" ref="G9:O9" si="1">F9</f>
        <v>25.202514282943611</v>
      </c>
      <c r="H9" s="121">
        <f t="shared" si="1"/>
        <v>25.202514282943611</v>
      </c>
      <c r="I9" s="121">
        <f t="shared" si="1"/>
        <v>25.202514282943611</v>
      </c>
      <c r="J9" s="121">
        <f t="shared" si="1"/>
        <v>25.202514282943611</v>
      </c>
      <c r="K9" s="121">
        <f t="shared" si="1"/>
        <v>25.202514282943611</v>
      </c>
      <c r="L9" s="121">
        <f t="shared" si="1"/>
        <v>25.202514282943611</v>
      </c>
      <c r="M9" s="121">
        <f t="shared" si="1"/>
        <v>25.202514282943611</v>
      </c>
      <c r="N9" s="121">
        <f t="shared" si="1"/>
        <v>25.202514282943611</v>
      </c>
      <c r="O9" s="121">
        <f t="shared" si="1"/>
        <v>25.202514282943611</v>
      </c>
      <c r="V9" s="40"/>
      <c r="X9" s="199">
        <f>NPV(Rate_of_Return,F9:O9)</f>
        <v>173.86435016718519</v>
      </c>
      <c r="Y9" s="199">
        <f>-PMT(Rate_of_Return,$E$5,X9)</f>
        <v>25.202514282943604</v>
      </c>
      <c r="Z9" s="40"/>
    </row>
    <row r="10" spans="2:30" x14ac:dyDescent="0.25">
      <c r="C10" s="113"/>
      <c r="D10" s="113"/>
      <c r="E10" s="113"/>
      <c r="F10" s="122"/>
      <c r="G10" s="122"/>
      <c r="H10" s="122"/>
      <c r="I10" s="122"/>
      <c r="J10" s="122"/>
      <c r="K10" s="122"/>
      <c r="L10" s="122"/>
      <c r="M10" s="122"/>
      <c r="N10" s="122"/>
      <c r="O10" s="122"/>
      <c r="P10" s="118"/>
      <c r="Q10" s="118"/>
      <c r="U10" s="119"/>
      <c r="V10" s="40"/>
      <c r="W10" s="118"/>
      <c r="X10" s="32"/>
      <c r="Y10" s="32"/>
      <c r="Z10" s="40"/>
    </row>
    <row r="11" spans="2:30" x14ac:dyDescent="0.25">
      <c r="C11" s="53" t="s">
        <v>55</v>
      </c>
      <c r="F11" s="205">
        <v>1</v>
      </c>
      <c r="G11" s="205">
        <v>2</v>
      </c>
      <c r="H11" s="205">
        <v>3</v>
      </c>
      <c r="I11" s="205">
        <v>4</v>
      </c>
      <c r="J11" s="205">
        <v>5</v>
      </c>
      <c r="K11" s="205">
        <v>6</v>
      </c>
      <c r="L11" s="205">
        <v>7</v>
      </c>
      <c r="M11" s="205">
        <v>8</v>
      </c>
      <c r="N11" s="205">
        <v>9</v>
      </c>
      <c r="O11" s="205">
        <v>10</v>
      </c>
      <c r="P11" s="205">
        <v>11</v>
      </c>
      <c r="Q11" s="205">
        <v>12</v>
      </c>
      <c r="V11" s="40"/>
      <c r="X11" s="40"/>
      <c r="Y11" s="40"/>
      <c r="Z11" s="40"/>
    </row>
    <row r="12" spans="2:30" ht="15.6" x14ac:dyDescent="0.3">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U12" s="119"/>
      <c r="V12" s="203"/>
      <c r="W12" s="118"/>
      <c r="X12" s="200" t="s">
        <v>73</v>
      </c>
      <c r="Y12" s="32"/>
      <c r="Z12" s="119"/>
    </row>
    <row r="13" spans="2:30" ht="52.95" customHeight="1" x14ac:dyDescent="0.25">
      <c r="B13" s="113"/>
      <c r="C13" s="206" t="s">
        <v>77</v>
      </c>
      <c r="D13" s="113"/>
      <c r="F13" s="155">
        <f t="shared" ref="F13:O13" si="3">F$9*F$20</f>
        <v>22.822876648656319</v>
      </c>
      <c r="G13" s="156">
        <f t="shared" si="3"/>
        <v>23.393448564872724</v>
      </c>
      <c r="H13" s="157">
        <f t="shared" si="3"/>
        <v>23.978284778994539</v>
      </c>
      <c r="I13" s="157">
        <f t="shared" si="3"/>
        <v>24.577741898469402</v>
      </c>
      <c r="J13" s="157">
        <f t="shared" si="3"/>
        <v>25.192185445931134</v>
      </c>
      <c r="K13" s="157">
        <f t="shared" si="3"/>
        <v>25.821990082079409</v>
      </c>
      <c r="L13" s="157">
        <f t="shared" si="3"/>
        <v>26.467539834131394</v>
      </c>
      <c r="M13" s="157">
        <f t="shared" si="3"/>
        <v>27.12922832998467</v>
      </c>
      <c r="N13" s="157">
        <f t="shared" si="3"/>
        <v>27.807459038234288</v>
      </c>
      <c r="O13" s="157">
        <f t="shared" si="3"/>
        <v>28.502645514190142</v>
      </c>
      <c r="P13" s="202">
        <f>O13*1.025</f>
        <v>29.215211652044893</v>
      </c>
      <c r="Q13" s="202">
        <f>P13*1.025</f>
        <v>29.945591943346013</v>
      </c>
      <c r="V13" s="125"/>
      <c r="X13" s="199">
        <f>NPV(Rate_of_Return,F13:O13)</f>
        <v>173.86435016718525</v>
      </c>
      <c r="Y13" s="199">
        <f>-PMT(Rate_of_Return,$E$5,X13)</f>
        <v>25.202514282943611</v>
      </c>
      <c r="Z13" s="125"/>
      <c r="AD13" s="126"/>
    </row>
    <row r="14" spans="2:30" x14ac:dyDescent="0.25">
      <c r="C14" s="124"/>
      <c r="E14" s="127"/>
      <c r="F14" s="125"/>
      <c r="G14" s="125"/>
      <c r="H14" s="125"/>
      <c r="I14" s="125"/>
      <c r="J14" s="125"/>
      <c r="K14" s="125"/>
      <c r="L14" s="125"/>
      <c r="M14" s="125"/>
      <c r="N14" s="125"/>
      <c r="O14" s="125"/>
      <c r="P14" s="118"/>
      <c r="Q14" s="118"/>
      <c r="U14" s="119"/>
      <c r="V14" s="125"/>
      <c r="W14" s="118"/>
      <c r="X14" s="119"/>
      <c r="Y14" s="119"/>
      <c r="Z14" s="119"/>
    </row>
    <row r="15" spans="2:30" x14ac:dyDescent="0.25">
      <c r="C15" s="128"/>
      <c r="E15" s="127"/>
      <c r="F15" s="125"/>
      <c r="G15" s="125"/>
      <c r="H15" s="125"/>
      <c r="I15" s="125"/>
      <c r="J15" s="125"/>
      <c r="K15" s="125"/>
      <c r="L15" s="125"/>
      <c r="M15" s="125"/>
      <c r="N15" s="125"/>
      <c r="O15" s="125"/>
      <c r="V15" s="125"/>
      <c r="X15" s="119"/>
      <c r="Y15" s="119"/>
      <c r="Z15" s="119"/>
    </row>
    <row r="16" spans="2:30" x14ac:dyDescent="0.25">
      <c r="C16" s="53" t="s">
        <v>10</v>
      </c>
      <c r="P16" s="118"/>
      <c r="Q16" s="118"/>
      <c r="U16" s="119"/>
      <c r="W16" s="118"/>
    </row>
    <row r="18" spans="2:26" ht="15.6" x14ac:dyDescent="0.3">
      <c r="C18" s="113"/>
      <c r="D18" s="113"/>
      <c r="E18" s="113"/>
      <c r="F18" s="113"/>
      <c r="G18" s="113"/>
      <c r="H18" s="113"/>
      <c r="I18" s="113"/>
      <c r="J18" s="113"/>
      <c r="K18" s="113"/>
      <c r="L18" s="113"/>
      <c r="M18" s="113"/>
      <c r="N18" s="113"/>
      <c r="O18" s="113"/>
      <c r="P18" s="118"/>
      <c r="Q18" s="118"/>
      <c r="U18" s="119"/>
      <c r="W18" s="118"/>
      <c r="X18" s="200" t="s">
        <v>73</v>
      </c>
      <c r="Y18" s="113"/>
    </row>
    <row r="19" spans="2:26" x14ac:dyDescent="0.25">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V19" s="129"/>
      <c r="X19" s="199">
        <f>NPV(Rate_of_Return,F19:O19)</f>
        <v>761.7985797483658</v>
      </c>
      <c r="Y19" s="199">
        <f>-PMT(Rate_of_Return,$E$5,X19)</f>
        <v>110.42654557057071</v>
      </c>
      <c r="Z19" s="119"/>
    </row>
    <row r="20" spans="2:26" x14ac:dyDescent="0.25">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U20" s="119"/>
      <c r="V20" s="130"/>
      <c r="W20" s="118"/>
      <c r="X20" s="199">
        <f>NPV(Rate_of_Return,F20:O20)</f>
        <v>6.8986906709086568</v>
      </c>
      <c r="Y20" s="199">
        <f>-PMT(Rate_of_Return,$E$5,X20)</f>
        <v>1.0000000000000002</v>
      </c>
      <c r="Z20" s="119"/>
    </row>
    <row r="21" spans="2:26" x14ac:dyDescent="0.25">
      <c r="C21" s="113"/>
      <c r="D21" s="113"/>
      <c r="E21" s="140"/>
      <c r="F21" s="140"/>
      <c r="G21" s="140"/>
      <c r="H21" s="140"/>
      <c r="I21" s="140"/>
      <c r="J21" s="140"/>
      <c r="K21" s="140"/>
      <c r="L21" s="140"/>
      <c r="M21" s="141"/>
      <c r="N21" s="141"/>
      <c r="O21" s="141"/>
      <c r="P21" s="141"/>
      <c r="Q21" s="141"/>
      <c r="W21" s="141"/>
      <c r="X21" s="141"/>
      <c r="Y21" s="141"/>
    </row>
    <row r="22" spans="2:26" x14ac:dyDescent="0.25">
      <c r="B22" s="131" t="s">
        <v>13</v>
      </c>
      <c r="C22" s="132"/>
      <c r="D22" s="133"/>
      <c r="E22" s="133"/>
      <c r="F22" s="133"/>
      <c r="G22" s="133"/>
      <c r="H22" s="133"/>
      <c r="I22" s="133"/>
      <c r="J22" s="133"/>
      <c r="K22" s="133"/>
      <c r="L22" s="133"/>
      <c r="M22" s="133"/>
      <c r="N22" s="133"/>
      <c r="O22" s="133"/>
    </row>
    <row r="23" spans="2:26" x14ac:dyDescent="0.25">
      <c r="B23" s="134">
        <v>1</v>
      </c>
      <c r="C23" s="286" t="s">
        <v>114</v>
      </c>
      <c r="D23" s="133"/>
      <c r="E23" s="133"/>
      <c r="F23" s="133"/>
      <c r="G23" s="133"/>
      <c r="H23" s="133"/>
      <c r="I23" s="133"/>
      <c r="J23" s="133"/>
      <c r="K23" s="133"/>
      <c r="L23" s="133"/>
      <c r="M23" s="133"/>
      <c r="N23" s="133"/>
      <c r="O23" s="133"/>
    </row>
    <row r="24" spans="2:26" x14ac:dyDescent="0.25">
      <c r="B24" s="134">
        <v>2</v>
      </c>
      <c r="C24" s="133" t="s">
        <v>103</v>
      </c>
      <c r="D24" s="133"/>
      <c r="E24" s="133"/>
      <c r="F24" s="133"/>
      <c r="G24" s="133"/>
      <c r="H24" s="133"/>
      <c r="I24" s="133"/>
      <c r="J24" s="133"/>
      <c r="K24" s="133"/>
      <c r="L24" s="133"/>
      <c r="M24" s="133"/>
      <c r="N24" s="133"/>
      <c r="O24" s="133"/>
    </row>
    <row r="25" spans="2:26" x14ac:dyDescent="0.25">
      <c r="B25" s="134">
        <v>3</v>
      </c>
      <c r="C25" s="133" t="s">
        <v>44</v>
      </c>
      <c r="D25" s="133"/>
      <c r="E25" s="133"/>
      <c r="F25" s="133"/>
      <c r="G25" s="133"/>
      <c r="H25" s="133"/>
      <c r="I25" s="133"/>
      <c r="J25" s="133"/>
      <c r="K25" s="133"/>
      <c r="L25" s="133"/>
      <c r="M25" s="133"/>
      <c r="N25" s="133"/>
      <c r="O25" s="133"/>
    </row>
    <row r="26" spans="2:26" x14ac:dyDescent="0.25">
      <c r="B26" s="134">
        <v>4</v>
      </c>
      <c r="C26" s="133" t="s">
        <v>119</v>
      </c>
      <c r="D26" s="133"/>
      <c r="E26" s="133"/>
      <c r="F26" s="133"/>
      <c r="G26" s="133"/>
      <c r="H26" s="133"/>
      <c r="I26" s="133"/>
      <c r="J26" s="133"/>
      <c r="K26" s="133"/>
      <c r="L26" s="133"/>
      <c r="M26" s="133"/>
      <c r="N26" s="133"/>
      <c r="O26" s="133"/>
    </row>
    <row r="27" spans="2:26" x14ac:dyDescent="0.25">
      <c r="B27" s="134">
        <v>5</v>
      </c>
      <c r="C27" s="133" t="s">
        <v>78</v>
      </c>
      <c r="D27" s="133"/>
      <c r="E27" s="133"/>
      <c r="F27" s="133"/>
      <c r="G27" s="133"/>
      <c r="H27" s="133"/>
      <c r="I27" s="133"/>
      <c r="J27" s="133"/>
      <c r="K27" s="133"/>
      <c r="L27" s="133"/>
      <c r="M27" s="133"/>
      <c r="N27" s="133"/>
      <c r="O27" s="133"/>
    </row>
    <row r="28" spans="2:26" x14ac:dyDescent="0.25">
      <c r="B28" s="134">
        <v>6</v>
      </c>
      <c r="C28" s="133" t="s">
        <v>79</v>
      </c>
      <c r="D28" s="133"/>
      <c r="E28" s="133"/>
      <c r="F28" s="133"/>
      <c r="G28" s="133"/>
      <c r="H28" s="133"/>
      <c r="I28" s="133"/>
      <c r="J28" s="133"/>
      <c r="K28" s="133"/>
      <c r="L28" s="133"/>
      <c r="M28" s="133"/>
      <c r="N28" s="133"/>
      <c r="O28" s="133"/>
    </row>
    <row r="29" spans="2:26" x14ac:dyDescent="0.25">
      <c r="B29" s="134">
        <v>7</v>
      </c>
      <c r="C29" s="133" t="s">
        <v>80</v>
      </c>
      <c r="D29" s="133"/>
      <c r="E29" s="133"/>
      <c r="F29" s="133"/>
      <c r="G29" s="133"/>
      <c r="H29" s="133"/>
      <c r="I29" s="133"/>
      <c r="J29" s="133"/>
      <c r="K29" s="133"/>
      <c r="L29" s="133"/>
      <c r="M29" s="133"/>
      <c r="N29" s="133"/>
      <c r="O29" s="133"/>
      <c r="P29" s="133"/>
      <c r="Q29" s="133"/>
    </row>
    <row r="30" spans="2:26" x14ac:dyDescent="0.25">
      <c r="B30" s="134">
        <v>8</v>
      </c>
      <c r="C30" s="133" t="s">
        <v>50</v>
      </c>
      <c r="D30" s="133"/>
      <c r="E30" s="133"/>
      <c r="F30" s="133"/>
      <c r="G30" s="133"/>
      <c r="H30" s="133"/>
      <c r="I30" s="133"/>
      <c r="J30" s="133"/>
      <c r="K30" s="133"/>
      <c r="L30" s="133"/>
      <c r="M30" s="133"/>
      <c r="N30" s="133"/>
      <c r="O30" s="133"/>
      <c r="P30" s="133"/>
      <c r="Q30" s="133"/>
    </row>
    <row r="31" spans="2:26" x14ac:dyDescent="0.25">
      <c r="B31" s="134">
        <v>9</v>
      </c>
      <c r="C31" s="133" t="s">
        <v>81</v>
      </c>
      <c r="D31" s="133"/>
      <c r="E31" s="133"/>
      <c r="F31" s="133"/>
      <c r="G31" s="133"/>
      <c r="H31" s="133"/>
      <c r="I31" s="133"/>
      <c r="J31" s="133"/>
      <c r="K31" s="133"/>
      <c r="L31" s="133"/>
      <c r="M31" s="133"/>
      <c r="N31" s="133"/>
      <c r="O31" s="133"/>
      <c r="P31" s="133"/>
      <c r="Q31" s="133"/>
    </row>
    <row r="32" spans="2:26" x14ac:dyDescent="0.25">
      <c r="B32" s="134">
        <v>10</v>
      </c>
      <c r="C32" s="53" t="s">
        <v>82</v>
      </c>
    </row>
    <row r="33" spans="2:25" x14ac:dyDescent="0.25">
      <c r="B33" s="134">
        <v>11</v>
      </c>
      <c r="C33" s="53" t="s">
        <v>101</v>
      </c>
    </row>
    <row r="34" spans="2:25" ht="15.6" x14ac:dyDescent="0.3">
      <c r="B34" s="136"/>
      <c r="C34" s="5"/>
      <c r="D34" s="5"/>
      <c r="E34" s="5"/>
      <c r="F34" s="5"/>
    </row>
    <row r="35" spans="2:25" ht="15.6" x14ac:dyDescent="0.3">
      <c r="B35" s="136"/>
      <c r="C35" s="5"/>
      <c r="D35" s="5"/>
      <c r="E35" s="5"/>
      <c r="F35" s="5"/>
    </row>
    <row r="37" spans="2:25" x14ac:dyDescent="0.25">
      <c r="F37" s="119"/>
      <c r="G37" s="137"/>
      <c r="H37" s="137"/>
      <c r="I37" s="137"/>
      <c r="J37" s="137"/>
      <c r="K37" s="137"/>
      <c r="L37" s="137"/>
      <c r="M37" s="137"/>
      <c r="N37" s="137"/>
      <c r="O37" s="137"/>
      <c r="P37" s="137"/>
      <c r="Q37" s="137"/>
      <c r="W37" s="137"/>
      <c r="X37" s="137"/>
      <c r="Y37" s="137"/>
    </row>
    <row r="38" spans="2:25" x14ac:dyDescent="0.25">
      <c r="G38" s="137"/>
      <c r="H38" s="137"/>
      <c r="I38" s="137"/>
      <c r="J38" s="137"/>
      <c r="K38" s="137"/>
      <c r="L38" s="137"/>
      <c r="M38" s="137"/>
      <c r="N38" s="137"/>
      <c r="O38" s="137"/>
      <c r="P38" s="137"/>
      <c r="Q38" s="137"/>
      <c r="W38" s="137"/>
      <c r="X38" s="137"/>
      <c r="Y38" s="137"/>
    </row>
    <row r="39" spans="2:25" x14ac:dyDescent="0.25">
      <c r="F39" s="119"/>
      <c r="G39" s="119"/>
      <c r="H39" s="119"/>
      <c r="I39" s="119"/>
      <c r="J39" s="119"/>
      <c r="K39" s="119"/>
      <c r="L39" s="119"/>
      <c r="M39" s="119"/>
      <c r="N39" s="119"/>
      <c r="O39" s="119"/>
      <c r="P39" s="119"/>
      <c r="Q39" s="119"/>
      <c r="W39" s="119"/>
      <c r="X39" s="119"/>
      <c r="Y39" s="119"/>
    </row>
    <row r="40" spans="2:25" x14ac:dyDescent="0.25">
      <c r="D40" s="129"/>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election activeCell="C26" sqref="C26"/>
    </sheetView>
  </sheetViews>
  <sheetFormatPr defaultColWidth="9.109375" defaultRowHeight="15" x14ac:dyDescent="0.25"/>
  <cols>
    <col min="1" max="1" width="2.6640625" style="53" customWidth="1"/>
    <col min="2" max="2" width="5" style="53" customWidth="1"/>
    <col min="3" max="3" width="46.6640625" style="53" customWidth="1"/>
    <col min="4" max="4" width="2.6640625" style="53" customWidth="1"/>
    <col min="5" max="22" width="12.6640625" style="53" customWidth="1"/>
    <col min="23" max="23" width="2.6640625" style="53" customWidth="1"/>
    <col min="24" max="25" width="12.6640625" style="53" customWidth="1"/>
    <col min="26" max="30" width="12.33203125" style="53" customWidth="1"/>
    <col min="31" max="16384" width="9.109375" style="53"/>
  </cols>
  <sheetData>
    <row r="2" spans="2:31" ht="19.5" customHeight="1" x14ac:dyDescent="0.3">
      <c r="C2" s="210" t="s">
        <v>83</v>
      </c>
      <c r="D2" s="210"/>
      <c r="E2" s="210"/>
      <c r="F2" s="210"/>
      <c r="G2" s="210"/>
      <c r="H2" s="210"/>
      <c r="I2" s="210"/>
      <c r="J2" s="210"/>
      <c r="K2" s="210"/>
      <c r="L2" s="210"/>
    </row>
    <row r="3" spans="2:31" ht="15.6" x14ac:dyDescent="0.3">
      <c r="C3" s="42" t="s">
        <v>43</v>
      </c>
    </row>
    <row r="4" spans="2:31" s="110" customFormat="1" ht="45" x14ac:dyDescent="0.25">
      <c r="B4" s="109"/>
      <c r="C4" s="144" t="s">
        <v>0</v>
      </c>
      <c r="D4" s="144"/>
      <c r="E4" s="144" t="s">
        <v>1</v>
      </c>
      <c r="F4" s="144" t="s">
        <v>2</v>
      </c>
      <c r="G4" s="144" t="s">
        <v>3</v>
      </c>
      <c r="H4" s="144" t="s">
        <v>4</v>
      </c>
      <c r="I4" s="144" t="s">
        <v>5</v>
      </c>
      <c r="J4" s="144" t="s">
        <v>6</v>
      </c>
      <c r="K4" s="144" t="s">
        <v>7</v>
      </c>
      <c r="L4" s="145" t="s">
        <v>14</v>
      </c>
      <c r="M4" s="145"/>
    </row>
    <row r="5" spans="2:31" x14ac:dyDescent="0.25">
      <c r="C5" s="147"/>
      <c r="D5" s="148"/>
      <c r="E5" s="149">
        <v>15</v>
      </c>
      <c r="F5" s="289">
        <f>+'Capacity Delivered'!$I$5</f>
        <v>0.04</v>
      </c>
      <c r="G5" s="150" t="s">
        <v>8</v>
      </c>
      <c r="H5" s="151">
        <f>'Electric EES CE Std Energy'!D23</f>
        <v>2.356871902062823E-2</v>
      </c>
      <c r="I5" s="152">
        <f>'Solar Avoided Capacity Calcs'!Y21</f>
        <v>3.5001977830966284E-3</v>
      </c>
      <c r="J5" s="152">
        <f>H5+I5</f>
        <v>2.7068916803724859E-2</v>
      </c>
      <c r="K5" s="153">
        <f>J5</f>
        <v>2.7068916803724859E-2</v>
      </c>
      <c r="L5" s="154">
        <f>K5*1000</f>
        <v>27.068916803724861</v>
      </c>
      <c r="M5" s="138"/>
    </row>
    <row r="6" spans="2:31" ht="15.6" x14ac:dyDescent="0.3">
      <c r="C6" s="146"/>
      <c r="D6" s="146"/>
      <c r="E6" s="113"/>
      <c r="F6" s="113"/>
      <c r="G6" s="113"/>
      <c r="H6" s="32">
        <f>H5*1000</f>
        <v>23.56871902062823</v>
      </c>
      <c r="I6" s="32">
        <f t="shared" ref="I6:K6" si="0">I5*1000</f>
        <v>3.5001977830966284</v>
      </c>
      <c r="J6" s="32">
        <f t="shared" si="0"/>
        <v>27.068916803724861</v>
      </c>
      <c r="K6" s="32">
        <f t="shared" si="0"/>
        <v>27.068916803724861</v>
      </c>
      <c r="L6" s="115">
        <f>L5*(1-M6)</f>
        <v>26.256849299613116</v>
      </c>
      <c r="M6" s="235">
        <v>0.03</v>
      </c>
      <c r="N6" s="116" t="s">
        <v>36</v>
      </c>
    </row>
    <row r="7" spans="2:31" x14ac:dyDescent="0.25">
      <c r="C7" s="117"/>
      <c r="D7" s="114"/>
      <c r="H7" s="40"/>
      <c r="I7" s="112"/>
      <c r="J7" s="40"/>
      <c r="K7" s="112"/>
      <c r="L7" s="112"/>
      <c r="M7" s="113"/>
    </row>
    <row r="8" spans="2:31" ht="15.6" x14ac:dyDescent="0.3">
      <c r="C8" s="113"/>
      <c r="D8" s="113"/>
      <c r="E8" s="113"/>
      <c r="F8" s="113"/>
      <c r="G8" s="113"/>
      <c r="H8" s="118"/>
      <c r="I8" s="118"/>
      <c r="J8" s="118"/>
      <c r="K8" s="118"/>
      <c r="L8" s="118"/>
      <c r="M8" s="118"/>
      <c r="N8" s="118"/>
      <c r="O8" s="118"/>
      <c r="P8" s="118"/>
      <c r="Q8" s="118"/>
      <c r="R8" s="118"/>
      <c r="S8" s="118"/>
      <c r="T8" s="118"/>
      <c r="U8" s="119"/>
      <c r="V8" s="119"/>
      <c r="W8" s="119"/>
      <c r="X8" s="200" t="s">
        <v>73</v>
      </c>
      <c r="Y8" s="119"/>
      <c r="Z8" s="119"/>
      <c r="AA8" s="119"/>
    </row>
    <row r="9" spans="2:31" x14ac:dyDescent="0.25">
      <c r="C9" s="120" t="s">
        <v>9</v>
      </c>
      <c r="D9" s="120"/>
      <c r="E9" s="120"/>
      <c r="F9" s="121">
        <f>+L6</f>
        <v>26.256849299613116</v>
      </c>
      <c r="G9" s="121">
        <f t="shared" ref="G9:T9" si="1">F9</f>
        <v>26.256849299613116</v>
      </c>
      <c r="H9" s="121">
        <f t="shared" si="1"/>
        <v>26.256849299613116</v>
      </c>
      <c r="I9" s="121">
        <f t="shared" si="1"/>
        <v>26.256849299613116</v>
      </c>
      <c r="J9" s="121">
        <f t="shared" si="1"/>
        <v>26.256849299613116</v>
      </c>
      <c r="K9" s="121">
        <f t="shared" si="1"/>
        <v>26.256849299613116</v>
      </c>
      <c r="L9" s="121">
        <f t="shared" si="1"/>
        <v>26.256849299613116</v>
      </c>
      <c r="M9" s="121">
        <f t="shared" si="1"/>
        <v>26.256849299613116</v>
      </c>
      <c r="N9" s="121">
        <f t="shared" si="1"/>
        <v>26.256849299613116</v>
      </c>
      <c r="O9" s="121">
        <f t="shared" si="1"/>
        <v>26.256849299613116</v>
      </c>
      <c r="P9" s="121">
        <f t="shared" si="1"/>
        <v>26.256849299613116</v>
      </c>
      <c r="Q9" s="121">
        <f t="shared" si="1"/>
        <v>26.256849299613116</v>
      </c>
      <c r="R9" s="121">
        <f t="shared" si="1"/>
        <v>26.256849299613116</v>
      </c>
      <c r="S9" s="121">
        <f t="shared" si="1"/>
        <v>26.256849299613116</v>
      </c>
      <c r="T9" s="121">
        <f t="shared" si="1"/>
        <v>26.256849299613116</v>
      </c>
      <c r="U9" s="40"/>
      <c r="V9" s="40"/>
      <c r="W9" s="40"/>
      <c r="X9" s="199">
        <f>NPV(Rate_of_Return,F9:T9)</f>
        <v>233.36401352669159</v>
      </c>
      <c r="Y9" s="199">
        <f>-PMT(Rate_of_Return,15,X9)</f>
        <v>26.256849299613108</v>
      </c>
      <c r="Z9" s="40"/>
      <c r="AA9" s="40"/>
    </row>
    <row r="10" spans="2:31" x14ac:dyDescent="0.25">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row>
    <row r="11" spans="2:31" x14ac:dyDescent="0.25">
      <c r="C11" s="53" t="s">
        <v>55</v>
      </c>
      <c r="F11" s="205">
        <v>1</v>
      </c>
      <c r="G11" s="205">
        <v>2</v>
      </c>
      <c r="H11" s="205">
        <v>3</v>
      </c>
      <c r="I11" s="205">
        <v>4</v>
      </c>
      <c r="J11" s="205">
        <v>5</v>
      </c>
      <c r="K11" s="205">
        <v>6</v>
      </c>
      <c r="L11" s="205">
        <v>7</v>
      </c>
      <c r="M11" s="205">
        <v>8</v>
      </c>
      <c r="N11" s="205">
        <v>9</v>
      </c>
      <c r="O11" s="205">
        <v>10</v>
      </c>
      <c r="P11" s="205">
        <v>11</v>
      </c>
      <c r="Q11" s="205">
        <v>12</v>
      </c>
      <c r="R11" s="205">
        <v>13</v>
      </c>
      <c r="S11" s="205">
        <v>14</v>
      </c>
      <c r="T11" s="205">
        <v>15</v>
      </c>
      <c r="U11" s="205">
        <v>16</v>
      </c>
      <c r="V11" s="205">
        <v>17</v>
      </c>
      <c r="W11" s="40"/>
      <c r="X11" s="40"/>
      <c r="Y11" s="40"/>
      <c r="Z11" s="40"/>
      <c r="AA11" s="40"/>
    </row>
    <row r="12" spans="2:31" ht="15.6" x14ac:dyDescent="0.3">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3"/>
      <c r="X12" s="200" t="s">
        <v>73</v>
      </c>
      <c r="Y12" s="32"/>
      <c r="Z12" s="119"/>
      <c r="AA12" s="119"/>
    </row>
    <row r="13" spans="2:31" ht="52.95" customHeight="1" x14ac:dyDescent="0.25">
      <c r="B13" s="113"/>
      <c r="C13" s="206" t="s">
        <v>77</v>
      </c>
      <c r="D13" s="113"/>
      <c r="F13" s="155">
        <f t="shared" ref="F13:T13" si="3">F$9*F$20</f>
        <v>22.689148417600382</v>
      </c>
      <c r="G13" s="156">
        <f>G$9*G$20</f>
        <v>23.256377128040391</v>
      </c>
      <c r="H13" s="157">
        <f t="shared" si="3"/>
        <v>23.837786556241397</v>
      </c>
      <c r="I13" s="157">
        <f t="shared" si="3"/>
        <v>24.433731220147429</v>
      </c>
      <c r="J13" s="157">
        <f t="shared" si="3"/>
        <v>25.044574500651116</v>
      </c>
      <c r="K13" s="157">
        <f t="shared" si="3"/>
        <v>25.670688863167388</v>
      </c>
      <c r="L13" s="157">
        <f t="shared" si="3"/>
        <v>26.312456084746572</v>
      </c>
      <c r="M13" s="157">
        <f t="shared" si="3"/>
        <v>26.970267486865236</v>
      </c>
      <c r="N13" s="157">
        <f t="shared" si="3"/>
        <v>27.64452417403686</v>
      </c>
      <c r="O13" s="157">
        <f t="shared" si="3"/>
        <v>28.335637278387782</v>
      </c>
      <c r="P13" s="157">
        <f t="shared" si="3"/>
        <v>29.044028210347474</v>
      </c>
      <c r="Q13" s="157">
        <f t="shared" si="3"/>
        <v>29.770128915606151</v>
      </c>
      <c r="R13" s="157">
        <f t="shared" si="3"/>
        <v>30.514382138496305</v>
      </c>
      <c r="S13" s="157">
        <f t="shared" si="3"/>
        <v>31.277241691958707</v>
      </c>
      <c r="T13" s="157">
        <f t="shared" si="3"/>
        <v>32.059172734257672</v>
      </c>
      <c r="U13" s="202">
        <f>T13*1.025</f>
        <v>32.860652052614114</v>
      </c>
      <c r="V13" s="202">
        <f>U13*1.025</f>
        <v>33.682168353929463</v>
      </c>
      <c r="W13" s="125"/>
      <c r="X13" s="199">
        <f>NPV(Rate_of_Return,F13:T13)</f>
        <v>233.36401352669171</v>
      </c>
      <c r="Y13" s="199">
        <f>-PMT(Rate_of_Return,15,X13)</f>
        <v>26.256849299613119</v>
      </c>
      <c r="Z13" s="125"/>
      <c r="AA13" s="125"/>
      <c r="AE13" s="126"/>
    </row>
    <row r="14" spans="2:31" x14ac:dyDescent="0.25">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row>
    <row r="15" spans="2:31" x14ac:dyDescent="0.25">
      <c r="C15" s="128"/>
      <c r="E15" s="127"/>
      <c r="F15" s="125"/>
      <c r="G15" s="209"/>
      <c r="H15" s="125"/>
      <c r="I15" s="125"/>
      <c r="J15" s="125"/>
      <c r="K15" s="125"/>
      <c r="L15" s="125"/>
      <c r="M15" s="125"/>
      <c r="N15" s="125"/>
      <c r="O15" s="125"/>
      <c r="P15" s="125"/>
      <c r="Q15" s="125"/>
      <c r="R15" s="125"/>
      <c r="S15" s="125"/>
      <c r="T15" s="125"/>
      <c r="U15" s="125"/>
      <c r="V15" s="125"/>
      <c r="W15" s="125"/>
      <c r="X15" s="119"/>
      <c r="Y15" s="119"/>
      <c r="Z15" s="119"/>
      <c r="AA15" s="119"/>
    </row>
    <row r="16" spans="2:31" x14ac:dyDescent="0.25">
      <c r="C16" s="53" t="s">
        <v>10</v>
      </c>
      <c r="Q16" s="119"/>
      <c r="R16" s="119"/>
    </row>
    <row r="17" spans="2:27" x14ac:dyDescent="0.25">
      <c r="Q17" s="119"/>
      <c r="R17" s="119"/>
    </row>
    <row r="18" spans="2:27" ht="15.6" x14ac:dyDescent="0.3">
      <c r="C18" s="113"/>
      <c r="D18" s="113"/>
      <c r="E18" s="113"/>
      <c r="F18" s="113"/>
      <c r="G18" s="113"/>
      <c r="H18" s="113"/>
      <c r="I18" s="113"/>
      <c r="J18" s="113"/>
      <c r="K18" s="113"/>
      <c r="L18" s="113"/>
      <c r="M18" s="113"/>
      <c r="N18" s="113"/>
      <c r="O18" s="113"/>
      <c r="P18" s="113"/>
      <c r="Q18" s="118"/>
      <c r="R18" s="118"/>
      <c r="S18" s="113"/>
      <c r="T18" s="113"/>
      <c r="X18" s="200" t="s">
        <v>73</v>
      </c>
      <c r="Y18" s="113"/>
    </row>
    <row r="19" spans="2:27" x14ac:dyDescent="0.25">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row>
    <row r="20" spans="2:27" x14ac:dyDescent="0.25">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row>
    <row r="21" spans="2:27" x14ac:dyDescent="0.25">
      <c r="C21" s="113"/>
      <c r="D21" s="113"/>
      <c r="E21" s="140"/>
      <c r="F21" s="140"/>
      <c r="G21" s="140"/>
      <c r="H21" s="140"/>
      <c r="I21" s="140"/>
      <c r="J21" s="140"/>
      <c r="K21" s="140"/>
      <c r="L21" s="140"/>
      <c r="M21" s="141"/>
      <c r="N21" s="141"/>
      <c r="O21" s="141"/>
      <c r="P21" s="141"/>
      <c r="Q21" s="141"/>
      <c r="R21" s="141"/>
      <c r="S21" s="141"/>
      <c r="T21" s="141"/>
      <c r="X21" s="113"/>
      <c r="Y21" s="113"/>
    </row>
    <row r="22" spans="2:27" x14ac:dyDescent="0.25">
      <c r="B22" s="131" t="s">
        <v>13</v>
      </c>
      <c r="C22" s="132"/>
      <c r="D22" s="133"/>
      <c r="E22" s="133"/>
      <c r="F22" s="133"/>
      <c r="G22" s="133"/>
      <c r="H22" s="133"/>
      <c r="I22" s="133"/>
      <c r="J22" s="133"/>
      <c r="K22" s="133"/>
      <c r="L22" s="133"/>
      <c r="M22" s="133"/>
      <c r="N22" s="133"/>
      <c r="O22" s="133"/>
      <c r="Z22" s="128"/>
    </row>
    <row r="23" spans="2:27" x14ac:dyDescent="0.25">
      <c r="B23" s="134">
        <v>1</v>
      </c>
      <c r="C23" s="286" t="s">
        <v>114</v>
      </c>
      <c r="D23" s="133"/>
      <c r="E23" s="133"/>
      <c r="F23" s="133"/>
      <c r="G23" s="133"/>
      <c r="H23" s="133"/>
      <c r="I23" s="133"/>
      <c r="J23" s="133"/>
      <c r="K23" s="133"/>
      <c r="L23" s="133"/>
      <c r="M23" s="133"/>
      <c r="N23" s="133"/>
      <c r="O23" s="133"/>
      <c r="Z23" s="124"/>
    </row>
    <row r="24" spans="2:27" x14ac:dyDescent="0.25">
      <c r="B24" s="134">
        <v>2</v>
      </c>
      <c r="C24" s="133" t="s">
        <v>103</v>
      </c>
      <c r="D24" s="133"/>
      <c r="E24" s="133"/>
      <c r="F24" s="133"/>
      <c r="G24" s="133"/>
      <c r="H24" s="133"/>
      <c r="I24" s="133"/>
      <c r="J24" s="133"/>
      <c r="K24" s="133"/>
      <c r="L24" s="133"/>
      <c r="M24" s="133"/>
      <c r="N24" s="133"/>
      <c r="O24" s="133"/>
      <c r="Z24" s="125"/>
    </row>
    <row r="25" spans="2:27" x14ac:dyDescent="0.25">
      <c r="B25" s="134">
        <v>3</v>
      </c>
      <c r="C25" s="133" t="s">
        <v>44</v>
      </c>
      <c r="D25" s="133"/>
      <c r="E25" s="133"/>
      <c r="F25" s="133"/>
      <c r="G25" s="133"/>
      <c r="H25" s="133"/>
      <c r="I25" s="133"/>
      <c r="J25" s="133"/>
      <c r="K25" s="133"/>
      <c r="L25" s="133"/>
      <c r="M25" s="133"/>
      <c r="N25" s="133"/>
      <c r="O25" s="133"/>
      <c r="Z25" s="135"/>
    </row>
    <row r="26" spans="2:27" x14ac:dyDescent="0.25">
      <c r="B26" s="134">
        <v>4</v>
      </c>
      <c r="C26" s="133" t="s">
        <v>119</v>
      </c>
      <c r="D26" s="133"/>
      <c r="E26" s="133"/>
      <c r="F26" s="133"/>
      <c r="G26" s="133"/>
      <c r="H26" s="133"/>
      <c r="I26" s="133"/>
      <c r="J26" s="133"/>
      <c r="K26" s="133"/>
      <c r="L26" s="133"/>
      <c r="M26" s="133"/>
      <c r="N26" s="133"/>
      <c r="O26" s="133"/>
      <c r="Z26" s="135"/>
    </row>
    <row r="27" spans="2:27" x14ac:dyDescent="0.25">
      <c r="B27" s="134">
        <v>5</v>
      </c>
      <c r="C27" s="133" t="s">
        <v>78</v>
      </c>
      <c r="D27" s="133"/>
      <c r="E27" s="133"/>
      <c r="F27" s="133"/>
      <c r="G27" s="133"/>
      <c r="H27" s="133"/>
      <c r="I27" s="133"/>
      <c r="J27" s="133"/>
      <c r="K27" s="133"/>
      <c r="L27" s="133"/>
      <c r="M27" s="133"/>
      <c r="N27" s="133"/>
      <c r="O27" s="133"/>
      <c r="Z27" s="124"/>
    </row>
    <row r="28" spans="2:27" x14ac:dyDescent="0.25">
      <c r="B28" s="134">
        <v>6</v>
      </c>
      <c r="C28" s="133" t="s">
        <v>79</v>
      </c>
      <c r="D28" s="133"/>
      <c r="E28" s="133"/>
      <c r="F28" s="133"/>
      <c r="G28" s="133"/>
      <c r="H28" s="133"/>
      <c r="I28" s="133"/>
      <c r="J28" s="133"/>
      <c r="K28" s="133"/>
      <c r="L28" s="133"/>
      <c r="M28" s="133"/>
      <c r="N28" s="133"/>
      <c r="O28" s="133"/>
      <c r="Z28" s="125"/>
    </row>
    <row r="29" spans="2:27" x14ac:dyDescent="0.25">
      <c r="B29" s="134">
        <v>7</v>
      </c>
      <c r="C29" s="133" t="s">
        <v>80</v>
      </c>
      <c r="D29" s="133"/>
      <c r="E29" s="133"/>
      <c r="F29" s="133"/>
      <c r="G29" s="133"/>
      <c r="H29" s="133"/>
      <c r="I29" s="133"/>
      <c r="J29" s="133"/>
      <c r="K29" s="133"/>
      <c r="L29" s="133"/>
      <c r="M29" s="133"/>
      <c r="N29" s="133"/>
      <c r="O29" s="133"/>
      <c r="P29" s="133"/>
      <c r="Q29" s="133"/>
    </row>
    <row r="30" spans="2:27" x14ac:dyDescent="0.25">
      <c r="B30" s="134">
        <v>8</v>
      </c>
      <c r="C30" s="133" t="s">
        <v>50</v>
      </c>
      <c r="D30" s="133"/>
      <c r="E30" s="133"/>
      <c r="F30" s="133"/>
      <c r="G30" s="133"/>
      <c r="H30" s="133"/>
      <c r="I30" s="133"/>
      <c r="J30" s="133"/>
      <c r="K30" s="133"/>
      <c r="L30" s="133"/>
      <c r="M30" s="133"/>
      <c r="N30" s="133"/>
      <c r="O30" s="133"/>
      <c r="P30" s="133"/>
      <c r="Q30" s="133"/>
    </row>
    <row r="31" spans="2:27" x14ac:dyDescent="0.25">
      <c r="B31" s="134">
        <v>9</v>
      </c>
      <c r="C31" s="133" t="s">
        <v>81</v>
      </c>
      <c r="D31" s="133"/>
      <c r="E31" s="133"/>
      <c r="F31" s="133"/>
      <c r="G31" s="133"/>
      <c r="H31" s="133"/>
      <c r="I31" s="133"/>
      <c r="J31" s="133"/>
      <c r="K31" s="133"/>
      <c r="L31" s="133"/>
      <c r="M31" s="133"/>
      <c r="N31" s="133"/>
      <c r="O31" s="133"/>
      <c r="P31" s="133"/>
      <c r="Q31" s="133"/>
    </row>
    <row r="32" spans="2:27" x14ac:dyDescent="0.25">
      <c r="B32" s="134">
        <v>10</v>
      </c>
      <c r="C32" s="53" t="s">
        <v>82</v>
      </c>
    </row>
    <row r="33" spans="2:20" x14ac:dyDescent="0.25">
      <c r="B33" s="134">
        <v>11</v>
      </c>
      <c r="C33" s="53" t="s">
        <v>101</v>
      </c>
    </row>
    <row r="34" spans="2:20" ht="15.6" x14ac:dyDescent="0.3">
      <c r="B34" s="136"/>
      <c r="C34" s="5"/>
      <c r="D34" s="5"/>
      <c r="E34" s="5"/>
      <c r="F34" s="5"/>
    </row>
    <row r="35" spans="2:20" ht="15.6" x14ac:dyDescent="0.3">
      <c r="B35" s="136"/>
      <c r="C35" s="5"/>
      <c r="D35" s="5"/>
      <c r="E35" s="5"/>
      <c r="F35" s="5"/>
    </row>
    <row r="37" spans="2:20" x14ac:dyDescent="0.25">
      <c r="F37" s="119"/>
      <c r="G37" s="137"/>
      <c r="H37" s="137"/>
      <c r="I37" s="137"/>
      <c r="J37" s="137"/>
      <c r="K37" s="137"/>
      <c r="L37" s="137"/>
      <c r="M37" s="137"/>
      <c r="N37" s="137"/>
      <c r="O37" s="137"/>
      <c r="P37" s="137"/>
      <c r="Q37" s="137"/>
      <c r="R37" s="137"/>
      <c r="S37" s="137"/>
      <c r="T37" s="137"/>
    </row>
    <row r="38" spans="2:20" x14ac:dyDescent="0.25">
      <c r="G38" s="137"/>
      <c r="H38" s="137"/>
      <c r="I38" s="137"/>
      <c r="J38" s="137"/>
      <c r="K38" s="137"/>
      <c r="L38" s="137"/>
      <c r="M38" s="137"/>
      <c r="N38" s="137"/>
      <c r="O38" s="137"/>
      <c r="P38" s="137"/>
      <c r="Q38" s="137"/>
      <c r="R38" s="137"/>
      <c r="S38" s="137"/>
      <c r="T38" s="137"/>
    </row>
    <row r="39" spans="2:20" x14ac:dyDescent="0.25">
      <c r="F39" s="119"/>
      <c r="G39" s="119"/>
      <c r="H39" s="119"/>
      <c r="I39" s="119"/>
      <c r="J39" s="119"/>
      <c r="K39" s="119"/>
      <c r="L39" s="119"/>
      <c r="M39" s="119"/>
      <c r="N39" s="119"/>
      <c r="O39" s="119"/>
      <c r="P39" s="119"/>
      <c r="Q39" s="119"/>
      <c r="R39" s="119"/>
      <c r="S39" s="119"/>
      <c r="T39" s="119"/>
    </row>
    <row r="40" spans="2:20" x14ac:dyDescent="0.25">
      <c r="D40" s="129"/>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topLeftCell="A10" workbookViewId="0">
      <selection activeCell="C7" sqref="C7"/>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32" t="s">
        <v>51</v>
      </c>
      <c r="C3" s="332"/>
      <c r="D3" s="35"/>
    </row>
    <row r="4" spans="2:6" x14ac:dyDescent="0.25">
      <c r="B4" s="333" t="str">
        <f>+FlatLoadShapeEnergy_perMWh!C6</f>
        <v>Line Loss Reduction</v>
      </c>
      <c r="C4" s="334"/>
      <c r="D4" s="161">
        <v>2.7E-2</v>
      </c>
      <c r="E4" s="35"/>
    </row>
    <row r="5" spans="2:6" x14ac:dyDescent="0.25">
      <c r="B5" s="335" t="s">
        <v>45</v>
      </c>
      <c r="C5" s="335"/>
      <c r="D5" s="162">
        <f>Rate_of_Return</f>
        <v>7.3899999999999993E-2</v>
      </c>
      <c r="E5" s="43"/>
    </row>
    <row r="6" spans="2:6" x14ac:dyDescent="0.25">
      <c r="B6" s="7"/>
      <c r="C6" s="29"/>
      <c r="D6" s="43"/>
      <c r="E6" s="1"/>
    </row>
    <row r="7" spans="2:6" x14ac:dyDescent="0.25">
      <c r="C7" s="2"/>
      <c r="D7" s="2"/>
    </row>
    <row r="8" spans="2:6" s="7" customFormat="1" ht="45.75" customHeight="1" x14ac:dyDescent="0.25">
      <c r="B8" s="6" t="s">
        <v>1</v>
      </c>
      <c r="C8" s="6" t="s">
        <v>74</v>
      </c>
      <c r="D8" s="30" t="s">
        <v>75</v>
      </c>
      <c r="E8"/>
      <c r="F8"/>
    </row>
    <row r="9" spans="2:6" x14ac:dyDescent="0.25">
      <c r="B9" s="8">
        <v>1</v>
      </c>
      <c r="C9" s="36">
        <f>+FlatLoadShapeEnergy_perMWh!P7</f>
        <v>23.466949999999997</v>
      </c>
      <c r="D9" s="160">
        <f t="shared" ref="D9:D27" si="0">C9/1000</f>
        <v>2.3466949999999997E-2</v>
      </c>
    </row>
    <row r="10" spans="2:6" x14ac:dyDescent="0.25">
      <c r="B10" s="8">
        <v>2</v>
      </c>
      <c r="C10" s="36">
        <f>+FlatLoadShapeEnergy_perMWh!P8</f>
        <v>22.644914221997201</v>
      </c>
      <c r="D10" s="160">
        <f t="shared" si="0"/>
        <v>2.26449142219972E-2</v>
      </c>
    </row>
    <row r="11" spans="2:6" x14ac:dyDescent="0.25">
      <c r="B11" s="8">
        <v>3</v>
      </c>
      <c r="C11" s="36">
        <f>+FlatLoadShapeEnergy_perMWh!P9</f>
        <v>22.161330006507324</v>
      </c>
      <c r="D11" s="160">
        <f t="shared" si="0"/>
        <v>2.2161330006507322E-2</v>
      </c>
    </row>
    <row r="12" spans="2:6" x14ac:dyDescent="0.25">
      <c r="B12" s="8">
        <v>4</v>
      </c>
      <c r="C12" s="36">
        <f>+FlatLoadShapeEnergy_perMWh!P10</f>
        <v>21.749967572135283</v>
      </c>
      <c r="D12" s="160">
        <f t="shared" si="0"/>
        <v>2.1749967572135282E-2</v>
      </c>
    </row>
    <row r="13" spans="2:6" x14ac:dyDescent="0.25">
      <c r="B13" s="8">
        <v>5</v>
      </c>
      <c r="C13" s="36">
        <f>+FlatLoadShapeEnergy_perMWh!P11</f>
        <v>21.496895857758748</v>
      </c>
      <c r="D13" s="160">
        <f t="shared" si="0"/>
        <v>2.1496895857758748E-2</v>
      </c>
    </row>
    <row r="14" spans="2:6" x14ac:dyDescent="0.25">
      <c r="B14" s="8">
        <v>6</v>
      </c>
      <c r="C14" s="36">
        <f>+FlatLoadShapeEnergy_perMWh!P12</f>
        <v>21.360169466660984</v>
      </c>
      <c r="D14" s="160">
        <f t="shared" si="0"/>
        <v>2.1360169466660986E-2</v>
      </c>
    </row>
    <row r="15" spans="2:6" x14ac:dyDescent="0.25">
      <c r="B15" s="8">
        <v>7</v>
      </c>
      <c r="C15" s="36">
        <f>+FlatLoadShapeEnergy_perMWh!P13</f>
        <v>21.640600376044478</v>
      </c>
      <c r="D15" s="160">
        <f t="shared" si="0"/>
        <v>2.164060037604448E-2</v>
      </c>
    </row>
    <row r="16" spans="2:6" x14ac:dyDescent="0.25">
      <c r="B16" s="8">
        <v>8</v>
      </c>
      <c r="C16" s="36">
        <f>+FlatLoadShapeEnergy_perMWh!P14</f>
        <v>21.971089152439877</v>
      </c>
      <c r="D16" s="160">
        <f t="shared" si="0"/>
        <v>2.1971089152439876E-2</v>
      </c>
    </row>
    <row r="17" spans="2:4" x14ac:dyDescent="0.25">
      <c r="B17" s="8">
        <v>9</v>
      </c>
      <c r="C17" s="36">
        <f>+FlatLoadShapeEnergy_perMWh!P15</f>
        <v>22.312456869027589</v>
      </c>
      <c r="D17" s="160">
        <f t="shared" si="0"/>
        <v>2.2312456869027587E-2</v>
      </c>
    </row>
    <row r="18" spans="2:4" x14ac:dyDescent="0.25">
      <c r="B18" s="8">
        <v>10</v>
      </c>
      <c r="C18" s="36">
        <f>+FlatLoadShapeEnergy_perMWh!P16</f>
        <v>22.555031190838232</v>
      </c>
      <c r="D18" s="160">
        <f t="shared" si="0"/>
        <v>2.255503119083823E-2</v>
      </c>
    </row>
    <row r="19" spans="2:4" x14ac:dyDescent="0.25">
      <c r="B19" s="8">
        <v>11</v>
      </c>
      <c r="C19" s="36">
        <f>+FlatLoadShapeEnergy_perMWh!P17</f>
        <v>22.73463242637661</v>
      </c>
      <c r="D19" s="160">
        <f t="shared" si="0"/>
        <v>2.2734632426376609E-2</v>
      </c>
    </row>
    <row r="20" spans="2:4" x14ac:dyDescent="0.25">
      <c r="B20" s="8">
        <v>12</v>
      </c>
      <c r="C20" s="36">
        <f>+FlatLoadShapeEnergy_perMWh!P18</f>
        <v>22.916589856179158</v>
      </c>
      <c r="D20" s="160">
        <f t="shared" si="0"/>
        <v>2.2916589856179156E-2</v>
      </c>
    </row>
    <row r="21" spans="2:4" x14ac:dyDescent="0.25">
      <c r="B21" s="8">
        <v>13</v>
      </c>
      <c r="C21" s="36">
        <f>+FlatLoadShapeEnergy_perMWh!P19</f>
        <v>23.134143796401776</v>
      </c>
      <c r="D21" s="160">
        <f t="shared" si="0"/>
        <v>2.3134143796401777E-2</v>
      </c>
    </row>
    <row r="22" spans="2:4" x14ac:dyDescent="0.25">
      <c r="B22" s="8">
        <v>14</v>
      </c>
      <c r="C22" s="36">
        <f>+FlatLoadShapeEnergy_perMWh!P20</f>
        <v>23.350056606891251</v>
      </c>
      <c r="D22" s="160">
        <f t="shared" si="0"/>
        <v>2.335005660689125E-2</v>
      </c>
    </row>
    <row r="23" spans="2:4" x14ac:dyDescent="0.25">
      <c r="B23" s="287">
        <v>15</v>
      </c>
      <c r="C23" s="288">
        <f>+FlatLoadShapeEnergy_perMWh!P21</f>
        <v>23.56871902062823</v>
      </c>
      <c r="D23" s="160">
        <f>C23/1000</f>
        <v>2.356871902062823E-2</v>
      </c>
    </row>
    <row r="24" spans="2:4" x14ac:dyDescent="0.25">
      <c r="B24" s="8">
        <v>16</v>
      </c>
      <c r="C24" s="36">
        <f>+FlatLoadShapeEnergy_perMWh!P22</f>
        <v>23.809721083906837</v>
      </c>
      <c r="D24" s="160">
        <f t="shared" si="0"/>
        <v>2.3809721083906835E-2</v>
      </c>
    </row>
    <row r="25" spans="2:4" x14ac:dyDescent="0.25">
      <c r="B25" s="8">
        <v>17</v>
      </c>
      <c r="C25" s="36">
        <f>+FlatLoadShapeEnergy_perMWh!P23</f>
        <v>24.010563771540284</v>
      </c>
      <c r="D25" s="160">
        <f t="shared" si="0"/>
        <v>2.4010563771540285E-2</v>
      </c>
    </row>
    <row r="26" spans="2:4" x14ac:dyDescent="0.25">
      <c r="B26" s="8">
        <v>18</v>
      </c>
      <c r="C26" s="36">
        <f>+FlatLoadShapeEnergy_perMWh!P24</f>
        <v>24.183688627646816</v>
      </c>
      <c r="D26" s="160">
        <f t="shared" si="0"/>
        <v>2.4183688627646815E-2</v>
      </c>
    </row>
    <row r="27" spans="2:4" x14ac:dyDescent="0.25">
      <c r="B27" s="8">
        <v>19</v>
      </c>
      <c r="C27" s="36">
        <f>+FlatLoadShapeEnergy_perMWh!P25</f>
        <v>24.330764227180442</v>
      </c>
      <c r="D27" s="160">
        <f t="shared" si="0"/>
        <v>2.4330764227180442E-2</v>
      </c>
    </row>
    <row r="28" spans="2:4" x14ac:dyDescent="0.25">
      <c r="B28" s="8">
        <v>20</v>
      </c>
      <c r="C28" s="36">
        <f>+FlatLoadShapeEnergy_perMWh!P26</f>
        <v>24.467321296226054</v>
      </c>
      <c r="D28" s="160">
        <f t="shared" ref="D28:D29" si="1">C28/1000</f>
        <v>2.4467321296226054E-2</v>
      </c>
    </row>
    <row r="29" spans="2:4" x14ac:dyDescent="0.25">
      <c r="B29" s="8">
        <v>21</v>
      </c>
      <c r="C29" s="36">
        <f>+FlatLoadShapeEnergy_perMWh!P27</f>
        <v>24.611065299797751</v>
      </c>
      <c r="D29" s="160">
        <f t="shared" si="1"/>
        <v>2.4611065299797751E-2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2021-10-29T07:00:00+00:00</OpenedDate>
    <SignificantOrder xmlns="dc463f71-b30c-4ab2-9473-d307f9d35888">false</SignificantOrder>
    <Date1 xmlns="dc463f71-b30c-4ab2-9473-d307f9d35888">2021-10-29T07:00:00+00:00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210816</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1887CBA80B28418C2C900AC0811FE3" ma:contentTypeVersion="44" ma:contentTypeDescription="" ma:contentTypeScope="" ma:versionID="cc3cb45351c3e48bcc603165e44bdc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3E0F919-B37F-4217-AEE8-BC978C1FFF41}">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3CED28A2-BD39-4D5C-AAD5-A4D30B0764E8}"/>
</file>

<file path=customXml/itemProps4.xml><?xml version="1.0" encoding="utf-8"?>
<ds:datastoreItem xmlns:ds="http://schemas.openxmlformats.org/officeDocument/2006/customXml" ds:itemID="{F6616CEF-20B2-45D3-8DF0-571A77BBE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2021-10-28T20:47:28Z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0x0101006E56B4D1795A2E4DB2F0B01679ED314A00EF1887CBA80B28418C2C900AC0811FE3</vt:lpwstr>
  </property>
  <property fmtid="{D5CDD505-2E9C-101B-9397-08002B2CF9AE}" pid="3" name="_docset_NoMedatataSyncRequired">
    <vt:lpwstr>False</vt:lpwstr>
  </property>
  <property fmtid="{D5CDD505-2E9C-101B-9397-08002B2CF9AE}" pid="4" name="IsEFSEC">
    <vt:bool>false</vt:bool>
  </property>
</Properties>
</file>